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omments4.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840" yWindow="780" windowWidth="15480" windowHeight="10920" tabRatio="909" activeTab="2"/>
  </bookViews>
  <sheets>
    <sheet name="Home" sheetId="5" r:id="rId1"/>
    <sheet name="Document History " sheetId="30" r:id="rId2"/>
    <sheet name="Checklist" sheetId="31" r:id="rId3"/>
    <sheet name="Final Data-US$" sheetId="7" r:id="rId4"/>
    <sheet name="Forecasting" sheetId="10" r:id="rId5"/>
    <sheet name="Secondary cum Calculation" sheetId="1" r:id="rId6"/>
    <sheet name="TDF-Growth Rate" sheetId="8" state="hidden" r:id="rId7"/>
    <sheet name="TDF-Sum Checks" sheetId="6" state="hidden" r:id="rId8"/>
    <sheet name="Income Groups" sheetId="4" state="hidden" r:id="rId9"/>
    <sheet name="africa" sheetId="13" state="hidden" r:id="rId10"/>
    <sheet name="asia" sheetId="14" state="hidden" r:id="rId11"/>
    <sheet name="WTTC Export" sheetId="20" state="hidden" r:id="rId12"/>
    <sheet name="Mean Household comparison" sheetId="32" state="hidden" r:id="rId13"/>
    <sheet name="Domestic" sheetId="23" state="hidden" r:id="rId14"/>
    <sheet name="Seasonality&amp; Avg.stay" sheetId="29" state="hidden" r:id="rId15"/>
    <sheet name="Tourism Demand &amp; Flows" sheetId="21" state="hidden" r:id="rId16"/>
    <sheet name="Data (2)" sheetId="26" state="hidden" r:id="rId17"/>
    <sheet name="Inbound by region" sheetId="27" state="hidden" r:id="rId18"/>
    <sheet name="Sheet3" sheetId="16" state="hidden" r:id="rId19"/>
    <sheet name="Sheet1 (2)" sheetId="25" state="hidden" r:id="rId20"/>
    <sheet name="Sheet1" sheetId="24" state="hidden" r:id="rId21"/>
    <sheet name="Data (4)" sheetId="28" state="hidden" r:id="rId22"/>
  </sheets>
  <externalReferences>
    <externalReference r:id="rId23"/>
    <externalReference r:id="rId24"/>
  </externalReferences>
  <definedNames>
    <definedName name="_xlnm._FilterDatabase" localSheetId="3" hidden="1">'Final Data-US$'!$A$4:$AA$489</definedName>
    <definedName name="_xlnm._FilterDatabase" localSheetId="4" hidden="1">Forecasting!$A$1:$A$1165</definedName>
    <definedName name="_xlnm._FilterDatabase" localSheetId="5" hidden="1">'Secondary cum Calculation'!$A$119:$AA$601</definedName>
    <definedName name="_xlnm._FilterDatabase" localSheetId="18" hidden="1">Sheet3!$A$1:$D$113</definedName>
    <definedName name="Equipment" localSheetId="2">#REF!</definedName>
  </definedNames>
  <calcPr calcId="124519"/>
</workbook>
</file>

<file path=xl/calcChain.xml><?xml version="1.0" encoding="utf-8"?>
<calcChain xmlns="http://schemas.openxmlformats.org/spreadsheetml/2006/main">
  <c r="L1026" i="1"/>
  <c r="L595"/>
  <c r="L58" i="7"/>
  <c r="M58"/>
  <c r="N58"/>
  <c r="O58"/>
  <c r="P58"/>
  <c r="Q58"/>
  <c r="L59"/>
  <c r="M59"/>
  <c r="N59"/>
  <c r="O59"/>
  <c r="P59"/>
  <c r="Q59"/>
  <c r="L60"/>
  <c r="M60"/>
  <c r="N60"/>
  <c r="O60"/>
  <c r="P60"/>
  <c r="Q60"/>
  <c r="L166" i="1"/>
  <c r="B174" i="29" l="1"/>
  <c r="B204"/>
  <c r="B191"/>
  <c r="A5" i="5"/>
  <c r="H5" l="1"/>
  <c r="I5" s="1"/>
  <c r="J5" s="1"/>
  <c r="K5" s="1"/>
  <c r="L5" s="1"/>
  <c r="L4" i="32" l="1"/>
  <c r="L6"/>
  <c r="E12" l="1"/>
  <c r="E15" s="1"/>
  <c r="K6"/>
  <c r="J6"/>
  <c r="I6"/>
  <c r="H6"/>
  <c r="G6"/>
  <c r="F6"/>
  <c r="E6"/>
  <c r="D6"/>
  <c r="C6"/>
  <c r="B6"/>
  <c r="K4"/>
  <c r="J4"/>
  <c r="I4"/>
  <c r="H4"/>
  <c r="G4"/>
  <c r="F4"/>
  <c r="E4"/>
  <c r="D4"/>
  <c r="C4"/>
  <c r="B43" i="23" l="1"/>
  <c r="B44" i="29"/>
  <c r="B352"/>
  <c r="V559" i="8" l="1"/>
  <c r="V558"/>
  <c r="V557"/>
  <c r="V556"/>
  <c r="V555"/>
  <c r="V554"/>
  <c r="V553"/>
  <c r="V552"/>
  <c r="V551"/>
  <c r="V546"/>
  <c r="V545"/>
  <c r="V544"/>
  <c r="V543"/>
  <c r="V542"/>
  <c r="V541"/>
  <c r="V540"/>
  <c r="V539"/>
  <c r="V538"/>
  <c r="V537"/>
  <c r="V536"/>
  <c r="V535"/>
  <c r="V534"/>
  <c r="V533"/>
  <c r="V532"/>
  <c r="V531"/>
  <c r="V530"/>
  <c r="V529"/>
  <c r="V528"/>
  <c r="V527"/>
  <c r="V526"/>
  <c r="V525"/>
  <c r="V524"/>
  <c r="V523"/>
  <c r="V522"/>
  <c r="V521"/>
  <c r="V520"/>
  <c r="V519"/>
  <c r="V518"/>
  <c r="V517"/>
  <c r="V516"/>
  <c r="V515"/>
  <c r="V514"/>
  <c r="V513"/>
  <c r="V512"/>
  <c r="V511"/>
  <c r="V510"/>
  <c r="V509"/>
  <c r="V507"/>
  <c r="V506"/>
  <c r="V505"/>
  <c r="V503"/>
  <c r="V502"/>
  <c r="V501"/>
  <c r="V500"/>
  <c r="V499"/>
  <c r="V498"/>
  <c r="V497"/>
  <c r="V496"/>
  <c r="V495"/>
  <c r="V494"/>
  <c r="V493"/>
  <c r="V492"/>
  <c r="V491"/>
  <c r="V490"/>
  <c r="V489"/>
  <c r="V487"/>
  <c r="V486"/>
  <c r="V485"/>
  <c r="V484"/>
  <c r="V483"/>
  <c r="V482"/>
  <c r="V481"/>
  <c r="V480"/>
  <c r="V479"/>
  <c r="V478"/>
  <c r="V477"/>
  <c r="V476"/>
  <c r="V475"/>
  <c r="V474"/>
  <c r="V473"/>
  <c r="V472"/>
  <c r="V471"/>
  <c r="V470"/>
  <c r="V469"/>
  <c r="V468"/>
  <c r="V467"/>
  <c r="V466"/>
  <c r="V465"/>
  <c r="V464"/>
  <c r="V463"/>
  <c r="V462"/>
  <c r="V461"/>
  <c r="V460"/>
  <c r="V459"/>
  <c r="V458"/>
  <c r="V457"/>
  <c r="V456"/>
  <c r="V455"/>
  <c r="V454"/>
  <c r="V453"/>
  <c r="V452"/>
  <c r="V451"/>
  <c r="V450"/>
  <c r="V449"/>
  <c r="V448"/>
  <c r="V447"/>
  <c r="V446"/>
  <c r="V445"/>
  <c r="V444"/>
  <c r="V443"/>
  <c r="V441"/>
  <c r="V440"/>
  <c r="V439"/>
  <c r="V438"/>
  <c r="V437"/>
  <c r="V436"/>
  <c r="V435"/>
  <c r="V434"/>
  <c r="V433"/>
  <c r="V432"/>
  <c r="V431"/>
  <c r="V430"/>
  <c r="V429"/>
  <c r="V428"/>
  <c r="V427"/>
  <c r="V426"/>
  <c r="V425"/>
  <c r="V424"/>
  <c r="V423"/>
  <c r="V422"/>
  <c r="V421"/>
  <c r="V420"/>
  <c r="V419"/>
  <c r="V418"/>
  <c r="V417"/>
  <c r="V416"/>
  <c r="V415"/>
  <c r="V414"/>
  <c r="V413"/>
  <c r="V412"/>
  <c r="V411"/>
  <c r="V410"/>
  <c r="V409"/>
  <c r="V408"/>
  <c r="V407"/>
  <c r="V406"/>
  <c r="V405"/>
  <c r="V404"/>
  <c r="V403"/>
  <c r="V402"/>
  <c r="V401"/>
  <c r="V400"/>
  <c r="V399"/>
  <c r="V398"/>
  <c r="V397"/>
  <c r="V395"/>
  <c r="V394"/>
  <c r="V393"/>
  <c r="V392"/>
  <c r="V391"/>
  <c r="V390"/>
  <c r="V389"/>
  <c r="V388"/>
  <c r="V387"/>
  <c r="V386"/>
  <c r="V385"/>
  <c r="V384"/>
  <c r="V383"/>
  <c r="V382"/>
  <c r="V381"/>
  <c r="V380"/>
  <c r="V379"/>
  <c r="V378"/>
  <c r="V377"/>
  <c r="V376"/>
  <c r="V375"/>
  <c r="V374"/>
  <c r="V373"/>
  <c r="V372"/>
  <c r="V371"/>
  <c r="V370"/>
  <c r="V369"/>
  <c r="V368"/>
  <c r="V367"/>
  <c r="V366"/>
  <c r="V365"/>
  <c r="V364"/>
  <c r="V363"/>
  <c r="V362"/>
  <c r="V361"/>
  <c r="V360"/>
  <c r="V359"/>
  <c r="V358"/>
  <c r="V357"/>
  <c r="V356"/>
  <c r="V355"/>
  <c r="V354"/>
  <c r="V353"/>
  <c r="V352"/>
  <c r="V351"/>
  <c r="V350"/>
  <c r="V349"/>
  <c r="V348"/>
  <c r="V347"/>
  <c r="V346"/>
  <c r="V345"/>
  <c r="V344"/>
  <c r="V343"/>
  <c r="V342"/>
  <c r="V341"/>
  <c r="V338"/>
  <c r="V337"/>
  <c r="V336"/>
  <c r="V335"/>
  <c r="V334"/>
  <c r="V333"/>
  <c r="V332"/>
  <c r="V331"/>
  <c r="V330"/>
  <c r="V325"/>
  <c r="V324"/>
  <c r="V323"/>
  <c r="V322"/>
  <c r="V321"/>
  <c r="V320"/>
  <c r="V319"/>
  <c r="V318"/>
  <c r="V317"/>
  <c r="V316"/>
  <c r="V315"/>
  <c r="V314"/>
  <c r="V313"/>
  <c r="V312"/>
  <c r="V311"/>
  <c r="V310"/>
  <c r="V309"/>
  <c r="V308"/>
  <c r="V307"/>
  <c r="V306"/>
  <c r="V305"/>
  <c r="V304"/>
  <c r="V303"/>
  <c r="V302"/>
  <c r="V301"/>
  <c r="V300"/>
  <c r="V299"/>
  <c r="V298"/>
  <c r="V297"/>
  <c r="V296"/>
  <c r="V295"/>
  <c r="V294"/>
  <c r="V293"/>
  <c r="V292"/>
  <c r="V291"/>
  <c r="V290"/>
  <c r="V289"/>
  <c r="V288"/>
  <c r="V286"/>
  <c r="V285"/>
  <c r="V284"/>
  <c r="V282"/>
  <c r="V281"/>
  <c r="V280"/>
  <c r="V279"/>
  <c r="V278"/>
  <c r="V277"/>
  <c r="V276"/>
  <c r="V275"/>
  <c r="V274"/>
  <c r="V273"/>
  <c r="V272"/>
  <c r="V271"/>
  <c r="V270"/>
  <c r="V269"/>
  <c r="V268"/>
  <c r="V266"/>
  <c r="V265"/>
  <c r="V264"/>
  <c r="V263"/>
  <c r="V262"/>
  <c r="V261"/>
  <c r="V260"/>
  <c r="V259"/>
  <c r="V258"/>
  <c r="V257"/>
  <c r="V256"/>
  <c r="V255"/>
  <c r="V254"/>
  <c r="V253"/>
  <c r="V252"/>
  <c r="V251"/>
  <c r="V250"/>
  <c r="V249"/>
  <c r="V248"/>
  <c r="V247"/>
  <c r="V246"/>
  <c r="V245"/>
  <c r="V244"/>
  <c r="V243"/>
  <c r="V242"/>
  <c r="V241"/>
  <c r="V240"/>
  <c r="V239"/>
  <c r="V238"/>
  <c r="V237"/>
  <c r="V236"/>
  <c r="V235"/>
  <c r="V234"/>
  <c r="V233"/>
  <c r="V232"/>
  <c r="V231"/>
  <c r="V230"/>
  <c r="V229"/>
  <c r="V228"/>
  <c r="V227"/>
  <c r="V226"/>
  <c r="V225"/>
  <c r="V224"/>
  <c r="V223"/>
  <c r="V222"/>
  <c r="V220"/>
  <c r="V219"/>
  <c r="V218"/>
  <c r="V217"/>
  <c r="V216"/>
  <c r="V215"/>
  <c r="V214"/>
  <c r="V213"/>
  <c r="V212"/>
  <c r="V211"/>
  <c r="V210"/>
  <c r="V209"/>
  <c r="V208"/>
  <c r="V207"/>
  <c r="V206"/>
  <c r="V205"/>
  <c r="V204"/>
  <c r="V203"/>
  <c r="V202"/>
  <c r="V201"/>
  <c r="V200"/>
  <c r="V199"/>
  <c r="V198"/>
  <c r="V197"/>
  <c r="V196"/>
  <c r="V195"/>
  <c r="V194"/>
  <c r="V193"/>
  <c r="V192"/>
  <c r="V191"/>
  <c r="V190"/>
  <c r="V189"/>
  <c r="V188"/>
  <c r="V187"/>
  <c r="V186"/>
  <c r="V185"/>
  <c r="V184"/>
  <c r="V183"/>
  <c r="V182"/>
  <c r="V181"/>
  <c r="V180"/>
  <c r="V179"/>
  <c r="V178"/>
  <c r="V177"/>
  <c r="V176"/>
  <c r="V174"/>
  <c r="V173"/>
  <c r="V172"/>
  <c r="V171"/>
  <c r="V170"/>
  <c r="V169"/>
  <c r="V168"/>
  <c r="V167"/>
  <c r="V166"/>
  <c r="V165"/>
  <c r="V164"/>
  <c r="V163"/>
  <c r="V162"/>
  <c r="V161"/>
  <c r="V160"/>
  <c r="V159"/>
  <c r="V158"/>
  <c r="V157"/>
  <c r="V156"/>
  <c r="V155"/>
  <c r="V154"/>
  <c r="V153"/>
  <c r="V152"/>
  <c r="V151"/>
  <c r="V150"/>
  <c r="V149"/>
  <c r="V148"/>
  <c r="V147"/>
  <c r="V146"/>
  <c r="V145"/>
  <c r="V144"/>
  <c r="V143"/>
  <c r="V142"/>
  <c r="V141"/>
  <c r="V140"/>
  <c r="V139"/>
  <c r="V138"/>
  <c r="V137"/>
  <c r="V136"/>
  <c r="V135"/>
  <c r="V134"/>
  <c r="V133"/>
  <c r="V132"/>
  <c r="V131"/>
  <c r="V130"/>
  <c r="V129"/>
  <c r="V128"/>
  <c r="V127"/>
  <c r="V126"/>
  <c r="V125"/>
  <c r="V124"/>
  <c r="V123"/>
  <c r="V122"/>
  <c r="V121"/>
  <c r="V120"/>
  <c r="V117"/>
  <c r="V116"/>
  <c r="V115"/>
  <c r="V114"/>
  <c r="V113"/>
  <c r="V112"/>
  <c r="V111"/>
  <c r="V110"/>
  <c r="V109"/>
  <c r="V108"/>
  <c r="V107"/>
  <c r="V106"/>
  <c r="V105"/>
  <c r="V104"/>
  <c r="V103"/>
  <c r="V102"/>
  <c r="V101"/>
  <c r="V100"/>
  <c r="V99"/>
  <c r="V98"/>
  <c r="V93"/>
  <c r="V92"/>
  <c r="V91"/>
  <c r="V90"/>
  <c r="V89"/>
  <c r="V81"/>
  <c r="V80"/>
  <c r="V79"/>
  <c r="V78"/>
  <c r="V77"/>
  <c r="V76"/>
  <c r="V75"/>
  <c r="V74"/>
  <c r="V73"/>
  <c r="V72"/>
  <c r="V71"/>
  <c r="V70"/>
  <c r="V69"/>
  <c r="V68"/>
  <c r="V67"/>
  <c r="V66"/>
  <c r="V60"/>
  <c r="V59"/>
  <c r="V58"/>
  <c r="V57"/>
  <c r="V54"/>
  <c r="V44"/>
  <c r="V43"/>
  <c r="V42"/>
  <c r="V41"/>
  <c r="V40"/>
  <c r="V39"/>
  <c r="V38"/>
  <c r="V37"/>
  <c r="V36"/>
  <c r="V35"/>
  <c r="V34"/>
  <c r="V33"/>
  <c r="V7"/>
  <c r="V6"/>
  <c r="V5"/>
  <c r="V4"/>
  <c r="Q419" i="7"/>
  <c r="Q418"/>
  <c r="Q417"/>
  <c r="Q414"/>
  <c r="Q413"/>
  <c r="Q412"/>
  <c r="Q411"/>
  <c r="Q410"/>
  <c r="Q409"/>
  <c r="Q408"/>
  <c r="Q407"/>
  <c r="Q406"/>
  <c r="Q403"/>
  <c r="Q402"/>
  <c r="Q401"/>
  <c r="Q400"/>
  <c r="Q399"/>
  <c r="Q398"/>
  <c r="Q397"/>
  <c r="Q396"/>
  <c r="Q395"/>
  <c r="Q394"/>
  <c r="Q392"/>
  <c r="Q390"/>
  <c r="Q389"/>
  <c r="Q386"/>
  <c r="Q385"/>
  <c r="Q384"/>
  <c r="Q383"/>
  <c r="Q382"/>
  <c r="Q380"/>
  <c r="Q378"/>
  <c r="Q377"/>
  <c r="Q328"/>
  <c r="P328"/>
  <c r="O328"/>
  <c r="N328"/>
  <c r="M328"/>
  <c r="Q327"/>
  <c r="P327"/>
  <c r="O327"/>
  <c r="N327"/>
  <c r="M327"/>
  <c r="Q326"/>
  <c r="P326"/>
  <c r="O326"/>
  <c r="N326"/>
  <c r="M326"/>
  <c r="Q325"/>
  <c r="P325"/>
  <c r="O325"/>
  <c r="N325"/>
  <c r="M325"/>
  <c r="Q324"/>
  <c r="P324"/>
  <c r="O324"/>
  <c r="N324"/>
  <c r="M324"/>
  <c r="Q323"/>
  <c r="P323"/>
  <c r="O323"/>
  <c r="N323"/>
  <c r="M323"/>
  <c r="Q322"/>
  <c r="P322"/>
  <c r="O322"/>
  <c r="N322"/>
  <c r="M322"/>
  <c r="Q321"/>
  <c r="P321"/>
  <c r="O321"/>
  <c r="N321"/>
  <c r="M321"/>
  <c r="Q320"/>
  <c r="P320"/>
  <c r="O320"/>
  <c r="N320"/>
  <c r="M320"/>
  <c r="Q319"/>
  <c r="P319"/>
  <c r="O319"/>
  <c r="N319"/>
  <c r="M319"/>
  <c r="Q318"/>
  <c r="P318"/>
  <c r="O318"/>
  <c r="N318"/>
  <c r="M318"/>
  <c r="Q317"/>
  <c r="P317"/>
  <c r="O317"/>
  <c r="N317"/>
  <c r="M317"/>
  <c r="Q316"/>
  <c r="P316"/>
  <c r="O316"/>
  <c r="N316"/>
  <c r="M316"/>
  <c r="Q315"/>
  <c r="P315"/>
  <c r="O315"/>
  <c r="N315"/>
  <c r="M315"/>
  <c r="Q314"/>
  <c r="P314"/>
  <c r="O314"/>
  <c r="N314"/>
  <c r="M314"/>
  <c r="Q313"/>
  <c r="P313"/>
  <c r="O313"/>
  <c r="N313"/>
  <c r="M313"/>
  <c r="Q312"/>
  <c r="P312"/>
  <c r="O312"/>
  <c r="N312"/>
  <c r="M312"/>
  <c r="Q311"/>
  <c r="P311"/>
  <c r="O311"/>
  <c r="N311"/>
  <c r="M311"/>
  <c r="Q310"/>
  <c r="P310"/>
  <c r="O310"/>
  <c r="N310"/>
  <c r="M310"/>
  <c r="Q309"/>
  <c r="P309"/>
  <c r="O309"/>
  <c r="N309"/>
  <c r="M309"/>
  <c r="Q308"/>
  <c r="P308"/>
  <c r="O308"/>
  <c r="N308"/>
  <c r="M308"/>
  <c r="Q307"/>
  <c r="P307"/>
  <c r="O307"/>
  <c r="N307"/>
  <c r="M307"/>
  <c r="Q306"/>
  <c r="P306"/>
  <c r="O306"/>
  <c r="N306"/>
  <c r="M306"/>
  <c r="Q305"/>
  <c r="P305"/>
  <c r="O305"/>
  <c r="N305"/>
  <c r="M305"/>
  <c r="Q304"/>
  <c r="P304"/>
  <c r="O304"/>
  <c r="N304"/>
  <c r="M304"/>
  <c r="Q303"/>
  <c r="P303"/>
  <c r="O303"/>
  <c r="N303"/>
  <c r="M303"/>
  <c r="Q302"/>
  <c r="P302"/>
  <c r="O302"/>
  <c r="N302"/>
  <c r="M302"/>
  <c r="Q301"/>
  <c r="P301"/>
  <c r="O301"/>
  <c r="N301"/>
  <c r="M301"/>
  <c r="Q300"/>
  <c r="P300"/>
  <c r="O300"/>
  <c r="N300"/>
  <c r="M300"/>
  <c r="Q299"/>
  <c r="P299"/>
  <c r="O299"/>
  <c r="N299"/>
  <c r="M299"/>
  <c r="Q298"/>
  <c r="P298"/>
  <c r="O298"/>
  <c r="N298"/>
  <c r="M298"/>
  <c r="Q297"/>
  <c r="P297"/>
  <c r="O297"/>
  <c r="N297"/>
  <c r="M297"/>
  <c r="Q296"/>
  <c r="P296"/>
  <c r="O296"/>
  <c r="N296"/>
  <c r="M296"/>
  <c r="Q295"/>
  <c r="P295"/>
  <c r="O295"/>
  <c r="N295"/>
  <c r="M295"/>
  <c r="Q294"/>
  <c r="P294"/>
  <c r="O294"/>
  <c r="N294"/>
  <c r="M294"/>
  <c r="Q293"/>
  <c r="P293"/>
  <c r="O293"/>
  <c r="N293"/>
  <c r="M293"/>
  <c r="Q292"/>
  <c r="P292"/>
  <c r="O292"/>
  <c r="N292"/>
  <c r="M292"/>
  <c r="Q291"/>
  <c r="P291"/>
  <c r="O291"/>
  <c r="N291"/>
  <c r="M291"/>
  <c r="Q290"/>
  <c r="P290"/>
  <c r="O290"/>
  <c r="N290"/>
  <c r="M290"/>
  <c r="Q289"/>
  <c r="P289"/>
  <c r="O289"/>
  <c r="N289"/>
  <c r="M289"/>
  <c r="Q288"/>
  <c r="P288"/>
  <c r="O288"/>
  <c r="N288"/>
  <c r="M288"/>
  <c r="Q287"/>
  <c r="P287"/>
  <c r="O287"/>
  <c r="N287"/>
  <c r="M287"/>
  <c r="Q286"/>
  <c r="P286"/>
  <c r="O286"/>
  <c r="N286"/>
  <c r="M286"/>
  <c r="Q285"/>
  <c r="P285"/>
  <c r="O285"/>
  <c r="N285"/>
  <c r="M285"/>
  <c r="Q284"/>
  <c r="P284"/>
  <c r="O284"/>
  <c r="N284"/>
  <c r="M284"/>
  <c r="Q283"/>
  <c r="P283"/>
  <c r="O283"/>
  <c r="N283"/>
  <c r="M283"/>
  <c r="Q282"/>
  <c r="P282"/>
  <c r="O282"/>
  <c r="N282"/>
  <c r="M282"/>
  <c r="Q281"/>
  <c r="P281"/>
  <c r="O281"/>
  <c r="N281"/>
  <c r="M281"/>
  <c r="P280"/>
  <c r="O280"/>
  <c r="N280"/>
  <c r="M280"/>
  <c r="P279"/>
  <c r="O279"/>
  <c r="N279"/>
  <c r="M279"/>
  <c r="P278"/>
  <c r="O278"/>
  <c r="N278"/>
  <c r="M278"/>
  <c r="P277"/>
  <c r="O277"/>
  <c r="N277"/>
  <c r="M277"/>
  <c r="P276"/>
  <c r="O276"/>
  <c r="N276"/>
  <c r="M276"/>
  <c r="P275"/>
  <c r="O275"/>
  <c r="N275"/>
  <c r="M275"/>
  <c r="L328"/>
  <c r="L327"/>
  <c r="L326"/>
  <c r="L325"/>
  <c r="L324"/>
  <c r="L323"/>
  <c r="L322"/>
  <c r="L321"/>
  <c r="L320"/>
  <c r="L319"/>
  <c r="L318"/>
  <c r="L317"/>
  <c r="L316"/>
  <c r="L315"/>
  <c r="L314"/>
  <c r="L313"/>
  <c r="L312"/>
  <c r="L311"/>
  <c r="L310"/>
  <c r="L309"/>
  <c r="L308"/>
  <c r="L307"/>
  <c r="L306"/>
  <c r="L305"/>
  <c r="L304"/>
  <c r="L303"/>
  <c r="L302"/>
  <c r="L301"/>
  <c r="L300"/>
  <c r="L299"/>
  <c r="L298"/>
  <c r="L297"/>
  <c r="L296"/>
  <c r="L295"/>
  <c r="L294"/>
  <c r="L293"/>
  <c r="L292"/>
  <c r="L291"/>
  <c r="L290"/>
  <c r="L289"/>
  <c r="L288"/>
  <c r="L287"/>
  <c r="L286"/>
  <c r="L285"/>
  <c r="L284"/>
  <c r="L283"/>
  <c r="L282"/>
  <c r="L281"/>
  <c r="L280"/>
  <c r="L279"/>
  <c r="L278"/>
  <c r="L277"/>
  <c r="L276"/>
  <c r="L275"/>
  <c r="Q267"/>
  <c r="Q266"/>
  <c r="Q265"/>
  <c r="Q264"/>
  <c r="Q263"/>
  <c r="Q262"/>
  <c r="Q261"/>
  <c r="Q260"/>
  <c r="Q259"/>
  <c r="Q258"/>
  <c r="Q257"/>
  <c r="Q256"/>
  <c r="Q255"/>
  <c r="Q254"/>
  <c r="Q253"/>
  <c r="Q252"/>
  <c r="Q251"/>
  <c r="Q250"/>
  <c r="Q249"/>
  <c r="Q248"/>
  <c r="Q247"/>
  <c r="Q246"/>
  <c r="Q245"/>
  <c r="Q244"/>
  <c r="Q243"/>
  <c r="Q242"/>
  <c r="Q241"/>
  <c r="Q240"/>
  <c r="Q239"/>
  <c r="Q238"/>
  <c r="Q237"/>
  <c r="Q236"/>
  <c r="Q235"/>
  <c r="Q234"/>
  <c r="Q233"/>
  <c r="Q232"/>
  <c r="Q231"/>
  <c r="P231"/>
  <c r="O231"/>
  <c r="N231"/>
  <c r="M231"/>
  <c r="L231"/>
  <c r="Q224"/>
  <c r="Q223"/>
  <c r="Q222"/>
  <c r="Q221"/>
  <c r="Q220"/>
  <c r="Q219"/>
  <c r="Q218"/>
  <c r="Q217"/>
  <c r="Q216"/>
  <c r="Q215"/>
  <c r="Q214"/>
  <c r="Q213"/>
  <c r="Q212"/>
  <c r="Q211"/>
  <c r="Q116"/>
  <c r="Q115"/>
  <c r="Q114"/>
  <c r="Q113"/>
  <c r="Q112"/>
  <c r="Q111"/>
  <c r="Q110"/>
  <c r="Q109"/>
  <c r="Q108"/>
  <c r="Q107"/>
  <c r="Q106"/>
  <c r="Q105"/>
  <c r="Q104"/>
  <c r="Q103"/>
  <c r="Q102"/>
  <c r="Q101"/>
  <c r="Q100"/>
  <c r="Q99"/>
  <c r="Q98"/>
  <c r="Q97"/>
  <c r="Q96"/>
  <c r="Q95"/>
  <c r="Q94"/>
  <c r="Q93"/>
  <c r="Q92"/>
  <c r="Q91"/>
  <c r="Q90"/>
  <c r="Q89"/>
  <c r="Q88"/>
  <c r="Q87"/>
  <c r="Q86"/>
  <c r="Q85"/>
  <c r="Q84"/>
  <c r="Q83"/>
  <c r="Q82"/>
  <c r="Q81"/>
  <c r="Q80"/>
  <c r="Q79"/>
  <c r="Q78"/>
  <c r="Q77"/>
  <c r="Q76"/>
  <c r="Q75"/>
  <c r="Q74"/>
  <c r="Q73"/>
  <c r="Q72"/>
  <c r="Q71"/>
  <c r="Q70"/>
  <c r="Q69"/>
  <c r="Q68"/>
  <c r="Q67"/>
  <c r="Q66"/>
  <c r="Q65"/>
  <c r="Q64"/>
  <c r="Q63"/>
  <c r="Q119"/>
  <c r="Q134"/>
  <c r="Q133"/>
  <c r="Q132"/>
  <c r="Q131"/>
  <c r="Q130"/>
  <c r="Q129"/>
  <c r="Q128"/>
  <c r="Q127"/>
  <c r="Q126"/>
  <c r="Q125"/>
  <c r="Q124"/>
  <c r="Q123"/>
  <c r="Q122"/>
  <c r="Q121"/>
  <c r="Q150"/>
  <c r="Q149"/>
  <c r="Q148"/>
  <c r="Q147"/>
  <c r="Q146"/>
  <c r="Q145"/>
  <c r="Q144"/>
  <c r="Q143"/>
  <c r="Q142"/>
  <c r="Q141"/>
  <c r="Q140"/>
  <c r="Q139"/>
  <c r="Q138"/>
  <c r="Q137"/>
  <c r="Q136"/>
  <c r="Q152"/>
  <c r="Q153"/>
  <c r="Q154"/>
  <c r="Q155"/>
  <c r="Q156"/>
  <c r="Q157"/>
  <c r="Q158"/>
  <c r="Q159"/>
  <c r="Q160"/>
  <c r="Q161"/>
  <c r="Q162"/>
  <c r="Q166"/>
  <c r="Q165"/>
  <c r="Q206"/>
  <c r="Q205"/>
  <c r="Q204"/>
  <c r="Q202"/>
  <c r="Q201"/>
  <c r="Q199"/>
  <c r="Q197"/>
  <c r="Q196"/>
  <c r="Q195"/>
  <c r="Q194"/>
  <c r="Q193"/>
  <c r="Q191"/>
  <c r="Q190"/>
  <c r="Q189"/>
  <c r="Q185"/>
  <c r="Q184"/>
  <c r="Q182"/>
  <c r="Q180"/>
  <c r="Q178"/>
  <c r="Q177"/>
  <c r="Q176"/>
  <c r="Q174"/>
  <c r="Q173"/>
  <c r="Q172"/>
  <c r="Q171"/>
  <c r="Q170"/>
  <c r="Q169"/>
  <c r="E542" i="10" l="1"/>
  <c r="E544" s="1"/>
  <c r="F446" i="29" l="1"/>
  <c r="E446"/>
  <c r="F439"/>
  <c r="F443" s="1"/>
  <c r="F451" s="1"/>
  <c r="P942" i="1" s="1"/>
  <c r="E439" i="29"/>
  <c r="E443" s="1"/>
  <c r="E451" s="1"/>
  <c r="O942" i="1" s="1"/>
  <c r="D439" i="29"/>
  <c r="D443" s="1"/>
  <c r="C439"/>
  <c r="C443" s="1"/>
  <c r="B439"/>
  <c r="B442" s="1"/>
  <c r="B441" l="1"/>
  <c r="C441"/>
  <c r="E441"/>
  <c r="E449" s="1"/>
  <c r="C442"/>
  <c r="E442"/>
  <c r="E450" s="1"/>
  <c r="O940" i="1" s="1"/>
  <c r="B443" i="29"/>
  <c r="D441"/>
  <c r="F441"/>
  <c r="F449" s="1"/>
  <c r="D442"/>
  <c r="F442"/>
  <c r="F450" s="1"/>
  <c r="P940" i="1" s="1"/>
  <c r="F452" i="29" l="1"/>
  <c r="P938" i="1"/>
  <c r="O938"/>
  <c r="E452" i="29"/>
  <c r="L401"/>
  <c r="L400"/>
  <c r="L399"/>
  <c r="J398"/>
  <c r="K398"/>
  <c r="L398"/>
  <c r="M398"/>
  <c r="P890" i="1" l="1"/>
  <c r="O890"/>
  <c r="N890"/>
  <c r="M890"/>
  <c r="L890"/>
  <c r="P900"/>
  <c r="O900"/>
  <c r="N900"/>
  <c r="M900"/>
  <c r="L900"/>
  <c r="P870"/>
  <c r="O870"/>
  <c r="N870"/>
  <c r="M870"/>
  <c r="L870"/>
  <c r="P868"/>
  <c r="O868"/>
  <c r="N868"/>
  <c r="M868"/>
  <c r="L868"/>
  <c r="P842"/>
  <c r="O842"/>
  <c r="N842"/>
  <c r="M842"/>
  <c r="L842"/>
  <c r="P836"/>
  <c r="O836"/>
  <c r="N836"/>
  <c r="M836"/>
  <c r="L836"/>
  <c r="P846"/>
  <c r="O846"/>
  <c r="N846"/>
  <c r="M846"/>
  <c r="L846"/>
  <c r="P834"/>
  <c r="O834"/>
  <c r="N834"/>
  <c r="M834"/>
  <c r="L834"/>
  <c r="P892"/>
  <c r="O892"/>
  <c r="N892"/>
  <c r="M892"/>
  <c r="L892"/>
  <c r="P822"/>
  <c r="O822"/>
  <c r="N822"/>
  <c r="M822"/>
  <c r="L822"/>
  <c r="P818"/>
  <c r="O818"/>
  <c r="N818"/>
  <c r="M818"/>
  <c r="L818"/>
  <c r="E413" i="29"/>
  <c r="F413"/>
  <c r="Q846" i="1" l="1"/>
  <c r="Q393" i="7" s="1"/>
  <c r="Q818" i="1"/>
  <c r="Q379" i="7" s="1"/>
  <c r="Q892" i="1"/>
  <c r="Q842"/>
  <c r="Q391" i="7" s="1"/>
  <c r="Q870" i="1"/>
  <c r="Q405" i="7" s="1"/>
  <c r="Q890" i="1"/>
  <c r="Q415" i="7" s="1"/>
  <c r="Q822" i="1"/>
  <c r="Q381" i="7" s="1"/>
  <c r="Q834" i="1"/>
  <c r="Q387" i="7" s="1"/>
  <c r="Q836" i="1"/>
  <c r="Q388" i="7" s="1"/>
  <c r="Q868" i="1"/>
  <c r="Q404" i="7" s="1"/>
  <c r="Q900" i="1"/>
  <c r="G423" i="29"/>
  <c r="G425" s="1"/>
  <c r="F423"/>
  <c r="F426" s="1"/>
  <c r="E423"/>
  <c r="E425" s="1"/>
  <c r="D423"/>
  <c r="D426" s="1"/>
  <c r="C423"/>
  <c r="C425" s="1"/>
  <c r="B423"/>
  <c r="B425" s="1"/>
  <c r="Q420" i="7" l="1"/>
  <c r="Q893" i="1"/>
  <c r="Q416" i="7"/>
  <c r="B426" i="29"/>
  <c r="D425"/>
  <c r="F425"/>
  <c r="C426"/>
  <c r="E426"/>
  <c r="G426"/>
  <c r="R824" i="1" l="1"/>
  <c r="N707"/>
  <c r="M707"/>
  <c r="D345" i="29"/>
  <c r="D401"/>
  <c r="C401" s="1"/>
  <c r="C413" s="1"/>
  <c r="M1020" i="1" s="1"/>
  <c r="D397" i="29"/>
  <c r="O352"/>
  <c r="N352"/>
  <c r="M352"/>
  <c r="L352"/>
  <c r="K352"/>
  <c r="C351" s="1"/>
  <c r="O1020" i="1"/>
  <c r="F412" i="29"/>
  <c r="E412"/>
  <c r="B411"/>
  <c r="F410"/>
  <c r="E410"/>
  <c r="O718" i="1" s="1"/>
  <c r="O329" i="7" s="1"/>
  <c r="F384" i="29"/>
  <c r="E384"/>
  <c r="D384"/>
  <c r="C384"/>
  <c r="B384"/>
  <c r="V1020" i="1"/>
  <c r="V1018"/>
  <c r="V1016"/>
  <c r="V1014"/>
  <c r="V1012"/>
  <c r="V1010"/>
  <c r="V1008"/>
  <c r="V1006"/>
  <c r="V1004"/>
  <c r="V1002"/>
  <c r="V1000"/>
  <c r="V998"/>
  <c r="V996"/>
  <c r="V994"/>
  <c r="V992"/>
  <c r="V990"/>
  <c r="V988"/>
  <c r="V986"/>
  <c r="V984"/>
  <c r="V982"/>
  <c r="V980"/>
  <c r="V978"/>
  <c r="V976"/>
  <c r="V974"/>
  <c r="V972"/>
  <c r="V970"/>
  <c r="V968"/>
  <c r="V966"/>
  <c r="V964"/>
  <c r="V962"/>
  <c r="V960"/>
  <c r="V958"/>
  <c r="V956"/>
  <c r="V954"/>
  <c r="V952"/>
  <c r="V950"/>
  <c r="V948"/>
  <c r="V946"/>
  <c r="V942"/>
  <c r="V940"/>
  <c r="V938"/>
  <c r="V934"/>
  <c r="V932"/>
  <c r="V930"/>
  <c r="V928"/>
  <c r="V926"/>
  <c r="V924"/>
  <c r="V922"/>
  <c r="V920"/>
  <c r="V918"/>
  <c r="V916"/>
  <c r="V914"/>
  <c r="V912"/>
  <c r="V910"/>
  <c r="V908"/>
  <c r="V906"/>
  <c r="V902"/>
  <c r="V900"/>
  <c r="V898"/>
  <c r="V896"/>
  <c r="V894"/>
  <c r="V892"/>
  <c r="V890"/>
  <c r="V888"/>
  <c r="V886"/>
  <c r="V884"/>
  <c r="V882"/>
  <c r="V880"/>
  <c r="V878"/>
  <c r="V876"/>
  <c r="V874"/>
  <c r="V872"/>
  <c r="V870"/>
  <c r="V868"/>
  <c r="V866"/>
  <c r="V864"/>
  <c r="V862"/>
  <c r="V860"/>
  <c r="V858"/>
  <c r="V856"/>
  <c r="V854"/>
  <c r="V852"/>
  <c r="V850"/>
  <c r="V848"/>
  <c r="V846"/>
  <c r="V844"/>
  <c r="V842"/>
  <c r="V840"/>
  <c r="V838"/>
  <c r="V836"/>
  <c r="V834"/>
  <c r="V832"/>
  <c r="V830"/>
  <c r="V828"/>
  <c r="V826"/>
  <c r="V824"/>
  <c r="V822"/>
  <c r="V820"/>
  <c r="V818"/>
  <c r="V816"/>
  <c r="V814"/>
  <c r="V810"/>
  <c r="V808"/>
  <c r="V806"/>
  <c r="V804"/>
  <c r="V802"/>
  <c r="V800"/>
  <c r="V798"/>
  <c r="V796"/>
  <c r="V794"/>
  <c r="V792"/>
  <c r="V790"/>
  <c r="V788"/>
  <c r="V786"/>
  <c r="V784"/>
  <c r="V782"/>
  <c r="V780"/>
  <c r="V778"/>
  <c r="V776"/>
  <c r="V774"/>
  <c r="V772"/>
  <c r="V770"/>
  <c r="V768"/>
  <c r="V766"/>
  <c r="V764"/>
  <c r="V762"/>
  <c r="V760"/>
  <c r="V758"/>
  <c r="V756"/>
  <c r="V754"/>
  <c r="V752"/>
  <c r="V750"/>
  <c r="V748"/>
  <c r="V746"/>
  <c r="V744"/>
  <c r="V742"/>
  <c r="V740"/>
  <c r="V738"/>
  <c r="V736"/>
  <c r="V734"/>
  <c r="V732"/>
  <c r="V730"/>
  <c r="V728"/>
  <c r="V726"/>
  <c r="V724"/>
  <c r="V722"/>
  <c r="V718"/>
  <c r="V716"/>
  <c r="V714"/>
  <c r="V712"/>
  <c r="V710"/>
  <c r="V708"/>
  <c r="V706"/>
  <c r="V704"/>
  <c r="V702"/>
  <c r="V700"/>
  <c r="V698"/>
  <c r="V696"/>
  <c r="V694"/>
  <c r="V692"/>
  <c r="V690"/>
  <c r="V688"/>
  <c r="V686"/>
  <c r="V684"/>
  <c r="V682"/>
  <c r="V680"/>
  <c r="V678"/>
  <c r="V676"/>
  <c r="V674"/>
  <c r="V672"/>
  <c r="V670"/>
  <c r="V668"/>
  <c r="V666"/>
  <c r="V664"/>
  <c r="V662"/>
  <c r="V660"/>
  <c r="V658"/>
  <c r="V656"/>
  <c r="V654"/>
  <c r="V652"/>
  <c r="V650"/>
  <c r="V648"/>
  <c r="V646"/>
  <c r="V644"/>
  <c r="V642"/>
  <c r="V640"/>
  <c r="V638"/>
  <c r="V636"/>
  <c r="V634"/>
  <c r="V632"/>
  <c r="V630"/>
  <c r="V628"/>
  <c r="V626"/>
  <c r="V624"/>
  <c r="V622"/>
  <c r="V620"/>
  <c r="V618"/>
  <c r="V616"/>
  <c r="V614"/>
  <c r="V612"/>
  <c r="V610"/>
  <c r="V591"/>
  <c r="V589"/>
  <c r="V587"/>
  <c r="V585"/>
  <c r="V583"/>
  <c r="V581"/>
  <c r="V579"/>
  <c r="V577"/>
  <c r="V575"/>
  <c r="V573"/>
  <c r="V571"/>
  <c r="V569"/>
  <c r="V567"/>
  <c r="V565"/>
  <c r="V563"/>
  <c r="V561"/>
  <c r="V559"/>
  <c r="V557"/>
  <c r="V555"/>
  <c r="V553"/>
  <c r="V551"/>
  <c r="V549"/>
  <c r="V547"/>
  <c r="V545"/>
  <c r="V543"/>
  <c r="V541"/>
  <c r="V539"/>
  <c r="V537"/>
  <c r="V535"/>
  <c r="V533"/>
  <c r="V531"/>
  <c r="V529"/>
  <c r="V527"/>
  <c r="V525"/>
  <c r="V523"/>
  <c r="V521"/>
  <c r="V519"/>
  <c r="V517"/>
  <c r="V513"/>
  <c r="V511"/>
  <c r="V509"/>
  <c r="V505"/>
  <c r="V503"/>
  <c r="V501"/>
  <c r="V499"/>
  <c r="V497"/>
  <c r="V495"/>
  <c r="V493"/>
  <c r="V491"/>
  <c r="V489"/>
  <c r="V487"/>
  <c r="V485"/>
  <c r="V483"/>
  <c r="V481"/>
  <c r="V479"/>
  <c r="V477"/>
  <c r="V473"/>
  <c r="V471"/>
  <c r="V469"/>
  <c r="V467"/>
  <c r="V465"/>
  <c r="V463"/>
  <c r="V461"/>
  <c r="V459"/>
  <c r="V457"/>
  <c r="V455"/>
  <c r="V453"/>
  <c r="V451"/>
  <c r="V449"/>
  <c r="V447"/>
  <c r="V445"/>
  <c r="V443"/>
  <c r="V441"/>
  <c r="V439"/>
  <c r="V437"/>
  <c r="V435"/>
  <c r="V433"/>
  <c r="V431"/>
  <c r="V429"/>
  <c r="V427"/>
  <c r="V425"/>
  <c r="V423"/>
  <c r="V421"/>
  <c r="V419"/>
  <c r="V417"/>
  <c r="V415"/>
  <c r="V413"/>
  <c r="V411"/>
  <c r="V409"/>
  <c r="V407"/>
  <c r="V405"/>
  <c r="V403"/>
  <c r="V401"/>
  <c r="V399"/>
  <c r="V397"/>
  <c r="V395"/>
  <c r="V393"/>
  <c r="V391"/>
  <c r="V389"/>
  <c r="V387"/>
  <c r="V385"/>
  <c r="V381"/>
  <c r="V379"/>
  <c r="V377"/>
  <c r="V375"/>
  <c r="V373"/>
  <c r="V371"/>
  <c r="V369"/>
  <c r="V367"/>
  <c r="V365"/>
  <c r="V363"/>
  <c r="V361"/>
  <c r="V359"/>
  <c r="V357"/>
  <c r="V355"/>
  <c r="V353"/>
  <c r="V351"/>
  <c r="V349"/>
  <c r="V347"/>
  <c r="V345"/>
  <c r="V343"/>
  <c r="V341"/>
  <c r="V339"/>
  <c r="V337"/>
  <c r="V335"/>
  <c r="V333"/>
  <c r="V331"/>
  <c r="V329"/>
  <c r="V327"/>
  <c r="V325"/>
  <c r="V323"/>
  <c r="V321"/>
  <c r="V319"/>
  <c r="V317"/>
  <c r="V315"/>
  <c r="V313"/>
  <c r="V311"/>
  <c r="V309"/>
  <c r="V307"/>
  <c r="V305"/>
  <c r="V303"/>
  <c r="V301"/>
  <c r="V299"/>
  <c r="V297"/>
  <c r="V295"/>
  <c r="V293"/>
  <c r="V289"/>
  <c r="V287"/>
  <c r="V285"/>
  <c r="V283"/>
  <c r="V281"/>
  <c r="V279"/>
  <c r="V277"/>
  <c r="V275"/>
  <c r="V273"/>
  <c r="V271"/>
  <c r="V269"/>
  <c r="V267"/>
  <c r="V265"/>
  <c r="V263"/>
  <c r="V261"/>
  <c r="V259"/>
  <c r="V257"/>
  <c r="V255"/>
  <c r="V253"/>
  <c r="V251"/>
  <c r="V249"/>
  <c r="V247"/>
  <c r="V245"/>
  <c r="V243"/>
  <c r="V241"/>
  <c r="V239"/>
  <c r="V237"/>
  <c r="V235"/>
  <c r="V233"/>
  <c r="V231"/>
  <c r="V229"/>
  <c r="V227"/>
  <c r="V225"/>
  <c r="V223"/>
  <c r="V221"/>
  <c r="V219"/>
  <c r="V217"/>
  <c r="V215"/>
  <c r="V213"/>
  <c r="V211"/>
  <c r="V209"/>
  <c r="V207"/>
  <c r="V205"/>
  <c r="V203"/>
  <c r="V201"/>
  <c r="V199"/>
  <c r="V197"/>
  <c r="V195"/>
  <c r="V193"/>
  <c r="V191"/>
  <c r="V189"/>
  <c r="V187"/>
  <c r="V185"/>
  <c r="V183"/>
  <c r="V181"/>
  <c r="V142"/>
  <c r="V140"/>
  <c r="V138"/>
  <c r="V136"/>
  <c r="V134"/>
  <c r="P718" l="1"/>
  <c r="P329" i="7" s="1"/>
  <c r="D398" i="29"/>
  <c r="K399"/>
  <c r="B429"/>
  <c r="B430" s="1"/>
  <c r="L934" i="1" s="1"/>
  <c r="L410" i="29"/>
  <c r="D410"/>
  <c r="N718" i="1" s="1"/>
  <c r="N329" i="7" s="1"/>
  <c r="L412" i="29"/>
  <c r="L413"/>
  <c r="D351"/>
  <c r="C411"/>
  <c r="C352"/>
  <c r="C410"/>
  <c r="M718" i="1" s="1"/>
  <c r="M329" i="7" s="1"/>
  <c r="B401" i="29"/>
  <c r="B413" s="1"/>
  <c r="K410"/>
  <c r="I413"/>
  <c r="D411"/>
  <c r="P1020" i="1"/>
  <c r="O608"/>
  <c r="N608"/>
  <c r="P608"/>
  <c r="L1020" l="1"/>
  <c r="G413" i="29"/>
  <c r="K400"/>
  <c r="C397"/>
  <c r="J411"/>
  <c r="D429"/>
  <c r="D430" s="1"/>
  <c r="N934" i="1" s="1"/>
  <c r="D399" i="29"/>
  <c r="I411"/>
  <c r="C429"/>
  <c r="C430" s="1"/>
  <c r="M934" i="1" s="1"/>
  <c r="L810"/>
  <c r="B431" i="29"/>
  <c r="M608" i="1"/>
  <c r="B410" i="29"/>
  <c r="I410"/>
  <c r="E351"/>
  <c r="D352"/>
  <c r="J410"/>
  <c r="L718" i="1" l="1"/>
  <c r="G410" i="29"/>
  <c r="K401"/>
  <c r="D446"/>
  <c r="C398"/>
  <c r="J400" s="1"/>
  <c r="J399"/>
  <c r="M413"/>
  <c r="Q1020" i="1"/>
  <c r="Q480" i="7" s="1"/>
  <c r="D412" i="29"/>
  <c r="K412" s="1"/>
  <c r="M810" i="1"/>
  <c r="C431" i="29"/>
  <c r="N810" i="1"/>
  <c r="D431" i="29"/>
  <c r="F351"/>
  <c r="E352"/>
  <c r="E404" s="1"/>
  <c r="E411"/>
  <c r="D451" l="1"/>
  <c r="N942" i="1" s="1"/>
  <c r="D449" i="29"/>
  <c r="D450"/>
  <c r="N940" i="1" s="1"/>
  <c r="L329" i="7"/>
  <c r="L608" i="1"/>
  <c r="M410" i="29"/>
  <c r="Q718" i="1"/>
  <c r="Q329" i="7" s="1"/>
  <c r="B397" i="29"/>
  <c r="C399"/>
  <c r="C446" s="1"/>
  <c r="E429"/>
  <c r="E430" s="1"/>
  <c r="O934" i="1" s="1"/>
  <c r="K411" i="29"/>
  <c r="E414"/>
  <c r="F411"/>
  <c r="G411" s="1"/>
  <c r="F352"/>
  <c r="F404" s="1"/>
  <c r="C451" l="1"/>
  <c r="M942" i="1" s="1"/>
  <c r="C449" i="29"/>
  <c r="C450"/>
  <c r="M940" i="1" s="1"/>
  <c r="O902"/>
  <c r="O812" s="1"/>
  <c r="D452" i="29"/>
  <c r="N938" i="1"/>
  <c r="M411" i="29"/>
  <c r="G429"/>
  <c r="Q810" i="1" s="1"/>
  <c r="Q375" i="7" s="1"/>
  <c r="G430" i="29"/>
  <c r="Q934" i="1" s="1"/>
  <c r="Q437" i="7" s="1"/>
  <c r="B398" i="29"/>
  <c r="I400" s="1"/>
  <c r="I399"/>
  <c r="J401"/>
  <c r="C404"/>
  <c r="C412"/>
  <c r="F429"/>
  <c r="O810" i="1"/>
  <c r="E431" i="29"/>
  <c r="L411"/>
  <c r="F414"/>
  <c r="E415"/>
  <c r="F415" l="1"/>
  <c r="P902" i="1"/>
  <c r="M938"/>
  <c r="C452" i="29"/>
  <c r="B399"/>
  <c r="C414"/>
  <c r="J412"/>
  <c r="L415"/>
  <c r="L414"/>
  <c r="P812" i="1"/>
  <c r="P810"/>
  <c r="F430" i="29"/>
  <c r="P934" i="1" s="1"/>
  <c r="X1" i="10"/>
  <c r="V1230"/>
  <c r="V1228"/>
  <c r="V1226"/>
  <c r="V1067" s="1"/>
  <c r="V1224"/>
  <c r="V1222"/>
  <c r="V1220"/>
  <c r="V1218"/>
  <c r="V1045" s="1"/>
  <c r="V1216"/>
  <c r="V1214"/>
  <c r="V1212"/>
  <c r="V1210"/>
  <c r="V999" s="1"/>
  <c r="V1208"/>
  <c r="V1206"/>
  <c r="V1204"/>
  <c r="V1202"/>
  <c r="V893" s="1"/>
  <c r="V1200"/>
  <c r="V1198"/>
  <c r="V789" s="1"/>
  <c r="E1174"/>
  <c r="B175" i="24"/>
  <c r="U483" i="29"/>
  <c r="Q483"/>
  <c r="M483"/>
  <c r="I483"/>
  <c r="E483"/>
  <c r="U1176" i="10"/>
  <c r="V1176" s="1"/>
  <c r="V1231"/>
  <c r="V1229"/>
  <c r="V1227"/>
  <c r="V1225"/>
  <c r="V1223"/>
  <c r="V1221"/>
  <c r="V1219"/>
  <c r="V1217"/>
  <c r="V1215"/>
  <c r="V1213"/>
  <c r="V1211"/>
  <c r="V1209"/>
  <c r="V1207"/>
  <c r="V1205"/>
  <c r="V1203"/>
  <c r="V1201"/>
  <c r="V1199"/>
  <c r="V1183"/>
  <c r="V1181"/>
  <c r="V1179"/>
  <c r="V1175"/>
  <c r="V1071"/>
  <c r="V1069"/>
  <c r="V1061"/>
  <c r="V1049"/>
  <c r="V1047"/>
  <c r="V1039"/>
  <c r="V1003"/>
  <c r="V1001"/>
  <c r="V993"/>
  <c r="V897"/>
  <c r="V895"/>
  <c r="V887"/>
  <c r="V781"/>
  <c r="V657"/>
  <c r="V560"/>
  <c r="V558"/>
  <c r="V556"/>
  <c r="V554"/>
  <c r="V542"/>
  <c r="V540"/>
  <c r="V538"/>
  <c r="V536"/>
  <c r="V500"/>
  <c r="V498"/>
  <c r="V496"/>
  <c r="V494"/>
  <c r="V398"/>
  <c r="V396"/>
  <c r="V394"/>
  <c r="V392"/>
  <c r="V296"/>
  <c r="V294"/>
  <c r="V292"/>
  <c r="V174"/>
  <c r="V172"/>
  <c r="V170"/>
  <c r="V94"/>
  <c r="V92"/>
  <c r="V90"/>
  <c r="V86"/>
  <c r="V58"/>
  <c r="V31" i="7" s="1"/>
  <c r="V56" i="10"/>
  <c r="V30" i="7" s="1"/>
  <c r="V54" i="10"/>
  <c r="V29" i="7" s="1"/>
  <c r="V52" i="10"/>
  <c r="V28" i="7" s="1"/>
  <c r="V50" i="10"/>
  <c r="V27" i="7" s="1"/>
  <c r="V48" i="10"/>
  <c r="V26" i="7" s="1"/>
  <c r="V46" i="10"/>
  <c r="V25" i="7" s="1"/>
  <c r="V42" i="10"/>
  <c r="V23" i="7" s="1"/>
  <c r="V40" i="10"/>
  <c r="V22" i="7" s="1"/>
  <c r="V38" i="10"/>
  <c r="V21" i="7" s="1"/>
  <c r="V36" i="10"/>
  <c r="V20" i="7" s="1"/>
  <c r="V34" i="10"/>
  <c r="V19" i="7" s="1"/>
  <c r="V32" i="10"/>
  <c r="V18" i="7" s="1"/>
  <c r="V30" i="10"/>
  <c r="V17" i="7" s="1"/>
  <c r="V26" i="10"/>
  <c r="V15" i="7" s="1"/>
  <c r="V24" i="10"/>
  <c r="V14" i="7" s="1"/>
  <c r="V22" i="10"/>
  <c r="V13" i="7" s="1"/>
  <c r="V20" i="10"/>
  <c r="V12" i="7" s="1"/>
  <c r="V18" i="10"/>
  <c r="V11" i="7" s="1"/>
  <c r="V16" i="10"/>
  <c r="V10" i="7" s="1"/>
  <c r="V14" i="10"/>
  <c r="V9" i="7" s="1"/>
  <c r="X82" i="1"/>
  <c r="X72"/>
  <c r="X51"/>
  <c r="X26"/>
  <c r="X20"/>
  <c r="X624"/>
  <c r="X589"/>
  <c r="X587"/>
  <c r="X585"/>
  <c r="X583"/>
  <c r="X581"/>
  <c r="X579"/>
  <c r="X577"/>
  <c r="X575"/>
  <c r="X573"/>
  <c r="X571"/>
  <c r="X569"/>
  <c r="X567"/>
  <c r="X565"/>
  <c r="X563"/>
  <c r="X561"/>
  <c r="X559"/>
  <c r="X557"/>
  <c r="X555"/>
  <c r="X553"/>
  <c r="X551"/>
  <c r="X549"/>
  <c r="X547"/>
  <c r="X545"/>
  <c r="X543"/>
  <c r="X541"/>
  <c r="X539"/>
  <c r="X537"/>
  <c r="X535"/>
  <c r="X533"/>
  <c r="X531"/>
  <c r="X529"/>
  <c r="X527"/>
  <c r="X525"/>
  <c r="X523"/>
  <c r="X521"/>
  <c r="X519"/>
  <c r="X517"/>
  <c r="X503"/>
  <c r="X501"/>
  <c r="X499"/>
  <c r="X497"/>
  <c r="X495"/>
  <c r="X493"/>
  <c r="X491"/>
  <c r="X489"/>
  <c r="X487"/>
  <c r="X485"/>
  <c r="X483"/>
  <c r="X481"/>
  <c r="X479"/>
  <c r="X477"/>
  <c r="X467"/>
  <c r="X465"/>
  <c r="X463"/>
  <c r="X459"/>
  <c r="X457"/>
  <c r="X453"/>
  <c r="X449"/>
  <c r="X447"/>
  <c r="X445"/>
  <c r="X443"/>
  <c r="X441"/>
  <c r="X437"/>
  <c r="X435"/>
  <c r="X433"/>
  <c r="X425"/>
  <c r="X423"/>
  <c r="X419"/>
  <c r="X415"/>
  <c r="X411"/>
  <c r="X409"/>
  <c r="X407"/>
  <c r="X403"/>
  <c r="X401"/>
  <c r="X399"/>
  <c r="X397"/>
  <c r="X395"/>
  <c r="X393"/>
  <c r="X387"/>
  <c r="X385"/>
  <c r="X379"/>
  <c r="X377"/>
  <c r="X375"/>
  <c r="X373"/>
  <c r="X371"/>
  <c r="X369"/>
  <c r="X367"/>
  <c r="X365"/>
  <c r="X363"/>
  <c r="X361"/>
  <c r="X359"/>
  <c r="X355"/>
  <c r="X353"/>
  <c r="X351"/>
  <c r="X349"/>
  <c r="X347"/>
  <c r="X345"/>
  <c r="X343"/>
  <c r="X341"/>
  <c r="X339"/>
  <c r="X337"/>
  <c r="X335"/>
  <c r="X333"/>
  <c r="X331"/>
  <c r="X329"/>
  <c r="X327"/>
  <c r="X323"/>
  <c r="X321"/>
  <c r="X319"/>
  <c r="X317"/>
  <c r="X315"/>
  <c r="X313"/>
  <c r="X311"/>
  <c r="X309"/>
  <c r="X307"/>
  <c r="X305"/>
  <c r="X303"/>
  <c r="X301"/>
  <c r="X299"/>
  <c r="X297"/>
  <c r="X293"/>
  <c r="X287"/>
  <c r="X285"/>
  <c r="X283"/>
  <c r="X281"/>
  <c r="X279"/>
  <c r="X277"/>
  <c r="X275"/>
  <c r="X273"/>
  <c r="X271"/>
  <c r="X269"/>
  <c r="X267"/>
  <c r="X265"/>
  <c r="X263"/>
  <c r="X261"/>
  <c r="X259"/>
  <c r="X257"/>
  <c r="X255"/>
  <c r="X253"/>
  <c r="X251"/>
  <c r="X249"/>
  <c r="X247"/>
  <c r="X245"/>
  <c r="X243"/>
  <c r="X241"/>
  <c r="X239"/>
  <c r="X237"/>
  <c r="X235"/>
  <c r="X233"/>
  <c r="X231"/>
  <c r="X229"/>
  <c r="X227"/>
  <c r="X225"/>
  <c r="X223"/>
  <c r="X221"/>
  <c r="X219"/>
  <c r="X217"/>
  <c r="X215"/>
  <c r="X213"/>
  <c r="X211"/>
  <c r="X209"/>
  <c r="X207"/>
  <c r="X205"/>
  <c r="X203"/>
  <c r="X201"/>
  <c r="X199"/>
  <c r="X197"/>
  <c r="X195"/>
  <c r="X193"/>
  <c r="X191"/>
  <c r="X189"/>
  <c r="X187"/>
  <c r="X185"/>
  <c r="X183"/>
  <c r="X181"/>
  <c r="X141"/>
  <c r="X139"/>
  <c r="X137"/>
  <c r="X135"/>
  <c r="X133"/>
  <c r="X84"/>
  <c r="X58" i="10" s="1"/>
  <c r="X80" i="1"/>
  <c r="X78"/>
  <c r="X76"/>
  <c r="X74"/>
  <c r="X55"/>
  <c r="X53"/>
  <c r="X49"/>
  <c r="X47"/>
  <c r="X45"/>
  <c r="X43"/>
  <c r="X24"/>
  <c r="X22"/>
  <c r="X18"/>
  <c r="X16"/>
  <c r="X10"/>
  <c r="X8"/>
  <c r="X6"/>
  <c r="X14"/>
  <c r="W20"/>
  <c r="W18"/>
  <c r="W16"/>
  <c r="W624"/>
  <c r="W589"/>
  <c r="W587"/>
  <c r="W585"/>
  <c r="W583"/>
  <c r="W581"/>
  <c r="W579"/>
  <c r="W577"/>
  <c r="W575"/>
  <c r="W573"/>
  <c r="W571"/>
  <c r="W569"/>
  <c r="W567"/>
  <c r="W565"/>
  <c r="W563"/>
  <c r="W561"/>
  <c r="W559"/>
  <c r="W557"/>
  <c r="W555"/>
  <c r="W553"/>
  <c r="W551"/>
  <c r="W549"/>
  <c r="W547"/>
  <c r="W545"/>
  <c r="W543"/>
  <c r="W541"/>
  <c r="W539"/>
  <c r="W537"/>
  <c r="W535"/>
  <c r="W533"/>
  <c r="W531"/>
  <c r="W529"/>
  <c r="W527"/>
  <c r="W525"/>
  <c r="W523"/>
  <c r="W521"/>
  <c r="W519"/>
  <c r="W517"/>
  <c r="W503"/>
  <c r="W501"/>
  <c r="W499"/>
  <c r="W497"/>
  <c r="W495"/>
  <c r="W493"/>
  <c r="W491"/>
  <c r="W489"/>
  <c r="W487"/>
  <c r="W485"/>
  <c r="W483"/>
  <c r="W481"/>
  <c r="W479"/>
  <c r="W477"/>
  <c r="W467"/>
  <c r="W465"/>
  <c r="W463"/>
  <c r="W459"/>
  <c r="W457"/>
  <c r="W453"/>
  <c r="W449"/>
  <c r="W447"/>
  <c r="W445"/>
  <c r="W443"/>
  <c r="W441"/>
  <c r="W437"/>
  <c r="W435"/>
  <c r="W433"/>
  <c r="W425"/>
  <c r="W423"/>
  <c r="W419"/>
  <c r="W415"/>
  <c r="W411"/>
  <c r="W409"/>
  <c r="W407"/>
  <c r="W403"/>
  <c r="W401"/>
  <c r="W399"/>
  <c r="W397"/>
  <c r="W395"/>
  <c r="W393"/>
  <c r="W387"/>
  <c r="W385"/>
  <c r="W379"/>
  <c r="W377"/>
  <c r="W375"/>
  <c r="W373"/>
  <c r="W371"/>
  <c r="W369"/>
  <c r="W367"/>
  <c r="W365"/>
  <c r="W363"/>
  <c r="W361"/>
  <c r="W359"/>
  <c r="W355"/>
  <c r="W353"/>
  <c r="W351"/>
  <c r="W349"/>
  <c r="W347"/>
  <c r="W345"/>
  <c r="W343"/>
  <c r="W341"/>
  <c r="W339"/>
  <c r="W337"/>
  <c r="W335"/>
  <c r="W333"/>
  <c r="W331"/>
  <c r="W329"/>
  <c r="W327"/>
  <c r="W323"/>
  <c r="W321"/>
  <c r="W319"/>
  <c r="W317"/>
  <c r="W315"/>
  <c r="W313"/>
  <c r="W311"/>
  <c r="W309"/>
  <c r="W307"/>
  <c r="W305"/>
  <c r="W303"/>
  <c r="W301"/>
  <c r="W299"/>
  <c r="W297"/>
  <c r="W293"/>
  <c r="W287"/>
  <c r="W285"/>
  <c r="W283"/>
  <c r="W281"/>
  <c r="W279"/>
  <c r="W277"/>
  <c r="W275"/>
  <c r="W273"/>
  <c r="W271"/>
  <c r="W269"/>
  <c r="W267"/>
  <c r="W265"/>
  <c r="W263"/>
  <c r="W261"/>
  <c r="W259"/>
  <c r="W257"/>
  <c r="W255"/>
  <c r="W253"/>
  <c r="W251"/>
  <c r="W249"/>
  <c r="W247"/>
  <c r="W245"/>
  <c r="W243"/>
  <c r="W241"/>
  <c r="W239"/>
  <c r="W237"/>
  <c r="W235"/>
  <c r="W233"/>
  <c r="W231"/>
  <c r="W229"/>
  <c r="W227"/>
  <c r="W225"/>
  <c r="W223"/>
  <c r="W221"/>
  <c r="W219"/>
  <c r="W217"/>
  <c r="W215"/>
  <c r="W213"/>
  <c r="W211"/>
  <c r="W209"/>
  <c r="W207"/>
  <c r="W205"/>
  <c r="W203"/>
  <c r="W201"/>
  <c r="W199"/>
  <c r="W197"/>
  <c r="W195"/>
  <c r="W193"/>
  <c r="W191"/>
  <c r="W189"/>
  <c r="W187"/>
  <c r="W185"/>
  <c r="W183"/>
  <c r="W181"/>
  <c r="W139"/>
  <c r="W137"/>
  <c r="W135"/>
  <c r="W133"/>
  <c r="W86"/>
  <c r="W84"/>
  <c r="W82"/>
  <c r="W56" i="10" s="1"/>
  <c r="W80" i="1"/>
  <c r="W78"/>
  <c r="W76"/>
  <c r="W74"/>
  <c r="W72"/>
  <c r="W55"/>
  <c r="W53"/>
  <c r="W51"/>
  <c r="W49"/>
  <c r="W47"/>
  <c r="W45"/>
  <c r="W43"/>
  <c r="W26"/>
  <c r="W24"/>
  <c r="W22"/>
  <c r="W10"/>
  <c r="W14"/>
  <c r="Q8" i="10"/>
  <c r="Q6"/>
  <c r="B255" i="29"/>
  <c r="B463"/>
  <c r="L1034" i="1" s="1"/>
  <c r="E465" i="29"/>
  <c r="D465"/>
  <c r="C465"/>
  <c r="E464"/>
  <c r="O1032" i="1" s="1"/>
  <c r="D464" i="29"/>
  <c r="N1032" i="1" s="1"/>
  <c r="C464" i="29"/>
  <c r="M1032" i="1" s="1"/>
  <c r="E463" i="29"/>
  <c r="O1034" i="1" s="1"/>
  <c r="D463" i="29"/>
  <c r="N1034" i="1" s="1"/>
  <c r="C463" i="29"/>
  <c r="B465"/>
  <c r="B464"/>
  <c r="L1032" i="1" s="1"/>
  <c r="E461" i="29"/>
  <c r="D461"/>
  <c r="C461"/>
  <c r="B461"/>
  <c r="E255"/>
  <c r="D255"/>
  <c r="C255"/>
  <c r="E28"/>
  <c r="E30" s="1"/>
  <c r="I28"/>
  <c r="M28"/>
  <c r="Q28"/>
  <c r="U28"/>
  <c r="E40"/>
  <c r="I40"/>
  <c r="M40"/>
  <c r="Q40"/>
  <c r="U40"/>
  <c r="C44"/>
  <c r="D44"/>
  <c r="E44"/>
  <c r="F44"/>
  <c r="B45"/>
  <c r="C45"/>
  <c r="D45"/>
  <c r="E45"/>
  <c r="F45"/>
  <c r="B46"/>
  <c r="C46"/>
  <c r="D46"/>
  <c r="E46"/>
  <c r="F46"/>
  <c r="B47"/>
  <c r="C47"/>
  <c r="D47"/>
  <c r="E47"/>
  <c r="F47"/>
  <c r="E87"/>
  <c r="I87"/>
  <c r="M87"/>
  <c r="Q87"/>
  <c r="U87"/>
  <c r="E99"/>
  <c r="I99"/>
  <c r="M99"/>
  <c r="Q99"/>
  <c r="U99"/>
  <c r="B102"/>
  <c r="D103"/>
  <c r="G119"/>
  <c r="H119"/>
  <c r="I119"/>
  <c r="J119"/>
  <c r="K119"/>
  <c r="G122"/>
  <c r="H122"/>
  <c r="I122"/>
  <c r="J122"/>
  <c r="K122"/>
  <c r="G125"/>
  <c r="H125"/>
  <c r="I125"/>
  <c r="J125"/>
  <c r="K125"/>
  <c r="G130"/>
  <c r="H130"/>
  <c r="I130"/>
  <c r="J130"/>
  <c r="K130"/>
  <c r="G134"/>
  <c r="H134"/>
  <c r="I134"/>
  <c r="J134"/>
  <c r="K134"/>
  <c r="G137"/>
  <c r="H137"/>
  <c r="I137"/>
  <c r="J137"/>
  <c r="K137"/>
  <c r="C149"/>
  <c r="C151" s="1"/>
  <c r="M417" i="1" s="1"/>
  <c r="C159" i="29"/>
  <c r="B159" s="1"/>
  <c r="C167"/>
  <c r="B167" s="1"/>
  <c r="C172"/>
  <c r="M513" i="1" s="1"/>
  <c r="C173" i="29"/>
  <c r="B173" s="1"/>
  <c r="C174"/>
  <c r="B194" s="1"/>
  <c r="D177"/>
  <c r="E177"/>
  <c r="F177"/>
  <c r="G177"/>
  <c r="B185"/>
  <c r="C185"/>
  <c r="D185"/>
  <c r="D188" s="1"/>
  <c r="E185"/>
  <c r="E188" s="1"/>
  <c r="F185"/>
  <c r="F188" s="1"/>
  <c r="E189"/>
  <c r="D194"/>
  <c r="E194"/>
  <c r="F194"/>
  <c r="G194"/>
  <c r="I197"/>
  <c r="J197"/>
  <c r="K197"/>
  <c r="L197"/>
  <c r="I198"/>
  <c r="J198"/>
  <c r="K198"/>
  <c r="L198"/>
  <c r="I199"/>
  <c r="J199"/>
  <c r="K199"/>
  <c r="L199"/>
  <c r="I200"/>
  <c r="J200"/>
  <c r="K200"/>
  <c r="L200"/>
  <c r="I201"/>
  <c r="J201"/>
  <c r="K201"/>
  <c r="L201"/>
  <c r="B202"/>
  <c r="C202"/>
  <c r="D202"/>
  <c r="D204" s="1"/>
  <c r="N289" i="1" s="1"/>
  <c r="E202" i="29"/>
  <c r="F202"/>
  <c r="F205" s="1"/>
  <c r="E207"/>
  <c r="C213"/>
  <c r="H213" s="1"/>
  <c r="C214"/>
  <c r="H214" s="1"/>
  <c r="C215"/>
  <c r="H215" s="1"/>
  <c r="C216"/>
  <c r="H216" s="1"/>
  <c r="C217"/>
  <c r="H217" s="1"/>
  <c r="C218"/>
  <c r="H218" s="1"/>
  <c r="H223" s="1"/>
  <c r="D219"/>
  <c r="E219"/>
  <c r="F219"/>
  <c r="G219"/>
  <c r="C221"/>
  <c r="L601" i="1" s="1"/>
  <c r="D221" i="29"/>
  <c r="M601" i="1" s="1"/>
  <c r="E221" i="29"/>
  <c r="N601" i="1" s="1"/>
  <c r="F221" i="29"/>
  <c r="O601" i="1" s="1"/>
  <c r="G221" i="29"/>
  <c r="P601" i="1" s="1"/>
  <c r="D222" i="29"/>
  <c r="M603" i="1" s="1"/>
  <c r="E222" i="29"/>
  <c r="N603" i="1" s="1"/>
  <c r="F222" i="29"/>
  <c r="O603" i="1" s="1"/>
  <c r="G222" i="29"/>
  <c r="C223"/>
  <c r="D223"/>
  <c r="E223"/>
  <c r="F223"/>
  <c r="G223"/>
  <c r="Q471" i="1"/>
  <c r="Q208" i="7" s="1"/>
  <c r="P471" i="1"/>
  <c r="O471"/>
  <c r="N471"/>
  <c r="Q469"/>
  <c r="Q207" i="7" s="1"/>
  <c r="P469" i="1"/>
  <c r="O469"/>
  <c r="N469"/>
  <c r="Q461"/>
  <c r="Q203" i="7" s="1"/>
  <c r="P461" i="1"/>
  <c r="O461"/>
  <c r="N461"/>
  <c r="Q455"/>
  <c r="Q200" i="7" s="1"/>
  <c r="P455" i="1"/>
  <c r="O455"/>
  <c r="N455"/>
  <c r="Q451"/>
  <c r="Q198" i="7" s="1"/>
  <c r="P451" i="1"/>
  <c r="O451"/>
  <c r="N451"/>
  <c r="Q439"/>
  <c r="Q192" i="7" s="1"/>
  <c r="P439" i="1"/>
  <c r="O439"/>
  <c r="N439"/>
  <c r="Q431"/>
  <c r="Q188" i="7" s="1"/>
  <c r="P431" i="1"/>
  <c r="O431"/>
  <c r="N431"/>
  <c r="Q429"/>
  <c r="Q187" i="7" s="1"/>
  <c r="P429" i="1"/>
  <c r="O429"/>
  <c r="N429"/>
  <c r="Q427"/>
  <c r="Q186" i="7" s="1"/>
  <c r="P427" i="1"/>
  <c r="O427"/>
  <c r="N427"/>
  <c r="Q421"/>
  <c r="Q183" i="7" s="1"/>
  <c r="P421" i="1"/>
  <c r="O421"/>
  <c r="N421"/>
  <c r="Q417"/>
  <c r="Q181" i="7" s="1"/>
  <c r="P417" i="1"/>
  <c r="O417"/>
  <c r="N417"/>
  <c r="Q413"/>
  <c r="Q179" i="7" s="1"/>
  <c r="P413" i="1"/>
  <c r="O413"/>
  <c r="N413"/>
  <c r="Q405"/>
  <c r="Q175" i="7" s="1"/>
  <c r="P405" i="1"/>
  <c r="O405"/>
  <c r="N405"/>
  <c r="Q391"/>
  <c r="Q168" i="7" s="1"/>
  <c r="P391" i="1"/>
  <c r="O391"/>
  <c r="N391"/>
  <c r="Q389"/>
  <c r="P389"/>
  <c r="O389"/>
  <c r="N389"/>
  <c r="Q513"/>
  <c r="Q229" i="7" s="1"/>
  <c r="P513" i="1"/>
  <c r="O513"/>
  <c r="N513"/>
  <c r="K76" i="27"/>
  <c r="J76"/>
  <c r="I76"/>
  <c r="H76"/>
  <c r="K75"/>
  <c r="J75"/>
  <c r="I75"/>
  <c r="H75"/>
  <c r="K74"/>
  <c r="J74"/>
  <c r="I74"/>
  <c r="H74"/>
  <c r="K73"/>
  <c r="J73"/>
  <c r="I73"/>
  <c r="H73"/>
  <c r="K72"/>
  <c r="J72"/>
  <c r="I72"/>
  <c r="H72"/>
  <c r="B77"/>
  <c r="F77"/>
  <c r="F81" s="1"/>
  <c r="E77"/>
  <c r="D77"/>
  <c r="C77"/>
  <c r="F69"/>
  <c r="E69"/>
  <c r="D69"/>
  <c r="C69"/>
  <c r="B69"/>
  <c r="F60"/>
  <c r="F66" s="1"/>
  <c r="E60"/>
  <c r="E64" s="1"/>
  <c r="D60"/>
  <c r="D66" s="1"/>
  <c r="C60"/>
  <c r="C66" s="1"/>
  <c r="B60"/>
  <c r="B66" s="1"/>
  <c r="F79" l="1"/>
  <c r="F83"/>
  <c r="J77"/>
  <c r="B83"/>
  <c r="C102" i="29"/>
  <c r="B65" i="27"/>
  <c r="C81"/>
  <c r="H66"/>
  <c r="B63"/>
  <c r="D82"/>
  <c r="K77"/>
  <c r="D79"/>
  <c r="F80"/>
  <c r="F84" s="1"/>
  <c r="F82"/>
  <c r="E102" i="29"/>
  <c r="U30"/>
  <c r="M30"/>
  <c r="L1036" i="1"/>
  <c r="I66" i="27"/>
  <c r="E63"/>
  <c r="C65"/>
  <c r="H65" s="1"/>
  <c r="E65"/>
  <c r="E66"/>
  <c r="J66" s="1"/>
  <c r="D63"/>
  <c r="F63"/>
  <c r="D64"/>
  <c r="F64"/>
  <c r="K64" s="1"/>
  <c r="D65"/>
  <c r="F65"/>
  <c r="B64"/>
  <c r="B67" s="1"/>
  <c r="C79"/>
  <c r="I79" s="1"/>
  <c r="E79"/>
  <c r="E80"/>
  <c r="E81"/>
  <c r="K81" s="1"/>
  <c r="E82"/>
  <c r="J82" s="1"/>
  <c r="E83"/>
  <c r="K83" s="1"/>
  <c r="B80"/>
  <c r="B82"/>
  <c r="C80"/>
  <c r="H80" s="1"/>
  <c r="C82"/>
  <c r="H82" s="1"/>
  <c r="H77"/>
  <c r="D83"/>
  <c r="M902" i="1"/>
  <c r="M812" s="1"/>
  <c r="C63" i="27"/>
  <c r="C64"/>
  <c r="H64" s="1"/>
  <c r="B79"/>
  <c r="B81"/>
  <c r="H81" s="1"/>
  <c r="C83"/>
  <c r="H83" s="1"/>
  <c r="D80"/>
  <c r="I80" s="1"/>
  <c r="I77"/>
  <c r="Q473" i="1"/>
  <c r="Q167" i="7"/>
  <c r="E224" i="29"/>
  <c r="F189"/>
  <c r="D189"/>
  <c r="K189" s="1"/>
  <c r="C189"/>
  <c r="O1036" i="1"/>
  <c r="C466" i="29"/>
  <c r="M1034" i="1"/>
  <c r="M1036" s="1"/>
  <c r="I401" i="29"/>
  <c r="B446"/>
  <c r="N1036" i="1"/>
  <c r="B412" i="29"/>
  <c r="B404"/>
  <c r="C415"/>
  <c r="C169"/>
  <c r="C164"/>
  <c r="F102"/>
  <c r="D102"/>
  <c r="Q30"/>
  <c r="F431"/>
  <c r="I30"/>
  <c r="G224"/>
  <c r="I202"/>
  <c r="F206"/>
  <c r="O605" i="1"/>
  <c r="P603"/>
  <c r="F204" i="29"/>
  <c r="P289" i="1" s="1"/>
  <c r="D191" i="29"/>
  <c r="N357" i="1" s="1"/>
  <c r="C191" i="29"/>
  <c r="F224"/>
  <c r="D224"/>
  <c r="F208"/>
  <c r="F207"/>
  <c r="L207" s="1"/>
  <c r="D207"/>
  <c r="D205"/>
  <c r="K202"/>
  <c r="F191"/>
  <c r="P357" i="1" s="1"/>
  <c r="F190" i="29"/>
  <c r="F192" s="1"/>
  <c r="C222"/>
  <c r="L603" i="1" s="1"/>
  <c r="C219" i="29"/>
  <c r="D208"/>
  <c r="K207"/>
  <c r="D206"/>
  <c r="C194"/>
  <c r="C206" s="1"/>
  <c r="E191"/>
  <c r="C170"/>
  <c r="B170" s="1"/>
  <c r="C168"/>
  <c r="M469" i="1" s="1"/>
  <c r="C166" i="29"/>
  <c r="C162"/>
  <c r="C158"/>
  <c r="B48"/>
  <c r="B54" s="1"/>
  <c r="F103"/>
  <c r="B103"/>
  <c r="L191"/>
  <c r="C154"/>
  <c r="M389" i="1" s="1"/>
  <c r="W389" s="1"/>
  <c r="B466" i="29"/>
  <c r="D466"/>
  <c r="F464"/>
  <c r="P1032" i="1" s="1"/>
  <c r="M605"/>
  <c r="L202" i="29"/>
  <c r="L189"/>
  <c r="J189"/>
  <c r="F463"/>
  <c r="P1034" i="1" s="1"/>
  <c r="X405"/>
  <c r="X413"/>
  <c r="V1177" i="10"/>
  <c r="V1063"/>
  <c r="V1041"/>
  <c r="V995"/>
  <c r="V889"/>
  <c r="V783"/>
  <c r="V659"/>
  <c r="V88"/>
  <c r="W513" i="1"/>
  <c r="X513"/>
  <c r="X389"/>
  <c r="X391"/>
  <c r="X417"/>
  <c r="W417"/>
  <c r="X421"/>
  <c r="X427"/>
  <c r="X429"/>
  <c r="X431"/>
  <c r="X439"/>
  <c r="X451"/>
  <c r="X455"/>
  <c r="X461"/>
  <c r="X469"/>
  <c r="W469"/>
  <c r="X471"/>
  <c r="E466" i="29"/>
  <c r="G464"/>
  <c r="Q1032" i="1" s="1"/>
  <c r="G463" i="29"/>
  <c r="Q1034" i="1" s="1"/>
  <c r="Q1162" i="10" s="1"/>
  <c r="L188" i="29"/>
  <c r="J191"/>
  <c r="F48"/>
  <c r="F56" s="1"/>
  <c r="C156"/>
  <c r="M413" i="1" s="1"/>
  <c r="W413" s="1"/>
  <c r="C152" i="29"/>
  <c r="M471" i="1" s="1"/>
  <c r="W471" s="1"/>
  <c r="B56" i="29"/>
  <c r="F54"/>
  <c r="E103"/>
  <c r="C103"/>
  <c r="C157"/>
  <c r="M461" i="1" s="1"/>
  <c r="W461" s="1"/>
  <c r="C155" i="29"/>
  <c r="M427" i="1" s="1"/>
  <c r="W427" s="1"/>
  <c r="C153" i="29"/>
  <c r="M439" i="1" s="1"/>
  <c r="W439" s="1"/>
  <c r="K118" i="29"/>
  <c r="I118"/>
  <c r="G118"/>
  <c r="J118"/>
  <c r="H118"/>
  <c r="B55"/>
  <c r="E48"/>
  <c r="E56" s="1"/>
  <c r="C48"/>
  <c r="C56" s="1"/>
  <c r="B53"/>
  <c r="J202"/>
  <c r="D190"/>
  <c r="D192" s="1"/>
  <c r="C188"/>
  <c r="J188" s="1"/>
  <c r="C171"/>
  <c r="C165"/>
  <c r="B165" s="1"/>
  <c r="C163"/>
  <c r="C161"/>
  <c r="B161" s="1"/>
  <c r="C148"/>
  <c r="C177" s="1"/>
  <c r="D48"/>
  <c r="D55" s="1"/>
  <c r="H219"/>
  <c r="H221"/>
  <c r="K188"/>
  <c r="B206"/>
  <c r="B205"/>
  <c r="B207"/>
  <c r="B168"/>
  <c r="B169"/>
  <c r="B188"/>
  <c r="B190"/>
  <c r="B189"/>
  <c r="G189" s="1"/>
  <c r="M189" s="1"/>
  <c r="B162"/>
  <c r="B163"/>
  <c r="B164"/>
  <c r="B166"/>
  <c r="E53"/>
  <c r="E55"/>
  <c r="C55"/>
  <c r="H222"/>
  <c r="B57"/>
  <c r="D209"/>
  <c r="E208"/>
  <c r="K208" s="1"/>
  <c r="E206"/>
  <c r="E204"/>
  <c r="L204" s="1"/>
  <c r="E190"/>
  <c r="L190" s="1"/>
  <c r="C190"/>
  <c r="B172"/>
  <c r="B171" s="1"/>
  <c r="B149"/>
  <c r="E54"/>
  <c r="L605" i="1"/>
  <c r="N605"/>
  <c r="P605"/>
  <c r="Q603"/>
  <c r="Q649" i="10" s="1"/>
  <c r="N473" i="1"/>
  <c r="P473"/>
  <c r="O473"/>
  <c r="L357"/>
  <c r="M431"/>
  <c r="W431" s="1"/>
  <c r="M451"/>
  <c r="W451" s="1"/>
  <c r="N509"/>
  <c r="P509"/>
  <c r="M295"/>
  <c r="O295"/>
  <c r="P325"/>
  <c r="M357"/>
  <c r="O357"/>
  <c r="M455"/>
  <c r="W455" s="1"/>
  <c r="M429"/>
  <c r="W429" s="1"/>
  <c r="M391"/>
  <c r="W391" s="1"/>
  <c r="M509"/>
  <c r="O509"/>
  <c r="N295"/>
  <c r="P295"/>
  <c r="N381"/>
  <c r="P381"/>
  <c r="N511"/>
  <c r="P511"/>
  <c r="N505"/>
  <c r="O511"/>
  <c r="N591"/>
  <c r="P591"/>
  <c r="F209" i="29" l="1"/>
  <c r="P505" i="1"/>
  <c r="N325"/>
  <c r="M421"/>
  <c r="W421" s="1"/>
  <c r="M405"/>
  <c r="W405" s="1"/>
  <c r="C54" i="29"/>
  <c r="C204"/>
  <c r="C53"/>
  <c r="G191"/>
  <c r="M191" s="1"/>
  <c r="K191"/>
  <c r="B84" i="27"/>
  <c r="K65"/>
  <c r="B450" i="29"/>
  <c r="L940" i="1" s="1"/>
  <c r="Q940" s="1"/>
  <c r="B451" i="29"/>
  <c r="L942" i="1" s="1"/>
  <c r="Q942" s="1"/>
  <c r="B449" i="29"/>
  <c r="Q209" i="7"/>
  <c r="X473" i="1"/>
  <c r="H63" i="27"/>
  <c r="C67"/>
  <c r="H67" s="1"/>
  <c r="J79"/>
  <c r="E84"/>
  <c r="I63"/>
  <c r="D67"/>
  <c r="I67" s="1"/>
  <c r="J63"/>
  <c r="E67"/>
  <c r="J67" s="1"/>
  <c r="I65"/>
  <c r="I64"/>
  <c r="J65"/>
  <c r="K82"/>
  <c r="J64"/>
  <c r="J83"/>
  <c r="I83"/>
  <c r="H79"/>
  <c r="C84"/>
  <c r="K63"/>
  <c r="F67"/>
  <c r="K84"/>
  <c r="J80"/>
  <c r="K79"/>
  <c r="K66"/>
  <c r="K80"/>
  <c r="D81"/>
  <c r="I82"/>
  <c r="Q1036" i="1"/>
  <c r="Q1164" i="10" s="1"/>
  <c r="Q1160"/>
  <c r="O507" i="1"/>
  <c r="P1036"/>
  <c r="G412" i="29"/>
  <c r="B414"/>
  <c r="L902" i="1" s="1"/>
  <c r="I412" i="29"/>
  <c r="O289" i="1"/>
  <c r="I188" i="29"/>
  <c r="B208"/>
  <c r="F53"/>
  <c r="F55"/>
  <c r="F57" s="1"/>
  <c r="C205"/>
  <c r="C207"/>
  <c r="G207" s="1"/>
  <c r="M207" s="1"/>
  <c r="C224"/>
  <c r="O591" i="1"/>
  <c r="F465" i="29"/>
  <c r="G465"/>
  <c r="F466"/>
  <c r="G466"/>
  <c r="D56"/>
  <c r="D54"/>
  <c r="D53"/>
  <c r="B148"/>
  <c r="B177" s="1"/>
  <c r="B151"/>
  <c r="L417" i="1" s="1"/>
  <c r="B152" i="29"/>
  <c r="L471" i="1" s="1"/>
  <c r="B153" i="29"/>
  <c r="L439" i="1" s="1"/>
  <c r="B154" i="29"/>
  <c r="L389" i="1" s="1"/>
  <c r="B155" i="29"/>
  <c r="L427" i="1" s="1"/>
  <c r="B156" i="29"/>
  <c r="L413" i="1" s="1"/>
  <c r="B157" i="29"/>
  <c r="L461" i="1" s="1"/>
  <c r="B158" i="29"/>
  <c r="I190"/>
  <c r="M325" i="1"/>
  <c r="I206" i="29"/>
  <c r="M505" i="1"/>
  <c r="B209" i="29"/>
  <c r="L208"/>
  <c r="G190"/>
  <c r="M190" s="1"/>
  <c r="I189"/>
  <c r="I191"/>
  <c r="J204"/>
  <c r="J206"/>
  <c r="K190"/>
  <c r="O325" i="1"/>
  <c r="K204" i="29"/>
  <c r="E205"/>
  <c r="E209" s="1"/>
  <c r="K209" s="1"/>
  <c r="K206"/>
  <c r="O505" i="1"/>
  <c r="B192" i="29"/>
  <c r="G188"/>
  <c r="Q601" i="1"/>
  <c r="H224" i="29"/>
  <c r="L206"/>
  <c r="C57"/>
  <c r="E57"/>
  <c r="J190"/>
  <c r="G206"/>
  <c r="M206" s="1"/>
  <c r="C192"/>
  <c r="E192"/>
  <c r="L505" i="1"/>
  <c r="L289"/>
  <c r="L179" s="1"/>
  <c r="L509"/>
  <c r="L405"/>
  <c r="L421"/>
  <c r="L429"/>
  <c r="L295"/>
  <c r="M296" s="1"/>
  <c r="L513"/>
  <c r="L325"/>
  <c r="L391"/>
  <c r="L451"/>
  <c r="L469"/>
  <c r="L431"/>
  <c r="L455"/>
  <c r="P507"/>
  <c r="N507"/>
  <c r="G204" i="29" l="1"/>
  <c r="Q289" i="1" s="1"/>
  <c r="M289"/>
  <c r="M473"/>
  <c r="W473" s="1"/>
  <c r="C208" i="29"/>
  <c r="J208" s="1"/>
  <c r="I204"/>
  <c r="H84" i="27"/>
  <c r="J81"/>
  <c r="I81"/>
  <c r="D84"/>
  <c r="L938" i="1"/>
  <c r="Q938" s="1"/>
  <c r="B452" i="29"/>
  <c r="Q941" i="1"/>
  <c r="Q440" i="7"/>
  <c r="K67" i="27"/>
  <c r="Q441" i="7"/>
  <c r="Q943" i="1"/>
  <c r="Q605"/>
  <c r="Q651" i="10" s="1"/>
  <c r="Q647"/>
  <c r="M412" i="29"/>
  <c r="G414"/>
  <c r="L812" i="1"/>
  <c r="B415" i="29"/>
  <c r="I415" s="1"/>
  <c r="I414"/>
  <c r="J205"/>
  <c r="M381" i="1"/>
  <c r="I205" i="29"/>
  <c r="I207"/>
  <c r="J207"/>
  <c r="M511" i="1"/>
  <c r="M507" s="1"/>
  <c r="G205" i="29"/>
  <c r="M205" s="1"/>
  <c r="D57"/>
  <c r="K192"/>
  <c r="L192"/>
  <c r="L205"/>
  <c r="K205"/>
  <c r="I208"/>
  <c r="C209"/>
  <c r="I192"/>
  <c r="J192"/>
  <c r="M188"/>
  <c r="G192"/>
  <c r="M192" s="1"/>
  <c r="M204"/>
  <c r="G208"/>
  <c r="M208" s="1"/>
  <c r="L209"/>
  <c r="L381" i="1"/>
  <c r="O381"/>
  <c r="Q509"/>
  <c r="Q227" i="7" s="1"/>
  <c r="Q357" i="1"/>
  <c r="Q151" i="7" s="1"/>
  <c r="Q325" i="1"/>
  <c r="Q135" i="7" s="1"/>
  <c r="Q295" i="1"/>
  <c r="Q120" i="7" s="1"/>
  <c r="M591" i="1"/>
  <c r="L511"/>
  <c r="Q505"/>
  <c r="Q225" i="7" s="1"/>
  <c r="L473" i="1"/>
  <c r="Q179" l="1"/>
  <c r="Q165" i="10" s="1"/>
  <c r="Q117" i="7"/>
  <c r="J84" i="27"/>
  <c r="I84"/>
  <c r="G415" i="29"/>
  <c r="M415" s="1"/>
  <c r="Q902" i="1"/>
  <c r="Q421" i="7" s="1"/>
  <c r="Q439"/>
  <c r="Q939" i="1"/>
  <c r="Q936"/>
  <c r="Q1036" i="10" s="1"/>
  <c r="M414" i="29"/>
  <c r="W505" i="1"/>
  <c r="X505"/>
  <c r="W325"/>
  <c r="X325"/>
  <c r="W289"/>
  <c r="X289"/>
  <c r="X295"/>
  <c r="W295"/>
  <c r="W357"/>
  <c r="X357"/>
  <c r="X509"/>
  <c r="W509"/>
  <c r="I209" i="29"/>
  <c r="J209"/>
  <c r="G209"/>
  <c r="M209" s="1"/>
  <c r="Q591" i="1"/>
  <c r="Q268" i="7" s="1"/>
  <c r="L591" i="1"/>
  <c r="Q511"/>
  <c r="Q228" i="7" s="1"/>
  <c r="Q381" i="1"/>
  <c r="Q812" l="1"/>
  <c r="Q884" i="10" s="1"/>
  <c r="Q163" i="7"/>
  <c r="W381" i="1"/>
  <c r="X381"/>
  <c r="Q507"/>
  <c r="W511"/>
  <c r="X511"/>
  <c r="X591"/>
  <c r="W591"/>
  <c r="W507" l="1"/>
  <c r="Q533" i="10"/>
  <c r="M424" i="1"/>
  <c r="M416"/>
  <c r="M402"/>
  <c r="M400"/>
  <c r="M398"/>
  <c r="M396"/>
  <c r="M388"/>
  <c r="M386"/>
  <c r="L475"/>
  <c r="L291"/>
  <c r="M179"/>
  <c r="B136" i="27"/>
  <c r="C135"/>
  <c r="B135"/>
  <c r="L151"/>
  <c r="K151"/>
  <c r="J151"/>
  <c r="I151"/>
  <c r="G151"/>
  <c r="M151" s="1"/>
  <c r="G161"/>
  <c r="F161"/>
  <c r="F162" s="1"/>
  <c r="E161"/>
  <c r="E162" s="1"/>
  <c r="D161"/>
  <c r="D162" s="1"/>
  <c r="C161"/>
  <c r="M161" l="1"/>
  <c r="K162"/>
  <c r="L162"/>
  <c r="J161"/>
  <c r="L161"/>
  <c r="C162"/>
  <c r="B161"/>
  <c r="K161"/>
  <c r="L507" i="1"/>
  <c r="J162" i="27"/>
  <c r="F140"/>
  <c r="E140"/>
  <c r="D140"/>
  <c r="C140"/>
  <c r="B140"/>
  <c r="F139"/>
  <c r="E139"/>
  <c r="D139"/>
  <c r="C139"/>
  <c r="B139"/>
  <c r="F138"/>
  <c r="E138"/>
  <c r="D138"/>
  <c r="C138"/>
  <c r="B138"/>
  <c r="F137"/>
  <c r="E137"/>
  <c r="D137"/>
  <c r="C137"/>
  <c r="C141" s="1"/>
  <c r="C152" s="1"/>
  <c r="B137"/>
  <c r="F136"/>
  <c r="E136"/>
  <c r="D136"/>
  <c r="C136"/>
  <c r="F135"/>
  <c r="E135"/>
  <c r="D135"/>
  <c r="C36" i="23"/>
  <c r="M406" i="1"/>
  <c r="P151"/>
  <c r="O151"/>
  <c r="N151"/>
  <c r="M151"/>
  <c r="L151"/>
  <c r="P149"/>
  <c r="O149"/>
  <c r="N149"/>
  <c r="M149"/>
  <c r="L149"/>
  <c r="P147"/>
  <c r="O147"/>
  <c r="N147"/>
  <c r="M147"/>
  <c r="L147"/>
  <c r="P145"/>
  <c r="O145"/>
  <c r="N145"/>
  <c r="M145"/>
  <c r="L145"/>
  <c r="P143"/>
  <c r="O143"/>
  <c r="N143"/>
  <c r="M143"/>
  <c r="L143"/>
  <c r="F36" i="23"/>
  <c r="P109" i="1" s="1"/>
  <c r="L51" i="21"/>
  <c r="V88" i="23"/>
  <c r="U88"/>
  <c r="T88"/>
  <c r="S88"/>
  <c r="R88"/>
  <c r="U73"/>
  <c r="T73"/>
  <c r="S73"/>
  <c r="R73"/>
  <c r="Q73"/>
  <c r="B55"/>
  <c r="B59" s="1"/>
  <c r="B44"/>
  <c r="B36"/>
  <c r="L109" i="1" s="1"/>
  <c r="B20" i="27"/>
  <c r="P88" i="1"/>
  <c r="N88"/>
  <c r="V106"/>
  <c r="V104"/>
  <c r="V102"/>
  <c r="V100"/>
  <c r="U86"/>
  <c r="V86" s="1"/>
  <c r="Q6" i="7"/>
  <c r="Q5"/>
  <c r="V15" i="1"/>
  <c r="V15" i="10" s="1"/>
  <c r="V12" i="1"/>
  <c r="V73"/>
  <c r="V47" i="10" s="1"/>
  <c r="V75" i="1"/>
  <c r="V49" i="10" s="1"/>
  <c r="V77" i="1"/>
  <c r="V51" i="10" s="1"/>
  <c r="V79" i="1"/>
  <c r="V53" i="10" s="1"/>
  <c r="V81" i="1"/>
  <c r="V55" i="10" s="1"/>
  <c r="V83" i="1"/>
  <c r="V57" i="10" s="1"/>
  <c r="V85" i="1"/>
  <c r="V59" i="10" s="1"/>
  <c r="V70" i="1"/>
  <c r="V56"/>
  <c r="V43" i="10" s="1"/>
  <c r="V54" i="1"/>
  <c r="V41" i="10" s="1"/>
  <c r="V52" i="1"/>
  <c r="V39" i="10" s="1"/>
  <c r="V50" i="1"/>
  <c r="V37" i="10" s="1"/>
  <c r="V48" i="1"/>
  <c r="V35" i="10" s="1"/>
  <c r="V46" i="1"/>
  <c r="V33" i="10" s="1"/>
  <c r="V44" i="1"/>
  <c r="V31" i="10" s="1"/>
  <c r="V41" i="1"/>
  <c r="Q4"/>
  <c r="S89" i="23" l="1"/>
  <c r="U89"/>
  <c r="L153" i="1"/>
  <c r="R89" i="23"/>
  <c r="T89"/>
  <c r="V89"/>
  <c r="E141" i="27"/>
  <c r="L4" i="6"/>
  <c r="V44" i="10"/>
  <c r="V24" i="7" s="1"/>
  <c r="L2" i="6"/>
  <c r="V12" i="10"/>
  <c r="V8" i="7" s="1"/>
  <c r="V87" i="1"/>
  <c r="X86"/>
  <c r="V32" i="7"/>
  <c r="V60" i="10"/>
  <c r="Q88" i="1"/>
  <c r="F12" i="32"/>
  <c r="F15" s="1"/>
  <c r="B143" i="27"/>
  <c r="D143"/>
  <c r="F143"/>
  <c r="L3" i="6"/>
  <c r="V28" i="10"/>
  <c r="V16" i="7" s="1"/>
  <c r="M88" i="1"/>
  <c r="D12" i="32"/>
  <c r="D15" s="1"/>
  <c r="C149" i="27"/>
  <c r="C163" s="1"/>
  <c r="E149"/>
  <c r="E163" s="1"/>
  <c r="E164" s="1"/>
  <c r="E156" s="1"/>
  <c r="C143"/>
  <c r="C144" s="1"/>
  <c r="E143"/>
  <c r="E144" s="1"/>
  <c r="I161"/>
  <c r="X4" i="1"/>
  <c r="Q4" i="10"/>
  <c r="N153" i="1"/>
  <c r="P153"/>
  <c r="M115"/>
  <c r="O115"/>
  <c r="L117"/>
  <c r="N117"/>
  <c r="P117"/>
  <c r="L115"/>
  <c r="N115"/>
  <c r="P115"/>
  <c r="M117"/>
  <c r="O117"/>
  <c r="N383"/>
  <c r="Q383"/>
  <c r="Q389" i="10" s="1"/>
  <c r="Q164" i="7" s="1"/>
  <c r="M392" i="1"/>
  <c r="O383"/>
  <c r="M452"/>
  <c r="P383"/>
  <c r="M470"/>
  <c r="C157" i="27"/>
  <c r="E153"/>
  <c r="E155"/>
  <c r="E157"/>
  <c r="I143"/>
  <c r="K143"/>
  <c r="J143"/>
  <c r="M143"/>
  <c r="L143"/>
  <c r="B141"/>
  <c r="I136"/>
  <c r="M515" i="1"/>
  <c r="K136" i="27"/>
  <c r="O515" i="1"/>
  <c r="C154" i="27"/>
  <c r="E154"/>
  <c r="J136"/>
  <c r="L136"/>
  <c r="M136"/>
  <c r="E152"/>
  <c r="O179" i="1" s="1"/>
  <c r="D141" i="27"/>
  <c r="D154" s="1"/>
  <c r="J154" s="1"/>
  <c r="F141"/>
  <c r="F152" s="1"/>
  <c r="M153" i="1"/>
  <c r="O153"/>
  <c r="L102"/>
  <c r="N102"/>
  <c r="P102"/>
  <c r="L104"/>
  <c r="N104"/>
  <c r="P104"/>
  <c r="M104"/>
  <c r="O100"/>
  <c r="N100"/>
  <c r="Q4" i="7"/>
  <c r="B149" i="27" l="1"/>
  <c r="B152"/>
  <c r="C155"/>
  <c r="C153"/>
  <c r="M512" i="1"/>
  <c r="C164" i="27"/>
  <c r="L88" i="1"/>
  <c r="B12" i="32" s="1"/>
  <c r="B15" s="1"/>
  <c r="C12"/>
  <c r="C15" s="1"/>
  <c r="R88" i="1"/>
  <c r="G12" i="32"/>
  <c r="G15" s="1"/>
  <c r="Q62" i="10"/>
  <c r="W88" i="1"/>
  <c r="F144" i="27"/>
  <c r="B144"/>
  <c r="F149"/>
  <c r="D144"/>
  <c r="B154"/>
  <c r="D149"/>
  <c r="L152"/>
  <c r="G152"/>
  <c r="P179" i="1"/>
  <c r="P515"/>
  <c r="N515"/>
  <c r="I152" i="27"/>
  <c r="F154"/>
  <c r="I154"/>
  <c r="D152"/>
  <c r="K152" s="1"/>
  <c r="K154"/>
  <c r="N106" i="1"/>
  <c r="P100"/>
  <c r="L100"/>
  <c r="O102"/>
  <c r="M102"/>
  <c r="C21" i="27"/>
  <c r="D21"/>
  <c r="E21"/>
  <c r="B21"/>
  <c r="F20" s="1"/>
  <c r="D163" l="1"/>
  <c r="D155"/>
  <c r="D153"/>
  <c r="B155"/>
  <c r="B153"/>
  <c r="B163"/>
  <c r="I163" s="1"/>
  <c r="B162"/>
  <c r="L154"/>
  <c r="G154"/>
  <c r="M154" s="1"/>
  <c r="F163"/>
  <c r="F157" s="1"/>
  <c r="L157" s="1"/>
  <c r="F155"/>
  <c r="F153"/>
  <c r="G153" s="1"/>
  <c r="S88" i="1"/>
  <c r="H12" i="32"/>
  <c r="H15" s="1"/>
  <c r="R62" i="10"/>
  <c r="C156" i="27"/>
  <c r="J152"/>
  <c r="N179" i="1"/>
  <c r="M152" i="27"/>
  <c r="L515" i="1"/>
  <c r="O104"/>
  <c r="O106" s="1"/>
  <c r="M100"/>
  <c r="L106"/>
  <c r="P106"/>
  <c r="C183" i="24"/>
  <c r="C185" s="1"/>
  <c r="D183"/>
  <c r="D184" s="1"/>
  <c r="E183"/>
  <c r="E185" s="1"/>
  <c r="B183"/>
  <c r="B185" s="1"/>
  <c r="L321" i="21"/>
  <c r="C115" i="27"/>
  <c r="C116" s="1"/>
  <c r="D115"/>
  <c r="D117" s="1"/>
  <c r="E115"/>
  <c r="E116" s="1"/>
  <c r="B115"/>
  <c r="B117" s="1"/>
  <c r="H105"/>
  <c r="H106" s="1"/>
  <c r="C106" s="1"/>
  <c r="I105"/>
  <c r="I106" s="1"/>
  <c r="D106" s="1"/>
  <c r="J105"/>
  <c r="J106" s="1"/>
  <c r="E106" s="1"/>
  <c r="K105"/>
  <c r="K106" s="1"/>
  <c r="G105"/>
  <c r="G162" l="1"/>
  <c r="I162"/>
  <c r="B164"/>
  <c r="J163"/>
  <c r="D164"/>
  <c r="K163"/>
  <c r="B157"/>
  <c r="I157" s="1"/>
  <c r="T88" i="1"/>
  <c r="I12" i="32"/>
  <c r="I15" s="1"/>
  <c r="S62" i="10"/>
  <c r="L163" i="27"/>
  <c r="F164"/>
  <c r="G163"/>
  <c r="M163" s="1"/>
  <c r="D157"/>
  <c r="W179" i="1"/>
  <c r="Q515"/>
  <c r="Q551" i="10" s="1"/>
  <c r="G107" i="27"/>
  <c r="B107" s="1"/>
  <c r="G106"/>
  <c r="B106" s="1"/>
  <c r="M106" i="1"/>
  <c r="B186" i="24"/>
  <c r="E186"/>
  <c r="C186"/>
  <c r="D185"/>
  <c r="E184"/>
  <c r="C184"/>
  <c r="B184"/>
  <c r="D186"/>
  <c r="B116" i="27"/>
  <c r="E117"/>
  <c r="C117"/>
  <c r="D116"/>
  <c r="G110"/>
  <c r="B110" s="1"/>
  <c r="B119" s="1"/>
  <c r="G108"/>
  <c r="B108" s="1"/>
  <c r="K111"/>
  <c r="I111"/>
  <c r="D111" s="1"/>
  <c r="K110"/>
  <c r="I110"/>
  <c r="D110" s="1"/>
  <c r="K109"/>
  <c r="I109"/>
  <c r="D109" s="1"/>
  <c r="K108"/>
  <c r="I108"/>
  <c r="D108" s="1"/>
  <c r="K107"/>
  <c r="I107"/>
  <c r="D107" s="1"/>
  <c r="G111"/>
  <c r="B111" s="1"/>
  <c r="G109"/>
  <c r="B109" s="1"/>
  <c r="J111"/>
  <c r="E111" s="1"/>
  <c r="H111"/>
  <c r="C111" s="1"/>
  <c r="J110"/>
  <c r="E110" s="1"/>
  <c r="H110"/>
  <c r="C110" s="1"/>
  <c r="J109"/>
  <c r="E109" s="1"/>
  <c r="H109"/>
  <c r="C109" s="1"/>
  <c r="J108"/>
  <c r="E108" s="1"/>
  <c r="H108"/>
  <c r="C108" s="1"/>
  <c r="J107"/>
  <c r="E107" s="1"/>
  <c r="H107"/>
  <c r="C107" s="1"/>
  <c r="J157" l="1"/>
  <c r="K157"/>
  <c r="F156"/>
  <c r="L164"/>
  <c r="U88" i="1"/>
  <c r="J12" i="32"/>
  <c r="J15" s="1"/>
  <c r="T62" i="10"/>
  <c r="K164" i="27"/>
  <c r="J164"/>
  <c r="D156"/>
  <c r="B156"/>
  <c r="I156" s="1"/>
  <c r="I164"/>
  <c r="M162"/>
  <c r="G157"/>
  <c r="M157" s="1"/>
  <c r="G164"/>
  <c r="W515" i="1"/>
  <c r="C119" i="27"/>
  <c r="C120"/>
  <c r="M228" i="7" s="1"/>
  <c r="B120" i="27"/>
  <c r="E119"/>
  <c r="E120"/>
  <c r="O228" i="7" s="1"/>
  <c r="D120" i="27"/>
  <c r="N228" i="7" s="1"/>
  <c r="D119" i="27"/>
  <c r="M164" l="1"/>
  <c r="V88" i="1"/>
  <c r="K12" i="32"/>
  <c r="K15" s="1"/>
  <c r="U62" i="10"/>
  <c r="L156" i="27"/>
  <c r="G156"/>
  <c r="M156" s="1"/>
  <c r="K156"/>
  <c r="J156"/>
  <c r="P228" i="7"/>
  <c r="L228"/>
  <c r="V89" i="1" l="1"/>
  <c r="X88"/>
  <c r="V62" i="10"/>
  <c r="G165" i="27"/>
  <c r="M592" i="1"/>
  <c r="M510"/>
  <c r="M484"/>
  <c r="M468"/>
  <c r="M464"/>
  <c r="M460"/>
  <c r="M458"/>
  <c r="M450"/>
  <c r="M446"/>
  <c r="M442"/>
  <c r="M434"/>
  <c r="M426"/>
  <c r="M420"/>
  <c r="M412"/>
  <c r="M410"/>
  <c r="M408"/>
  <c r="M394"/>
  <c r="M358"/>
  <c r="V33" i="7" l="1"/>
  <c r="V63" i="10"/>
  <c r="M326" i="1"/>
  <c r="N112" i="21"/>
  <c r="N321" s="1"/>
  <c r="O112"/>
  <c r="O321" s="1"/>
  <c r="M112"/>
  <c r="M321" s="1"/>
  <c r="C92" i="27"/>
  <c r="P112" i="21"/>
  <c r="P113"/>
  <c r="P169"/>
  <c r="P218"/>
  <c r="P219"/>
  <c r="P220"/>
  <c r="P222"/>
  <c r="P226"/>
  <c r="P227"/>
  <c r="P228"/>
  <c r="P229"/>
  <c r="P230"/>
  <c r="P232"/>
  <c r="P233"/>
  <c r="P234"/>
  <c r="P236"/>
  <c r="P237"/>
  <c r="P238"/>
  <c r="P239"/>
  <c r="P243"/>
  <c r="P244"/>
  <c r="P246"/>
  <c r="P248"/>
  <c r="P249"/>
  <c r="P251"/>
  <c r="P252"/>
  <c r="P253"/>
  <c r="P254"/>
  <c r="P255"/>
  <c r="P257"/>
  <c r="P258"/>
  <c r="P265"/>
  <c r="P261" s="1"/>
  <c r="P278"/>
  <c r="P277" s="1"/>
  <c r="P280"/>
  <c r="C98" i="27" l="1"/>
  <c r="C99" s="1"/>
  <c r="P320" i="21"/>
  <c r="C20" i="27"/>
  <c r="G20" s="1"/>
  <c r="D20"/>
  <c r="H20" s="1"/>
  <c r="E20"/>
  <c r="I20" s="1"/>
  <c r="B15" i="26"/>
  <c r="C20" s="1"/>
  <c r="C15"/>
  <c r="D15"/>
  <c r="K20" s="1"/>
  <c r="E15"/>
  <c r="B20"/>
  <c r="F20"/>
  <c r="G20"/>
  <c r="H20"/>
  <c r="I20"/>
  <c r="J20"/>
  <c r="N20"/>
  <c r="O20"/>
  <c r="P20"/>
  <c r="Q20"/>
  <c r="L20" l="1"/>
  <c r="D20"/>
  <c r="C100" i="27"/>
  <c r="C102"/>
  <c r="C104"/>
  <c r="C101"/>
  <c r="C103"/>
  <c r="M20" i="26"/>
  <c r="E20"/>
  <c r="O51" i="21"/>
  <c r="N51"/>
  <c r="M51"/>
  <c r="M45" s="1"/>
  <c r="N45"/>
  <c r="O45"/>
  <c r="L45"/>
  <c r="L46" s="1"/>
  <c r="AA46" s="1"/>
  <c r="U31"/>
  <c r="U30"/>
  <c r="U29"/>
  <c r="U28"/>
  <c r="U27"/>
  <c r="U26"/>
  <c r="U25"/>
  <c r="U24"/>
  <c r="U22"/>
  <c r="U21"/>
  <c r="U20"/>
  <c r="U19"/>
  <c r="U18"/>
  <c r="U17"/>
  <c r="U16"/>
  <c r="U15" s="1"/>
  <c r="U14"/>
  <c r="U13"/>
  <c r="U12"/>
  <c r="U11"/>
  <c r="U10"/>
  <c r="U9"/>
  <c r="U8"/>
  <c r="U23"/>
  <c r="S73" i="1"/>
  <c r="S47" i="10" s="1"/>
  <c r="T73" i="1"/>
  <c r="T47" i="10" s="1"/>
  <c r="R73" i="1"/>
  <c r="R47" i="10" s="1"/>
  <c r="Q48"/>
  <c r="R48"/>
  <c r="S48"/>
  <c r="T48"/>
  <c r="U48"/>
  <c r="R75" i="1"/>
  <c r="R49" i="10" s="1"/>
  <c r="Q50"/>
  <c r="R50"/>
  <c r="S50"/>
  <c r="T50"/>
  <c r="U50"/>
  <c r="R77" i="1"/>
  <c r="R51" i="10" s="1"/>
  <c r="Q52"/>
  <c r="R52"/>
  <c r="S52"/>
  <c r="T52"/>
  <c r="U52"/>
  <c r="T79" i="1"/>
  <c r="T53" i="10" s="1"/>
  <c r="Q54"/>
  <c r="R54"/>
  <c r="S54"/>
  <c r="T54"/>
  <c r="U54"/>
  <c r="R81" i="1"/>
  <c r="R55" i="10" s="1"/>
  <c r="Q56"/>
  <c r="R56"/>
  <c r="S56"/>
  <c r="T56"/>
  <c r="U56"/>
  <c r="U83" i="1"/>
  <c r="U57" i="10" s="1"/>
  <c r="Q58"/>
  <c r="R58"/>
  <c r="S58"/>
  <c r="T58"/>
  <c r="U58"/>
  <c r="R85" i="1"/>
  <c r="R59" i="10" s="1"/>
  <c r="Q32"/>
  <c r="R32"/>
  <c r="S32"/>
  <c r="T32"/>
  <c r="Q34"/>
  <c r="R34"/>
  <c r="S34"/>
  <c r="T34"/>
  <c r="Q36"/>
  <c r="R36"/>
  <c r="S36"/>
  <c r="T36"/>
  <c r="S50" i="1"/>
  <c r="S37" i="10" s="1"/>
  <c r="Q38"/>
  <c r="S38"/>
  <c r="Q40"/>
  <c r="R40"/>
  <c r="S40"/>
  <c r="T40"/>
  <c r="Q42"/>
  <c r="S42"/>
  <c r="V17" i="1"/>
  <c r="V17" i="10" s="1"/>
  <c r="V19" i="1"/>
  <c r="V19" i="10" s="1"/>
  <c r="V21" i="1"/>
  <c r="V21" i="10" s="1"/>
  <c r="V23" i="1"/>
  <c r="V23" i="10" s="1"/>
  <c r="V25" i="1"/>
  <c r="V25" i="10" s="1"/>
  <c r="V27" i="1"/>
  <c r="V27" i="10" s="1"/>
  <c r="Q14"/>
  <c r="R15" i="1"/>
  <c r="R15" i="10" s="1"/>
  <c r="S14"/>
  <c r="Q16"/>
  <c r="R16"/>
  <c r="S16"/>
  <c r="T16"/>
  <c r="Q18"/>
  <c r="S18"/>
  <c r="Q20"/>
  <c r="R20"/>
  <c r="S20"/>
  <c r="T20"/>
  <c r="Q22"/>
  <c r="S22"/>
  <c r="Q24"/>
  <c r="R24"/>
  <c r="S24"/>
  <c r="T24"/>
  <c r="Q26"/>
  <c r="S26"/>
  <c r="R27" i="1"/>
  <c r="R27" i="10" s="1"/>
  <c r="U7" i="21" l="1"/>
  <c r="R19" i="1"/>
  <c r="R19" i="10" s="1"/>
  <c r="T44" i="1"/>
  <c r="T31" i="10" s="1"/>
  <c r="R44" i="1"/>
  <c r="R31" i="10" s="1"/>
  <c r="R23" i="1"/>
  <c r="R23" i="10" s="1"/>
  <c r="U50" i="1"/>
  <c r="U37" i="10" s="1"/>
  <c r="T85" i="1"/>
  <c r="T59" i="10" s="1"/>
  <c r="S83" i="1"/>
  <c r="S57" i="10" s="1"/>
  <c r="T81" i="1"/>
  <c r="T55" i="10" s="1"/>
  <c r="R79" i="1"/>
  <c r="R53" i="10" s="1"/>
  <c r="T77" i="1"/>
  <c r="T51" i="10" s="1"/>
  <c r="T75" i="1"/>
  <c r="T49" i="10" s="1"/>
  <c r="S56" i="1"/>
  <c r="S43" i="10" s="1"/>
  <c r="T56" i="1"/>
  <c r="T43" i="10" s="1"/>
  <c r="R56" i="1"/>
  <c r="R43" i="10" s="1"/>
  <c r="T54" i="1"/>
  <c r="T41" i="10" s="1"/>
  <c r="U46" i="1"/>
  <c r="U33" i="10" s="1"/>
  <c r="U54" i="1"/>
  <c r="U41" i="10" s="1"/>
  <c r="S48" i="1"/>
  <c r="S35" i="10" s="1"/>
  <c r="S46" i="1"/>
  <c r="S33" i="10" s="1"/>
  <c r="S44" i="1"/>
  <c r="S31" i="10" s="1"/>
  <c r="T32" i="7"/>
  <c r="T60" i="10"/>
  <c r="R32" i="7"/>
  <c r="R60" i="10"/>
  <c r="U32" i="7"/>
  <c r="V32" i="8" s="1"/>
  <c r="U60" i="10"/>
  <c r="S32" i="7"/>
  <c r="S60" i="10"/>
  <c r="S61" s="1"/>
  <c r="Q32" i="7"/>
  <c r="Q60" i="10"/>
  <c r="T27" i="1"/>
  <c r="T27" i="10" s="1"/>
  <c r="S27" i="1"/>
  <c r="S27" i="10" s="1"/>
  <c r="T25" i="1"/>
  <c r="T25" i="10" s="1"/>
  <c r="T23" i="1"/>
  <c r="T23" i="10" s="1"/>
  <c r="S23" i="1"/>
  <c r="S23" i="10" s="1"/>
  <c r="T21" i="1"/>
  <c r="T21" i="10" s="1"/>
  <c r="T19" i="1"/>
  <c r="T19" i="10" s="1"/>
  <c r="S19" i="1"/>
  <c r="S19" i="10" s="1"/>
  <c r="T17" i="1"/>
  <c r="T17" i="10" s="1"/>
  <c r="T12" i="1"/>
  <c r="T12" i="10" s="1"/>
  <c r="S15" i="1"/>
  <c r="S15" i="10" s="1"/>
  <c r="R54" i="1"/>
  <c r="R41" i="10" s="1"/>
  <c r="S52" i="1"/>
  <c r="S39" i="10" s="1"/>
  <c r="T52" i="1"/>
  <c r="T39" i="10" s="1"/>
  <c r="R52" i="1"/>
  <c r="R39" i="10" s="1"/>
  <c r="T50" i="1"/>
  <c r="T37" i="10" s="1"/>
  <c r="R50" i="1"/>
  <c r="R37" i="10" s="1"/>
  <c r="T48" i="1"/>
  <c r="T35" i="10" s="1"/>
  <c r="R48" i="1"/>
  <c r="R35" i="10" s="1"/>
  <c r="T46" i="1"/>
  <c r="T33" i="10" s="1"/>
  <c r="R46" i="1"/>
  <c r="R33" i="10" s="1"/>
  <c r="U85" i="1"/>
  <c r="U59" i="10" s="1"/>
  <c r="S85" i="1"/>
  <c r="S59" i="10" s="1"/>
  <c r="T83" i="1"/>
  <c r="T57" i="10" s="1"/>
  <c r="R83" i="1"/>
  <c r="R57" i="10" s="1"/>
  <c r="U81" i="1"/>
  <c r="U55" i="10" s="1"/>
  <c r="S81" i="1"/>
  <c r="S55" i="10" s="1"/>
  <c r="S79" i="1"/>
  <c r="S53" i="10" s="1"/>
  <c r="S77" i="1"/>
  <c r="S51" i="10" s="1"/>
  <c r="S75" i="1"/>
  <c r="S49" i="10" s="1"/>
  <c r="U73" i="1"/>
  <c r="U47" i="10" s="1"/>
  <c r="U27" i="1"/>
  <c r="U27" i="10" s="1"/>
  <c r="U23" i="1"/>
  <c r="U23" i="10" s="1"/>
  <c r="U19" i="1"/>
  <c r="U19" i="10" s="1"/>
  <c r="U15" i="1"/>
  <c r="U15" i="10" s="1"/>
  <c r="S12" i="1"/>
  <c r="S12" i="10" s="1"/>
  <c r="Q12" i="1"/>
  <c r="T41"/>
  <c r="R41"/>
  <c r="T70"/>
  <c r="R70"/>
  <c r="T46" i="10"/>
  <c r="R46"/>
  <c r="T42"/>
  <c r="R42"/>
  <c r="T38"/>
  <c r="R38"/>
  <c r="T30"/>
  <c r="R30"/>
  <c r="T26"/>
  <c r="R26"/>
  <c r="T22"/>
  <c r="R22"/>
  <c r="T18"/>
  <c r="R18"/>
  <c r="T14"/>
  <c r="R14"/>
  <c r="R25" i="1"/>
  <c r="R25" i="10" s="1"/>
  <c r="S25" i="1"/>
  <c r="S25" i="10" s="1"/>
  <c r="R21" i="1"/>
  <c r="R21" i="10" s="1"/>
  <c r="S21" i="1"/>
  <c r="S21" i="10" s="1"/>
  <c r="R17" i="1"/>
  <c r="R17" i="10" s="1"/>
  <c r="S17" i="1"/>
  <c r="S17" i="10" s="1"/>
  <c r="T15" i="1"/>
  <c r="T15" i="10" s="1"/>
  <c r="U25" i="1"/>
  <c r="U25" i="10" s="1"/>
  <c r="U21" i="1"/>
  <c r="U21" i="10" s="1"/>
  <c r="U17" i="1"/>
  <c r="U17" i="10" s="1"/>
  <c r="R12" i="1"/>
  <c r="R12" i="10" s="1"/>
  <c r="U56" i="1"/>
  <c r="U43" i="10" s="1"/>
  <c r="S54" i="1"/>
  <c r="S41" i="10" s="1"/>
  <c r="U52" i="1"/>
  <c r="U39" i="10" s="1"/>
  <c r="U48" i="1"/>
  <c r="U35" i="10" s="1"/>
  <c r="S41" i="1"/>
  <c r="S42" s="1"/>
  <c r="S29" i="10" s="1"/>
  <c r="Q41" i="1"/>
  <c r="S70"/>
  <c r="S71" s="1"/>
  <c r="S45" i="10" s="1"/>
  <c r="Q70" i="1"/>
  <c r="S46" i="10"/>
  <c r="Q46"/>
  <c r="S30"/>
  <c r="Q30"/>
  <c r="S28"/>
  <c r="T44"/>
  <c r="R44"/>
  <c r="T28"/>
  <c r="R28"/>
  <c r="U79" i="1"/>
  <c r="U53" i="10" s="1"/>
  <c r="U77" i="1"/>
  <c r="U51" i="10" s="1"/>
  <c r="U75" i="1"/>
  <c r="U49" i="10" s="1"/>
  <c r="U70" i="1"/>
  <c r="U46" i="10"/>
  <c r="U41" i="1"/>
  <c r="V42" s="1"/>
  <c r="V29" i="10" s="1"/>
  <c r="U42"/>
  <c r="U40"/>
  <c r="U38"/>
  <c r="U36"/>
  <c r="U34"/>
  <c r="U32"/>
  <c r="U30"/>
  <c r="U44" i="1"/>
  <c r="U31" i="10" s="1"/>
  <c r="U26"/>
  <c r="U24"/>
  <c r="U22"/>
  <c r="U20"/>
  <c r="U18"/>
  <c r="U16"/>
  <c r="U12" i="1"/>
  <c r="U14" i="10"/>
  <c r="Q12" l="1"/>
  <c r="X12" i="1"/>
  <c r="Q44" i="10"/>
  <c r="X70" i="1"/>
  <c r="Q28" i="10"/>
  <c r="X41" i="1"/>
  <c r="U61" i="10"/>
  <c r="V61"/>
  <c r="U12"/>
  <c r="V13" i="1"/>
  <c r="V13" i="10" s="1"/>
  <c r="U44"/>
  <c r="U71" i="1"/>
  <c r="V71"/>
  <c r="V45" i="10" s="1"/>
  <c r="R61"/>
  <c r="T61"/>
  <c r="T71" i="1"/>
  <c r="T45" i="10" s="1"/>
  <c r="T42" i="1"/>
  <c r="T29" i="10" s="1"/>
  <c r="U45"/>
  <c r="S44"/>
  <c r="R71" i="1"/>
  <c r="R45" i="10" s="1"/>
  <c r="R42" i="1"/>
  <c r="R29" i="10" s="1"/>
  <c r="U42" i="1"/>
  <c r="U29" i="10" s="1"/>
  <c r="U28"/>
  <c r="E136" i="25"/>
  <c r="D136"/>
  <c r="C136"/>
  <c r="B136"/>
  <c r="E135"/>
  <c r="D135"/>
  <c r="C135"/>
  <c r="B135"/>
  <c r="E134"/>
  <c r="D134"/>
  <c r="C134"/>
  <c r="B134"/>
  <c r="F126"/>
  <c r="E126"/>
  <c r="D126"/>
  <c r="F125"/>
  <c r="E125"/>
  <c r="D125"/>
  <c r="F124"/>
  <c r="E124"/>
  <c r="D124"/>
  <c r="C122"/>
  <c r="C126" s="1"/>
  <c r="C121"/>
  <c r="C120"/>
  <c r="C119"/>
  <c r="C118"/>
  <c r="C117"/>
  <c r="C124" s="1"/>
  <c r="D115"/>
  <c r="C115"/>
  <c r="B115"/>
  <c r="D114"/>
  <c r="C114"/>
  <c r="B114"/>
  <c r="D33"/>
  <c r="D34" s="1"/>
  <c r="C33"/>
  <c r="C34" s="1"/>
  <c r="B33"/>
  <c r="B34" s="1"/>
  <c r="D29"/>
  <c r="C125" l="1"/>
  <c r="L670" i="10"/>
  <c r="M670"/>
  <c r="N670"/>
  <c r="O670"/>
  <c r="P670"/>
  <c r="L672"/>
  <c r="M672"/>
  <c r="N672"/>
  <c r="O672"/>
  <c r="P672"/>
  <c r="L674"/>
  <c r="M674"/>
  <c r="N674"/>
  <c r="O674"/>
  <c r="P674"/>
  <c r="L676"/>
  <c r="M676"/>
  <c r="N676"/>
  <c r="O676"/>
  <c r="P676"/>
  <c r="L678"/>
  <c r="M678"/>
  <c r="N678"/>
  <c r="O678"/>
  <c r="P678"/>
  <c r="E160" i="23" l="1"/>
  <c r="D160"/>
  <c r="C160"/>
  <c r="B160"/>
  <c r="B158"/>
  <c r="C158"/>
  <c r="D158"/>
  <c r="E158"/>
  <c r="C153"/>
  <c r="D153"/>
  <c r="E153"/>
  <c r="C154"/>
  <c r="C161" s="1"/>
  <c r="D154"/>
  <c r="D161" s="1"/>
  <c r="E154"/>
  <c r="E161" s="1"/>
  <c r="C155"/>
  <c r="D155"/>
  <c r="E155"/>
  <c r="C156"/>
  <c r="C163" s="1"/>
  <c r="D156"/>
  <c r="D163" s="1"/>
  <c r="E156"/>
  <c r="E163" s="1"/>
  <c r="P276" i="21"/>
  <c r="C157" i="23"/>
  <c r="C164" s="1"/>
  <c r="D157"/>
  <c r="D164" s="1"/>
  <c r="E157"/>
  <c r="E164" s="1"/>
  <c r="B154"/>
  <c r="B161" s="1"/>
  <c r="B155"/>
  <c r="B156"/>
  <c r="B163" s="1"/>
  <c r="B157"/>
  <c r="B164" s="1"/>
  <c r="B153"/>
  <c r="P558" i="21"/>
  <c r="F177" i="24"/>
  <c r="E177"/>
  <c r="D177"/>
  <c r="C177"/>
  <c r="B177"/>
  <c r="F176"/>
  <c r="P498" i="21" s="1"/>
  <c r="P483" s="1"/>
  <c r="E176" i="24"/>
  <c r="O498" i="21" s="1"/>
  <c r="O483" s="1"/>
  <c r="D176" i="24"/>
  <c r="N498" i="21" s="1"/>
  <c r="N483" s="1"/>
  <c r="C176" i="24"/>
  <c r="M498" i="21" s="1"/>
  <c r="M483" s="1"/>
  <c r="B176" i="24"/>
  <c r="L498" i="21" s="1"/>
  <c r="L483" s="1"/>
  <c r="F175" i="24"/>
  <c r="E175"/>
  <c r="O436" i="21" s="1"/>
  <c r="O391" s="1"/>
  <c r="D175" i="24"/>
  <c r="C175"/>
  <c r="M436" i="21" s="1"/>
  <c r="M391" s="1"/>
  <c r="L436"/>
  <c r="L391" s="1"/>
  <c r="P479"/>
  <c r="P477"/>
  <c r="P480"/>
  <c r="P476"/>
  <c r="P475"/>
  <c r="P473"/>
  <c r="P466"/>
  <c r="P465"/>
  <c r="P461"/>
  <c r="P458"/>
  <c r="P459"/>
  <c r="P456"/>
  <c r="P455"/>
  <c r="P454"/>
  <c r="P452"/>
  <c r="P449"/>
  <c r="P448"/>
  <c r="P446"/>
  <c r="P444"/>
  <c r="P442"/>
  <c r="P440"/>
  <c r="P384"/>
  <c r="P351"/>
  <c r="M437"/>
  <c r="N437"/>
  <c r="O437"/>
  <c r="L437"/>
  <c r="L335"/>
  <c r="M335"/>
  <c r="N335"/>
  <c r="O335"/>
  <c r="G126" i="24"/>
  <c r="F69" i="23"/>
  <c r="E135" i="24"/>
  <c r="D29"/>
  <c r="B33"/>
  <c r="B34" s="1"/>
  <c r="C33"/>
  <c r="C34" s="1"/>
  <c r="D33"/>
  <c r="D34" s="1"/>
  <c r="B114"/>
  <c r="C114"/>
  <c r="D114"/>
  <c r="B115"/>
  <c r="C115"/>
  <c r="D115"/>
  <c r="C117"/>
  <c r="C118"/>
  <c r="C119"/>
  <c r="C120"/>
  <c r="C121"/>
  <c r="C122"/>
  <c r="C126" s="1"/>
  <c r="L324" i="21" s="1"/>
  <c r="C124" i="24"/>
  <c r="L322" i="21" s="1"/>
  <c r="D124" i="24"/>
  <c r="M322" i="21" s="1"/>
  <c r="E124" i="24"/>
  <c r="N322" i="21" s="1"/>
  <c r="F124" i="24"/>
  <c r="O322" i="21" s="1"/>
  <c r="D125" i="24"/>
  <c r="M323" i="21" s="1"/>
  <c r="E125" i="24"/>
  <c r="N323" i="21" s="1"/>
  <c r="F125" i="24"/>
  <c r="O323" i="21" s="1"/>
  <c r="D126" i="24"/>
  <c r="M324" i="21" s="1"/>
  <c r="E126" i="24"/>
  <c r="N324" i="21" s="1"/>
  <c r="F126" i="24"/>
  <c r="O324" i="21" s="1"/>
  <c r="B134" i="24"/>
  <c r="C134"/>
  <c r="D134"/>
  <c r="E134"/>
  <c r="B135"/>
  <c r="C135"/>
  <c r="D135"/>
  <c r="B136"/>
  <c r="C136"/>
  <c r="D136"/>
  <c r="E115" i="23"/>
  <c r="D115"/>
  <c r="C115"/>
  <c r="B115"/>
  <c r="E114"/>
  <c r="D114"/>
  <c r="C114"/>
  <c r="B114"/>
  <c r="E113"/>
  <c r="D113"/>
  <c r="C113"/>
  <c r="B113"/>
  <c r="E112"/>
  <c r="D112"/>
  <c r="C112"/>
  <c r="B112"/>
  <c r="E111"/>
  <c r="D111"/>
  <c r="C111"/>
  <c r="B111"/>
  <c r="E100"/>
  <c r="D100"/>
  <c r="C100"/>
  <c r="B100"/>
  <c r="E99"/>
  <c r="E101" s="1"/>
  <c r="D99"/>
  <c r="D101" s="1"/>
  <c r="C99"/>
  <c r="C101" s="1"/>
  <c r="B99"/>
  <c r="B101" s="1"/>
  <c r="E90"/>
  <c r="D90"/>
  <c r="C90"/>
  <c r="B90"/>
  <c r="E84"/>
  <c r="D84"/>
  <c r="C84"/>
  <c r="B84"/>
  <c r="E82"/>
  <c r="E85" s="1"/>
  <c r="O63" i="21" s="1"/>
  <c r="D82" i="23"/>
  <c r="D85" s="1"/>
  <c r="N63" i="21" s="1"/>
  <c r="C82" i="23"/>
  <c r="C85" s="1"/>
  <c r="M63" i="21" s="1"/>
  <c r="B82" i="23"/>
  <c r="B85" s="1"/>
  <c r="L63" i="21" s="1"/>
  <c r="E79" i="23"/>
  <c r="D79"/>
  <c r="C79"/>
  <c r="B79"/>
  <c r="E78"/>
  <c r="D78"/>
  <c r="C78"/>
  <c r="B78"/>
  <c r="E77"/>
  <c r="D77"/>
  <c r="C77"/>
  <c r="B77"/>
  <c r="E76"/>
  <c r="D76"/>
  <c r="C76"/>
  <c r="B76"/>
  <c r="E75"/>
  <c r="D75"/>
  <c r="C75"/>
  <c r="B75"/>
  <c r="E57"/>
  <c r="D57"/>
  <c r="C57"/>
  <c r="B57"/>
  <c r="E56"/>
  <c r="D56"/>
  <c r="C56"/>
  <c r="B56"/>
  <c r="E55"/>
  <c r="D55"/>
  <c r="C55"/>
  <c r="E45"/>
  <c r="D45"/>
  <c r="C45"/>
  <c r="B45"/>
  <c r="E44"/>
  <c r="D44"/>
  <c r="C44"/>
  <c r="E43"/>
  <c r="D43"/>
  <c r="C43"/>
  <c r="E36"/>
  <c r="O109" i="1" s="1"/>
  <c r="D36" i="23"/>
  <c r="N109" i="1" s="1"/>
  <c r="M109"/>
  <c r="D178" i="24" l="1"/>
  <c r="N542" i="21" s="1"/>
  <c r="N504" s="1"/>
  <c r="F178" i="24"/>
  <c r="P542" i="21" s="1"/>
  <c r="P504" s="1"/>
  <c r="B189" i="24"/>
  <c r="L501" i="21" s="1"/>
  <c r="B190" i="24"/>
  <c r="L502" i="21" s="1"/>
  <c r="B188" i="24"/>
  <c r="L500" i="21" s="1"/>
  <c r="D188" i="24"/>
  <c r="N500" i="21" s="1"/>
  <c r="D190" i="24"/>
  <c r="N502" i="21" s="1"/>
  <c r="D189" i="24"/>
  <c r="N501" i="21" s="1"/>
  <c r="C189" i="24"/>
  <c r="M501" i="21" s="1"/>
  <c r="C188" i="24"/>
  <c r="M500" i="21" s="1"/>
  <c r="C190" i="24"/>
  <c r="M502" i="21" s="1"/>
  <c r="E189" i="24"/>
  <c r="O501" i="21" s="1"/>
  <c r="P501" s="1"/>
  <c r="E190" i="24"/>
  <c r="O502" i="21" s="1"/>
  <c r="P502" s="1"/>
  <c r="E188" i="24"/>
  <c r="O500" i="21" s="1"/>
  <c r="C125" i="24"/>
  <c r="L323" i="21" s="1"/>
  <c r="C59" i="23"/>
  <c r="E59"/>
  <c r="C60"/>
  <c r="E60"/>
  <c r="C61"/>
  <c r="C65" s="1"/>
  <c r="E61"/>
  <c r="D59"/>
  <c r="B60"/>
  <c r="D60"/>
  <c r="B61"/>
  <c r="B65" s="1"/>
  <c r="D61"/>
  <c r="P335" i="21"/>
  <c r="B165" i="23"/>
  <c r="C165"/>
  <c r="E165"/>
  <c r="B178" i="24"/>
  <c r="L542" i="21" s="1"/>
  <c r="L504" s="1"/>
  <c r="E178" i="24"/>
  <c r="O542" i="21" s="1"/>
  <c r="O504" s="1"/>
  <c r="C178" i="24"/>
  <c r="M542" i="21" s="1"/>
  <c r="M504" s="1"/>
  <c r="P436"/>
  <c r="P391" s="1"/>
  <c r="N436"/>
  <c r="N391" s="1"/>
  <c r="P319"/>
  <c r="P281" s="1"/>
  <c r="D165" i="23"/>
  <c r="P437" i="21"/>
  <c r="E136" i="24"/>
  <c r="P64" i="21"/>
  <c r="P55"/>
  <c r="P52"/>
  <c r="P1018" i="1"/>
  <c r="O1018"/>
  <c r="N1018"/>
  <c r="M1018"/>
  <c r="L1018"/>
  <c r="P1016"/>
  <c r="O1016"/>
  <c r="N1016"/>
  <c r="M1016"/>
  <c r="L1016"/>
  <c r="P1014"/>
  <c r="O1014"/>
  <c r="N1014"/>
  <c r="M1014"/>
  <c r="L1014"/>
  <c r="P1012"/>
  <c r="O1012"/>
  <c r="N1012"/>
  <c r="M1012"/>
  <c r="L1012"/>
  <c r="P1010"/>
  <c r="O1010"/>
  <c r="N1010"/>
  <c r="M1010"/>
  <c r="L1010"/>
  <c r="P1008"/>
  <c r="O1008"/>
  <c r="N1008"/>
  <c r="M1008"/>
  <c r="L1008"/>
  <c r="P1006"/>
  <c r="O1006"/>
  <c r="N1006"/>
  <c r="M1006"/>
  <c r="L1006"/>
  <c r="P1004"/>
  <c r="O1004"/>
  <c r="N1004"/>
  <c r="M1004"/>
  <c r="L1004"/>
  <c r="P1002"/>
  <c r="O1002"/>
  <c r="N1002"/>
  <c r="M1002"/>
  <c r="L1002"/>
  <c r="P1000"/>
  <c r="O1000"/>
  <c r="N1000"/>
  <c r="M1000"/>
  <c r="L1000"/>
  <c r="P998"/>
  <c r="O998"/>
  <c r="N998"/>
  <c r="M998"/>
  <c r="L998"/>
  <c r="P996"/>
  <c r="O996"/>
  <c r="N996"/>
  <c r="M996"/>
  <c r="L996"/>
  <c r="P994"/>
  <c r="O994"/>
  <c r="N994"/>
  <c r="M994"/>
  <c r="L994"/>
  <c r="P992"/>
  <c r="O992"/>
  <c r="N992"/>
  <c r="M992"/>
  <c r="L992"/>
  <c r="P990"/>
  <c r="O990"/>
  <c r="N990"/>
  <c r="M990"/>
  <c r="L990"/>
  <c r="P988"/>
  <c r="O988"/>
  <c r="N988"/>
  <c r="M988"/>
  <c r="L988"/>
  <c r="P986"/>
  <c r="O986"/>
  <c r="N986"/>
  <c r="M986"/>
  <c r="L986"/>
  <c r="P984"/>
  <c r="O984"/>
  <c r="N984"/>
  <c r="M984"/>
  <c r="L984"/>
  <c r="P982"/>
  <c r="O982"/>
  <c r="N982"/>
  <c r="M982"/>
  <c r="L982"/>
  <c r="P980"/>
  <c r="O980"/>
  <c r="N980"/>
  <c r="M980"/>
  <c r="L980"/>
  <c r="P978"/>
  <c r="O978"/>
  <c r="N978"/>
  <c r="M978"/>
  <c r="L978"/>
  <c r="P976"/>
  <c r="O976"/>
  <c r="N976"/>
  <c r="M976"/>
  <c r="L976"/>
  <c r="P974"/>
  <c r="O974"/>
  <c r="N974"/>
  <c r="M974"/>
  <c r="L974"/>
  <c r="P972"/>
  <c r="O972"/>
  <c r="N972"/>
  <c r="M972"/>
  <c r="L972"/>
  <c r="P970"/>
  <c r="O970"/>
  <c r="N970"/>
  <c r="M970"/>
  <c r="L970"/>
  <c r="P968"/>
  <c r="O968"/>
  <c r="N968"/>
  <c r="M968"/>
  <c r="L968"/>
  <c r="P966"/>
  <c r="O966"/>
  <c r="N966"/>
  <c r="M966"/>
  <c r="L966"/>
  <c r="P964"/>
  <c r="O964"/>
  <c r="N964"/>
  <c r="M964"/>
  <c r="L964"/>
  <c r="P962"/>
  <c r="O962"/>
  <c r="N962"/>
  <c r="M962"/>
  <c r="L962"/>
  <c r="P960"/>
  <c r="O960"/>
  <c r="N960"/>
  <c r="M960"/>
  <c r="L960"/>
  <c r="P958"/>
  <c r="O958"/>
  <c r="N958"/>
  <c r="M958"/>
  <c r="L958"/>
  <c r="P956"/>
  <c r="O956"/>
  <c r="N956"/>
  <c r="M956"/>
  <c r="L956"/>
  <c r="P954"/>
  <c r="O954"/>
  <c r="N954"/>
  <c r="M954"/>
  <c r="L954"/>
  <c r="P952"/>
  <c r="O952"/>
  <c r="N952"/>
  <c r="M952"/>
  <c r="L952"/>
  <c r="P950"/>
  <c r="O950"/>
  <c r="N950"/>
  <c r="M950"/>
  <c r="L950"/>
  <c r="P948"/>
  <c r="O948"/>
  <c r="N948"/>
  <c r="M948"/>
  <c r="L948"/>
  <c r="P946"/>
  <c r="O946"/>
  <c r="O944" s="1"/>
  <c r="N946"/>
  <c r="M946"/>
  <c r="M944" s="1"/>
  <c r="L946"/>
  <c r="P932"/>
  <c r="P436" i="7" s="1"/>
  <c r="O932" i="1"/>
  <c r="O436" i="7" s="1"/>
  <c r="N932" i="1"/>
  <c r="N436" i="7" s="1"/>
  <c r="M932" i="1"/>
  <c r="M436" i="7" s="1"/>
  <c r="L932" i="1"/>
  <c r="L436" i="7" s="1"/>
  <c r="P930" i="1"/>
  <c r="P435" i="7" s="1"/>
  <c r="O930" i="1"/>
  <c r="O435" i="7" s="1"/>
  <c r="N930" i="1"/>
  <c r="N435" i="7" s="1"/>
  <c r="M930" i="1"/>
  <c r="M435" i="7" s="1"/>
  <c r="L930" i="1"/>
  <c r="L435" i="7" s="1"/>
  <c r="P928" i="1"/>
  <c r="P434" i="7" s="1"/>
  <c r="O928" i="1"/>
  <c r="O434" i="7" s="1"/>
  <c r="N928" i="1"/>
  <c r="N434" i="7" s="1"/>
  <c r="M928" i="1"/>
  <c r="M434" i="7" s="1"/>
  <c r="L928" i="1"/>
  <c r="L434" i="7" s="1"/>
  <c r="P926" i="1"/>
  <c r="P433" i="7" s="1"/>
  <c r="O926" i="1"/>
  <c r="O433" i="7" s="1"/>
  <c r="N926" i="1"/>
  <c r="N433" i="7" s="1"/>
  <c r="M926" i="1"/>
  <c r="M433" i="7" s="1"/>
  <c r="L926" i="1"/>
  <c r="L433" i="7" s="1"/>
  <c r="P924" i="1"/>
  <c r="P432" i="7" s="1"/>
  <c r="O924" i="1"/>
  <c r="O432" i="7" s="1"/>
  <c r="N924" i="1"/>
  <c r="N432" i="7" s="1"/>
  <c r="M924" i="1"/>
  <c r="M432" i="7" s="1"/>
  <c r="L924" i="1"/>
  <c r="L432" i="7" s="1"/>
  <c r="P922" i="1"/>
  <c r="P431" i="7" s="1"/>
  <c r="O922" i="1"/>
  <c r="O431" i="7" s="1"/>
  <c r="N922" i="1"/>
  <c r="N431" i="7" s="1"/>
  <c r="M922" i="1"/>
  <c r="M431" i="7" s="1"/>
  <c r="L922" i="1"/>
  <c r="L431" i="7" s="1"/>
  <c r="P920" i="1"/>
  <c r="P430" i="7" s="1"/>
  <c r="O920" i="1"/>
  <c r="O430" i="7" s="1"/>
  <c r="N920" i="1"/>
  <c r="N430" i="7" s="1"/>
  <c r="M920" i="1"/>
  <c r="M430" i="7" s="1"/>
  <c r="L920" i="1"/>
  <c r="L430" i="7" s="1"/>
  <c r="P918" i="1"/>
  <c r="P429" i="7" s="1"/>
  <c r="O918" i="1"/>
  <c r="O429" i="7" s="1"/>
  <c r="N918" i="1"/>
  <c r="N429" i="7" s="1"/>
  <c r="M918" i="1"/>
  <c r="M429" i="7" s="1"/>
  <c r="L918" i="1"/>
  <c r="L429" i="7" s="1"/>
  <c r="P916" i="1"/>
  <c r="P428" i="7" s="1"/>
  <c r="O916" i="1"/>
  <c r="O428" i="7" s="1"/>
  <c r="N916" i="1"/>
  <c r="N428" i="7" s="1"/>
  <c r="M916" i="1"/>
  <c r="M428" i="7" s="1"/>
  <c r="L916" i="1"/>
  <c r="L428" i="7" s="1"/>
  <c r="P914" i="1"/>
  <c r="P427" i="7" s="1"/>
  <c r="O914" i="1"/>
  <c r="O427" i="7" s="1"/>
  <c r="N914" i="1"/>
  <c r="N427" i="7" s="1"/>
  <c r="M914" i="1"/>
  <c r="M427" i="7" s="1"/>
  <c r="L914" i="1"/>
  <c r="L427" i="7" s="1"/>
  <c r="P912" i="1"/>
  <c r="P426" i="7" s="1"/>
  <c r="O912" i="1"/>
  <c r="O426" i="7" s="1"/>
  <c r="N912" i="1"/>
  <c r="N426" i="7" s="1"/>
  <c r="M912" i="1"/>
  <c r="M426" i="7" s="1"/>
  <c r="L912" i="1"/>
  <c r="L426" i="7" s="1"/>
  <c r="P910" i="1"/>
  <c r="P425" i="7" s="1"/>
  <c r="O910" i="1"/>
  <c r="O425" i="7" s="1"/>
  <c r="N910" i="1"/>
  <c r="N425" i="7" s="1"/>
  <c r="M910" i="1"/>
  <c r="M425" i="7" s="1"/>
  <c r="L910" i="1"/>
  <c r="L425" i="7" s="1"/>
  <c r="P908" i="1"/>
  <c r="P424" i="7" s="1"/>
  <c r="O908" i="1"/>
  <c r="O424" i="7" s="1"/>
  <c r="N908" i="1"/>
  <c r="N424" i="7" s="1"/>
  <c r="M908" i="1"/>
  <c r="M424" i="7" s="1"/>
  <c r="L908" i="1"/>
  <c r="L424" i="7" s="1"/>
  <c r="P906" i="1"/>
  <c r="O906"/>
  <c r="N906"/>
  <c r="M906"/>
  <c r="L906"/>
  <c r="N383" i="7"/>
  <c r="P808" i="1"/>
  <c r="O808"/>
  <c r="N808"/>
  <c r="M808"/>
  <c r="L808"/>
  <c r="P806"/>
  <c r="O806"/>
  <c r="N806"/>
  <c r="M806"/>
  <c r="L806"/>
  <c r="P804"/>
  <c r="O804"/>
  <c r="N804"/>
  <c r="M804"/>
  <c r="L804"/>
  <c r="P802"/>
  <c r="O802"/>
  <c r="N802"/>
  <c r="M802"/>
  <c r="L802"/>
  <c r="P800"/>
  <c r="O800"/>
  <c r="N800"/>
  <c r="M800"/>
  <c r="L800"/>
  <c r="P798"/>
  <c r="O798"/>
  <c r="N798"/>
  <c r="M798"/>
  <c r="L798"/>
  <c r="P796"/>
  <c r="O796"/>
  <c r="N796"/>
  <c r="M796"/>
  <c r="L796"/>
  <c r="P794"/>
  <c r="O794"/>
  <c r="N794"/>
  <c r="M794"/>
  <c r="L794"/>
  <c r="P792"/>
  <c r="O792"/>
  <c r="N792"/>
  <c r="M792"/>
  <c r="L792"/>
  <c r="P790"/>
  <c r="O790"/>
  <c r="N790"/>
  <c r="M790"/>
  <c r="L790"/>
  <c r="P788"/>
  <c r="O788"/>
  <c r="N788"/>
  <c r="M788"/>
  <c r="L788"/>
  <c r="P786"/>
  <c r="O786"/>
  <c r="N786"/>
  <c r="M786"/>
  <c r="L786"/>
  <c r="P784"/>
  <c r="O784"/>
  <c r="N784"/>
  <c r="M784"/>
  <c r="L784"/>
  <c r="P782"/>
  <c r="O782"/>
  <c r="N782"/>
  <c r="M782"/>
  <c r="L782"/>
  <c r="P780"/>
  <c r="O780"/>
  <c r="N780"/>
  <c r="M780"/>
  <c r="L780"/>
  <c r="P778"/>
  <c r="O778"/>
  <c r="N778"/>
  <c r="M778"/>
  <c r="L778"/>
  <c r="P776"/>
  <c r="O776"/>
  <c r="N776"/>
  <c r="M776"/>
  <c r="L776"/>
  <c r="P774"/>
  <c r="O774"/>
  <c r="N774"/>
  <c r="M774"/>
  <c r="L774"/>
  <c r="P772"/>
  <c r="O772"/>
  <c r="N772"/>
  <c r="M772"/>
  <c r="L772"/>
  <c r="P770"/>
  <c r="O770"/>
  <c r="N770"/>
  <c r="M770"/>
  <c r="L770"/>
  <c r="P768"/>
  <c r="O768"/>
  <c r="N768"/>
  <c r="M768"/>
  <c r="L768"/>
  <c r="P766"/>
  <c r="O766"/>
  <c r="N766"/>
  <c r="M766"/>
  <c r="L766"/>
  <c r="P764"/>
  <c r="O764"/>
  <c r="N764"/>
  <c r="M764"/>
  <c r="L764"/>
  <c r="P762"/>
  <c r="O762"/>
  <c r="N762"/>
  <c r="M762"/>
  <c r="L762"/>
  <c r="P760"/>
  <c r="O760"/>
  <c r="N760"/>
  <c r="M760"/>
  <c r="L760"/>
  <c r="P758"/>
  <c r="O758"/>
  <c r="N758"/>
  <c r="M758"/>
  <c r="L758"/>
  <c r="P756"/>
  <c r="O756"/>
  <c r="N756"/>
  <c r="M756"/>
  <c r="L756"/>
  <c r="P754"/>
  <c r="O754"/>
  <c r="N754"/>
  <c r="M754"/>
  <c r="L754"/>
  <c r="P752"/>
  <c r="O752"/>
  <c r="N752"/>
  <c r="M752"/>
  <c r="L752"/>
  <c r="P750"/>
  <c r="O750"/>
  <c r="N750"/>
  <c r="M750"/>
  <c r="L750"/>
  <c r="P748"/>
  <c r="O748"/>
  <c r="N748"/>
  <c r="M748"/>
  <c r="L748"/>
  <c r="P746"/>
  <c r="O746"/>
  <c r="N746"/>
  <c r="M746"/>
  <c r="L746"/>
  <c r="P744"/>
  <c r="O744"/>
  <c r="N744"/>
  <c r="M744"/>
  <c r="L744"/>
  <c r="P742"/>
  <c r="O742"/>
  <c r="N742"/>
  <c r="M742"/>
  <c r="L742"/>
  <c r="P740"/>
  <c r="O740"/>
  <c r="N740"/>
  <c r="M740"/>
  <c r="L740"/>
  <c r="P738"/>
  <c r="O738"/>
  <c r="N738"/>
  <c r="M738"/>
  <c r="L738"/>
  <c r="P736"/>
  <c r="O736"/>
  <c r="N736"/>
  <c r="M736"/>
  <c r="L736"/>
  <c r="P734"/>
  <c r="O734"/>
  <c r="N734"/>
  <c r="M734"/>
  <c r="L734"/>
  <c r="P732"/>
  <c r="O732"/>
  <c r="N732"/>
  <c r="M732"/>
  <c r="L732"/>
  <c r="P730"/>
  <c r="O730"/>
  <c r="N730"/>
  <c r="M730"/>
  <c r="L730"/>
  <c r="P728"/>
  <c r="O728"/>
  <c r="N728"/>
  <c r="M728"/>
  <c r="L728"/>
  <c r="P726"/>
  <c r="O726"/>
  <c r="N726"/>
  <c r="M726"/>
  <c r="L726"/>
  <c r="P724"/>
  <c r="O724"/>
  <c r="N724"/>
  <c r="M724"/>
  <c r="L724"/>
  <c r="P722"/>
  <c r="P720" s="1"/>
  <c r="O722"/>
  <c r="N722"/>
  <c r="N720" s="1"/>
  <c r="M722"/>
  <c r="L722"/>
  <c r="L720" s="1"/>
  <c r="E92" i="27"/>
  <c r="D92"/>
  <c r="B92"/>
  <c r="B98" s="1"/>
  <c r="Q85" i="1"/>
  <c r="Q59" i="10" s="1"/>
  <c r="Q83" i="1"/>
  <c r="Q57" i="10" s="1"/>
  <c r="Q81" i="1"/>
  <c r="Q55" i="10" s="1"/>
  <c r="Q79" i="1"/>
  <c r="Q53" i="10" s="1"/>
  <c r="Q77" i="1"/>
  <c r="Q51" i="10" s="1"/>
  <c r="Q75" i="1"/>
  <c r="Q49" i="10" s="1"/>
  <c r="Q73" i="1"/>
  <c r="Q47" i="10" s="1"/>
  <c r="Q56" i="1"/>
  <c r="Q43" i="10" s="1"/>
  <c r="Q54" i="1"/>
  <c r="Q41" i="10" s="1"/>
  <c r="Q52" i="1"/>
  <c r="Q39" i="10" s="1"/>
  <c r="Q50" i="1"/>
  <c r="Q37" i="10" s="1"/>
  <c r="Q48" i="1"/>
  <c r="Q35" i="10" s="1"/>
  <c r="Q46" i="1"/>
  <c r="Q33" i="10" s="1"/>
  <c r="Q44" i="1"/>
  <c r="Q31" i="10" s="1"/>
  <c r="Q27" i="1"/>
  <c r="Q27" i="10" s="1"/>
  <c r="Q25" i="1"/>
  <c r="Q25" i="10" s="1"/>
  <c r="Q23" i="1"/>
  <c r="Q23" i="10" s="1"/>
  <c r="Q21" i="1"/>
  <c r="Q21" i="10" s="1"/>
  <c r="Q19" i="1"/>
  <c r="Q19" i="10" s="1"/>
  <c r="Q17" i="1"/>
  <c r="Q17" i="10" s="1"/>
  <c r="Q15" i="1"/>
  <c r="Q15" i="10" s="1"/>
  <c r="P8" i="1"/>
  <c r="Q9" s="1"/>
  <c r="Q9" i="10" s="1"/>
  <c r="O8" i="1"/>
  <c r="N8"/>
  <c r="M8"/>
  <c r="W8" s="1"/>
  <c r="L8"/>
  <c r="P6"/>
  <c r="Q7" s="1"/>
  <c r="Q7" i="10" s="1"/>
  <c r="O6" i="1"/>
  <c r="N6"/>
  <c r="M6"/>
  <c r="W6" s="1"/>
  <c r="L6"/>
  <c r="V2" i="21"/>
  <c r="W2"/>
  <c r="V3"/>
  <c r="W3"/>
  <c r="K4"/>
  <c r="V4"/>
  <c r="W4"/>
  <c r="K5"/>
  <c r="V5"/>
  <c r="W5"/>
  <c r="K6"/>
  <c r="V6"/>
  <c r="W6"/>
  <c r="L7"/>
  <c r="M7"/>
  <c r="N7"/>
  <c r="O7"/>
  <c r="P7"/>
  <c r="V7" s="1"/>
  <c r="Q7"/>
  <c r="W7" s="1"/>
  <c r="R7"/>
  <c r="S7"/>
  <c r="T7"/>
  <c r="V8"/>
  <c r="W8"/>
  <c r="V9"/>
  <c r="W9"/>
  <c r="V10"/>
  <c r="W10"/>
  <c r="V11"/>
  <c r="W11"/>
  <c r="V12"/>
  <c r="W12"/>
  <c r="V13"/>
  <c r="W13"/>
  <c r="V14"/>
  <c r="W14"/>
  <c r="K15"/>
  <c r="L15"/>
  <c r="M15"/>
  <c r="N15"/>
  <c r="O15"/>
  <c r="P15"/>
  <c r="V15" s="1"/>
  <c r="Q15"/>
  <c r="W15" s="1"/>
  <c r="R15"/>
  <c r="S15"/>
  <c r="T15"/>
  <c r="V16"/>
  <c r="W16"/>
  <c r="V17"/>
  <c r="W17"/>
  <c r="V18"/>
  <c r="W18"/>
  <c r="V19"/>
  <c r="W19"/>
  <c r="V20"/>
  <c r="W20"/>
  <c r="V21"/>
  <c r="W21"/>
  <c r="V22"/>
  <c r="W22"/>
  <c r="K23"/>
  <c r="L23"/>
  <c r="M23"/>
  <c r="N23"/>
  <c r="O23"/>
  <c r="P23"/>
  <c r="V23" s="1"/>
  <c r="Q23"/>
  <c r="W23" s="1"/>
  <c r="R23"/>
  <c r="S23"/>
  <c r="T23"/>
  <c r="V24"/>
  <c r="W24"/>
  <c r="V25"/>
  <c r="W25"/>
  <c r="V26"/>
  <c r="W26"/>
  <c r="V27"/>
  <c r="W27"/>
  <c r="V28"/>
  <c r="W28"/>
  <c r="V29"/>
  <c r="W29"/>
  <c r="V30"/>
  <c r="W30"/>
  <c r="V31"/>
  <c r="W31"/>
  <c r="V32"/>
  <c r="W32"/>
  <c r="V33"/>
  <c r="W33"/>
  <c r="V34"/>
  <c r="W34"/>
  <c r="V35"/>
  <c r="W35"/>
  <c r="V36"/>
  <c r="W36"/>
  <c r="V37"/>
  <c r="W37"/>
  <c r="V38"/>
  <c r="W38"/>
  <c r="V39"/>
  <c r="W39"/>
  <c r="V40"/>
  <c r="W40"/>
  <c r="V41"/>
  <c r="W41"/>
  <c r="V42"/>
  <c r="W42"/>
  <c r="V43"/>
  <c r="W43"/>
  <c r="W45"/>
  <c r="K46"/>
  <c r="W46"/>
  <c r="K47"/>
  <c r="W47"/>
  <c r="K48"/>
  <c r="W48"/>
  <c r="K49"/>
  <c r="W49"/>
  <c r="V50"/>
  <c r="W50"/>
  <c r="K51"/>
  <c r="W51"/>
  <c r="K52"/>
  <c r="V52"/>
  <c r="W52"/>
  <c r="V56"/>
  <c r="W56"/>
  <c r="W57"/>
  <c r="K58"/>
  <c r="V58"/>
  <c r="W58"/>
  <c r="V59"/>
  <c r="W59"/>
  <c r="K60"/>
  <c r="V60"/>
  <c r="W60"/>
  <c r="K61"/>
  <c r="V61"/>
  <c r="W61"/>
  <c r="K62"/>
  <c r="W62"/>
  <c r="K63"/>
  <c r="M62"/>
  <c r="O62"/>
  <c r="W63"/>
  <c r="K64"/>
  <c r="V64"/>
  <c r="W64"/>
  <c r="V65"/>
  <c r="W65"/>
  <c r="V66"/>
  <c r="W66"/>
  <c r="V67"/>
  <c r="W67"/>
  <c r="V68"/>
  <c r="W68"/>
  <c r="V69"/>
  <c r="W69"/>
  <c r="V70"/>
  <c r="W70"/>
  <c r="V71"/>
  <c r="W71"/>
  <c r="V72"/>
  <c r="W72"/>
  <c r="V74"/>
  <c r="W74"/>
  <c r="V75"/>
  <c r="W75"/>
  <c r="V76"/>
  <c r="W76"/>
  <c r="V77"/>
  <c r="W77"/>
  <c r="V78"/>
  <c r="W78"/>
  <c r="V79"/>
  <c r="W79"/>
  <c r="V80"/>
  <c r="W80"/>
  <c r="V81"/>
  <c r="W81"/>
  <c r="V82"/>
  <c r="W82"/>
  <c r="V83"/>
  <c r="W83"/>
  <c r="V84"/>
  <c r="W84"/>
  <c r="V85"/>
  <c r="W85"/>
  <c r="V86"/>
  <c r="W86"/>
  <c r="V87"/>
  <c r="W87"/>
  <c r="W88"/>
  <c r="W89"/>
  <c r="W90"/>
  <c r="W91"/>
  <c r="K92"/>
  <c r="W92"/>
  <c r="W93"/>
  <c r="W94"/>
  <c r="W95"/>
  <c r="W96"/>
  <c r="W97"/>
  <c r="W98"/>
  <c r="W99"/>
  <c r="V100"/>
  <c r="W100"/>
  <c r="V101"/>
  <c r="W101"/>
  <c r="V102"/>
  <c r="W102"/>
  <c r="V103"/>
  <c r="W103"/>
  <c r="V104"/>
  <c r="W104"/>
  <c r="V105"/>
  <c r="W105"/>
  <c r="V106"/>
  <c r="W106"/>
  <c r="V107"/>
  <c r="W107"/>
  <c r="V108"/>
  <c r="W108"/>
  <c r="V109"/>
  <c r="W109"/>
  <c r="V110"/>
  <c r="W110"/>
  <c r="V111"/>
  <c r="W111"/>
  <c r="V112"/>
  <c r="W112"/>
  <c r="K113"/>
  <c r="V113"/>
  <c r="W113"/>
  <c r="V114"/>
  <c r="W114"/>
  <c r="V115"/>
  <c r="W115"/>
  <c r="V116"/>
  <c r="W116"/>
  <c r="V117"/>
  <c r="W117"/>
  <c r="V118"/>
  <c r="W118"/>
  <c r="V119"/>
  <c r="W119"/>
  <c r="V120"/>
  <c r="W120"/>
  <c r="V121"/>
  <c r="W121"/>
  <c r="V122"/>
  <c r="W122"/>
  <c r="V123"/>
  <c r="W123"/>
  <c r="V124"/>
  <c r="W124"/>
  <c r="V125"/>
  <c r="W125"/>
  <c r="V126"/>
  <c r="W126"/>
  <c r="V127"/>
  <c r="W127"/>
  <c r="V128"/>
  <c r="W128"/>
  <c r="V129"/>
  <c r="W129"/>
  <c r="V130"/>
  <c r="W130"/>
  <c r="V131"/>
  <c r="W131"/>
  <c r="V132"/>
  <c r="W132"/>
  <c r="V133"/>
  <c r="W133"/>
  <c r="V134"/>
  <c r="W134"/>
  <c r="V135"/>
  <c r="W135"/>
  <c r="V136"/>
  <c r="W136"/>
  <c r="V137"/>
  <c r="W137"/>
  <c r="V138"/>
  <c r="W138"/>
  <c r="V139"/>
  <c r="W139"/>
  <c r="V140"/>
  <c r="W140"/>
  <c r="V141"/>
  <c r="W141"/>
  <c r="V142"/>
  <c r="W142"/>
  <c r="V143"/>
  <c r="W143"/>
  <c r="V144"/>
  <c r="W144"/>
  <c r="V145"/>
  <c r="W145"/>
  <c r="V146"/>
  <c r="W146"/>
  <c r="V147"/>
  <c r="W147"/>
  <c r="V148"/>
  <c r="W148"/>
  <c r="V149"/>
  <c r="W149"/>
  <c r="V150"/>
  <c r="W150"/>
  <c r="V151"/>
  <c r="W151"/>
  <c r="V152"/>
  <c r="W152"/>
  <c r="V153"/>
  <c r="W153"/>
  <c r="V154"/>
  <c r="W154"/>
  <c r="V155"/>
  <c r="W155"/>
  <c r="V156"/>
  <c r="W156"/>
  <c r="V157"/>
  <c r="W157"/>
  <c r="V158"/>
  <c r="W158"/>
  <c r="V159"/>
  <c r="W159"/>
  <c r="V160"/>
  <c r="W160"/>
  <c r="V161"/>
  <c r="W161"/>
  <c r="V162"/>
  <c r="W162"/>
  <c r="V163"/>
  <c r="W163"/>
  <c r="V164"/>
  <c r="W164"/>
  <c r="V165"/>
  <c r="W165"/>
  <c r="V166"/>
  <c r="W166"/>
  <c r="V167"/>
  <c r="W167"/>
  <c r="K169"/>
  <c r="W169"/>
  <c r="V170"/>
  <c r="W170"/>
  <c r="V171"/>
  <c r="W171"/>
  <c r="V172"/>
  <c r="W172"/>
  <c r="V173"/>
  <c r="W173"/>
  <c r="V174"/>
  <c r="W174"/>
  <c r="V175"/>
  <c r="W175"/>
  <c r="V176"/>
  <c r="W176"/>
  <c r="V177"/>
  <c r="W177"/>
  <c r="V178"/>
  <c r="W178"/>
  <c r="V179"/>
  <c r="W179"/>
  <c r="V180"/>
  <c r="W180"/>
  <c r="V181"/>
  <c r="W181"/>
  <c r="V182"/>
  <c r="W182"/>
  <c r="V183"/>
  <c r="W183"/>
  <c r="V184"/>
  <c r="W184"/>
  <c r="V185"/>
  <c r="W185"/>
  <c r="V186"/>
  <c r="W186"/>
  <c r="V187"/>
  <c r="W187"/>
  <c r="V188"/>
  <c r="W188"/>
  <c r="V189"/>
  <c r="W189"/>
  <c r="V190"/>
  <c r="W190"/>
  <c r="V191"/>
  <c r="W191"/>
  <c r="V192"/>
  <c r="W192"/>
  <c r="V193"/>
  <c r="W193"/>
  <c r="V194"/>
  <c r="W194"/>
  <c r="V195"/>
  <c r="W195"/>
  <c r="V196"/>
  <c r="W196"/>
  <c r="V197"/>
  <c r="W197"/>
  <c r="V198"/>
  <c r="W198"/>
  <c r="V199"/>
  <c r="W199"/>
  <c r="V200"/>
  <c r="W200"/>
  <c r="V201"/>
  <c r="W201"/>
  <c r="V202"/>
  <c r="W202"/>
  <c r="V203"/>
  <c r="W203"/>
  <c r="V204"/>
  <c r="W204"/>
  <c r="V205"/>
  <c r="W205"/>
  <c r="V206"/>
  <c r="W206"/>
  <c r="V207"/>
  <c r="W207"/>
  <c r="V208"/>
  <c r="W208"/>
  <c r="V209"/>
  <c r="W209"/>
  <c r="V210"/>
  <c r="W210"/>
  <c r="V211"/>
  <c r="W211"/>
  <c r="V212"/>
  <c r="W212"/>
  <c r="V213"/>
  <c r="W213"/>
  <c r="K215"/>
  <c r="V215"/>
  <c r="W215"/>
  <c r="V216"/>
  <c r="W216"/>
  <c r="V217"/>
  <c r="W217"/>
  <c r="V218"/>
  <c r="W218"/>
  <c r="V219"/>
  <c r="W219"/>
  <c r="V220"/>
  <c r="W220"/>
  <c r="V221"/>
  <c r="W221"/>
  <c r="V222"/>
  <c r="W222"/>
  <c r="V223"/>
  <c r="W223"/>
  <c r="V224"/>
  <c r="W224"/>
  <c r="V225"/>
  <c r="W225"/>
  <c r="V226"/>
  <c r="W226"/>
  <c r="V227"/>
  <c r="W227"/>
  <c r="V228"/>
  <c r="W228"/>
  <c r="V229"/>
  <c r="W229"/>
  <c r="V230"/>
  <c r="W230"/>
  <c r="V231"/>
  <c r="W231"/>
  <c r="V232"/>
  <c r="W232"/>
  <c r="V233"/>
  <c r="W233"/>
  <c r="V234"/>
  <c r="W234"/>
  <c r="V235"/>
  <c r="W235"/>
  <c r="V236"/>
  <c r="W236"/>
  <c r="V237"/>
  <c r="W237"/>
  <c r="V238"/>
  <c r="W238"/>
  <c r="V239"/>
  <c r="W239"/>
  <c r="V240"/>
  <c r="W240"/>
  <c r="V241"/>
  <c r="W241"/>
  <c r="V242"/>
  <c r="W242"/>
  <c r="V243"/>
  <c r="W243"/>
  <c r="V244"/>
  <c r="W244"/>
  <c r="V245"/>
  <c r="W245"/>
  <c r="V246"/>
  <c r="W246"/>
  <c r="V247"/>
  <c r="W247"/>
  <c r="V248"/>
  <c r="W248"/>
  <c r="V249"/>
  <c r="W249"/>
  <c r="V250"/>
  <c r="W250"/>
  <c r="V251"/>
  <c r="W251"/>
  <c r="V252"/>
  <c r="W252"/>
  <c r="V253"/>
  <c r="W253"/>
  <c r="V254"/>
  <c r="W254"/>
  <c r="V255"/>
  <c r="W255"/>
  <c r="V256"/>
  <c r="W256"/>
  <c r="V257"/>
  <c r="W257"/>
  <c r="V258"/>
  <c r="W258"/>
  <c r="V259"/>
  <c r="W259"/>
  <c r="K261"/>
  <c r="V261"/>
  <c r="W261"/>
  <c r="V262"/>
  <c r="W262"/>
  <c r="V263"/>
  <c r="W263"/>
  <c r="V264"/>
  <c r="W264"/>
  <c r="V265"/>
  <c r="W265"/>
  <c r="V266"/>
  <c r="W266"/>
  <c r="V267"/>
  <c r="W267"/>
  <c r="V268"/>
  <c r="W268"/>
  <c r="V269"/>
  <c r="W269"/>
  <c r="V270"/>
  <c r="W270"/>
  <c r="V271"/>
  <c r="W271"/>
  <c r="V272"/>
  <c r="W272"/>
  <c r="V273"/>
  <c r="W273"/>
  <c r="V274"/>
  <c r="W274"/>
  <c r="V275"/>
  <c r="W275"/>
  <c r="K277"/>
  <c r="V277"/>
  <c r="W277"/>
  <c r="V278"/>
  <c r="W278"/>
  <c r="V279"/>
  <c r="W279"/>
  <c r="V280"/>
  <c r="W280"/>
  <c r="K281"/>
  <c r="W281"/>
  <c r="V282"/>
  <c r="W282"/>
  <c r="V283"/>
  <c r="W283"/>
  <c r="V284"/>
  <c r="W284"/>
  <c r="V285"/>
  <c r="W285"/>
  <c r="V286"/>
  <c r="W286"/>
  <c r="V287"/>
  <c r="W287"/>
  <c r="V288"/>
  <c r="W288"/>
  <c r="V289"/>
  <c r="W289"/>
  <c r="V290"/>
  <c r="W290"/>
  <c r="V291"/>
  <c r="W291"/>
  <c r="V292"/>
  <c r="W292"/>
  <c r="V293"/>
  <c r="W293"/>
  <c r="V294"/>
  <c r="W294"/>
  <c r="V295"/>
  <c r="W295"/>
  <c r="V296"/>
  <c r="W296"/>
  <c r="V297"/>
  <c r="W297"/>
  <c r="V298"/>
  <c r="W298"/>
  <c r="V299"/>
  <c r="W299"/>
  <c r="V300"/>
  <c r="W300"/>
  <c r="V301"/>
  <c r="W301"/>
  <c r="V302"/>
  <c r="W302"/>
  <c r="V303"/>
  <c r="W303"/>
  <c r="V304"/>
  <c r="W304"/>
  <c r="V305"/>
  <c r="W305"/>
  <c r="V306"/>
  <c r="W306"/>
  <c r="V307"/>
  <c r="W307"/>
  <c r="V308"/>
  <c r="W308"/>
  <c r="V309"/>
  <c r="W309"/>
  <c r="V310"/>
  <c r="W310"/>
  <c r="V311"/>
  <c r="W311"/>
  <c r="V312"/>
  <c r="W312"/>
  <c r="V313"/>
  <c r="W313"/>
  <c r="V314"/>
  <c r="W314"/>
  <c r="V315"/>
  <c r="W315"/>
  <c r="V316"/>
  <c r="W316"/>
  <c r="V317"/>
  <c r="W317"/>
  <c r="V318"/>
  <c r="W318"/>
  <c r="W319"/>
  <c r="W320"/>
  <c r="W321"/>
  <c r="W322"/>
  <c r="W323"/>
  <c r="W324"/>
  <c r="V325"/>
  <c r="W325"/>
  <c r="V326"/>
  <c r="W326"/>
  <c r="V327"/>
  <c r="W327"/>
  <c r="V328"/>
  <c r="W328"/>
  <c r="V329"/>
  <c r="W329"/>
  <c r="V330"/>
  <c r="W330"/>
  <c r="V331"/>
  <c r="W331"/>
  <c r="V332"/>
  <c r="W332"/>
  <c r="V333"/>
  <c r="W333"/>
  <c r="W334"/>
  <c r="K335"/>
  <c r="V335"/>
  <c r="W335"/>
  <c r="V336"/>
  <c r="W336"/>
  <c r="V337"/>
  <c r="W337"/>
  <c r="V338"/>
  <c r="W338"/>
  <c r="V339"/>
  <c r="W339"/>
  <c r="V340"/>
  <c r="W340"/>
  <c r="V341"/>
  <c r="W341"/>
  <c r="V342"/>
  <c r="W342"/>
  <c r="V343"/>
  <c r="W343"/>
  <c r="V344"/>
  <c r="W344"/>
  <c r="V345"/>
  <c r="W345"/>
  <c r="V346"/>
  <c r="W346"/>
  <c r="V347"/>
  <c r="W347"/>
  <c r="V348"/>
  <c r="W348"/>
  <c r="V349"/>
  <c r="W349"/>
  <c r="V350"/>
  <c r="W350"/>
  <c r="V351"/>
  <c r="W351"/>
  <c r="V352"/>
  <c r="W352"/>
  <c r="V353"/>
  <c r="W353"/>
  <c r="V354"/>
  <c r="W354"/>
  <c r="V355"/>
  <c r="W355"/>
  <c r="V356"/>
  <c r="W356"/>
  <c r="V357"/>
  <c r="W357"/>
  <c r="V358"/>
  <c r="W358"/>
  <c r="V359"/>
  <c r="W359"/>
  <c r="V360"/>
  <c r="W360"/>
  <c r="V361"/>
  <c r="W361"/>
  <c r="V362"/>
  <c r="W362"/>
  <c r="V363"/>
  <c r="W363"/>
  <c r="V364"/>
  <c r="W364"/>
  <c r="V365"/>
  <c r="W365"/>
  <c r="V366"/>
  <c r="W366"/>
  <c r="V367"/>
  <c r="W367"/>
  <c r="V368"/>
  <c r="W368"/>
  <c r="V369"/>
  <c r="W369"/>
  <c r="V370"/>
  <c r="W370"/>
  <c r="V371"/>
  <c r="W371"/>
  <c r="V372"/>
  <c r="W372"/>
  <c r="V373"/>
  <c r="W373"/>
  <c r="V374"/>
  <c r="W374"/>
  <c r="V375"/>
  <c r="W375"/>
  <c r="V376"/>
  <c r="W376"/>
  <c r="V377"/>
  <c r="W377"/>
  <c r="V378"/>
  <c r="W378"/>
  <c r="V379"/>
  <c r="W379"/>
  <c r="V380"/>
  <c r="W380"/>
  <c r="V381"/>
  <c r="W381"/>
  <c r="V382"/>
  <c r="W382"/>
  <c r="V383"/>
  <c r="W383"/>
  <c r="V384"/>
  <c r="W384"/>
  <c r="V385"/>
  <c r="W385"/>
  <c r="V386"/>
  <c r="W386"/>
  <c r="V387"/>
  <c r="W387"/>
  <c r="V388"/>
  <c r="W388"/>
  <c r="V389"/>
  <c r="W389"/>
  <c r="K391"/>
  <c r="V391"/>
  <c r="W391"/>
  <c r="V392"/>
  <c r="W392"/>
  <c r="V393"/>
  <c r="W393"/>
  <c r="V394"/>
  <c r="W394"/>
  <c r="V395"/>
  <c r="W395"/>
  <c r="V396"/>
  <c r="W396"/>
  <c r="V397"/>
  <c r="W397"/>
  <c r="V398"/>
  <c r="W398"/>
  <c r="V399"/>
  <c r="W399"/>
  <c r="V400"/>
  <c r="W400"/>
  <c r="V401"/>
  <c r="W401"/>
  <c r="V402"/>
  <c r="W402"/>
  <c r="V403"/>
  <c r="W403"/>
  <c r="V404"/>
  <c r="W404"/>
  <c r="V405"/>
  <c r="W405"/>
  <c r="V406"/>
  <c r="W406"/>
  <c r="V407"/>
  <c r="W407"/>
  <c r="V408"/>
  <c r="W408"/>
  <c r="V409"/>
  <c r="W409"/>
  <c r="V410"/>
  <c r="W410"/>
  <c r="V411"/>
  <c r="W411"/>
  <c r="V412"/>
  <c r="W412"/>
  <c r="V413"/>
  <c r="W413"/>
  <c r="V414"/>
  <c r="W414"/>
  <c r="V415"/>
  <c r="W415"/>
  <c r="V416"/>
  <c r="W416"/>
  <c r="V417"/>
  <c r="W417"/>
  <c r="V418"/>
  <c r="W418"/>
  <c r="V419"/>
  <c r="W419"/>
  <c r="V420"/>
  <c r="W420"/>
  <c r="V421"/>
  <c r="W421"/>
  <c r="V422"/>
  <c r="W422"/>
  <c r="V423"/>
  <c r="W423"/>
  <c r="V424"/>
  <c r="W424"/>
  <c r="V425"/>
  <c r="W425"/>
  <c r="V426"/>
  <c r="W426"/>
  <c r="V427"/>
  <c r="W427"/>
  <c r="V428"/>
  <c r="W428"/>
  <c r="V429"/>
  <c r="W429"/>
  <c r="V430"/>
  <c r="W430"/>
  <c r="V431"/>
  <c r="W431"/>
  <c r="V432"/>
  <c r="W432"/>
  <c r="V433"/>
  <c r="W433"/>
  <c r="V434"/>
  <c r="W434"/>
  <c r="V435"/>
  <c r="W435"/>
  <c r="K437"/>
  <c r="V437"/>
  <c r="W437"/>
  <c r="V438"/>
  <c r="W438"/>
  <c r="V439"/>
  <c r="W439"/>
  <c r="V440"/>
  <c r="W440"/>
  <c r="V441"/>
  <c r="W441"/>
  <c r="V442"/>
  <c r="W442"/>
  <c r="V443"/>
  <c r="W443"/>
  <c r="V444"/>
  <c r="W444"/>
  <c r="V445"/>
  <c r="W445"/>
  <c r="V446"/>
  <c r="W446"/>
  <c r="V447"/>
  <c r="W447"/>
  <c r="V448"/>
  <c r="W448"/>
  <c r="V449"/>
  <c r="W449"/>
  <c r="V450"/>
  <c r="W450"/>
  <c r="V451"/>
  <c r="W451"/>
  <c r="V452"/>
  <c r="W452"/>
  <c r="V453"/>
  <c r="W453"/>
  <c r="V454"/>
  <c r="W454"/>
  <c r="V455"/>
  <c r="W455"/>
  <c r="V456"/>
  <c r="W456"/>
  <c r="V457"/>
  <c r="W457"/>
  <c r="V458"/>
  <c r="W458"/>
  <c r="V459"/>
  <c r="W459"/>
  <c r="V460"/>
  <c r="W460"/>
  <c r="V461"/>
  <c r="W461"/>
  <c r="V462"/>
  <c r="W462"/>
  <c r="V463"/>
  <c r="W463"/>
  <c r="V464"/>
  <c r="W464"/>
  <c r="V465"/>
  <c r="W465"/>
  <c r="V466"/>
  <c r="W466"/>
  <c r="V467"/>
  <c r="W467"/>
  <c r="V468"/>
  <c r="W468"/>
  <c r="V469"/>
  <c r="W469"/>
  <c r="V470"/>
  <c r="W470"/>
  <c r="V471"/>
  <c r="W471"/>
  <c r="V472"/>
  <c r="W472"/>
  <c r="V473"/>
  <c r="W473"/>
  <c r="V474"/>
  <c r="W474"/>
  <c r="V475"/>
  <c r="W475"/>
  <c r="V476"/>
  <c r="W476"/>
  <c r="V477"/>
  <c r="W477"/>
  <c r="V478"/>
  <c r="W478"/>
  <c r="V479"/>
  <c r="W479"/>
  <c r="V480"/>
  <c r="W480"/>
  <c r="V481"/>
  <c r="W481"/>
  <c r="K483"/>
  <c r="V483"/>
  <c r="W483"/>
  <c r="V484"/>
  <c r="W484"/>
  <c r="V485"/>
  <c r="W485"/>
  <c r="V486"/>
  <c r="W486"/>
  <c r="V487"/>
  <c r="W487"/>
  <c r="V488"/>
  <c r="W488"/>
  <c r="V489"/>
  <c r="W489"/>
  <c r="V490"/>
  <c r="W490"/>
  <c r="V491"/>
  <c r="W491"/>
  <c r="V492"/>
  <c r="W492"/>
  <c r="V493"/>
  <c r="W493"/>
  <c r="V494"/>
  <c r="W494"/>
  <c r="V495"/>
  <c r="W495"/>
  <c r="V496"/>
  <c r="W496"/>
  <c r="V497"/>
  <c r="W497"/>
  <c r="K499"/>
  <c r="W499"/>
  <c r="W500"/>
  <c r="V501"/>
  <c r="W501"/>
  <c r="V502"/>
  <c r="W502"/>
  <c r="K504"/>
  <c r="V504"/>
  <c r="W504"/>
  <c r="V505"/>
  <c r="W505"/>
  <c r="V506"/>
  <c r="W506"/>
  <c r="V507"/>
  <c r="W507"/>
  <c r="V508"/>
  <c r="W508"/>
  <c r="V509"/>
  <c r="W509"/>
  <c r="V510"/>
  <c r="W510"/>
  <c r="V511"/>
  <c r="W511"/>
  <c r="V512"/>
  <c r="W512"/>
  <c r="V513"/>
  <c r="W513"/>
  <c r="V514"/>
  <c r="W514"/>
  <c r="V515"/>
  <c r="W515"/>
  <c r="V516"/>
  <c r="W516"/>
  <c r="V517"/>
  <c r="W517"/>
  <c r="V518"/>
  <c r="W518"/>
  <c r="V519"/>
  <c r="W519"/>
  <c r="V520"/>
  <c r="W520"/>
  <c r="V521"/>
  <c r="W521"/>
  <c r="V522"/>
  <c r="W522"/>
  <c r="V523"/>
  <c r="W523"/>
  <c r="V524"/>
  <c r="W524"/>
  <c r="V525"/>
  <c r="W525"/>
  <c r="V526"/>
  <c r="W526"/>
  <c r="V527"/>
  <c r="W527"/>
  <c r="V528"/>
  <c r="W528"/>
  <c r="V529"/>
  <c r="W529"/>
  <c r="V530"/>
  <c r="W530"/>
  <c r="V531"/>
  <c r="W531"/>
  <c r="V532"/>
  <c r="W532"/>
  <c r="V533"/>
  <c r="W533"/>
  <c r="V534"/>
  <c r="W534"/>
  <c r="V535"/>
  <c r="W535"/>
  <c r="V536"/>
  <c r="W536"/>
  <c r="V537"/>
  <c r="W537"/>
  <c r="V538"/>
  <c r="W538"/>
  <c r="V539"/>
  <c r="W539"/>
  <c r="V540"/>
  <c r="W540"/>
  <c r="V541"/>
  <c r="W541"/>
  <c r="V542"/>
  <c r="W542"/>
  <c r="K544"/>
  <c r="W544"/>
  <c r="W545"/>
  <c r="W546"/>
  <c r="W547"/>
  <c r="V548"/>
  <c r="W548"/>
  <c r="V549"/>
  <c r="W549"/>
  <c r="V550"/>
  <c r="W550"/>
  <c r="V551"/>
  <c r="W551"/>
  <c r="V552"/>
  <c r="W552"/>
  <c r="V553"/>
  <c r="W553"/>
  <c r="V554"/>
  <c r="W554"/>
  <c r="V555"/>
  <c r="W555"/>
  <c r="V556"/>
  <c r="W556"/>
  <c r="P944" i="1" l="1"/>
  <c r="L499" i="21"/>
  <c r="L334" s="1"/>
  <c r="B64" i="23"/>
  <c r="L174" i="1" s="1"/>
  <c r="B63" i="23"/>
  <c r="L172" i="1" s="1"/>
  <c r="M720"/>
  <c r="O720"/>
  <c r="C64" i="23"/>
  <c r="M174" i="1" s="1"/>
  <c r="C63" i="23"/>
  <c r="M172" i="1" s="1"/>
  <c r="M423" i="7"/>
  <c r="M904" i="1"/>
  <c r="O423" i="7"/>
  <c r="O904" i="1"/>
  <c r="L423" i="7"/>
  <c r="L904" i="1"/>
  <c r="N423" i="7"/>
  <c r="N904" i="1"/>
  <c r="P423" i="7"/>
  <c r="P904" i="1"/>
  <c r="L443" i="7"/>
  <c r="L944" i="1"/>
  <c r="M499" i="21"/>
  <c r="M334" s="1"/>
  <c r="B99" i="27"/>
  <c r="D63" i="23"/>
  <c r="N172" i="1" s="1"/>
  <c r="P500" i="21"/>
  <c r="O499"/>
  <c r="O334" s="1"/>
  <c r="O543" s="1"/>
  <c r="N334"/>
  <c r="N544" s="1"/>
  <c r="N499"/>
  <c r="M544"/>
  <c r="O544"/>
  <c r="E98" i="27"/>
  <c r="E99" s="1"/>
  <c r="D98"/>
  <c r="B100"/>
  <c r="M1041" i="1"/>
  <c r="O1041"/>
  <c r="M543" i="21"/>
  <c r="V169"/>
  <c r="L1041" i="1"/>
  <c r="N1041"/>
  <c r="L936"/>
  <c r="N936"/>
  <c r="K320" i="21"/>
  <c r="P51"/>
  <c r="P45" s="1"/>
  <c r="P88"/>
  <c r="P90" s="1"/>
  <c r="V319"/>
  <c r="M936" i="1"/>
  <c r="M606" s="1"/>
  <c r="M111" s="1"/>
  <c r="M1039" s="1"/>
  <c r="O936"/>
  <c r="O606" s="1"/>
  <c r="O111" s="1"/>
  <c r="O1039" s="1"/>
  <c r="K542" i="21"/>
  <c r="K334" s="1"/>
  <c r="K112"/>
  <c r="K323" s="1"/>
  <c r="M91"/>
  <c r="M90"/>
  <c r="M89"/>
  <c r="L91"/>
  <c r="L90"/>
  <c r="L89"/>
  <c r="O91"/>
  <c r="E65" i="23"/>
  <c r="E64"/>
  <c r="O174" i="1" s="1"/>
  <c r="P174" s="1"/>
  <c r="O90" i="21"/>
  <c r="O89"/>
  <c r="E63" i="23"/>
  <c r="O172" i="1" s="1"/>
  <c r="N91" i="21"/>
  <c r="D65" i="23"/>
  <c r="N90" i="21"/>
  <c r="D64" i="23"/>
  <c r="N174" i="1" s="1"/>
  <c r="N89" i="21"/>
  <c r="P63"/>
  <c r="V63" s="1"/>
  <c r="N62"/>
  <c r="L62"/>
  <c r="V57"/>
  <c r="N543" l="1"/>
  <c r="L176" i="1"/>
  <c r="L544" i="21"/>
  <c r="L546" s="1"/>
  <c r="L543"/>
  <c r="V88"/>
  <c r="P99"/>
  <c r="V99" s="1"/>
  <c r="P172" i="1"/>
  <c r="P176" s="1"/>
  <c r="O176"/>
  <c r="P96" i="21"/>
  <c r="V96" s="1"/>
  <c r="P89"/>
  <c r="N176" i="1"/>
  <c r="M176"/>
  <c r="O652" i="10"/>
  <c r="O1024" i="1"/>
  <c r="M652" i="10"/>
  <c r="M1024" i="1"/>
  <c r="L438" i="7"/>
  <c r="L606" i="1"/>
  <c r="L111" s="1"/>
  <c r="L1039" s="1"/>
  <c r="L487" i="7"/>
  <c r="L1169" i="10"/>
  <c r="P499" i="21"/>
  <c r="V500"/>
  <c r="P936" i="1"/>
  <c r="P606" s="1"/>
  <c r="O546" i="21"/>
  <c r="O545"/>
  <c r="O547"/>
  <c r="N545"/>
  <c r="N547"/>
  <c r="N546"/>
  <c r="M546"/>
  <c r="M547"/>
  <c r="M545"/>
  <c r="L545"/>
  <c r="L547"/>
  <c r="D101" i="27"/>
  <c r="D103"/>
  <c r="D100"/>
  <c r="D102"/>
  <c r="D104"/>
  <c r="E100"/>
  <c r="E102"/>
  <c r="E104"/>
  <c r="E101"/>
  <c r="E103"/>
  <c r="D99"/>
  <c r="B102"/>
  <c r="B104"/>
  <c r="B101"/>
  <c r="B103"/>
  <c r="P98" i="21"/>
  <c r="V98" s="1"/>
  <c r="P92"/>
  <c r="V92" s="1"/>
  <c r="P95"/>
  <c r="V95" s="1"/>
  <c r="V51"/>
  <c r="P94"/>
  <c r="V94" s="1"/>
  <c r="P91"/>
  <c r="P97"/>
  <c r="V97" s="1"/>
  <c r="P93"/>
  <c r="V93" s="1"/>
  <c r="P1041" i="1"/>
  <c r="K322" i="21"/>
  <c r="V91"/>
  <c r="V320"/>
  <c r="V281"/>
  <c r="K324"/>
  <c r="K91" s="1"/>
  <c r="N48"/>
  <c r="M48"/>
  <c r="V89"/>
  <c r="V90"/>
  <c r="N49"/>
  <c r="AC49" s="1"/>
  <c r="N47"/>
  <c r="AC47" s="1"/>
  <c r="M49"/>
  <c r="AB49" s="1"/>
  <c r="M47"/>
  <c r="AB47" s="1"/>
  <c r="L49"/>
  <c r="AA49" s="1"/>
  <c r="L48"/>
  <c r="AA48" s="1"/>
  <c r="L47"/>
  <c r="AA47" s="1"/>
  <c r="O49"/>
  <c r="AD49" s="1"/>
  <c r="O48"/>
  <c r="AD48" s="1"/>
  <c r="O47"/>
  <c r="AD47" s="1"/>
  <c r="O46"/>
  <c r="AD46" s="1"/>
  <c r="P62"/>
  <c r="V62" s="1"/>
  <c r="P1024" i="1" l="1"/>
  <c r="P1028" s="1"/>
  <c r="P111"/>
  <c r="P1039" s="1"/>
  <c r="L1167" i="10"/>
  <c r="L486" i="7"/>
  <c r="P1030" i="1"/>
  <c r="P1026"/>
  <c r="M1030"/>
  <c r="M1028"/>
  <c r="M1026"/>
  <c r="O1028"/>
  <c r="O1026"/>
  <c r="O1030"/>
  <c r="L652" i="10"/>
  <c r="L1024" i="1"/>
  <c r="V499" i="21"/>
  <c r="P334"/>
  <c r="K90"/>
  <c r="M557"/>
  <c r="M558"/>
  <c r="N559"/>
  <c r="O559"/>
  <c r="O558"/>
  <c r="M559"/>
  <c r="N558"/>
  <c r="N557"/>
  <c r="O557"/>
  <c r="L557"/>
  <c r="L559"/>
  <c r="L558"/>
  <c r="AB48"/>
  <c r="AC48"/>
  <c r="M46"/>
  <c r="N46"/>
  <c r="AE49"/>
  <c r="P49" s="1"/>
  <c r="V45"/>
  <c r="P47"/>
  <c r="AE48" l="1"/>
  <c r="P48" s="1"/>
  <c r="L1030" i="1"/>
  <c r="L1028"/>
  <c r="P652" i="10"/>
  <c r="P543" i="21"/>
  <c r="P544"/>
  <c r="V334"/>
  <c r="AE46"/>
  <c r="P46" s="1"/>
  <c r="V46" s="1"/>
  <c r="V47"/>
  <c r="AC46"/>
  <c r="AB46"/>
  <c r="V48"/>
  <c r="V49"/>
  <c r="N1184" i="10"/>
  <c r="M1184"/>
  <c r="L1184"/>
  <c r="O1184" l="1"/>
  <c r="P1184" s="1"/>
  <c r="Q1184" s="1"/>
  <c r="R1184" s="1"/>
  <c r="S1184" s="1"/>
  <c r="T1184" s="1"/>
  <c r="U1184" s="1"/>
  <c r="P547" i="21"/>
  <c r="P545"/>
  <c r="V544"/>
  <c r="P546"/>
  <c r="B153" i="16"/>
  <c r="C153"/>
  <c r="E153"/>
  <c r="A155"/>
  <c r="B155"/>
  <c r="F155" s="1"/>
  <c r="A156"/>
  <c r="B156"/>
  <c r="A157"/>
  <c r="B157"/>
  <c r="F157" s="1"/>
  <c r="E155" l="1"/>
  <c r="V547" i="21"/>
  <c r="V546"/>
  <c r="V545"/>
  <c r="E157" i="16"/>
  <c r="E156"/>
  <c r="F156"/>
  <c r="J1150" i="10"/>
  <c r="I1150"/>
  <c r="H1150"/>
  <c r="G1150"/>
  <c r="F1150"/>
  <c r="C1150"/>
  <c r="E500"/>
  <c r="E502" s="1"/>
  <c r="E398"/>
  <c r="E400" s="1"/>
  <c r="E174"/>
  <c r="E176" s="1"/>
  <c r="E92"/>
  <c r="M88"/>
  <c r="N88"/>
  <c r="O88"/>
  <c r="P88"/>
  <c r="Q88"/>
  <c r="R88"/>
  <c r="S88"/>
  <c r="T88"/>
  <c r="L88"/>
  <c r="M86"/>
  <c r="N86"/>
  <c r="O86"/>
  <c r="P86"/>
  <c r="Q86"/>
  <c r="R86"/>
  <c r="S86"/>
  <c r="T86"/>
  <c r="U86"/>
  <c r="V87" s="1"/>
  <c r="L86"/>
  <c r="M1196" l="1"/>
  <c r="N1196"/>
  <c r="O1196"/>
  <c r="P1196"/>
  <c r="Q1196"/>
  <c r="R1196"/>
  <c r="S1196"/>
  <c r="T1196"/>
  <c r="U1196"/>
  <c r="L1196"/>
  <c r="M1194"/>
  <c r="N1194"/>
  <c r="O1194"/>
  <c r="P1194"/>
  <c r="Q1194"/>
  <c r="R1194"/>
  <c r="S1194"/>
  <c r="T1194"/>
  <c r="U1194"/>
  <c r="L1194"/>
  <c r="M1192"/>
  <c r="N1192"/>
  <c r="O1192"/>
  <c r="P1192"/>
  <c r="Q1192"/>
  <c r="R1192"/>
  <c r="S1192"/>
  <c r="T1192"/>
  <c r="U1192"/>
  <c r="L1192"/>
  <c r="M1190"/>
  <c r="N1190"/>
  <c r="O1190"/>
  <c r="P1190"/>
  <c r="Q1190"/>
  <c r="R1190"/>
  <c r="S1190"/>
  <c r="T1190"/>
  <c r="U1190"/>
  <c r="L1190"/>
  <c r="M1188"/>
  <c r="N1188"/>
  <c r="O1188"/>
  <c r="P1188"/>
  <c r="Q1188"/>
  <c r="R1188"/>
  <c r="S1188"/>
  <c r="T1188"/>
  <c r="U1188"/>
  <c r="L1188"/>
  <c r="M1186"/>
  <c r="N1186"/>
  <c r="O1186"/>
  <c r="P1186"/>
  <c r="Q1186"/>
  <c r="R1186"/>
  <c r="S1186"/>
  <c r="T1186"/>
  <c r="U1186"/>
  <c r="L1186"/>
  <c r="V1186" l="1"/>
  <c r="V168" s="1"/>
  <c r="V1188"/>
  <c r="V663" s="1"/>
  <c r="V1190"/>
  <c r="V665" s="1"/>
  <c r="V1192"/>
  <c r="V290" s="1"/>
  <c r="V1194"/>
  <c r="V787" s="1"/>
  <c r="V1196"/>
  <c r="V791" s="1"/>
  <c r="M94"/>
  <c r="N94"/>
  <c r="O94"/>
  <c r="P94"/>
  <c r="Q94"/>
  <c r="R94"/>
  <c r="S94"/>
  <c r="T94"/>
  <c r="U94"/>
  <c r="V95" s="1"/>
  <c r="M92"/>
  <c r="N92"/>
  <c r="O92"/>
  <c r="P92"/>
  <c r="Q92"/>
  <c r="R92"/>
  <c r="S92"/>
  <c r="T92"/>
  <c r="U92"/>
  <c r="V93" s="1"/>
  <c r="L92"/>
  <c r="M90"/>
  <c r="N90"/>
  <c r="O90"/>
  <c r="P90"/>
  <c r="Q90"/>
  <c r="R90"/>
  <c r="S90"/>
  <c r="T90"/>
  <c r="U90"/>
  <c r="V91" s="1"/>
  <c r="L90"/>
  <c r="V1197" l="1"/>
  <c r="V1195"/>
  <c r="V1193"/>
  <c r="V1191"/>
  <c r="V1189"/>
  <c r="V1187"/>
  <c r="U88"/>
  <c r="V89" s="1"/>
  <c r="P4" i="1" l="1"/>
  <c r="Q5" s="1"/>
  <c r="Q5" i="10" s="1"/>
  <c r="O4" i="1"/>
  <c r="N4"/>
  <c r="M4"/>
  <c r="W4" s="1"/>
  <c r="L107" l="1"/>
  <c r="L90" s="1"/>
  <c r="P107"/>
  <c r="P90" s="1"/>
  <c r="V1184" i="10"/>
  <c r="M107" i="1"/>
  <c r="M90" s="1"/>
  <c r="O107"/>
  <c r="O90" s="1"/>
  <c r="L41"/>
  <c r="L4"/>
  <c r="M96" l="1"/>
  <c r="M94"/>
  <c r="M92"/>
  <c r="M98"/>
  <c r="P96"/>
  <c r="P94"/>
  <c r="P92"/>
  <c r="P98"/>
  <c r="L96"/>
  <c r="L94"/>
  <c r="L92"/>
  <c r="L98"/>
  <c r="O92"/>
  <c r="O94"/>
  <c r="O98"/>
  <c r="O96"/>
  <c r="K489" i="7"/>
  <c r="I489"/>
  <c r="H489"/>
  <c r="G489"/>
  <c r="F489"/>
  <c r="K488"/>
  <c r="I488"/>
  <c r="H488"/>
  <c r="G488"/>
  <c r="F488"/>
  <c r="K487"/>
  <c r="J487"/>
  <c r="I487"/>
  <c r="H487"/>
  <c r="G487"/>
  <c r="F487"/>
  <c r="D487"/>
  <c r="K486"/>
  <c r="J486"/>
  <c r="I486"/>
  <c r="H486"/>
  <c r="G486"/>
  <c r="F486"/>
  <c r="D486"/>
  <c r="K485"/>
  <c r="J485"/>
  <c r="I485"/>
  <c r="H485"/>
  <c r="G485"/>
  <c r="F485"/>
  <c r="C485"/>
  <c r="B485"/>
  <c r="J1167" i="10"/>
  <c r="K1170"/>
  <c r="I1170"/>
  <c r="H1170"/>
  <c r="G1170"/>
  <c r="F1170"/>
  <c r="K1169"/>
  <c r="J1169"/>
  <c r="I1169"/>
  <c r="H1169"/>
  <c r="G1169"/>
  <c r="F1169"/>
  <c r="D1169"/>
  <c r="K1168"/>
  <c r="I1168"/>
  <c r="H1168"/>
  <c r="G1168"/>
  <c r="F1168"/>
  <c r="C1168"/>
  <c r="K1167"/>
  <c r="I1167"/>
  <c r="H1167"/>
  <c r="G1167"/>
  <c r="F1167"/>
  <c r="D1167"/>
  <c r="K1166"/>
  <c r="I1166"/>
  <c r="H1166"/>
  <c r="G1166"/>
  <c r="F1166"/>
  <c r="C1166"/>
  <c r="K1165"/>
  <c r="J1165"/>
  <c r="I1165"/>
  <c r="H1165"/>
  <c r="G1165"/>
  <c r="F1165"/>
  <c r="C1165"/>
  <c r="B1165"/>
  <c r="A1037" i="1"/>
  <c r="A485" i="7" s="1"/>
  <c r="V1185" i="10" l="1"/>
  <c r="V1065"/>
  <c r="V997"/>
  <c r="V785"/>
  <c r="V1043"/>
  <c r="V891"/>
  <c r="V661"/>
  <c r="L1037" i="1"/>
  <c r="A1165" i="10"/>
  <c r="U1071"/>
  <c r="V1072" s="1"/>
  <c r="T1071"/>
  <c r="S1071"/>
  <c r="T1072" s="1"/>
  <c r="R1071"/>
  <c r="Q1071"/>
  <c r="R1072" s="1"/>
  <c r="P1071"/>
  <c r="O1071"/>
  <c r="P1072" s="1"/>
  <c r="N1071"/>
  <c r="M1071"/>
  <c r="N1072" s="1"/>
  <c r="U1069"/>
  <c r="V1070" s="1"/>
  <c r="T1069"/>
  <c r="U1070" s="1"/>
  <c r="S1069"/>
  <c r="R1069"/>
  <c r="S1070" s="1"/>
  <c r="Q1069"/>
  <c r="P1069"/>
  <c r="Q1070" s="1"/>
  <c r="O1069"/>
  <c r="N1069"/>
  <c r="O1070" s="1"/>
  <c r="M1069"/>
  <c r="U1067"/>
  <c r="V1068" s="1"/>
  <c r="T1067"/>
  <c r="S1067"/>
  <c r="T1068" s="1"/>
  <c r="R1067"/>
  <c r="Q1067"/>
  <c r="R1068" s="1"/>
  <c r="P1067"/>
  <c r="O1067"/>
  <c r="P1068" s="1"/>
  <c r="N1067"/>
  <c r="M1067"/>
  <c r="N1068" s="1"/>
  <c r="U1065"/>
  <c r="T1065"/>
  <c r="T1066" s="1"/>
  <c r="S1065"/>
  <c r="R1065"/>
  <c r="Q1065"/>
  <c r="P1065"/>
  <c r="P1066" s="1"/>
  <c r="O1065"/>
  <c r="N1065"/>
  <c r="N1066" s="1"/>
  <c r="M1065"/>
  <c r="U1063"/>
  <c r="V1064" s="1"/>
  <c r="T1063"/>
  <c r="S1063"/>
  <c r="S1064" s="1"/>
  <c r="R1063"/>
  <c r="Q1063"/>
  <c r="Q1064" s="1"/>
  <c r="P1063"/>
  <c r="O1063"/>
  <c r="O1064" s="1"/>
  <c r="N1063"/>
  <c r="M1063"/>
  <c r="U1061"/>
  <c r="V1062" s="1"/>
  <c r="T1061"/>
  <c r="T1062" s="1"/>
  <c r="S1061"/>
  <c r="R1061"/>
  <c r="R1062" s="1"/>
  <c r="Q1061"/>
  <c r="P1061"/>
  <c r="P1062" s="1"/>
  <c r="O1061"/>
  <c r="N1061"/>
  <c r="N1062" s="1"/>
  <c r="M1061"/>
  <c r="L1071"/>
  <c r="L1069"/>
  <c r="L1067"/>
  <c r="L1065"/>
  <c r="L1063"/>
  <c r="L1061"/>
  <c r="U1049"/>
  <c r="V1050" s="1"/>
  <c r="T1049"/>
  <c r="S1049"/>
  <c r="S1050" s="1"/>
  <c r="R1049"/>
  <c r="Q1049"/>
  <c r="Q1050" s="1"/>
  <c r="P1049"/>
  <c r="O1049"/>
  <c r="O1050" s="1"/>
  <c r="N1049"/>
  <c r="M1049"/>
  <c r="U1047"/>
  <c r="V1048" s="1"/>
  <c r="T1047"/>
  <c r="T1048" s="1"/>
  <c r="S1047"/>
  <c r="R1047"/>
  <c r="R1048" s="1"/>
  <c r="Q1047"/>
  <c r="P1047"/>
  <c r="P1048" s="1"/>
  <c r="O1047"/>
  <c r="N1047"/>
  <c r="N1048" s="1"/>
  <c r="M1047"/>
  <c r="U1045"/>
  <c r="V1046" s="1"/>
  <c r="T1045"/>
  <c r="S1045"/>
  <c r="S1046" s="1"/>
  <c r="R1045"/>
  <c r="Q1045"/>
  <c r="Q1046" s="1"/>
  <c r="P1045"/>
  <c r="O1045"/>
  <c r="O1046" s="1"/>
  <c r="N1045"/>
  <c r="M1045"/>
  <c r="U1043"/>
  <c r="T1043"/>
  <c r="U1044" s="1"/>
  <c r="S1043"/>
  <c r="R1043"/>
  <c r="S1044" s="1"/>
  <c r="Q1043"/>
  <c r="P1043"/>
  <c r="Q1044" s="1"/>
  <c r="O1043"/>
  <c r="N1043"/>
  <c r="O1044" s="1"/>
  <c r="M1043"/>
  <c r="U1041"/>
  <c r="V1042" s="1"/>
  <c r="T1041"/>
  <c r="S1041"/>
  <c r="T1042" s="1"/>
  <c r="R1041"/>
  <c r="Q1041"/>
  <c r="R1042" s="1"/>
  <c r="P1041"/>
  <c r="O1041"/>
  <c r="P1042" s="1"/>
  <c r="N1041"/>
  <c r="M1041"/>
  <c r="N1042" s="1"/>
  <c r="U1039"/>
  <c r="V1040" s="1"/>
  <c r="T1039"/>
  <c r="U1040" s="1"/>
  <c r="S1039"/>
  <c r="R1039"/>
  <c r="S1040" s="1"/>
  <c r="Q1039"/>
  <c r="P1039"/>
  <c r="Q1040" s="1"/>
  <c r="O1039"/>
  <c r="N1039"/>
  <c r="O1040" s="1"/>
  <c r="M1039"/>
  <c r="L1049"/>
  <c r="L1047"/>
  <c r="L1045"/>
  <c r="L1043"/>
  <c r="L1041"/>
  <c r="L1039"/>
  <c r="U1003"/>
  <c r="V1004" s="1"/>
  <c r="T1003"/>
  <c r="S1003"/>
  <c r="T1004" s="1"/>
  <c r="R1003"/>
  <c r="Q1003"/>
  <c r="R1004" s="1"/>
  <c r="P1003"/>
  <c r="O1003"/>
  <c r="P1004" s="1"/>
  <c r="N1003"/>
  <c r="M1003"/>
  <c r="N1004" s="1"/>
  <c r="U1001"/>
  <c r="V1002" s="1"/>
  <c r="T1001"/>
  <c r="U1002" s="1"/>
  <c r="S1001"/>
  <c r="R1001"/>
  <c r="S1002" s="1"/>
  <c r="Q1001"/>
  <c r="P1001"/>
  <c r="Q1002" s="1"/>
  <c r="O1001"/>
  <c r="N1001"/>
  <c r="O1002" s="1"/>
  <c r="M1001"/>
  <c r="U999"/>
  <c r="V1000" s="1"/>
  <c r="T999"/>
  <c r="S999"/>
  <c r="T1000" s="1"/>
  <c r="R999"/>
  <c r="Q999"/>
  <c r="R1000" s="1"/>
  <c r="P999"/>
  <c r="O999"/>
  <c r="P1000" s="1"/>
  <c r="N999"/>
  <c r="M999"/>
  <c r="N1000" s="1"/>
  <c r="U997"/>
  <c r="T997"/>
  <c r="S997"/>
  <c r="R997"/>
  <c r="Q997"/>
  <c r="P997"/>
  <c r="O997"/>
  <c r="N997"/>
  <c r="M997"/>
  <c r="U995"/>
  <c r="V996" s="1"/>
  <c r="T995"/>
  <c r="S995"/>
  <c r="S996" s="1"/>
  <c r="R995"/>
  <c r="Q995"/>
  <c r="Q996" s="1"/>
  <c r="P995"/>
  <c r="O995"/>
  <c r="O996" s="1"/>
  <c r="N995"/>
  <c r="M995"/>
  <c r="U993"/>
  <c r="V994" s="1"/>
  <c r="T993"/>
  <c r="T994" s="1"/>
  <c r="S993"/>
  <c r="R993"/>
  <c r="R994" s="1"/>
  <c r="Q993"/>
  <c r="P993"/>
  <c r="P994" s="1"/>
  <c r="O993"/>
  <c r="N993"/>
  <c r="N994" s="1"/>
  <c r="M993"/>
  <c r="L1003"/>
  <c r="L1001"/>
  <c r="L999"/>
  <c r="L997"/>
  <c r="L995"/>
  <c r="L993"/>
  <c r="U897"/>
  <c r="V898" s="1"/>
  <c r="T897"/>
  <c r="S897"/>
  <c r="S898" s="1"/>
  <c r="R897"/>
  <c r="Q897"/>
  <c r="Q898" s="1"/>
  <c r="P897"/>
  <c r="O897"/>
  <c r="O898" s="1"/>
  <c r="N897"/>
  <c r="M897"/>
  <c r="M898" s="1"/>
  <c r="U895"/>
  <c r="V896" s="1"/>
  <c r="T895"/>
  <c r="T896" s="1"/>
  <c r="S895"/>
  <c r="R895"/>
  <c r="R896" s="1"/>
  <c r="Q895"/>
  <c r="P895"/>
  <c r="P896" s="1"/>
  <c r="O895"/>
  <c r="N895"/>
  <c r="N896" s="1"/>
  <c r="M895"/>
  <c r="U893"/>
  <c r="V894" s="1"/>
  <c r="T893"/>
  <c r="S893"/>
  <c r="S894" s="1"/>
  <c r="R893"/>
  <c r="Q893"/>
  <c r="Q894" s="1"/>
  <c r="P893"/>
  <c r="O893"/>
  <c r="O894" s="1"/>
  <c r="N893"/>
  <c r="M893"/>
  <c r="M894" s="1"/>
  <c r="U891"/>
  <c r="T891"/>
  <c r="U892" s="1"/>
  <c r="S891"/>
  <c r="R891"/>
  <c r="S892" s="1"/>
  <c r="Q891"/>
  <c r="P891"/>
  <c r="Q892" s="1"/>
  <c r="O891"/>
  <c r="N891"/>
  <c r="O892" s="1"/>
  <c r="M891"/>
  <c r="U889"/>
  <c r="V890" s="1"/>
  <c r="T889"/>
  <c r="S889"/>
  <c r="T890" s="1"/>
  <c r="R889"/>
  <c r="Q889"/>
  <c r="R890" s="1"/>
  <c r="P889"/>
  <c r="O889"/>
  <c r="P890" s="1"/>
  <c r="N889"/>
  <c r="M889"/>
  <c r="N890" s="1"/>
  <c r="L889"/>
  <c r="U887"/>
  <c r="V888" s="1"/>
  <c r="T887"/>
  <c r="S887"/>
  <c r="S888" s="1"/>
  <c r="R887"/>
  <c r="Q887"/>
  <c r="Q888" s="1"/>
  <c r="P887"/>
  <c r="O887"/>
  <c r="O888" s="1"/>
  <c r="N887"/>
  <c r="M887"/>
  <c r="M888" s="1"/>
  <c r="L897"/>
  <c r="L895"/>
  <c r="L893"/>
  <c r="L891"/>
  <c r="M892" s="1"/>
  <c r="L887"/>
  <c r="U791"/>
  <c r="V792" s="1"/>
  <c r="T791"/>
  <c r="S791"/>
  <c r="T792" s="1"/>
  <c r="R791"/>
  <c r="Q791"/>
  <c r="R792" s="1"/>
  <c r="P791"/>
  <c r="O791"/>
  <c r="P792" s="1"/>
  <c r="N791"/>
  <c r="M791"/>
  <c r="N792" s="1"/>
  <c r="U789"/>
  <c r="V790" s="1"/>
  <c r="T789"/>
  <c r="U790" s="1"/>
  <c r="S789"/>
  <c r="R789"/>
  <c r="S790" s="1"/>
  <c r="Q789"/>
  <c r="P789"/>
  <c r="Q790" s="1"/>
  <c r="O789"/>
  <c r="N789"/>
  <c r="O790" s="1"/>
  <c r="M789"/>
  <c r="U787"/>
  <c r="V788" s="1"/>
  <c r="T787"/>
  <c r="S787"/>
  <c r="T788" s="1"/>
  <c r="R787"/>
  <c r="Q787"/>
  <c r="R788" s="1"/>
  <c r="P787"/>
  <c r="O787"/>
  <c r="P788" s="1"/>
  <c r="N787"/>
  <c r="M787"/>
  <c r="N788" s="1"/>
  <c r="U785"/>
  <c r="T785"/>
  <c r="U786" s="1"/>
  <c r="S785"/>
  <c r="R785"/>
  <c r="S786" s="1"/>
  <c r="Q785"/>
  <c r="P785"/>
  <c r="Q786" s="1"/>
  <c r="O785"/>
  <c r="N785"/>
  <c r="N786" s="1"/>
  <c r="M785"/>
  <c r="U783"/>
  <c r="V784" s="1"/>
  <c r="T783"/>
  <c r="S783"/>
  <c r="S784" s="1"/>
  <c r="R783"/>
  <c r="Q783"/>
  <c r="Q784" s="1"/>
  <c r="P783"/>
  <c r="O783"/>
  <c r="O784" s="1"/>
  <c r="N783"/>
  <c r="M783"/>
  <c r="M784" s="1"/>
  <c r="L783"/>
  <c r="U781"/>
  <c r="V782" s="1"/>
  <c r="T781"/>
  <c r="S781"/>
  <c r="T782" s="1"/>
  <c r="R781"/>
  <c r="Q781"/>
  <c r="R782" s="1"/>
  <c r="P781"/>
  <c r="O781"/>
  <c r="P782" s="1"/>
  <c r="N781"/>
  <c r="M781"/>
  <c r="N782" s="1"/>
  <c r="L791"/>
  <c r="L789"/>
  <c r="M790" s="1"/>
  <c r="L787"/>
  <c r="L785"/>
  <c r="L781"/>
  <c r="U665"/>
  <c r="V666" s="1"/>
  <c r="T665"/>
  <c r="S665"/>
  <c r="S666" s="1"/>
  <c r="R665"/>
  <c r="Q665"/>
  <c r="Q666" s="1"/>
  <c r="P665"/>
  <c r="O665"/>
  <c r="O666" s="1"/>
  <c r="N665"/>
  <c r="M665"/>
  <c r="M666" s="1"/>
  <c r="U663"/>
  <c r="V664" s="1"/>
  <c r="T663"/>
  <c r="T664" s="1"/>
  <c r="S663"/>
  <c r="R663"/>
  <c r="R664" s="1"/>
  <c r="Q663"/>
  <c r="P663"/>
  <c r="P664" s="1"/>
  <c r="O663"/>
  <c r="N663"/>
  <c r="N664" s="1"/>
  <c r="M663"/>
  <c r="U661"/>
  <c r="T661"/>
  <c r="S661"/>
  <c r="T662" s="1"/>
  <c r="R661"/>
  <c r="Q661"/>
  <c r="P661"/>
  <c r="O661"/>
  <c r="P662" s="1"/>
  <c r="N661"/>
  <c r="M661"/>
  <c r="N662" s="1"/>
  <c r="U659"/>
  <c r="V660" s="1"/>
  <c r="T659"/>
  <c r="U660" s="1"/>
  <c r="S659"/>
  <c r="R659"/>
  <c r="S660" s="1"/>
  <c r="Q659"/>
  <c r="P659"/>
  <c r="Q660" s="1"/>
  <c r="O659"/>
  <c r="N659"/>
  <c r="O660" s="1"/>
  <c r="M659"/>
  <c r="U657"/>
  <c r="V658" s="1"/>
  <c r="T657"/>
  <c r="S657"/>
  <c r="T658" s="1"/>
  <c r="R657"/>
  <c r="Q657"/>
  <c r="R658" s="1"/>
  <c r="P657"/>
  <c r="O657"/>
  <c r="P658" s="1"/>
  <c r="N657"/>
  <c r="M657"/>
  <c r="N658" s="1"/>
  <c r="L665"/>
  <c r="L663"/>
  <c r="L661"/>
  <c r="L659"/>
  <c r="M660" s="1"/>
  <c r="L657"/>
  <c r="U560"/>
  <c r="V561" s="1"/>
  <c r="T560"/>
  <c r="S560"/>
  <c r="T561" s="1"/>
  <c r="R560"/>
  <c r="Q560"/>
  <c r="R561" s="1"/>
  <c r="P560"/>
  <c r="O560"/>
  <c r="P561" s="1"/>
  <c r="N560"/>
  <c r="M560"/>
  <c r="N561" s="1"/>
  <c r="U558"/>
  <c r="V559" s="1"/>
  <c r="T558"/>
  <c r="U559" s="1"/>
  <c r="S558"/>
  <c r="R558"/>
  <c r="S559" s="1"/>
  <c r="Q558"/>
  <c r="P558"/>
  <c r="Q559" s="1"/>
  <c r="O558"/>
  <c r="N558"/>
  <c r="O559" s="1"/>
  <c r="M558"/>
  <c r="U556"/>
  <c r="V557" s="1"/>
  <c r="T556"/>
  <c r="S556"/>
  <c r="T557" s="1"/>
  <c r="R556"/>
  <c r="Q556"/>
  <c r="R557" s="1"/>
  <c r="P556"/>
  <c r="O556"/>
  <c r="P557" s="1"/>
  <c r="N556"/>
  <c r="M556"/>
  <c r="N557" s="1"/>
  <c r="U554"/>
  <c r="V555" s="1"/>
  <c r="T554"/>
  <c r="U555" s="1"/>
  <c r="S554"/>
  <c r="R554"/>
  <c r="S555" s="1"/>
  <c r="Q554"/>
  <c r="P554"/>
  <c r="Q555" s="1"/>
  <c r="O554"/>
  <c r="N554"/>
  <c r="O555" s="1"/>
  <c r="M554"/>
  <c r="L560"/>
  <c r="L558"/>
  <c r="L556"/>
  <c r="L554"/>
  <c r="U536"/>
  <c r="V537" s="1"/>
  <c r="T536"/>
  <c r="S536"/>
  <c r="R536"/>
  <c r="Q536"/>
  <c r="P536"/>
  <c r="O536"/>
  <c r="N536"/>
  <c r="M536"/>
  <c r="U538"/>
  <c r="V539" s="1"/>
  <c r="T538"/>
  <c r="S538"/>
  <c r="R538"/>
  <c r="Q538"/>
  <c r="P538"/>
  <c r="O538"/>
  <c r="N538"/>
  <c r="M538"/>
  <c r="U540"/>
  <c r="V541" s="1"/>
  <c r="T540"/>
  <c r="S540"/>
  <c r="R540"/>
  <c r="Q540"/>
  <c r="P540"/>
  <c r="O540"/>
  <c r="N540"/>
  <c r="M540"/>
  <c r="U542"/>
  <c r="V543" s="1"/>
  <c r="T542"/>
  <c r="S542"/>
  <c r="R542"/>
  <c r="Q542"/>
  <c r="P542"/>
  <c r="O542"/>
  <c r="N542"/>
  <c r="M542"/>
  <c r="L542"/>
  <c r="L540"/>
  <c r="L538"/>
  <c r="L536"/>
  <c r="U500"/>
  <c r="V501" s="1"/>
  <c r="T500"/>
  <c r="S500"/>
  <c r="R500"/>
  <c r="Q500"/>
  <c r="P500"/>
  <c r="O500"/>
  <c r="N500"/>
  <c r="M500"/>
  <c r="U498"/>
  <c r="V499" s="1"/>
  <c r="T498"/>
  <c r="S498"/>
  <c r="R498"/>
  <c r="Q498"/>
  <c r="P498"/>
  <c r="O498"/>
  <c r="N498"/>
  <c r="M498"/>
  <c r="U496"/>
  <c r="V497" s="1"/>
  <c r="T496"/>
  <c r="S496"/>
  <c r="R496"/>
  <c r="Q496"/>
  <c r="P496"/>
  <c r="O496"/>
  <c r="N496"/>
  <c r="M496"/>
  <c r="U494"/>
  <c r="V495" s="1"/>
  <c r="T494"/>
  <c r="S494"/>
  <c r="R494"/>
  <c r="Q494"/>
  <c r="P494"/>
  <c r="O494"/>
  <c r="N494"/>
  <c r="M494"/>
  <c r="L500"/>
  <c r="L498"/>
  <c r="L496"/>
  <c r="L494"/>
  <c r="U398"/>
  <c r="V399" s="1"/>
  <c r="T398"/>
  <c r="S398"/>
  <c r="T399" s="1"/>
  <c r="R398"/>
  <c r="Q398"/>
  <c r="R399" s="1"/>
  <c r="P398"/>
  <c r="O398"/>
  <c r="P399" s="1"/>
  <c r="N398"/>
  <c r="M398"/>
  <c r="N399" s="1"/>
  <c r="U396"/>
  <c r="V397" s="1"/>
  <c r="T396"/>
  <c r="U397" s="1"/>
  <c r="S396"/>
  <c r="R396"/>
  <c r="S397" s="1"/>
  <c r="Q396"/>
  <c r="P396"/>
  <c r="Q397" s="1"/>
  <c r="O396"/>
  <c r="N396"/>
  <c r="O397" s="1"/>
  <c r="M396"/>
  <c r="U394"/>
  <c r="V395" s="1"/>
  <c r="T394"/>
  <c r="S394"/>
  <c r="T395" s="1"/>
  <c r="R394"/>
  <c r="Q394"/>
  <c r="R395" s="1"/>
  <c r="P394"/>
  <c r="O394"/>
  <c r="P395" s="1"/>
  <c r="N394"/>
  <c r="M394"/>
  <c r="N395" s="1"/>
  <c r="U392"/>
  <c r="V393" s="1"/>
  <c r="T392"/>
  <c r="U393" s="1"/>
  <c r="S392"/>
  <c r="R392"/>
  <c r="S393" s="1"/>
  <c r="Q392"/>
  <c r="P392"/>
  <c r="Q393" s="1"/>
  <c r="O392"/>
  <c r="N392"/>
  <c r="O393" s="1"/>
  <c r="M392"/>
  <c r="L398"/>
  <c r="L396"/>
  <c r="L394"/>
  <c r="L392"/>
  <c r="U296"/>
  <c r="V297" s="1"/>
  <c r="T296"/>
  <c r="S296"/>
  <c r="R296"/>
  <c r="Q296"/>
  <c r="P296"/>
  <c r="O296"/>
  <c r="N296"/>
  <c r="M296"/>
  <c r="U294"/>
  <c r="V295" s="1"/>
  <c r="T294"/>
  <c r="S294"/>
  <c r="R294"/>
  <c r="Q294"/>
  <c r="P294"/>
  <c r="O294"/>
  <c r="N294"/>
  <c r="M294"/>
  <c r="U292"/>
  <c r="V293" s="1"/>
  <c r="T292"/>
  <c r="S292"/>
  <c r="R292"/>
  <c r="Q292"/>
  <c r="P292"/>
  <c r="O292"/>
  <c r="N292"/>
  <c r="M292"/>
  <c r="U290"/>
  <c r="V291" s="1"/>
  <c r="T290"/>
  <c r="S290"/>
  <c r="R290"/>
  <c r="Q290"/>
  <c r="P290"/>
  <c r="O290"/>
  <c r="N290"/>
  <c r="M290"/>
  <c r="L296"/>
  <c r="L294"/>
  <c r="L292"/>
  <c r="L290"/>
  <c r="U168"/>
  <c r="V169" s="1"/>
  <c r="T168"/>
  <c r="S168"/>
  <c r="R168"/>
  <c r="Q168"/>
  <c r="P168"/>
  <c r="O168"/>
  <c r="N168"/>
  <c r="M168"/>
  <c r="U170"/>
  <c r="V171" s="1"/>
  <c r="T170"/>
  <c r="S170"/>
  <c r="R170"/>
  <c r="Q170"/>
  <c r="P170"/>
  <c r="O170"/>
  <c r="N170"/>
  <c r="M170"/>
  <c r="U172"/>
  <c r="V173" s="1"/>
  <c r="T172"/>
  <c r="S172"/>
  <c r="R172"/>
  <c r="Q172"/>
  <c r="P172"/>
  <c r="O172"/>
  <c r="N172"/>
  <c r="M172"/>
  <c r="U174"/>
  <c r="V175" s="1"/>
  <c r="T174"/>
  <c r="S174"/>
  <c r="R174"/>
  <c r="Q174"/>
  <c r="P174"/>
  <c r="O174"/>
  <c r="N174"/>
  <c r="M174"/>
  <c r="L174"/>
  <c r="L172"/>
  <c r="L170"/>
  <c r="L168"/>
  <c r="T89"/>
  <c r="S89"/>
  <c r="Q89"/>
  <c r="O89"/>
  <c r="N89"/>
  <c r="O87"/>
  <c r="Q87"/>
  <c r="S87"/>
  <c r="U87"/>
  <c r="N87"/>
  <c r="P89"/>
  <c r="U89"/>
  <c r="N91"/>
  <c r="O91"/>
  <c r="P91"/>
  <c r="Q91"/>
  <c r="R91"/>
  <c r="S91"/>
  <c r="T91"/>
  <c r="U91"/>
  <c r="N93"/>
  <c r="O93"/>
  <c r="P93"/>
  <c r="Q93"/>
  <c r="R93"/>
  <c r="S93"/>
  <c r="T93"/>
  <c r="U93"/>
  <c r="N95"/>
  <c r="O95"/>
  <c r="P95"/>
  <c r="Q95"/>
  <c r="R95"/>
  <c r="S95"/>
  <c r="T95"/>
  <c r="U95"/>
  <c r="L94"/>
  <c r="M95" s="1"/>
  <c r="M93"/>
  <c r="M91"/>
  <c r="M89"/>
  <c r="M87"/>
  <c r="U1231"/>
  <c r="T1231"/>
  <c r="S1231"/>
  <c r="R1231"/>
  <c r="Q1231"/>
  <c r="P1231"/>
  <c r="O1231"/>
  <c r="N1231"/>
  <c r="M1231"/>
  <c r="U1229"/>
  <c r="T1229"/>
  <c r="S1229"/>
  <c r="R1229"/>
  <c r="Q1229"/>
  <c r="P1229"/>
  <c r="O1229"/>
  <c r="N1229"/>
  <c r="M1229"/>
  <c r="U1227"/>
  <c r="T1227"/>
  <c r="S1227"/>
  <c r="R1227"/>
  <c r="Q1227"/>
  <c r="P1227"/>
  <c r="O1227"/>
  <c r="N1227"/>
  <c r="M1227"/>
  <c r="U1225"/>
  <c r="T1225"/>
  <c r="S1225"/>
  <c r="R1225"/>
  <c r="Q1225"/>
  <c r="P1225"/>
  <c r="O1225"/>
  <c r="N1225"/>
  <c r="M1225"/>
  <c r="U1223"/>
  <c r="T1223"/>
  <c r="S1223"/>
  <c r="R1223"/>
  <c r="Q1223"/>
  <c r="P1223"/>
  <c r="O1223"/>
  <c r="N1223"/>
  <c r="M1223"/>
  <c r="U1221"/>
  <c r="T1221"/>
  <c r="S1221"/>
  <c r="R1221"/>
  <c r="Q1221"/>
  <c r="P1221"/>
  <c r="O1221"/>
  <c r="N1221"/>
  <c r="M1221"/>
  <c r="U1219"/>
  <c r="T1219"/>
  <c r="S1219"/>
  <c r="R1219"/>
  <c r="Q1219"/>
  <c r="P1219"/>
  <c r="O1219"/>
  <c r="N1219"/>
  <c r="M1219"/>
  <c r="U1217"/>
  <c r="T1217"/>
  <c r="S1217"/>
  <c r="R1217"/>
  <c r="Q1217"/>
  <c r="P1217"/>
  <c r="O1217"/>
  <c r="N1217"/>
  <c r="M1217"/>
  <c r="U1215"/>
  <c r="T1215"/>
  <c r="S1215"/>
  <c r="R1215"/>
  <c r="Q1215"/>
  <c r="P1215"/>
  <c r="O1215"/>
  <c r="N1215"/>
  <c r="M1215"/>
  <c r="U1213"/>
  <c r="T1213"/>
  <c r="S1213"/>
  <c r="R1213"/>
  <c r="Q1213"/>
  <c r="P1213"/>
  <c r="O1213"/>
  <c r="N1213"/>
  <c r="M1213"/>
  <c r="U1211"/>
  <c r="T1211"/>
  <c r="S1211"/>
  <c r="R1211"/>
  <c r="Q1211"/>
  <c r="P1211"/>
  <c r="O1211"/>
  <c r="N1211"/>
  <c r="M1211"/>
  <c r="U1209"/>
  <c r="T1209"/>
  <c r="S1209"/>
  <c r="R1209"/>
  <c r="Q1209"/>
  <c r="P1209"/>
  <c r="O1209"/>
  <c r="N1209"/>
  <c r="M1209"/>
  <c r="U1207"/>
  <c r="T1207"/>
  <c r="S1207"/>
  <c r="R1207"/>
  <c r="Q1207"/>
  <c r="P1207"/>
  <c r="O1207"/>
  <c r="N1207"/>
  <c r="M1207"/>
  <c r="U1205"/>
  <c r="T1205"/>
  <c r="S1205"/>
  <c r="R1205"/>
  <c r="Q1205"/>
  <c r="P1205"/>
  <c r="O1205"/>
  <c r="N1205"/>
  <c r="M1205"/>
  <c r="U1203"/>
  <c r="T1203"/>
  <c r="S1203"/>
  <c r="R1203"/>
  <c r="Q1203"/>
  <c r="P1203"/>
  <c r="O1203"/>
  <c r="N1203"/>
  <c r="M1203"/>
  <c r="U1201"/>
  <c r="T1201"/>
  <c r="S1201"/>
  <c r="R1201"/>
  <c r="Q1201"/>
  <c r="P1201"/>
  <c r="O1201"/>
  <c r="N1201"/>
  <c r="M1201"/>
  <c r="U1199"/>
  <c r="T1199"/>
  <c r="S1199"/>
  <c r="R1199"/>
  <c r="Q1199"/>
  <c r="P1199"/>
  <c r="O1199"/>
  <c r="N1199"/>
  <c r="M1199"/>
  <c r="U1197"/>
  <c r="T1197"/>
  <c r="S1197"/>
  <c r="R1197"/>
  <c r="Q1197"/>
  <c r="P1197"/>
  <c r="O1197"/>
  <c r="N1197"/>
  <c r="M1197"/>
  <c r="U1195"/>
  <c r="T1195"/>
  <c r="S1195"/>
  <c r="R1195"/>
  <c r="Q1195"/>
  <c r="P1195"/>
  <c r="O1195"/>
  <c r="N1195"/>
  <c r="M1195"/>
  <c r="U1193"/>
  <c r="T1193"/>
  <c r="S1193"/>
  <c r="R1193"/>
  <c r="Q1193"/>
  <c r="P1193"/>
  <c r="O1193"/>
  <c r="N1193"/>
  <c r="M1193"/>
  <c r="U1191"/>
  <c r="T1191"/>
  <c r="S1191"/>
  <c r="R1191"/>
  <c r="Q1191"/>
  <c r="P1191"/>
  <c r="O1191"/>
  <c r="N1191"/>
  <c r="M1191"/>
  <c r="U1189"/>
  <c r="T1189"/>
  <c r="S1189"/>
  <c r="R1189"/>
  <c r="Q1189"/>
  <c r="P1189"/>
  <c r="O1189"/>
  <c r="N1189"/>
  <c r="M1189"/>
  <c r="U1187"/>
  <c r="T1187"/>
  <c r="S1187"/>
  <c r="R1187"/>
  <c r="Q1187"/>
  <c r="P1187"/>
  <c r="O1187"/>
  <c r="N1187"/>
  <c r="M1187"/>
  <c r="U1185"/>
  <c r="T1185"/>
  <c r="S1185"/>
  <c r="R1185"/>
  <c r="Q1185"/>
  <c r="P1185"/>
  <c r="O1185"/>
  <c r="N1185"/>
  <c r="M1185"/>
  <c r="U1183"/>
  <c r="T1183"/>
  <c r="S1183"/>
  <c r="R1183"/>
  <c r="Q1183"/>
  <c r="P1183"/>
  <c r="O1183"/>
  <c r="N1183"/>
  <c r="M1183"/>
  <c r="U1181"/>
  <c r="T1181"/>
  <c r="S1181"/>
  <c r="R1181"/>
  <c r="Q1181"/>
  <c r="P1181"/>
  <c r="O1181"/>
  <c r="N1181"/>
  <c r="M1181"/>
  <c r="U1179"/>
  <c r="T1179"/>
  <c r="S1179"/>
  <c r="R1179"/>
  <c r="Q1179"/>
  <c r="P1179"/>
  <c r="O1179"/>
  <c r="N1179"/>
  <c r="M1179"/>
  <c r="U1177"/>
  <c r="T1177"/>
  <c r="S1177"/>
  <c r="R1177"/>
  <c r="Q1177"/>
  <c r="P1177"/>
  <c r="O1177"/>
  <c r="N1177"/>
  <c r="M1177"/>
  <c r="U1175"/>
  <c r="T1175"/>
  <c r="S1175"/>
  <c r="R1175"/>
  <c r="Q1175"/>
  <c r="P1175"/>
  <c r="O1175"/>
  <c r="N1175"/>
  <c r="M1175"/>
  <c r="E1182"/>
  <c r="E1180"/>
  <c r="E1178"/>
  <c r="E1176"/>
  <c r="U1072"/>
  <c r="S1072"/>
  <c r="Q1072"/>
  <c r="O1072"/>
  <c r="M1072"/>
  <c r="T1070"/>
  <c r="R1070"/>
  <c r="P1070"/>
  <c r="N1070"/>
  <c r="M1070"/>
  <c r="U1068"/>
  <c r="S1068"/>
  <c r="Q1068"/>
  <c r="O1068"/>
  <c r="M1068"/>
  <c r="R1066"/>
  <c r="O1066"/>
  <c r="M1066"/>
  <c r="T1064"/>
  <c r="R1064"/>
  <c r="P1064"/>
  <c r="N1064"/>
  <c r="U1062"/>
  <c r="S1062"/>
  <c r="Q1062"/>
  <c r="O1062"/>
  <c r="M1062"/>
  <c r="T1050"/>
  <c r="R1050"/>
  <c r="P1050"/>
  <c r="N1050"/>
  <c r="U1048"/>
  <c r="S1048"/>
  <c r="Q1048"/>
  <c r="O1048"/>
  <c r="M1048"/>
  <c r="T1046"/>
  <c r="R1046"/>
  <c r="P1046"/>
  <c r="N1046"/>
  <c r="T1044"/>
  <c r="P1044"/>
  <c r="N1044"/>
  <c r="M1044"/>
  <c r="U1042"/>
  <c r="S1042"/>
  <c r="Q1042"/>
  <c r="O1042"/>
  <c r="M1042"/>
  <c r="T1040"/>
  <c r="R1040"/>
  <c r="P1040"/>
  <c r="N1040"/>
  <c r="M1040"/>
  <c r="U1004"/>
  <c r="S1004"/>
  <c r="Q1004"/>
  <c r="O1004"/>
  <c r="M1004"/>
  <c r="T1002"/>
  <c r="R1002"/>
  <c r="P1002"/>
  <c r="N1002"/>
  <c r="M1002"/>
  <c r="U1000"/>
  <c r="S1000"/>
  <c r="Q1000"/>
  <c r="O1000"/>
  <c r="M1000"/>
  <c r="R998"/>
  <c r="O998"/>
  <c r="M998"/>
  <c r="T996"/>
  <c r="R996"/>
  <c r="P996"/>
  <c r="N996"/>
  <c r="U994"/>
  <c r="S994"/>
  <c r="Q994"/>
  <c r="O994"/>
  <c r="M994"/>
  <c r="T898"/>
  <c r="R898"/>
  <c r="P898"/>
  <c r="N898"/>
  <c r="U896"/>
  <c r="S896"/>
  <c r="Q896"/>
  <c r="O896"/>
  <c r="M896"/>
  <c r="T894"/>
  <c r="R894"/>
  <c r="P894"/>
  <c r="N894"/>
  <c r="T892"/>
  <c r="P892"/>
  <c r="N892"/>
  <c r="U890"/>
  <c r="S890"/>
  <c r="Q890"/>
  <c r="O890"/>
  <c r="M890"/>
  <c r="T888"/>
  <c r="R888"/>
  <c r="P888"/>
  <c r="N888"/>
  <c r="U792"/>
  <c r="S792"/>
  <c r="Q792"/>
  <c r="O792"/>
  <c r="M792"/>
  <c r="T790"/>
  <c r="R790"/>
  <c r="P790"/>
  <c r="N790"/>
  <c r="U788"/>
  <c r="S788"/>
  <c r="Q788"/>
  <c r="O788"/>
  <c r="M788"/>
  <c r="R786"/>
  <c r="O786"/>
  <c r="M786"/>
  <c r="T784"/>
  <c r="R784"/>
  <c r="P784"/>
  <c r="N784"/>
  <c r="U782"/>
  <c r="S782"/>
  <c r="Q782"/>
  <c r="O782"/>
  <c r="M782"/>
  <c r="T666"/>
  <c r="R666"/>
  <c r="P666"/>
  <c r="N666"/>
  <c r="U664"/>
  <c r="S664"/>
  <c r="Q664"/>
  <c r="O664"/>
  <c r="M664"/>
  <c r="R662"/>
  <c r="O662"/>
  <c r="M662"/>
  <c r="T660"/>
  <c r="R660"/>
  <c r="P660"/>
  <c r="N660"/>
  <c r="U658"/>
  <c r="S658"/>
  <c r="Q658"/>
  <c r="O658"/>
  <c r="M658"/>
  <c r="K651"/>
  <c r="I651"/>
  <c r="H651"/>
  <c r="G651"/>
  <c r="F651"/>
  <c r="D651"/>
  <c r="K650"/>
  <c r="I650"/>
  <c r="H650"/>
  <c r="G650"/>
  <c r="F650"/>
  <c r="I649"/>
  <c r="H649"/>
  <c r="G649"/>
  <c r="F649"/>
  <c r="D649"/>
  <c r="I648"/>
  <c r="H648"/>
  <c r="G648"/>
  <c r="F648"/>
  <c r="I647"/>
  <c r="H647"/>
  <c r="G647"/>
  <c r="F647"/>
  <c r="D647"/>
  <c r="O651"/>
  <c r="N651"/>
  <c r="M651"/>
  <c r="L651"/>
  <c r="O649"/>
  <c r="N649"/>
  <c r="M649"/>
  <c r="R649" s="1"/>
  <c r="L649"/>
  <c r="O647"/>
  <c r="N647"/>
  <c r="M647"/>
  <c r="R647" s="1"/>
  <c r="L647"/>
  <c r="U561"/>
  <c r="S561"/>
  <c r="Q561"/>
  <c r="O561"/>
  <c r="M561"/>
  <c r="T559"/>
  <c r="R559"/>
  <c r="P559"/>
  <c r="N559"/>
  <c r="M559"/>
  <c r="U557"/>
  <c r="S557"/>
  <c r="Q557"/>
  <c r="O557"/>
  <c r="M557"/>
  <c r="T555"/>
  <c r="R555"/>
  <c r="P555"/>
  <c r="N555"/>
  <c r="M555"/>
  <c r="U399"/>
  <c r="S399"/>
  <c r="Q399"/>
  <c r="O399"/>
  <c r="M399"/>
  <c r="T397"/>
  <c r="R397"/>
  <c r="P397"/>
  <c r="N397"/>
  <c r="M397"/>
  <c r="U395"/>
  <c r="S395"/>
  <c r="Q395"/>
  <c r="O395"/>
  <c r="M395"/>
  <c r="T393"/>
  <c r="R393"/>
  <c r="P393"/>
  <c r="N393"/>
  <c r="M393"/>
  <c r="N998" l="1"/>
  <c r="Q998"/>
  <c r="S998"/>
  <c r="U998"/>
  <c r="M996"/>
  <c r="M1046"/>
  <c r="M1050"/>
  <c r="M1064"/>
  <c r="U666"/>
  <c r="U784"/>
  <c r="P786"/>
  <c r="T786"/>
  <c r="U888"/>
  <c r="R892"/>
  <c r="U894"/>
  <c r="U898"/>
  <c r="U996"/>
  <c r="P998"/>
  <c r="T998"/>
  <c r="R1044"/>
  <c r="U1046"/>
  <c r="U1050"/>
  <c r="U1064"/>
  <c r="Q1066"/>
  <c r="Q662"/>
  <c r="S662"/>
  <c r="U662"/>
  <c r="S647"/>
  <c r="T647" s="1"/>
  <c r="S649"/>
  <c r="T649" s="1"/>
  <c r="L485" i="7"/>
  <c r="L1165" i="10"/>
  <c r="S1066"/>
  <c r="U1066"/>
  <c r="V662"/>
  <c r="V1044"/>
  <c r="V998"/>
  <c r="V892"/>
  <c r="V786"/>
  <c r="V1066"/>
  <c r="R89"/>
  <c r="R87"/>
  <c r="T87"/>
  <c r="P87"/>
  <c r="U543"/>
  <c r="T543"/>
  <c r="S543"/>
  <c r="R543"/>
  <c r="Q543"/>
  <c r="P543"/>
  <c r="O543"/>
  <c r="N543"/>
  <c r="M543"/>
  <c r="U541"/>
  <c r="T541"/>
  <c r="S541"/>
  <c r="R541"/>
  <c r="Q541"/>
  <c r="P541"/>
  <c r="O541"/>
  <c r="N541"/>
  <c r="M541"/>
  <c r="U539"/>
  <c r="T539"/>
  <c r="S539"/>
  <c r="R539"/>
  <c r="Q539"/>
  <c r="P539"/>
  <c r="O539"/>
  <c r="N539"/>
  <c r="M539"/>
  <c r="U537"/>
  <c r="T537"/>
  <c r="S537"/>
  <c r="R537"/>
  <c r="Q537"/>
  <c r="P537"/>
  <c r="O537"/>
  <c r="N537"/>
  <c r="M537"/>
  <c r="U501"/>
  <c r="T501"/>
  <c r="S501"/>
  <c r="R501"/>
  <c r="Q501"/>
  <c r="P501"/>
  <c r="O501"/>
  <c r="N501"/>
  <c r="M501"/>
  <c r="U499"/>
  <c r="T499"/>
  <c r="S499"/>
  <c r="R499"/>
  <c r="Q499"/>
  <c r="P499"/>
  <c r="O499"/>
  <c r="N499"/>
  <c r="M499"/>
  <c r="U497"/>
  <c r="T497"/>
  <c r="S497"/>
  <c r="R497"/>
  <c r="Q497"/>
  <c r="P497"/>
  <c r="O497"/>
  <c r="N497"/>
  <c r="M497"/>
  <c r="U495"/>
  <c r="T495"/>
  <c r="S495"/>
  <c r="R495"/>
  <c r="Q495"/>
  <c r="P495"/>
  <c r="O495"/>
  <c r="N495"/>
  <c r="M495"/>
  <c r="U297"/>
  <c r="T297"/>
  <c r="S297"/>
  <c r="R297"/>
  <c r="Q297"/>
  <c r="P297"/>
  <c r="O297"/>
  <c r="N297"/>
  <c r="M297"/>
  <c r="U295"/>
  <c r="T295"/>
  <c r="S295"/>
  <c r="R295"/>
  <c r="Q295"/>
  <c r="P295"/>
  <c r="O295"/>
  <c r="N295"/>
  <c r="M295"/>
  <c r="U293"/>
  <c r="T293"/>
  <c r="S293"/>
  <c r="R293"/>
  <c r="Q293"/>
  <c r="P293"/>
  <c r="O293"/>
  <c r="N293"/>
  <c r="M293"/>
  <c r="U291"/>
  <c r="T291"/>
  <c r="S291"/>
  <c r="R291"/>
  <c r="Q291"/>
  <c r="P291"/>
  <c r="O291"/>
  <c r="N291"/>
  <c r="M291"/>
  <c r="U169"/>
  <c r="T169"/>
  <c r="S169"/>
  <c r="R169"/>
  <c r="Q169"/>
  <c r="P169"/>
  <c r="O169"/>
  <c r="N169"/>
  <c r="M169"/>
  <c r="U175"/>
  <c r="T175"/>
  <c r="S175"/>
  <c r="R175"/>
  <c r="Q175"/>
  <c r="P175"/>
  <c r="O175"/>
  <c r="N175"/>
  <c r="M175"/>
  <c r="U173"/>
  <c r="T173"/>
  <c r="S173"/>
  <c r="R173"/>
  <c r="Q173"/>
  <c r="P173"/>
  <c r="O173"/>
  <c r="N173"/>
  <c r="M173"/>
  <c r="U171"/>
  <c r="T171"/>
  <c r="S171"/>
  <c r="R171"/>
  <c r="Q171"/>
  <c r="P171"/>
  <c r="O171"/>
  <c r="N171"/>
  <c r="M171"/>
  <c r="P164" i="1"/>
  <c r="O164"/>
  <c r="N164"/>
  <c r="M164"/>
  <c r="L164"/>
  <c r="P119"/>
  <c r="O119"/>
  <c r="N119"/>
  <c r="M119"/>
  <c r="L119"/>
  <c r="L127" l="1"/>
  <c r="L131"/>
  <c r="L129"/>
  <c r="L121"/>
  <c r="L123"/>
  <c r="L125"/>
  <c r="N131"/>
  <c r="N123"/>
  <c r="N125"/>
  <c r="N127"/>
  <c r="N129"/>
  <c r="N121"/>
  <c r="P131"/>
  <c r="P123"/>
  <c r="P125"/>
  <c r="P127"/>
  <c r="P129"/>
  <c r="P121"/>
  <c r="M168"/>
  <c r="M166"/>
  <c r="M170"/>
  <c r="O166"/>
  <c r="O168"/>
  <c r="O170"/>
  <c r="M121"/>
  <c r="M123"/>
  <c r="M125"/>
  <c r="M127"/>
  <c r="M129"/>
  <c r="M131"/>
  <c r="O121"/>
  <c r="O123"/>
  <c r="O125"/>
  <c r="O127"/>
  <c r="O129"/>
  <c r="O131"/>
  <c r="L168"/>
  <c r="L170"/>
  <c r="N168"/>
  <c r="N170"/>
  <c r="N166"/>
  <c r="P168"/>
  <c r="P170"/>
  <c r="P166"/>
  <c r="L150" i="10"/>
  <c r="L161" i="1"/>
  <c r="L137" i="10"/>
  <c r="L155" i="1"/>
  <c r="L159"/>
  <c r="L157"/>
  <c r="V65" i="8"/>
  <c r="V64"/>
  <c r="V63"/>
  <c r="V62"/>
  <c r="V61"/>
  <c r="U31" i="7"/>
  <c r="V31" i="8" s="1"/>
  <c r="T31" i="7"/>
  <c r="S31"/>
  <c r="R31"/>
  <c r="Q31"/>
  <c r="U30"/>
  <c r="V30" i="8" s="1"/>
  <c r="T30" i="7"/>
  <c r="S30"/>
  <c r="R30"/>
  <c r="Q30"/>
  <c r="U29"/>
  <c r="V29" i="8" s="1"/>
  <c r="T29" i="7"/>
  <c r="S29"/>
  <c r="R29"/>
  <c r="Q29"/>
  <c r="U28"/>
  <c r="V28" i="8" s="1"/>
  <c r="T28" i="7"/>
  <c r="S28"/>
  <c r="R28"/>
  <c r="Q28"/>
  <c r="U27"/>
  <c r="V27" i="8" s="1"/>
  <c r="T27" i="7"/>
  <c r="S27"/>
  <c r="R27"/>
  <c r="Q27"/>
  <c r="U26"/>
  <c r="V26" i="8" s="1"/>
  <c r="T26" i="7"/>
  <c r="S26"/>
  <c r="R26"/>
  <c r="Q26"/>
  <c r="U25"/>
  <c r="V25" i="8" s="1"/>
  <c r="T25" i="7"/>
  <c r="S25"/>
  <c r="R25"/>
  <c r="Q25"/>
  <c r="U24"/>
  <c r="V24" i="8" s="1"/>
  <c r="T24" i="7"/>
  <c r="S24"/>
  <c r="R24"/>
  <c r="Q24"/>
  <c r="U23"/>
  <c r="V23" i="8" s="1"/>
  <c r="T23" i="7"/>
  <c r="S23"/>
  <c r="R23"/>
  <c r="Q23"/>
  <c r="U22"/>
  <c r="V22" i="8" s="1"/>
  <c r="T22" i="7"/>
  <c r="S22"/>
  <c r="R22"/>
  <c r="Q22"/>
  <c r="U21"/>
  <c r="V21" i="8" s="1"/>
  <c r="T21" i="7"/>
  <c r="S21"/>
  <c r="R21"/>
  <c r="Q21"/>
  <c r="U20"/>
  <c r="V20" i="8" s="1"/>
  <c r="T20" i="7"/>
  <c r="S20"/>
  <c r="R20"/>
  <c r="Q20"/>
  <c r="U19"/>
  <c r="V19" i="8" s="1"/>
  <c r="T19" i="7"/>
  <c r="S19"/>
  <c r="R19"/>
  <c r="Q19"/>
  <c r="U18"/>
  <c r="V18" i="8" s="1"/>
  <c r="T18" i="7"/>
  <c r="S18"/>
  <c r="R18"/>
  <c r="Q18"/>
  <c r="U17"/>
  <c r="V17" i="8" s="1"/>
  <c r="T17" i="7"/>
  <c r="S17"/>
  <c r="R17"/>
  <c r="Q17"/>
  <c r="U16"/>
  <c r="V16" i="8" s="1"/>
  <c r="T16" i="7"/>
  <c r="S16"/>
  <c r="R16"/>
  <c r="Q16"/>
  <c r="U15"/>
  <c r="V15" i="8" s="1"/>
  <c r="T15" i="7"/>
  <c r="S15"/>
  <c r="R15"/>
  <c r="Q15"/>
  <c r="U14"/>
  <c r="V14" i="8" s="1"/>
  <c r="T14" i="7"/>
  <c r="S14"/>
  <c r="R14"/>
  <c r="Q14"/>
  <c r="U13"/>
  <c r="V13" i="8" s="1"/>
  <c r="T13" i="7"/>
  <c r="S13"/>
  <c r="R13"/>
  <c r="Q13"/>
  <c r="U12"/>
  <c r="V12" i="8" s="1"/>
  <c r="T12" i="7"/>
  <c r="S12"/>
  <c r="R12"/>
  <c r="Q12"/>
  <c r="U11"/>
  <c r="V11" i="8" s="1"/>
  <c r="T11" i="7"/>
  <c r="S11"/>
  <c r="R11"/>
  <c r="Q11"/>
  <c r="U10"/>
  <c r="V10" i="8" s="1"/>
  <c r="T10" i="7"/>
  <c r="S10"/>
  <c r="R10"/>
  <c r="Q10"/>
  <c r="U9"/>
  <c r="V9" i="8" s="1"/>
  <c r="T9" i="7"/>
  <c r="S9"/>
  <c r="R9"/>
  <c r="Q9"/>
  <c r="U8"/>
  <c r="V8" i="8" s="1"/>
  <c r="T8" i="7"/>
  <c r="S8"/>
  <c r="R8"/>
  <c r="Q8"/>
  <c r="L141" i="1" l="1"/>
  <c r="L163" s="1"/>
  <c r="P141"/>
  <c r="N141"/>
  <c r="O141"/>
  <c r="M141"/>
  <c r="W141" s="1"/>
  <c r="U1020"/>
  <c r="V1021" s="1"/>
  <c r="T1020"/>
  <c r="S1020"/>
  <c r="R1020"/>
  <c r="U1018"/>
  <c r="V1019" s="1"/>
  <c r="T1018"/>
  <c r="S1018"/>
  <c r="R1018"/>
  <c r="Q1018"/>
  <c r="U1016"/>
  <c r="V1017" s="1"/>
  <c r="T1016"/>
  <c r="S1016"/>
  <c r="R1016"/>
  <c r="Q1016"/>
  <c r="U1014"/>
  <c r="V1015" s="1"/>
  <c r="T1014"/>
  <c r="S1014"/>
  <c r="R1014"/>
  <c r="Q1014"/>
  <c r="U1012"/>
  <c r="V1013" s="1"/>
  <c r="T1012"/>
  <c r="S1012"/>
  <c r="R1012"/>
  <c r="Q1012"/>
  <c r="U1010"/>
  <c r="V1011" s="1"/>
  <c r="T1010"/>
  <c r="S1010"/>
  <c r="R1010"/>
  <c r="Q1010"/>
  <c r="U1008"/>
  <c r="V1009" s="1"/>
  <c r="T1008"/>
  <c r="S1008"/>
  <c r="R1008"/>
  <c r="Q1008"/>
  <c r="U1006"/>
  <c r="V1007" s="1"/>
  <c r="T1006"/>
  <c r="S1006"/>
  <c r="R1006"/>
  <c r="Q1006"/>
  <c r="U1004"/>
  <c r="V1005" s="1"/>
  <c r="T1004"/>
  <c r="S1004"/>
  <c r="R1004"/>
  <c r="Q1004"/>
  <c r="U1002"/>
  <c r="V1003" s="1"/>
  <c r="T1002"/>
  <c r="S1002"/>
  <c r="R1002"/>
  <c r="Q1002"/>
  <c r="U1000"/>
  <c r="V1001" s="1"/>
  <c r="T1000"/>
  <c r="S1000"/>
  <c r="R1000"/>
  <c r="Q1000"/>
  <c r="U998"/>
  <c r="V999" s="1"/>
  <c r="T998"/>
  <c r="S998"/>
  <c r="R998"/>
  <c r="Q998"/>
  <c r="U996"/>
  <c r="V997" s="1"/>
  <c r="T996"/>
  <c r="S996"/>
  <c r="R996"/>
  <c r="Q996"/>
  <c r="U994"/>
  <c r="V995" s="1"/>
  <c r="T994"/>
  <c r="S994"/>
  <c r="R994"/>
  <c r="Q994"/>
  <c r="U992"/>
  <c r="V993" s="1"/>
  <c r="T992"/>
  <c r="S992"/>
  <c r="R992"/>
  <c r="Q992"/>
  <c r="U990"/>
  <c r="V991" s="1"/>
  <c r="T990"/>
  <c r="S990"/>
  <c r="R990"/>
  <c r="Q990"/>
  <c r="U988"/>
  <c r="V989" s="1"/>
  <c r="T988"/>
  <c r="S988"/>
  <c r="R988"/>
  <c r="Q988"/>
  <c r="U986"/>
  <c r="V987" s="1"/>
  <c r="T986"/>
  <c r="S986"/>
  <c r="R986"/>
  <c r="Q986"/>
  <c r="U984"/>
  <c r="V985" s="1"/>
  <c r="T984"/>
  <c r="S984"/>
  <c r="R984"/>
  <c r="Q984"/>
  <c r="U982"/>
  <c r="V983" s="1"/>
  <c r="T982"/>
  <c r="S982"/>
  <c r="R982"/>
  <c r="Q982"/>
  <c r="U980"/>
  <c r="V981" s="1"/>
  <c r="T980"/>
  <c r="S980"/>
  <c r="R980"/>
  <c r="Q980"/>
  <c r="U978"/>
  <c r="V979" s="1"/>
  <c r="T978"/>
  <c r="S978"/>
  <c r="R978"/>
  <c r="Q978"/>
  <c r="U976"/>
  <c r="V977" s="1"/>
  <c r="T976"/>
  <c r="S976"/>
  <c r="R976"/>
  <c r="Q976"/>
  <c r="U974"/>
  <c r="V975" s="1"/>
  <c r="T974"/>
  <c r="S974"/>
  <c r="R974"/>
  <c r="Q974"/>
  <c r="U972"/>
  <c r="V973" s="1"/>
  <c r="T972"/>
  <c r="S972"/>
  <c r="R972"/>
  <c r="Q972"/>
  <c r="U970"/>
  <c r="V971" s="1"/>
  <c r="T970"/>
  <c r="S970"/>
  <c r="R970"/>
  <c r="Q970"/>
  <c r="U968"/>
  <c r="V969" s="1"/>
  <c r="T968"/>
  <c r="S968"/>
  <c r="R968"/>
  <c r="Q968"/>
  <c r="U966"/>
  <c r="V967" s="1"/>
  <c r="T966"/>
  <c r="S966"/>
  <c r="R966"/>
  <c r="Q966"/>
  <c r="U964"/>
  <c r="V965" s="1"/>
  <c r="T964"/>
  <c r="S964"/>
  <c r="R964"/>
  <c r="Q964"/>
  <c r="U962"/>
  <c r="V963" s="1"/>
  <c r="T962"/>
  <c r="S962"/>
  <c r="R962"/>
  <c r="Q962"/>
  <c r="U960"/>
  <c r="V961" s="1"/>
  <c r="T960"/>
  <c r="S960"/>
  <c r="R960"/>
  <c r="Q960"/>
  <c r="U958"/>
  <c r="V959" s="1"/>
  <c r="T958"/>
  <c r="S958"/>
  <c r="R958"/>
  <c r="Q958"/>
  <c r="U956"/>
  <c r="V957" s="1"/>
  <c r="T956"/>
  <c r="S956"/>
  <c r="R956"/>
  <c r="Q956"/>
  <c r="U954"/>
  <c r="V955" s="1"/>
  <c r="T954"/>
  <c r="S954"/>
  <c r="R954"/>
  <c r="Q954"/>
  <c r="U952"/>
  <c r="V953" s="1"/>
  <c r="T952"/>
  <c r="S952"/>
  <c r="R952"/>
  <c r="Q952"/>
  <c r="U950"/>
  <c r="V951" s="1"/>
  <c r="T950"/>
  <c r="S950"/>
  <c r="R950"/>
  <c r="Q950"/>
  <c r="U948"/>
  <c r="V949" s="1"/>
  <c r="T948"/>
  <c r="S948"/>
  <c r="R948"/>
  <c r="Q948"/>
  <c r="U946"/>
  <c r="V947" s="1"/>
  <c r="T946"/>
  <c r="S946"/>
  <c r="R946"/>
  <c r="Q946"/>
  <c r="U942"/>
  <c r="V943" s="1"/>
  <c r="T942"/>
  <c r="S942"/>
  <c r="R942"/>
  <c r="U940"/>
  <c r="V941" s="1"/>
  <c r="T940"/>
  <c r="S940"/>
  <c r="R940"/>
  <c r="U938"/>
  <c r="V939" s="1"/>
  <c r="T938"/>
  <c r="S938"/>
  <c r="R938"/>
  <c r="U934"/>
  <c r="V935" s="1"/>
  <c r="T934"/>
  <c r="S934"/>
  <c r="R934"/>
  <c r="U932"/>
  <c r="V933" s="1"/>
  <c r="T932"/>
  <c r="S932"/>
  <c r="R932"/>
  <c r="Q932"/>
  <c r="Q436" i="7" s="1"/>
  <c r="U930" i="1"/>
  <c r="V931" s="1"/>
  <c r="T930"/>
  <c r="S930"/>
  <c r="R930"/>
  <c r="Q930"/>
  <c r="Q435" i="7" s="1"/>
  <c r="U928" i="1"/>
  <c r="V929" s="1"/>
  <c r="T928"/>
  <c r="S928"/>
  <c r="R928"/>
  <c r="Q928"/>
  <c r="Q434" i="7" s="1"/>
  <c r="U926" i="1"/>
  <c r="V927" s="1"/>
  <c r="T926"/>
  <c r="S926"/>
  <c r="R926"/>
  <c r="Q926"/>
  <c r="Q433" i="7" s="1"/>
  <c r="U924" i="1"/>
  <c r="V925" s="1"/>
  <c r="T924"/>
  <c r="S924"/>
  <c r="R924"/>
  <c r="Q924"/>
  <c r="Q432" i="7" s="1"/>
  <c r="U922" i="1"/>
  <c r="V923" s="1"/>
  <c r="T922"/>
  <c r="S922"/>
  <c r="R922"/>
  <c r="Q922"/>
  <c r="Q431" i="7" s="1"/>
  <c r="U920" i="1"/>
  <c r="V921" s="1"/>
  <c r="T920"/>
  <c r="S920"/>
  <c r="R920"/>
  <c r="Q920"/>
  <c r="Q430" i="7" s="1"/>
  <c r="U918" i="1"/>
  <c r="V919" s="1"/>
  <c r="T918"/>
  <c r="S918"/>
  <c r="R918"/>
  <c r="Q918"/>
  <c r="Q429" i="7" s="1"/>
  <c r="U916" i="1"/>
  <c r="V917" s="1"/>
  <c r="T916"/>
  <c r="S916"/>
  <c r="R916"/>
  <c r="Q916"/>
  <c r="Q428" i="7" s="1"/>
  <c r="U914" i="1"/>
  <c r="V915" s="1"/>
  <c r="T914"/>
  <c r="S914"/>
  <c r="R914"/>
  <c r="Q914"/>
  <c r="Q427" i="7" s="1"/>
  <c r="U912" i="1"/>
  <c r="V913" s="1"/>
  <c r="T912"/>
  <c r="S912"/>
  <c r="R912"/>
  <c r="Q912"/>
  <c r="Q426" i="7" s="1"/>
  <c r="U910" i="1"/>
  <c r="V911" s="1"/>
  <c r="T910"/>
  <c r="S910"/>
  <c r="R910"/>
  <c r="Q910"/>
  <c r="Q425" i="7" s="1"/>
  <c r="U908" i="1"/>
  <c r="V909" s="1"/>
  <c r="T908"/>
  <c r="S908"/>
  <c r="R908"/>
  <c r="Q908"/>
  <c r="Q424" i="7" s="1"/>
  <c r="U906" i="1"/>
  <c r="V907" s="1"/>
  <c r="T906"/>
  <c r="S906"/>
  <c r="R906"/>
  <c r="Q906"/>
  <c r="U902"/>
  <c r="V903" s="1"/>
  <c r="T902"/>
  <c r="S902"/>
  <c r="R902"/>
  <c r="U900"/>
  <c r="V901" s="1"/>
  <c r="T900"/>
  <c r="S900"/>
  <c r="R900"/>
  <c r="U898"/>
  <c r="V899" s="1"/>
  <c r="T898"/>
  <c r="S898"/>
  <c r="R898"/>
  <c r="U896"/>
  <c r="V897" s="1"/>
  <c r="T896"/>
  <c r="S896"/>
  <c r="R896"/>
  <c r="U894"/>
  <c r="V895" s="1"/>
  <c r="T894"/>
  <c r="S894"/>
  <c r="R894"/>
  <c r="U892"/>
  <c r="V893" s="1"/>
  <c r="T892"/>
  <c r="S892"/>
  <c r="R892"/>
  <c r="U890"/>
  <c r="V891" s="1"/>
  <c r="T890"/>
  <c r="S890"/>
  <c r="R890"/>
  <c r="U888"/>
  <c r="V889" s="1"/>
  <c r="T888"/>
  <c r="S888"/>
  <c r="R888"/>
  <c r="U886"/>
  <c r="V887" s="1"/>
  <c r="T886"/>
  <c r="S886"/>
  <c r="R886"/>
  <c r="U884"/>
  <c r="V885" s="1"/>
  <c r="T884"/>
  <c r="S884"/>
  <c r="R884"/>
  <c r="U882"/>
  <c r="V883" s="1"/>
  <c r="T882"/>
  <c r="S882"/>
  <c r="R882"/>
  <c r="U880"/>
  <c r="V881" s="1"/>
  <c r="T880"/>
  <c r="S880"/>
  <c r="R880"/>
  <c r="U878"/>
  <c r="V879" s="1"/>
  <c r="T878"/>
  <c r="S878"/>
  <c r="R878"/>
  <c r="U876"/>
  <c r="V877" s="1"/>
  <c r="T876"/>
  <c r="S876"/>
  <c r="R876"/>
  <c r="U874"/>
  <c r="V875" s="1"/>
  <c r="T874"/>
  <c r="S874"/>
  <c r="R874"/>
  <c r="U872"/>
  <c r="V873" s="1"/>
  <c r="T872"/>
  <c r="S872"/>
  <c r="R872"/>
  <c r="U870"/>
  <c r="V871" s="1"/>
  <c r="T870"/>
  <c r="S870"/>
  <c r="R870"/>
  <c r="U868"/>
  <c r="V869" s="1"/>
  <c r="T868"/>
  <c r="S868"/>
  <c r="R868"/>
  <c r="U866"/>
  <c r="V867" s="1"/>
  <c r="T866"/>
  <c r="S866"/>
  <c r="R866"/>
  <c r="U864"/>
  <c r="V865" s="1"/>
  <c r="T864"/>
  <c r="S864"/>
  <c r="R864"/>
  <c r="U862"/>
  <c r="V863" s="1"/>
  <c r="T862"/>
  <c r="S862"/>
  <c r="R862"/>
  <c r="U860"/>
  <c r="V861" s="1"/>
  <c r="T860"/>
  <c r="S860"/>
  <c r="R860"/>
  <c r="U858"/>
  <c r="V859" s="1"/>
  <c r="T858"/>
  <c r="S858"/>
  <c r="R858"/>
  <c r="U856"/>
  <c r="V857" s="1"/>
  <c r="T856"/>
  <c r="S856"/>
  <c r="R856"/>
  <c r="U854"/>
  <c r="V855" s="1"/>
  <c r="T854"/>
  <c r="S854"/>
  <c r="R854"/>
  <c r="U852"/>
  <c r="V853" s="1"/>
  <c r="T852"/>
  <c r="S852"/>
  <c r="R852"/>
  <c r="U850"/>
  <c r="V851" s="1"/>
  <c r="T850"/>
  <c r="S850"/>
  <c r="R850"/>
  <c r="U848"/>
  <c r="V849" s="1"/>
  <c r="T848"/>
  <c r="S848"/>
  <c r="R848"/>
  <c r="U846"/>
  <c r="V847" s="1"/>
  <c r="T846"/>
  <c r="S846"/>
  <c r="R846"/>
  <c r="U844"/>
  <c r="V845" s="1"/>
  <c r="T844"/>
  <c r="S844"/>
  <c r="R844"/>
  <c r="U842"/>
  <c r="V843" s="1"/>
  <c r="T842"/>
  <c r="S842"/>
  <c r="R842"/>
  <c r="U840"/>
  <c r="V841" s="1"/>
  <c r="T840"/>
  <c r="S840"/>
  <c r="R840"/>
  <c r="U838"/>
  <c r="V839" s="1"/>
  <c r="T838"/>
  <c r="S838"/>
  <c r="R838"/>
  <c r="U836"/>
  <c r="V837" s="1"/>
  <c r="T836"/>
  <c r="S836"/>
  <c r="R836"/>
  <c r="U834"/>
  <c r="V835" s="1"/>
  <c r="T834"/>
  <c r="S834"/>
  <c r="R834"/>
  <c r="U832"/>
  <c r="V833" s="1"/>
  <c r="T832"/>
  <c r="S832"/>
  <c r="R832"/>
  <c r="U830"/>
  <c r="V831" s="1"/>
  <c r="T830"/>
  <c r="S830"/>
  <c r="R830"/>
  <c r="U828"/>
  <c r="V829" s="1"/>
  <c r="T828"/>
  <c r="S828"/>
  <c r="R828"/>
  <c r="U826"/>
  <c r="V827" s="1"/>
  <c r="T826"/>
  <c r="S826"/>
  <c r="R826"/>
  <c r="U824"/>
  <c r="V825" s="1"/>
  <c r="T824"/>
  <c r="S824"/>
  <c r="U822"/>
  <c r="V823" s="1"/>
  <c r="T822"/>
  <c r="S822"/>
  <c r="R822"/>
  <c r="U820"/>
  <c r="V821" s="1"/>
  <c r="T820"/>
  <c r="S820"/>
  <c r="R820"/>
  <c r="U818"/>
  <c r="V819" s="1"/>
  <c r="T818"/>
  <c r="S818"/>
  <c r="R818"/>
  <c r="U816"/>
  <c r="V817" s="1"/>
  <c r="T816"/>
  <c r="S816"/>
  <c r="R816"/>
  <c r="U814"/>
  <c r="V815" s="1"/>
  <c r="T814"/>
  <c r="S814"/>
  <c r="R814"/>
  <c r="U810"/>
  <c r="V811" s="1"/>
  <c r="T810"/>
  <c r="S810"/>
  <c r="R810"/>
  <c r="U808"/>
  <c r="V809" s="1"/>
  <c r="T808"/>
  <c r="S808"/>
  <c r="R808"/>
  <c r="Q808"/>
  <c r="Q374" i="7" s="1"/>
  <c r="U806" i="1"/>
  <c r="V807" s="1"/>
  <c r="T806"/>
  <c r="S806"/>
  <c r="R806"/>
  <c r="Q806"/>
  <c r="Q373" i="7" s="1"/>
  <c r="U804" i="1"/>
  <c r="V805" s="1"/>
  <c r="T804"/>
  <c r="S804"/>
  <c r="R804"/>
  <c r="Q804"/>
  <c r="Q372" i="7" s="1"/>
  <c r="U802" i="1"/>
  <c r="V803" s="1"/>
  <c r="T802"/>
  <c r="S802"/>
  <c r="R802"/>
  <c r="Q802"/>
  <c r="Q371" i="7" s="1"/>
  <c r="U800" i="1"/>
  <c r="V801" s="1"/>
  <c r="T800"/>
  <c r="S800"/>
  <c r="R800"/>
  <c r="Q800"/>
  <c r="Q370" i="7" s="1"/>
  <c r="U798" i="1"/>
  <c r="V799" s="1"/>
  <c r="T798"/>
  <c r="S798"/>
  <c r="R798"/>
  <c r="Q798"/>
  <c r="Q369" i="7" s="1"/>
  <c r="U796" i="1"/>
  <c r="V797" s="1"/>
  <c r="T796"/>
  <c r="S796"/>
  <c r="R796"/>
  <c r="Q796"/>
  <c r="Q368" i="7" s="1"/>
  <c r="U794" i="1"/>
  <c r="V795" s="1"/>
  <c r="T794"/>
  <c r="S794"/>
  <c r="R794"/>
  <c r="Q794"/>
  <c r="Q367" i="7" s="1"/>
  <c r="U792" i="1"/>
  <c r="V793" s="1"/>
  <c r="T792"/>
  <c r="S792"/>
  <c r="R792"/>
  <c r="Q792"/>
  <c r="Q366" i="7" s="1"/>
  <c r="U790" i="1"/>
  <c r="V791" s="1"/>
  <c r="T790"/>
  <c r="S790"/>
  <c r="R790"/>
  <c r="Q790"/>
  <c r="Q365" i="7" s="1"/>
  <c r="U788" i="1"/>
  <c r="V789" s="1"/>
  <c r="T788"/>
  <c r="S788"/>
  <c r="R788"/>
  <c r="Q788"/>
  <c r="Q364" i="7" s="1"/>
  <c r="U786" i="1"/>
  <c r="V787" s="1"/>
  <c r="T786"/>
  <c r="S786"/>
  <c r="R786"/>
  <c r="Q786"/>
  <c r="Q363" i="7" s="1"/>
  <c r="U784" i="1"/>
  <c r="V785" s="1"/>
  <c r="T784"/>
  <c r="S784"/>
  <c r="R784"/>
  <c r="Q784"/>
  <c r="Q362" i="7" s="1"/>
  <c r="U782" i="1"/>
  <c r="V783" s="1"/>
  <c r="T782"/>
  <c r="S782"/>
  <c r="R782"/>
  <c r="Q782"/>
  <c r="Q361" i="7" s="1"/>
  <c r="U780" i="1"/>
  <c r="V781" s="1"/>
  <c r="T780"/>
  <c r="S780"/>
  <c r="R780"/>
  <c r="Q780"/>
  <c r="Q360" i="7" s="1"/>
  <c r="U778" i="1"/>
  <c r="V779" s="1"/>
  <c r="T778"/>
  <c r="S778"/>
  <c r="R778"/>
  <c r="Q778"/>
  <c r="Q359" i="7" s="1"/>
  <c r="U776" i="1"/>
  <c r="V777" s="1"/>
  <c r="T776"/>
  <c r="S776"/>
  <c r="R776"/>
  <c r="Q776"/>
  <c r="Q358" i="7" s="1"/>
  <c r="U774" i="1"/>
  <c r="V775" s="1"/>
  <c r="T774"/>
  <c r="S774"/>
  <c r="R774"/>
  <c r="Q774"/>
  <c r="Q357" i="7" s="1"/>
  <c r="U772" i="1"/>
  <c r="V773" s="1"/>
  <c r="T772"/>
  <c r="S772"/>
  <c r="R772"/>
  <c r="Q772"/>
  <c r="Q356" i="7" s="1"/>
  <c r="U770" i="1"/>
  <c r="V771" s="1"/>
  <c r="T770"/>
  <c r="S770"/>
  <c r="R770"/>
  <c r="Q770"/>
  <c r="Q355" i="7" s="1"/>
  <c r="U768" i="1"/>
  <c r="V769" s="1"/>
  <c r="T768"/>
  <c r="S768"/>
  <c r="R768"/>
  <c r="Q768"/>
  <c r="Q354" i="7" s="1"/>
  <c r="U766" i="1"/>
  <c r="V767" s="1"/>
  <c r="T766"/>
  <c r="S766"/>
  <c r="R766"/>
  <c r="Q766"/>
  <c r="Q353" i="7" s="1"/>
  <c r="U764" i="1"/>
  <c r="V765" s="1"/>
  <c r="T764"/>
  <c r="S764"/>
  <c r="R764"/>
  <c r="Q764"/>
  <c r="Q352" i="7" s="1"/>
  <c r="U762" i="1"/>
  <c r="V763" s="1"/>
  <c r="T762"/>
  <c r="S762"/>
  <c r="R762"/>
  <c r="Q762"/>
  <c r="Q351" i="7" s="1"/>
  <c r="U760" i="1"/>
  <c r="V761" s="1"/>
  <c r="T760"/>
  <c r="S760"/>
  <c r="R760"/>
  <c r="Q760"/>
  <c r="Q350" i="7" s="1"/>
  <c r="U758" i="1"/>
  <c r="V759" s="1"/>
  <c r="T758"/>
  <c r="S758"/>
  <c r="R758"/>
  <c r="Q758"/>
  <c r="Q349" i="7" s="1"/>
  <c r="U756" i="1"/>
  <c r="V757" s="1"/>
  <c r="T756"/>
  <c r="S756"/>
  <c r="R756"/>
  <c r="Q756"/>
  <c r="Q348" i="7" s="1"/>
  <c r="U754" i="1"/>
  <c r="V755" s="1"/>
  <c r="T754"/>
  <c r="S754"/>
  <c r="R754"/>
  <c r="Q754"/>
  <c r="Q347" i="7" s="1"/>
  <c r="U752" i="1"/>
  <c r="V753" s="1"/>
  <c r="T752"/>
  <c r="S752"/>
  <c r="R752"/>
  <c r="Q752"/>
  <c r="Q346" i="7" s="1"/>
  <c r="U750" i="1"/>
  <c r="V751" s="1"/>
  <c r="T750"/>
  <c r="S750"/>
  <c r="R750"/>
  <c r="Q750"/>
  <c r="Q345" i="7" s="1"/>
  <c r="U748" i="1"/>
  <c r="V749" s="1"/>
  <c r="T748"/>
  <c r="S748"/>
  <c r="R748"/>
  <c r="Q748"/>
  <c r="Q344" i="7" s="1"/>
  <c r="U746" i="1"/>
  <c r="V747" s="1"/>
  <c r="T746"/>
  <c r="S746"/>
  <c r="R746"/>
  <c r="Q746"/>
  <c r="Q343" i="7" s="1"/>
  <c r="U744" i="1"/>
  <c r="V745" s="1"/>
  <c r="T744"/>
  <c r="S744"/>
  <c r="R744"/>
  <c r="Q744"/>
  <c r="Q342" i="7" s="1"/>
  <c r="U742" i="1"/>
  <c r="V743" s="1"/>
  <c r="T742"/>
  <c r="S742"/>
  <c r="R742"/>
  <c r="Q742"/>
  <c r="Q341" i="7" s="1"/>
  <c r="U740" i="1"/>
  <c r="V741" s="1"/>
  <c r="T740"/>
  <c r="S740"/>
  <c r="R740"/>
  <c r="Q740"/>
  <c r="Q340" i="7" s="1"/>
  <c r="U738" i="1"/>
  <c r="V739" s="1"/>
  <c r="T738"/>
  <c r="S738"/>
  <c r="R738"/>
  <c r="Q738"/>
  <c r="Q339" i="7" s="1"/>
  <c r="U736" i="1"/>
  <c r="V737" s="1"/>
  <c r="T736"/>
  <c r="S736"/>
  <c r="R736"/>
  <c r="Q736"/>
  <c r="Q338" i="7" s="1"/>
  <c r="U734" i="1"/>
  <c r="V735" s="1"/>
  <c r="T734"/>
  <c r="S734"/>
  <c r="R734"/>
  <c r="Q734"/>
  <c r="Q337" i="7" s="1"/>
  <c r="U732" i="1"/>
  <c r="V733" s="1"/>
  <c r="T732"/>
  <c r="S732"/>
  <c r="R732"/>
  <c r="Q732"/>
  <c r="Q336" i="7" s="1"/>
  <c r="U730" i="1"/>
  <c r="V731" s="1"/>
  <c r="T730"/>
  <c r="S730"/>
  <c r="R730"/>
  <c r="Q730"/>
  <c r="Q335" i="7" s="1"/>
  <c r="U728" i="1"/>
  <c r="V729" s="1"/>
  <c r="T728"/>
  <c r="S728"/>
  <c r="R728"/>
  <c r="Q728"/>
  <c r="Q334" i="7" s="1"/>
  <c r="U726" i="1"/>
  <c r="V727" s="1"/>
  <c r="T726"/>
  <c r="S726"/>
  <c r="R726"/>
  <c r="Q726"/>
  <c r="Q333" i="7" s="1"/>
  <c r="U724" i="1"/>
  <c r="V725" s="1"/>
  <c r="T724"/>
  <c r="S724"/>
  <c r="R724"/>
  <c r="Q724"/>
  <c r="Q332" i="7" s="1"/>
  <c r="U722" i="1"/>
  <c r="V723" s="1"/>
  <c r="T722"/>
  <c r="S722"/>
  <c r="R722"/>
  <c r="Q722"/>
  <c r="U718"/>
  <c r="V719" s="1"/>
  <c r="T718"/>
  <c r="S718"/>
  <c r="R718"/>
  <c r="U716"/>
  <c r="V717" s="1"/>
  <c r="T716"/>
  <c r="S716"/>
  <c r="R716"/>
  <c r="U714"/>
  <c r="V715" s="1"/>
  <c r="T714"/>
  <c r="S714"/>
  <c r="R714"/>
  <c r="U712"/>
  <c r="V713" s="1"/>
  <c r="T712"/>
  <c r="S712"/>
  <c r="R712"/>
  <c r="U710"/>
  <c r="V711" s="1"/>
  <c r="T710"/>
  <c r="S710"/>
  <c r="R710"/>
  <c r="U708"/>
  <c r="V709" s="1"/>
  <c r="T708"/>
  <c r="S708"/>
  <c r="R708"/>
  <c r="U706"/>
  <c r="V707" s="1"/>
  <c r="T706"/>
  <c r="S706"/>
  <c r="R706"/>
  <c r="U704"/>
  <c r="V705" s="1"/>
  <c r="T704"/>
  <c r="S704"/>
  <c r="R704"/>
  <c r="U702"/>
  <c r="V703" s="1"/>
  <c r="T702"/>
  <c r="S702"/>
  <c r="R702"/>
  <c r="U700"/>
  <c r="V701" s="1"/>
  <c r="T700"/>
  <c r="S700"/>
  <c r="R700"/>
  <c r="U698"/>
  <c r="V699" s="1"/>
  <c r="T698"/>
  <c r="S698"/>
  <c r="R698"/>
  <c r="U696"/>
  <c r="V697" s="1"/>
  <c r="T696"/>
  <c r="S696"/>
  <c r="R696"/>
  <c r="U694"/>
  <c r="V695" s="1"/>
  <c r="T694"/>
  <c r="S694"/>
  <c r="R694"/>
  <c r="U692"/>
  <c r="V693" s="1"/>
  <c r="T692"/>
  <c r="S692"/>
  <c r="R692"/>
  <c r="U690"/>
  <c r="V691" s="1"/>
  <c r="T690"/>
  <c r="S690"/>
  <c r="R690"/>
  <c r="U688"/>
  <c r="V689" s="1"/>
  <c r="T688"/>
  <c r="S688"/>
  <c r="R688"/>
  <c r="U686"/>
  <c r="V687" s="1"/>
  <c r="T686"/>
  <c r="S686"/>
  <c r="R686"/>
  <c r="U684"/>
  <c r="V685" s="1"/>
  <c r="T684"/>
  <c r="S684"/>
  <c r="R684"/>
  <c r="U682"/>
  <c r="V683" s="1"/>
  <c r="T682"/>
  <c r="S682"/>
  <c r="R682"/>
  <c r="U680"/>
  <c r="V681" s="1"/>
  <c r="T680"/>
  <c r="S680"/>
  <c r="R680"/>
  <c r="U678"/>
  <c r="V679" s="1"/>
  <c r="T678"/>
  <c r="S678"/>
  <c r="R678"/>
  <c r="U676"/>
  <c r="V677" s="1"/>
  <c r="T676"/>
  <c r="S676"/>
  <c r="R676"/>
  <c r="U674"/>
  <c r="V675" s="1"/>
  <c r="T674"/>
  <c r="S674"/>
  <c r="R674"/>
  <c r="U672"/>
  <c r="V673" s="1"/>
  <c r="T672"/>
  <c r="S672"/>
  <c r="R672"/>
  <c r="U670"/>
  <c r="V671" s="1"/>
  <c r="T670"/>
  <c r="S670"/>
  <c r="R670"/>
  <c r="U668"/>
  <c r="V669" s="1"/>
  <c r="T668"/>
  <c r="S668"/>
  <c r="R668"/>
  <c r="U666"/>
  <c r="V667" s="1"/>
  <c r="T666"/>
  <c r="S666"/>
  <c r="R666"/>
  <c r="U664"/>
  <c r="V665" s="1"/>
  <c r="T664"/>
  <c r="S664"/>
  <c r="R664"/>
  <c r="U662"/>
  <c r="V663" s="1"/>
  <c r="T662"/>
  <c r="S662"/>
  <c r="R662"/>
  <c r="U660"/>
  <c r="V661" s="1"/>
  <c r="T660"/>
  <c r="S660"/>
  <c r="R660"/>
  <c r="U658"/>
  <c r="V659" s="1"/>
  <c r="T658"/>
  <c r="S658"/>
  <c r="R658"/>
  <c r="U656"/>
  <c r="V657" s="1"/>
  <c r="T656"/>
  <c r="S656"/>
  <c r="R656"/>
  <c r="U654"/>
  <c r="V655" s="1"/>
  <c r="T654"/>
  <c r="S654"/>
  <c r="R654"/>
  <c r="U652"/>
  <c r="V653" s="1"/>
  <c r="T652"/>
  <c r="S652"/>
  <c r="R652"/>
  <c r="U650"/>
  <c r="V651" s="1"/>
  <c r="T650"/>
  <c r="S650"/>
  <c r="R650"/>
  <c r="U648"/>
  <c r="V649" s="1"/>
  <c r="T648"/>
  <c r="S648"/>
  <c r="R648"/>
  <c r="U646"/>
  <c r="V647" s="1"/>
  <c r="T646"/>
  <c r="S646"/>
  <c r="R646"/>
  <c r="U644"/>
  <c r="V645" s="1"/>
  <c r="T644"/>
  <c r="S644"/>
  <c r="R644"/>
  <c r="U642"/>
  <c r="V643" s="1"/>
  <c r="T642"/>
  <c r="S642"/>
  <c r="R642"/>
  <c r="U640"/>
  <c r="V641" s="1"/>
  <c r="T640"/>
  <c r="S640"/>
  <c r="R640"/>
  <c r="U638"/>
  <c r="V639" s="1"/>
  <c r="T638"/>
  <c r="S638"/>
  <c r="R638"/>
  <c r="U636"/>
  <c r="V637" s="1"/>
  <c r="T636"/>
  <c r="S636"/>
  <c r="R636"/>
  <c r="U634"/>
  <c r="V635" s="1"/>
  <c r="T634"/>
  <c r="S634"/>
  <c r="R634"/>
  <c r="U632"/>
  <c r="V633" s="1"/>
  <c r="T632"/>
  <c r="S632"/>
  <c r="R632"/>
  <c r="U630"/>
  <c r="V631" s="1"/>
  <c r="T630"/>
  <c r="S630"/>
  <c r="R630"/>
  <c r="U628"/>
  <c r="V629" s="1"/>
  <c r="T628"/>
  <c r="S628"/>
  <c r="R628"/>
  <c r="U626"/>
  <c r="V627" s="1"/>
  <c r="T626"/>
  <c r="S626"/>
  <c r="R626"/>
  <c r="U624"/>
  <c r="V625" s="1"/>
  <c r="T624"/>
  <c r="S624"/>
  <c r="R624"/>
  <c r="U622"/>
  <c r="V623" s="1"/>
  <c r="T622"/>
  <c r="S622"/>
  <c r="R622"/>
  <c r="U620"/>
  <c r="V621" s="1"/>
  <c r="T620"/>
  <c r="S620"/>
  <c r="R620"/>
  <c r="Q620"/>
  <c r="Q280" i="7" s="1"/>
  <c r="U618" i="1"/>
  <c r="V619" s="1"/>
  <c r="T618"/>
  <c r="S618"/>
  <c r="R618"/>
  <c r="Q618"/>
  <c r="Q279" i="7" s="1"/>
  <c r="U616" i="1"/>
  <c r="V617" s="1"/>
  <c r="T616"/>
  <c r="S616"/>
  <c r="R616"/>
  <c r="Q616"/>
  <c r="Q278" i="7" s="1"/>
  <c r="U614" i="1"/>
  <c r="V615" s="1"/>
  <c r="T614"/>
  <c r="S614"/>
  <c r="R614"/>
  <c r="Q614"/>
  <c r="Q277" i="7" s="1"/>
  <c r="U612" i="1"/>
  <c r="V613" s="1"/>
  <c r="T612"/>
  <c r="S612"/>
  <c r="R612"/>
  <c r="Q612"/>
  <c r="Q276" i="7" s="1"/>
  <c r="U610" i="1"/>
  <c r="V611" s="1"/>
  <c r="T610"/>
  <c r="S610"/>
  <c r="R610"/>
  <c r="Q610"/>
  <c r="U591"/>
  <c r="V592" s="1"/>
  <c r="T591"/>
  <c r="S591"/>
  <c r="R591"/>
  <c r="U589"/>
  <c r="V590" s="1"/>
  <c r="T589"/>
  <c r="S589"/>
  <c r="R589"/>
  <c r="U587"/>
  <c r="V588" s="1"/>
  <c r="T587"/>
  <c r="S587"/>
  <c r="R587"/>
  <c r="U585"/>
  <c r="V586" s="1"/>
  <c r="T585"/>
  <c r="S585"/>
  <c r="R585"/>
  <c r="U583"/>
  <c r="V584" s="1"/>
  <c r="T583"/>
  <c r="S583"/>
  <c r="R583"/>
  <c r="U581"/>
  <c r="V582" s="1"/>
  <c r="T581"/>
  <c r="S581"/>
  <c r="R581"/>
  <c r="U579"/>
  <c r="V580" s="1"/>
  <c r="T579"/>
  <c r="S579"/>
  <c r="R579"/>
  <c r="U577"/>
  <c r="V578" s="1"/>
  <c r="T577"/>
  <c r="S577"/>
  <c r="R577"/>
  <c r="U575"/>
  <c r="V576" s="1"/>
  <c r="T575"/>
  <c r="S575"/>
  <c r="R575"/>
  <c r="U573"/>
  <c r="V574" s="1"/>
  <c r="T573"/>
  <c r="S573"/>
  <c r="R573"/>
  <c r="U571"/>
  <c r="V572" s="1"/>
  <c r="T571"/>
  <c r="S571"/>
  <c r="R571"/>
  <c r="U569"/>
  <c r="V570" s="1"/>
  <c r="T569"/>
  <c r="S569"/>
  <c r="R569"/>
  <c r="U567"/>
  <c r="V568" s="1"/>
  <c r="T567"/>
  <c r="S567"/>
  <c r="R567"/>
  <c r="U565"/>
  <c r="V566" s="1"/>
  <c r="T565"/>
  <c r="S565"/>
  <c r="R565"/>
  <c r="U563"/>
  <c r="V564" s="1"/>
  <c r="T563"/>
  <c r="S563"/>
  <c r="R563"/>
  <c r="U561"/>
  <c r="V562" s="1"/>
  <c r="T561"/>
  <c r="S561"/>
  <c r="R561"/>
  <c r="U559"/>
  <c r="V560" s="1"/>
  <c r="T559"/>
  <c r="S559"/>
  <c r="R559"/>
  <c r="U557"/>
  <c r="V558" s="1"/>
  <c r="T557"/>
  <c r="S557"/>
  <c r="R557"/>
  <c r="U555"/>
  <c r="V556" s="1"/>
  <c r="T555"/>
  <c r="S555"/>
  <c r="R555"/>
  <c r="U553"/>
  <c r="V554" s="1"/>
  <c r="T553"/>
  <c r="S553"/>
  <c r="R553"/>
  <c r="U551"/>
  <c r="V552" s="1"/>
  <c r="T551"/>
  <c r="S551"/>
  <c r="R551"/>
  <c r="U549"/>
  <c r="V550" s="1"/>
  <c r="T549"/>
  <c r="S549"/>
  <c r="R549"/>
  <c r="U547"/>
  <c r="V548" s="1"/>
  <c r="T547"/>
  <c r="S547"/>
  <c r="R547"/>
  <c r="U545"/>
  <c r="V546" s="1"/>
  <c r="T545"/>
  <c r="S545"/>
  <c r="R545"/>
  <c r="U543"/>
  <c r="V544" s="1"/>
  <c r="T543"/>
  <c r="S543"/>
  <c r="R543"/>
  <c r="U541"/>
  <c r="V542" s="1"/>
  <c r="T541"/>
  <c r="S541"/>
  <c r="R541"/>
  <c r="U539"/>
  <c r="V540" s="1"/>
  <c r="T539"/>
  <c r="S539"/>
  <c r="R539"/>
  <c r="U537"/>
  <c r="V538" s="1"/>
  <c r="T537"/>
  <c r="S537"/>
  <c r="R537"/>
  <c r="U535"/>
  <c r="V536" s="1"/>
  <c r="T535"/>
  <c r="S535"/>
  <c r="R535"/>
  <c r="U533"/>
  <c r="V534" s="1"/>
  <c r="T533"/>
  <c r="S533"/>
  <c r="R533"/>
  <c r="U531"/>
  <c r="V532" s="1"/>
  <c r="T531"/>
  <c r="S531"/>
  <c r="R531"/>
  <c r="U529"/>
  <c r="V530" s="1"/>
  <c r="T529"/>
  <c r="S529"/>
  <c r="R529"/>
  <c r="U527"/>
  <c r="V528" s="1"/>
  <c r="T527"/>
  <c r="S527"/>
  <c r="R527"/>
  <c r="U525"/>
  <c r="V526" s="1"/>
  <c r="T525"/>
  <c r="S525"/>
  <c r="R525"/>
  <c r="U523"/>
  <c r="V524" s="1"/>
  <c r="T523"/>
  <c r="S523"/>
  <c r="R523"/>
  <c r="U521"/>
  <c r="V522" s="1"/>
  <c r="T521"/>
  <c r="S521"/>
  <c r="R521"/>
  <c r="U519"/>
  <c r="V520" s="1"/>
  <c r="T519"/>
  <c r="S519"/>
  <c r="R519"/>
  <c r="U517"/>
  <c r="V518" s="1"/>
  <c r="T517"/>
  <c r="S517"/>
  <c r="R517"/>
  <c r="U513"/>
  <c r="V514" s="1"/>
  <c r="T513"/>
  <c r="S513"/>
  <c r="R513"/>
  <c r="U511"/>
  <c r="V512" s="1"/>
  <c r="T511"/>
  <c r="S511"/>
  <c r="R511"/>
  <c r="U509"/>
  <c r="V510" s="1"/>
  <c r="T509"/>
  <c r="S509"/>
  <c r="R509"/>
  <c r="U505"/>
  <c r="V506" s="1"/>
  <c r="T505"/>
  <c r="S505"/>
  <c r="R505"/>
  <c r="U503"/>
  <c r="V504" s="1"/>
  <c r="T503"/>
  <c r="S503"/>
  <c r="R503"/>
  <c r="U501"/>
  <c r="V502" s="1"/>
  <c r="T501"/>
  <c r="S501"/>
  <c r="R501"/>
  <c r="U499"/>
  <c r="V500" s="1"/>
  <c r="T499"/>
  <c r="S499"/>
  <c r="R499"/>
  <c r="U497"/>
  <c r="V498" s="1"/>
  <c r="T497"/>
  <c r="S497"/>
  <c r="R497"/>
  <c r="U495"/>
  <c r="V496" s="1"/>
  <c r="T495"/>
  <c r="S495"/>
  <c r="R495"/>
  <c r="U493"/>
  <c r="V494" s="1"/>
  <c r="T493"/>
  <c r="S493"/>
  <c r="R493"/>
  <c r="U491"/>
  <c r="V492" s="1"/>
  <c r="T491"/>
  <c r="S491"/>
  <c r="R491"/>
  <c r="U489"/>
  <c r="V490" s="1"/>
  <c r="T489"/>
  <c r="S489"/>
  <c r="R489"/>
  <c r="U487"/>
  <c r="V488" s="1"/>
  <c r="T487"/>
  <c r="S487"/>
  <c r="R487"/>
  <c r="U485"/>
  <c r="V486" s="1"/>
  <c r="T485"/>
  <c r="S485"/>
  <c r="R485"/>
  <c r="U483"/>
  <c r="V484" s="1"/>
  <c r="T483"/>
  <c r="S483"/>
  <c r="R483"/>
  <c r="U481"/>
  <c r="V482" s="1"/>
  <c r="T481"/>
  <c r="S481"/>
  <c r="R481"/>
  <c r="U479"/>
  <c r="V480" s="1"/>
  <c r="T479"/>
  <c r="S479"/>
  <c r="R479"/>
  <c r="U477"/>
  <c r="V478" s="1"/>
  <c r="T477"/>
  <c r="S477"/>
  <c r="R477"/>
  <c r="U473"/>
  <c r="V474" s="1"/>
  <c r="T473"/>
  <c r="S473"/>
  <c r="R473"/>
  <c r="U471"/>
  <c r="V472" s="1"/>
  <c r="T471"/>
  <c r="S471"/>
  <c r="R471"/>
  <c r="U469"/>
  <c r="V470" s="1"/>
  <c r="T469"/>
  <c r="S469"/>
  <c r="R469"/>
  <c r="U467"/>
  <c r="V468" s="1"/>
  <c r="T467"/>
  <c r="S467"/>
  <c r="R467"/>
  <c r="U465"/>
  <c r="V466" s="1"/>
  <c r="T465"/>
  <c r="S465"/>
  <c r="R465"/>
  <c r="U463"/>
  <c r="V464" s="1"/>
  <c r="T463"/>
  <c r="S463"/>
  <c r="R463"/>
  <c r="U461"/>
  <c r="V462" s="1"/>
  <c r="T461"/>
  <c r="S461"/>
  <c r="R461"/>
  <c r="U459"/>
  <c r="V460" s="1"/>
  <c r="T459"/>
  <c r="S459"/>
  <c r="R459"/>
  <c r="U457"/>
  <c r="V458" s="1"/>
  <c r="T457"/>
  <c r="S457"/>
  <c r="R457"/>
  <c r="U455"/>
  <c r="V456" s="1"/>
  <c r="T455"/>
  <c r="S455"/>
  <c r="R455"/>
  <c r="U453"/>
  <c r="V454" s="1"/>
  <c r="T453"/>
  <c r="S453"/>
  <c r="R453"/>
  <c r="U451"/>
  <c r="V452" s="1"/>
  <c r="T451"/>
  <c r="S451"/>
  <c r="R451"/>
  <c r="U449"/>
  <c r="V450" s="1"/>
  <c r="T449"/>
  <c r="S449"/>
  <c r="R449"/>
  <c r="U447"/>
  <c r="V448" s="1"/>
  <c r="T447"/>
  <c r="S447"/>
  <c r="R447"/>
  <c r="U445"/>
  <c r="V446" s="1"/>
  <c r="T445"/>
  <c r="S445"/>
  <c r="R445"/>
  <c r="U443"/>
  <c r="V444" s="1"/>
  <c r="T443"/>
  <c r="S443"/>
  <c r="R443"/>
  <c r="U441"/>
  <c r="V442" s="1"/>
  <c r="T441"/>
  <c r="S441"/>
  <c r="R441"/>
  <c r="U439"/>
  <c r="V440" s="1"/>
  <c r="T439"/>
  <c r="S439"/>
  <c r="R439"/>
  <c r="U437"/>
  <c r="V438" s="1"/>
  <c r="T437"/>
  <c r="S437"/>
  <c r="R437"/>
  <c r="U435"/>
  <c r="V436" s="1"/>
  <c r="T435"/>
  <c r="S435"/>
  <c r="R435"/>
  <c r="U433"/>
  <c r="V434" s="1"/>
  <c r="T433"/>
  <c r="S433"/>
  <c r="R433"/>
  <c r="U431"/>
  <c r="V432" s="1"/>
  <c r="T431"/>
  <c r="S431"/>
  <c r="R431"/>
  <c r="U429"/>
  <c r="V430" s="1"/>
  <c r="T429"/>
  <c r="S429"/>
  <c r="R429"/>
  <c r="U427"/>
  <c r="V428" s="1"/>
  <c r="T427"/>
  <c r="S427"/>
  <c r="R427"/>
  <c r="U425"/>
  <c r="V426" s="1"/>
  <c r="T425"/>
  <c r="S425"/>
  <c r="R425"/>
  <c r="U423"/>
  <c r="V424" s="1"/>
  <c r="T423"/>
  <c r="S423"/>
  <c r="R423"/>
  <c r="U421"/>
  <c r="V422" s="1"/>
  <c r="T421"/>
  <c r="S421"/>
  <c r="R421"/>
  <c r="U419"/>
  <c r="V420" s="1"/>
  <c r="T419"/>
  <c r="S419"/>
  <c r="R419"/>
  <c r="U417"/>
  <c r="V418" s="1"/>
  <c r="T417"/>
  <c r="S417"/>
  <c r="R417"/>
  <c r="U415"/>
  <c r="V416" s="1"/>
  <c r="T415"/>
  <c r="S415"/>
  <c r="R415"/>
  <c r="U413"/>
  <c r="V414" s="1"/>
  <c r="T413"/>
  <c r="S413"/>
  <c r="R413"/>
  <c r="U411"/>
  <c r="V412" s="1"/>
  <c r="T411"/>
  <c r="S411"/>
  <c r="R411"/>
  <c r="U409"/>
  <c r="V410" s="1"/>
  <c r="T409"/>
  <c r="S409"/>
  <c r="R409"/>
  <c r="U407"/>
  <c r="V408" s="1"/>
  <c r="T407"/>
  <c r="S407"/>
  <c r="R407"/>
  <c r="U405"/>
  <c r="V406" s="1"/>
  <c r="T405"/>
  <c r="S405"/>
  <c r="R405"/>
  <c r="U403"/>
  <c r="V404" s="1"/>
  <c r="T403"/>
  <c r="S403"/>
  <c r="R403"/>
  <c r="U401"/>
  <c r="V402" s="1"/>
  <c r="T401"/>
  <c r="S401"/>
  <c r="R401"/>
  <c r="U399"/>
  <c r="V400" s="1"/>
  <c r="T399"/>
  <c r="S399"/>
  <c r="R399"/>
  <c r="U397"/>
  <c r="V398" s="1"/>
  <c r="T397"/>
  <c r="S397"/>
  <c r="R397"/>
  <c r="U395"/>
  <c r="V396" s="1"/>
  <c r="T395"/>
  <c r="S395"/>
  <c r="R395"/>
  <c r="U393"/>
  <c r="V394" s="1"/>
  <c r="T393"/>
  <c r="S393"/>
  <c r="R393"/>
  <c r="U391"/>
  <c r="V392" s="1"/>
  <c r="T391"/>
  <c r="S391"/>
  <c r="R391"/>
  <c r="U389"/>
  <c r="V390" s="1"/>
  <c r="T389"/>
  <c r="S389"/>
  <c r="R389"/>
  <c r="U387"/>
  <c r="V388" s="1"/>
  <c r="T387"/>
  <c r="S387"/>
  <c r="R387"/>
  <c r="U385"/>
  <c r="V386" s="1"/>
  <c r="T385"/>
  <c r="S385"/>
  <c r="R385"/>
  <c r="U381"/>
  <c r="V382" s="1"/>
  <c r="T381"/>
  <c r="S381"/>
  <c r="R381"/>
  <c r="U379"/>
  <c r="V380" s="1"/>
  <c r="T379"/>
  <c r="S379"/>
  <c r="R379"/>
  <c r="U377"/>
  <c r="V378" s="1"/>
  <c r="T377"/>
  <c r="S377"/>
  <c r="R377"/>
  <c r="U375"/>
  <c r="V376" s="1"/>
  <c r="T375"/>
  <c r="S375"/>
  <c r="R375"/>
  <c r="U373"/>
  <c r="V374" s="1"/>
  <c r="T373"/>
  <c r="S373"/>
  <c r="R373"/>
  <c r="U371"/>
  <c r="V372" s="1"/>
  <c r="T371"/>
  <c r="S371"/>
  <c r="R371"/>
  <c r="U369"/>
  <c r="V370" s="1"/>
  <c r="T369"/>
  <c r="S369"/>
  <c r="R369"/>
  <c r="U367"/>
  <c r="V368" s="1"/>
  <c r="T367"/>
  <c r="S367"/>
  <c r="R367"/>
  <c r="U365"/>
  <c r="V366" s="1"/>
  <c r="T365"/>
  <c r="S365"/>
  <c r="R365"/>
  <c r="U363"/>
  <c r="V364" s="1"/>
  <c r="T363"/>
  <c r="S363"/>
  <c r="R363"/>
  <c r="U361"/>
  <c r="V362" s="1"/>
  <c r="T361"/>
  <c r="S361"/>
  <c r="R361"/>
  <c r="U359"/>
  <c r="V360" s="1"/>
  <c r="T359"/>
  <c r="S359"/>
  <c r="R359"/>
  <c r="U357"/>
  <c r="V358" s="1"/>
  <c r="T357"/>
  <c r="S357"/>
  <c r="R357"/>
  <c r="U355"/>
  <c r="V356" s="1"/>
  <c r="T355"/>
  <c r="S355"/>
  <c r="R355"/>
  <c r="U353"/>
  <c r="V354" s="1"/>
  <c r="T353"/>
  <c r="S353"/>
  <c r="R353"/>
  <c r="U351"/>
  <c r="V352" s="1"/>
  <c r="T351"/>
  <c r="S351"/>
  <c r="R351"/>
  <c r="U349"/>
  <c r="V350" s="1"/>
  <c r="T349"/>
  <c r="S349"/>
  <c r="R349"/>
  <c r="U347"/>
  <c r="V348" s="1"/>
  <c r="T347"/>
  <c r="S347"/>
  <c r="R347"/>
  <c r="U345"/>
  <c r="V346" s="1"/>
  <c r="T345"/>
  <c r="S345"/>
  <c r="R345"/>
  <c r="U343"/>
  <c r="V344" s="1"/>
  <c r="T343"/>
  <c r="S343"/>
  <c r="R343"/>
  <c r="U341"/>
  <c r="V342" s="1"/>
  <c r="T341"/>
  <c r="S341"/>
  <c r="R341"/>
  <c r="U339"/>
  <c r="V340" s="1"/>
  <c r="T339"/>
  <c r="S339"/>
  <c r="R339"/>
  <c r="U337"/>
  <c r="V338" s="1"/>
  <c r="T337"/>
  <c r="S337"/>
  <c r="R337"/>
  <c r="U335"/>
  <c r="V336" s="1"/>
  <c r="T335"/>
  <c r="S335"/>
  <c r="R335"/>
  <c r="U333"/>
  <c r="V334" s="1"/>
  <c r="T333"/>
  <c r="S333"/>
  <c r="R333"/>
  <c r="U331"/>
  <c r="V332" s="1"/>
  <c r="T331"/>
  <c r="S331"/>
  <c r="R331"/>
  <c r="U329"/>
  <c r="V330" s="1"/>
  <c r="T329"/>
  <c r="S329"/>
  <c r="R329"/>
  <c r="U327"/>
  <c r="V328" s="1"/>
  <c r="T327"/>
  <c r="S327"/>
  <c r="R327"/>
  <c r="U325"/>
  <c r="V326" s="1"/>
  <c r="T325"/>
  <c r="S325"/>
  <c r="R325"/>
  <c r="U323"/>
  <c r="V324" s="1"/>
  <c r="T323"/>
  <c r="S323"/>
  <c r="R323"/>
  <c r="U321"/>
  <c r="V322" s="1"/>
  <c r="T321"/>
  <c r="S321"/>
  <c r="R321"/>
  <c r="U319"/>
  <c r="V320" s="1"/>
  <c r="T319"/>
  <c r="S319"/>
  <c r="R319"/>
  <c r="U317"/>
  <c r="V318" s="1"/>
  <c r="T317"/>
  <c r="S317"/>
  <c r="R317"/>
  <c r="U315"/>
  <c r="V316" s="1"/>
  <c r="T315"/>
  <c r="S315"/>
  <c r="R315"/>
  <c r="U313"/>
  <c r="V314" s="1"/>
  <c r="T313"/>
  <c r="S313"/>
  <c r="R313"/>
  <c r="U311"/>
  <c r="V312" s="1"/>
  <c r="T311"/>
  <c r="S311"/>
  <c r="R311"/>
  <c r="U309"/>
  <c r="V310" s="1"/>
  <c r="T309"/>
  <c r="S309"/>
  <c r="R309"/>
  <c r="U307"/>
  <c r="V308" s="1"/>
  <c r="T307"/>
  <c r="S307"/>
  <c r="R307"/>
  <c r="U305"/>
  <c r="V306" s="1"/>
  <c r="T305"/>
  <c r="S305"/>
  <c r="R305"/>
  <c r="U303"/>
  <c r="V304" s="1"/>
  <c r="T303"/>
  <c r="S303"/>
  <c r="R303"/>
  <c r="U301"/>
  <c r="V302" s="1"/>
  <c r="T301"/>
  <c r="S301"/>
  <c r="R301"/>
  <c r="U299"/>
  <c r="V300" s="1"/>
  <c r="T299"/>
  <c r="S299"/>
  <c r="R299"/>
  <c r="U297"/>
  <c r="V298" s="1"/>
  <c r="T297"/>
  <c r="S297"/>
  <c r="R297"/>
  <c r="U295"/>
  <c r="V296" s="1"/>
  <c r="T295"/>
  <c r="S295"/>
  <c r="R295"/>
  <c r="U293"/>
  <c r="V294" s="1"/>
  <c r="T293"/>
  <c r="S293"/>
  <c r="R293"/>
  <c r="U289"/>
  <c r="V290" s="1"/>
  <c r="T289"/>
  <c r="S289"/>
  <c r="R289"/>
  <c r="U287"/>
  <c r="V288" s="1"/>
  <c r="T287"/>
  <c r="S287"/>
  <c r="R287"/>
  <c r="U285"/>
  <c r="V286" s="1"/>
  <c r="T285"/>
  <c r="S285"/>
  <c r="R285"/>
  <c r="U283"/>
  <c r="V284" s="1"/>
  <c r="T283"/>
  <c r="S283"/>
  <c r="R283"/>
  <c r="U281"/>
  <c r="V282" s="1"/>
  <c r="T281"/>
  <c r="S281"/>
  <c r="R281"/>
  <c r="U279"/>
  <c r="V280" s="1"/>
  <c r="T279"/>
  <c r="S279"/>
  <c r="R279"/>
  <c r="U277"/>
  <c r="V278" s="1"/>
  <c r="T277"/>
  <c r="S277"/>
  <c r="R277"/>
  <c r="U275"/>
  <c r="V276" s="1"/>
  <c r="T275"/>
  <c r="S275"/>
  <c r="R275"/>
  <c r="U273"/>
  <c r="V274" s="1"/>
  <c r="T273"/>
  <c r="S273"/>
  <c r="R273"/>
  <c r="U271"/>
  <c r="V272" s="1"/>
  <c r="T271"/>
  <c r="S271"/>
  <c r="R271"/>
  <c r="U269"/>
  <c r="V270" s="1"/>
  <c r="T269"/>
  <c r="S269"/>
  <c r="R269"/>
  <c r="U267"/>
  <c r="V268" s="1"/>
  <c r="T267"/>
  <c r="S267"/>
  <c r="R267"/>
  <c r="U265"/>
  <c r="V266" s="1"/>
  <c r="T265"/>
  <c r="S265"/>
  <c r="R265"/>
  <c r="U263"/>
  <c r="V264" s="1"/>
  <c r="T263"/>
  <c r="S263"/>
  <c r="R263"/>
  <c r="U261"/>
  <c r="V262" s="1"/>
  <c r="T261"/>
  <c r="S261"/>
  <c r="R261"/>
  <c r="U259"/>
  <c r="V260" s="1"/>
  <c r="T259"/>
  <c r="S259"/>
  <c r="R259"/>
  <c r="U257"/>
  <c r="V258" s="1"/>
  <c r="T257"/>
  <c r="S257"/>
  <c r="R257"/>
  <c r="U255"/>
  <c r="V256" s="1"/>
  <c r="T255"/>
  <c r="S255"/>
  <c r="R255"/>
  <c r="U253"/>
  <c r="V254" s="1"/>
  <c r="T253"/>
  <c r="S253"/>
  <c r="R253"/>
  <c r="U251"/>
  <c r="V252" s="1"/>
  <c r="T251"/>
  <c r="S251"/>
  <c r="R251"/>
  <c r="U249"/>
  <c r="V250" s="1"/>
  <c r="T249"/>
  <c r="S249"/>
  <c r="R249"/>
  <c r="U247"/>
  <c r="V248" s="1"/>
  <c r="T247"/>
  <c r="S247"/>
  <c r="R247"/>
  <c r="U245"/>
  <c r="V246" s="1"/>
  <c r="T245"/>
  <c r="S245"/>
  <c r="R245"/>
  <c r="U243"/>
  <c r="V244" s="1"/>
  <c r="T243"/>
  <c r="S243"/>
  <c r="R243"/>
  <c r="U241"/>
  <c r="V242" s="1"/>
  <c r="T241"/>
  <c r="S241"/>
  <c r="R241"/>
  <c r="U239"/>
  <c r="V240" s="1"/>
  <c r="T239"/>
  <c r="S239"/>
  <c r="R239"/>
  <c r="U237"/>
  <c r="V238" s="1"/>
  <c r="T237"/>
  <c r="S237"/>
  <c r="R237"/>
  <c r="U235"/>
  <c r="V236" s="1"/>
  <c r="T235"/>
  <c r="S235"/>
  <c r="R235"/>
  <c r="U233"/>
  <c r="V234" s="1"/>
  <c r="T233"/>
  <c r="S233"/>
  <c r="R233"/>
  <c r="U231"/>
  <c r="V232" s="1"/>
  <c r="T231"/>
  <c r="S231"/>
  <c r="R231"/>
  <c r="U229"/>
  <c r="V230" s="1"/>
  <c r="T229"/>
  <c r="S229"/>
  <c r="R229"/>
  <c r="U227"/>
  <c r="V228" s="1"/>
  <c r="T227"/>
  <c r="S227"/>
  <c r="R227"/>
  <c r="U225"/>
  <c r="V226" s="1"/>
  <c r="T225"/>
  <c r="S225"/>
  <c r="R225"/>
  <c r="U223"/>
  <c r="V224" s="1"/>
  <c r="T223"/>
  <c r="S223"/>
  <c r="R223"/>
  <c r="U221"/>
  <c r="V222" s="1"/>
  <c r="T221"/>
  <c r="S221"/>
  <c r="R221"/>
  <c r="U219"/>
  <c r="V220" s="1"/>
  <c r="T219"/>
  <c r="S219"/>
  <c r="R219"/>
  <c r="U217"/>
  <c r="V218" s="1"/>
  <c r="T217"/>
  <c r="S217"/>
  <c r="R217"/>
  <c r="U215"/>
  <c r="V216" s="1"/>
  <c r="T215"/>
  <c r="S215"/>
  <c r="R215"/>
  <c r="U213"/>
  <c r="V214" s="1"/>
  <c r="T213"/>
  <c r="S213"/>
  <c r="R213"/>
  <c r="U211"/>
  <c r="V212" s="1"/>
  <c r="T211"/>
  <c r="S211"/>
  <c r="R211"/>
  <c r="U209"/>
  <c r="V210" s="1"/>
  <c r="T209"/>
  <c r="S209"/>
  <c r="R209"/>
  <c r="U207"/>
  <c r="V208" s="1"/>
  <c r="T207"/>
  <c r="S207"/>
  <c r="R207"/>
  <c r="U205"/>
  <c r="V206" s="1"/>
  <c r="T205"/>
  <c r="S205"/>
  <c r="R205"/>
  <c r="U203"/>
  <c r="V204" s="1"/>
  <c r="T203"/>
  <c r="S203"/>
  <c r="R203"/>
  <c r="U201"/>
  <c r="V202" s="1"/>
  <c r="T201"/>
  <c r="S201"/>
  <c r="R201"/>
  <c r="U199"/>
  <c r="V200" s="1"/>
  <c r="T199"/>
  <c r="S199"/>
  <c r="R199"/>
  <c r="U197"/>
  <c r="V198" s="1"/>
  <c r="T197"/>
  <c r="S197"/>
  <c r="R197"/>
  <c r="U195"/>
  <c r="V196" s="1"/>
  <c r="T195"/>
  <c r="S195"/>
  <c r="R195"/>
  <c r="U193"/>
  <c r="V194" s="1"/>
  <c r="T193"/>
  <c r="S193"/>
  <c r="R193"/>
  <c r="U191"/>
  <c r="V192" s="1"/>
  <c r="T191"/>
  <c r="S191"/>
  <c r="R191"/>
  <c r="U189"/>
  <c r="V190" s="1"/>
  <c r="T189"/>
  <c r="S189"/>
  <c r="R189"/>
  <c r="U187"/>
  <c r="V188" s="1"/>
  <c r="T187"/>
  <c r="S187"/>
  <c r="R187"/>
  <c r="U185"/>
  <c r="V186" s="1"/>
  <c r="T185"/>
  <c r="S185"/>
  <c r="R185"/>
  <c r="U183"/>
  <c r="V184" s="1"/>
  <c r="T183"/>
  <c r="S183"/>
  <c r="R183"/>
  <c r="U181"/>
  <c r="V182" s="1"/>
  <c r="T181"/>
  <c r="S181"/>
  <c r="R181"/>
  <c r="U68"/>
  <c r="T68"/>
  <c r="S68"/>
  <c r="R68"/>
  <c r="Q68"/>
  <c r="U66"/>
  <c r="T66"/>
  <c r="S66"/>
  <c r="R66"/>
  <c r="Q66"/>
  <c r="U64"/>
  <c r="T64"/>
  <c r="S64"/>
  <c r="R64"/>
  <c r="Q64"/>
  <c r="U62"/>
  <c r="T62"/>
  <c r="S62"/>
  <c r="R62"/>
  <c r="Q62"/>
  <c r="U60"/>
  <c r="T60"/>
  <c r="S60"/>
  <c r="R60"/>
  <c r="Q60"/>
  <c r="U58"/>
  <c r="T58"/>
  <c r="S58"/>
  <c r="R58"/>
  <c r="Q58"/>
  <c r="P6" i="10"/>
  <c r="P8"/>
  <c r="L1164"/>
  <c r="K1164"/>
  <c r="I1164"/>
  <c r="H1164"/>
  <c r="G1164"/>
  <c r="F1164"/>
  <c r="D1164"/>
  <c r="K1163"/>
  <c r="I1163"/>
  <c r="H1163"/>
  <c r="G1163"/>
  <c r="F1163"/>
  <c r="L1162"/>
  <c r="K1162"/>
  <c r="I1162"/>
  <c r="H1162"/>
  <c r="G1162"/>
  <c r="F1162"/>
  <c r="D1162"/>
  <c r="K1161"/>
  <c r="I1161"/>
  <c r="H1161"/>
  <c r="G1161"/>
  <c r="F1161"/>
  <c r="L1160"/>
  <c r="K1160"/>
  <c r="I1160"/>
  <c r="H1160"/>
  <c r="G1160"/>
  <c r="F1160"/>
  <c r="D1160"/>
  <c r="K1159"/>
  <c r="J1159"/>
  <c r="I1159"/>
  <c r="H1159"/>
  <c r="G1159"/>
  <c r="F1159"/>
  <c r="C1159"/>
  <c r="P1158"/>
  <c r="O1158"/>
  <c r="M1158"/>
  <c r="L1158"/>
  <c r="K1158"/>
  <c r="J1158"/>
  <c r="I1158"/>
  <c r="H1158"/>
  <c r="G1158"/>
  <c r="F1158"/>
  <c r="D1158"/>
  <c r="C1158"/>
  <c r="B1158"/>
  <c r="K1157"/>
  <c r="J1157"/>
  <c r="I1157"/>
  <c r="H1157"/>
  <c r="G1157"/>
  <c r="F1157"/>
  <c r="C1157"/>
  <c r="P1156"/>
  <c r="O1156"/>
  <c r="M1156"/>
  <c r="L1156"/>
  <c r="K1156"/>
  <c r="J1156"/>
  <c r="I1156"/>
  <c r="H1156"/>
  <c r="G1156"/>
  <c r="F1156"/>
  <c r="D1156"/>
  <c r="C1156"/>
  <c r="B1156"/>
  <c r="K1155"/>
  <c r="J1155"/>
  <c r="I1155"/>
  <c r="H1155"/>
  <c r="G1155"/>
  <c r="F1155"/>
  <c r="C1155"/>
  <c r="L1154"/>
  <c r="K1154"/>
  <c r="J1154"/>
  <c r="I1154"/>
  <c r="H1154"/>
  <c r="G1154"/>
  <c r="F1154"/>
  <c r="D1154"/>
  <c r="C1154"/>
  <c r="B1154"/>
  <c r="K1153"/>
  <c r="J1153"/>
  <c r="I1153"/>
  <c r="H1153"/>
  <c r="G1153"/>
  <c r="F1153"/>
  <c r="C1153"/>
  <c r="L1152"/>
  <c r="J1152"/>
  <c r="I1152"/>
  <c r="H1152"/>
  <c r="G1152"/>
  <c r="F1152"/>
  <c r="C1152"/>
  <c r="B1152"/>
  <c r="K1149"/>
  <c r="J1149"/>
  <c r="I1149"/>
  <c r="H1149"/>
  <c r="G1149"/>
  <c r="F1149"/>
  <c r="C1149"/>
  <c r="L1148"/>
  <c r="J1148"/>
  <c r="I1148"/>
  <c r="H1148"/>
  <c r="G1148"/>
  <c r="F1148"/>
  <c r="E1148"/>
  <c r="D1148"/>
  <c r="C1148"/>
  <c r="B1148"/>
  <c r="K1147"/>
  <c r="J1147"/>
  <c r="I1147"/>
  <c r="H1147"/>
  <c r="G1147"/>
  <c r="F1147"/>
  <c r="C1147"/>
  <c r="L1146"/>
  <c r="K1146"/>
  <c r="J1146"/>
  <c r="I1146"/>
  <c r="H1146"/>
  <c r="G1146"/>
  <c r="F1146"/>
  <c r="E1146"/>
  <c r="D1146"/>
  <c r="C1146"/>
  <c r="B1146"/>
  <c r="K1145"/>
  <c r="J1145"/>
  <c r="I1145"/>
  <c r="H1145"/>
  <c r="G1145"/>
  <c r="F1145"/>
  <c r="C1145"/>
  <c r="L1144"/>
  <c r="K1144"/>
  <c r="J1144"/>
  <c r="I1144"/>
  <c r="H1144"/>
  <c r="G1144"/>
  <c r="F1144"/>
  <c r="E1144"/>
  <c r="D1144"/>
  <c r="C1144"/>
  <c r="B1144"/>
  <c r="K1143"/>
  <c r="J1143"/>
  <c r="I1143"/>
  <c r="H1143"/>
  <c r="G1143"/>
  <c r="F1143"/>
  <c r="C1143"/>
  <c r="L1142"/>
  <c r="K1142"/>
  <c r="J1142"/>
  <c r="I1142"/>
  <c r="H1142"/>
  <c r="G1142"/>
  <c r="F1142"/>
  <c r="E1142"/>
  <c r="D1142"/>
  <c r="C1142"/>
  <c r="B1142"/>
  <c r="K1141"/>
  <c r="J1141"/>
  <c r="I1141"/>
  <c r="H1141"/>
  <c r="G1141"/>
  <c r="F1141"/>
  <c r="C1141"/>
  <c r="L1140"/>
  <c r="K1140"/>
  <c r="J1140"/>
  <c r="I1140"/>
  <c r="H1140"/>
  <c r="G1140"/>
  <c r="F1140"/>
  <c r="E1140"/>
  <c r="D1140"/>
  <c r="C1140"/>
  <c r="B1140"/>
  <c r="K1139"/>
  <c r="J1139"/>
  <c r="I1139"/>
  <c r="H1139"/>
  <c r="G1139"/>
  <c r="F1139"/>
  <c r="C1139"/>
  <c r="P1138"/>
  <c r="O1138"/>
  <c r="N1138"/>
  <c r="M1138"/>
  <c r="L1138"/>
  <c r="K1138"/>
  <c r="J1138"/>
  <c r="I1138"/>
  <c r="H1138"/>
  <c r="G1138"/>
  <c r="F1138"/>
  <c r="E1138"/>
  <c r="D1138"/>
  <c r="C1138"/>
  <c r="B1138"/>
  <c r="K1137"/>
  <c r="J1137"/>
  <c r="I1137"/>
  <c r="H1137"/>
  <c r="G1137"/>
  <c r="F1137"/>
  <c r="C1137"/>
  <c r="P1136"/>
  <c r="O1136"/>
  <c r="N1136"/>
  <c r="M1136"/>
  <c r="L1136"/>
  <c r="K1136"/>
  <c r="J1136"/>
  <c r="I1136"/>
  <c r="H1136"/>
  <c r="G1136"/>
  <c r="F1136"/>
  <c r="E1136"/>
  <c r="D1136"/>
  <c r="C1136"/>
  <c r="B1136"/>
  <c r="K1135"/>
  <c r="J1135"/>
  <c r="I1135"/>
  <c r="H1135"/>
  <c r="G1135"/>
  <c r="F1135"/>
  <c r="C1135"/>
  <c r="L1134"/>
  <c r="K1134"/>
  <c r="J1134"/>
  <c r="I1134"/>
  <c r="H1134"/>
  <c r="G1134"/>
  <c r="F1134"/>
  <c r="E1134"/>
  <c r="D1134"/>
  <c r="C1134"/>
  <c r="B1134"/>
  <c r="K1133"/>
  <c r="J1133"/>
  <c r="I1133"/>
  <c r="H1133"/>
  <c r="G1133"/>
  <c r="F1133"/>
  <c r="C1133"/>
  <c r="L1132"/>
  <c r="K1132"/>
  <c r="J1132"/>
  <c r="I1132"/>
  <c r="H1132"/>
  <c r="G1132"/>
  <c r="F1132"/>
  <c r="E1132"/>
  <c r="D1132"/>
  <c r="C1132"/>
  <c r="B1132"/>
  <c r="K1131"/>
  <c r="J1131"/>
  <c r="I1131"/>
  <c r="H1131"/>
  <c r="G1131"/>
  <c r="F1131"/>
  <c r="C1131"/>
  <c r="L1130"/>
  <c r="K1130"/>
  <c r="J1130"/>
  <c r="I1130"/>
  <c r="H1130"/>
  <c r="G1130"/>
  <c r="F1130"/>
  <c r="E1130"/>
  <c r="D1130"/>
  <c r="C1130"/>
  <c r="B1130"/>
  <c r="K1129"/>
  <c r="J1129"/>
  <c r="I1129"/>
  <c r="H1129"/>
  <c r="G1129"/>
  <c r="F1129"/>
  <c r="C1129"/>
  <c r="L1128"/>
  <c r="K1128"/>
  <c r="J1128"/>
  <c r="I1128"/>
  <c r="H1128"/>
  <c r="G1128"/>
  <c r="F1128"/>
  <c r="E1128"/>
  <c r="D1128"/>
  <c r="C1128"/>
  <c r="B1128"/>
  <c r="K1127"/>
  <c r="J1127"/>
  <c r="I1127"/>
  <c r="H1127"/>
  <c r="G1127"/>
  <c r="F1127"/>
  <c r="C1127"/>
  <c r="L1126"/>
  <c r="K1126"/>
  <c r="J1126"/>
  <c r="I1126"/>
  <c r="H1126"/>
  <c r="G1126"/>
  <c r="F1126"/>
  <c r="E1126"/>
  <c r="D1126"/>
  <c r="C1126"/>
  <c r="B1126"/>
  <c r="K1125"/>
  <c r="J1125"/>
  <c r="I1125"/>
  <c r="H1125"/>
  <c r="G1125"/>
  <c r="F1125"/>
  <c r="C1125"/>
  <c r="L1124"/>
  <c r="K1124"/>
  <c r="J1124"/>
  <c r="I1124"/>
  <c r="H1124"/>
  <c r="G1124"/>
  <c r="F1124"/>
  <c r="E1124"/>
  <c r="D1124"/>
  <c r="C1124"/>
  <c r="B1124"/>
  <c r="K1123"/>
  <c r="J1123"/>
  <c r="I1123"/>
  <c r="H1123"/>
  <c r="G1123"/>
  <c r="F1123"/>
  <c r="C1123"/>
  <c r="L1122"/>
  <c r="K1122"/>
  <c r="J1122"/>
  <c r="I1122"/>
  <c r="H1122"/>
  <c r="G1122"/>
  <c r="F1122"/>
  <c r="E1122"/>
  <c r="D1122"/>
  <c r="C1122"/>
  <c r="B1122"/>
  <c r="K1121"/>
  <c r="J1121"/>
  <c r="I1121"/>
  <c r="H1121"/>
  <c r="G1121"/>
  <c r="F1121"/>
  <c r="C1121"/>
  <c r="L1120"/>
  <c r="K1120"/>
  <c r="J1120"/>
  <c r="I1120"/>
  <c r="H1120"/>
  <c r="G1120"/>
  <c r="F1120"/>
  <c r="E1120"/>
  <c r="D1120"/>
  <c r="C1120"/>
  <c r="B1120"/>
  <c r="K1119"/>
  <c r="J1119"/>
  <c r="I1119"/>
  <c r="H1119"/>
  <c r="G1119"/>
  <c r="F1119"/>
  <c r="C1119"/>
  <c r="K1118"/>
  <c r="J1118"/>
  <c r="I1118"/>
  <c r="H1118"/>
  <c r="G1118"/>
  <c r="F1118"/>
  <c r="E1118"/>
  <c r="D1118"/>
  <c r="C1118"/>
  <c r="B1118"/>
  <c r="K1117"/>
  <c r="J1117"/>
  <c r="I1117"/>
  <c r="H1117"/>
  <c r="G1117"/>
  <c r="F1117"/>
  <c r="C1117"/>
  <c r="K1116"/>
  <c r="J1116"/>
  <c r="I1116"/>
  <c r="H1116"/>
  <c r="G1116"/>
  <c r="F1116"/>
  <c r="E1116"/>
  <c r="D1116"/>
  <c r="C1116"/>
  <c r="B1116"/>
  <c r="K1115"/>
  <c r="J1115"/>
  <c r="I1115"/>
  <c r="H1115"/>
  <c r="G1115"/>
  <c r="F1115"/>
  <c r="C1115"/>
  <c r="K1114"/>
  <c r="J1114"/>
  <c r="I1114"/>
  <c r="H1114"/>
  <c r="G1114"/>
  <c r="F1114"/>
  <c r="E1114"/>
  <c r="D1114"/>
  <c r="C1114"/>
  <c r="B1114"/>
  <c r="K1113"/>
  <c r="J1113"/>
  <c r="I1113"/>
  <c r="H1113"/>
  <c r="G1113"/>
  <c r="F1113"/>
  <c r="C1113"/>
  <c r="P1112"/>
  <c r="O1112"/>
  <c r="N1112"/>
  <c r="M1112"/>
  <c r="L1112"/>
  <c r="K1112"/>
  <c r="J1112"/>
  <c r="I1112"/>
  <c r="H1112"/>
  <c r="G1112"/>
  <c r="F1112"/>
  <c r="E1112"/>
  <c r="D1112"/>
  <c r="C1112"/>
  <c r="B1112"/>
  <c r="K1111"/>
  <c r="J1111"/>
  <c r="I1111"/>
  <c r="H1111"/>
  <c r="G1111"/>
  <c r="F1111"/>
  <c r="C1111"/>
  <c r="P1110"/>
  <c r="O1110"/>
  <c r="N1110"/>
  <c r="M1110"/>
  <c r="L1110"/>
  <c r="K1110"/>
  <c r="J1110"/>
  <c r="I1110"/>
  <c r="H1110"/>
  <c r="G1110"/>
  <c r="F1110"/>
  <c r="E1110"/>
  <c r="D1110"/>
  <c r="C1110"/>
  <c r="B1110"/>
  <c r="K1109"/>
  <c r="J1109"/>
  <c r="I1109"/>
  <c r="H1109"/>
  <c r="G1109"/>
  <c r="F1109"/>
  <c r="C1109"/>
  <c r="P1108"/>
  <c r="O1108"/>
  <c r="N1108"/>
  <c r="M1108"/>
  <c r="L1108"/>
  <c r="K1108"/>
  <c r="J1108"/>
  <c r="I1108"/>
  <c r="H1108"/>
  <c r="G1108"/>
  <c r="F1108"/>
  <c r="E1108"/>
  <c r="D1108"/>
  <c r="C1108"/>
  <c r="B1108"/>
  <c r="K1107"/>
  <c r="J1107"/>
  <c r="I1107"/>
  <c r="H1107"/>
  <c r="G1107"/>
  <c r="F1107"/>
  <c r="C1107"/>
  <c r="P1106"/>
  <c r="O1106"/>
  <c r="N1106"/>
  <c r="M1106"/>
  <c r="L1106"/>
  <c r="K1106"/>
  <c r="J1106"/>
  <c r="I1106"/>
  <c r="H1106"/>
  <c r="G1106"/>
  <c r="F1106"/>
  <c r="E1106"/>
  <c r="D1106"/>
  <c r="C1106"/>
  <c r="B1106"/>
  <c r="K1105"/>
  <c r="J1105"/>
  <c r="I1105"/>
  <c r="H1105"/>
  <c r="G1105"/>
  <c r="F1105"/>
  <c r="C1105"/>
  <c r="P1104"/>
  <c r="O1104"/>
  <c r="N1104"/>
  <c r="M1104"/>
  <c r="L1104"/>
  <c r="K1104"/>
  <c r="J1104"/>
  <c r="I1104"/>
  <c r="H1104"/>
  <c r="G1104"/>
  <c r="F1104"/>
  <c r="E1104"/>
  <c r="D1104"/>
  <c r="C1104"/>
  <c r="B1104"/>
  <c r="K1103"/>
  <c r="J1103"/>
  <c r="I1103"/>
  <c r="H1103"/>
  <c r="G1103"/>
  <c r="F1103"/>
  <c r="C1103"/>
  <c r="P1102"/>
  <c r="O1102"/>
  <c r="N1102"/>
  <c r="M1102"/>
  <c r="L1102"/>
  <c r="K1102"/>
  <c r="J1102"/>
  <c r="I1102"/>
  <c r="H1102"/>
  <c r="G1102"/>
  <c r="F1102"/>
  <c r="E1102"/>
  <c r="D1102"/>
  <c r="C1102"/>
  <c r="B1102"/>
  <c r="K1101"/>
  <c r="J1101"/>
  <c r="I1101"/>
  <c r="H1101"/>
  <c r="G1101"/>
  <c r="F1101"/>
  <c r="C1101"/>
  <c r="P1100"/>
  <c r="O1100"/>
  <c r="N1100"/>
  <c r="M1100"/>
  <c r="L1100"/>
  <c r="K1100"/>
  <c r="J1100"/>
  <c r="I1100"/>
  <c r="H1100"/>
  <c r="G1100"/>
  <c r="F1100"/>
  <c r="E1100"/>
  <c r="D1100"/>
  <c r="C1100"/>
  <c r="B1100"/>
  <c r="K1099"/>
  <c r="J1099"/>
  <c r="I1099"/>
  <c r="H1099"/>
  <c r="G1099"/>
  <c r="F1099"/>
  <c r="C1099"/>
  <c r="P1098"/>
  <c r="O1098"/>
  <c r="N1098"/>
  <c r="M1098"/>
  <c r="L1098"/>
  <c r="K1098"/>
  <c r="J1098"/>
  <c r="I1098"/>
  <c r="H1098"/>
  <c r="G1098"/>
  <c r="F1098"/>
  <c r="E1098"/>
  <c r="D1098"/>
  <c r="C1098"/>
  <c r="B1098"/>
  <c r="K1097"/>
  <c r="J1097"/>
  <c r="I1097"/>
  <c r="H1097"/>
  <c r="G1097"/>
  <c r="F1097"/>
  <c r="C1097"/>
  <c r="K1096"/>
  <c r="J1096"/>
  <c r="I1096"/>
  <c r="H1096"/>
  <c r="G1096"/>
  <c r="F1096"/>
  <c r="E1096"/>
  <c r="D1096"/>
  <c r="C1096"/>
  <c r="B1096"/>
  <c r="K1095"/>
  <c r="J1095"/>
  <c r="I1095"/>
  <c r="H1095"/>
  <c r="G1095"/>
  <c r="F1095"/>
  <c r="C1095"/>
  <c r="K1094"/>
  <c r="J1094"/>
  <c r="I1094"/>
  <c r="H1094"/>
  <c r="G1094"/>
  <c r="F1094"/>
  <c r="E1094"/>
  <c r="D1094"/>
  <c r="C1094"/>
  <c r="B1094"/>
  <c r="K1093"/>
  <c r="J1093"/>
  <c r="I1093"/>
  <c r="H1093"/>
  <c r="G1093"/>
  <c r="F1093"/>
  <c r="C1093"/>
  <c r="K1092"/>
  <c r="J1092"/>
  <c r="I1092"/>
  <c r="H1092"/>
  <c r="G1092"/>
  <c r="F1092"/>
  <c r="E1092"/>
  <c r="D1092"/>
  <c r="C1092"/>
  <c r="B1092"/>
  <c r="K1091"/>
  <c r="J1091"/>
  <c r="I1091"/>
  <c r="H1091"/>
  <c r="G1091"/>
  <c r="F1091"/>
  <c r="C1091"/>
  <c r="K1090"/>
  <c r="J1090"/>
  <c r="I1090"/>
  <c r="H1090"/>
  <c r="G1090"/>
  <c r="F1090"/>
  <c r="E1090"/>
  <c r="D1090"/>
  <c r="C1090"/>
  <c r="B1090"/>
  <c r="K1089"/>
  <c r="J1089"/>
  <c r="I1089"/>
  <c r="H1089"/>
  <c r="G1089"/>
  <c r="F1089"/>
  <c r="C1089"/>
  <c r="P1088"/>
  <c r="O1088"/>
  <c r="N1088"/>
  <c r="M1088"/>
  <c r="L1088"/>
  <c r="K1088"/>
  <c r="J1088"/>
  <c r="I1088"/>
  <c r="H1088"/>
  <c r="G1088"/>
  <c r="F1088"/>
  <c r="E1088"/>
  <c r="D1088"/>
  <c r="C1088"/>
  <c r="B1088"/>
  <c r="K1087"/>
  <c r="J1087"/>
  <c r="I1087"/>
  <c r="H1087"/>
  <c r="G1087"/>
  <c r="F1087"/>
  <c r="C1087"/>
  <c r="P1086"/>
  <c r="O1086"/>
  <c r="N1086"/>
  <c r="M1086"/>
  <c r="L1086"/>
  <c r="K1086"/>
  <c r="J1086"/>
  <c r="I1086"/>
  <c r="H1086"/>
  <c r="G1086"/>
  <c r="F1086"/>
  <c r="E1086"/>
  <c r="D1086"/>
  <c r="C1086"/>
  <c r="B1086"/>
  <c r="K1085"/>
  <c r="J1085"/>
  <c r="I1085"/>
  <c r="H1085"/>
  <c r="G1085"/>
  <c r="F1085"/>
  <c r="C1085"/>
  <c r="P1084"/>
  <c r="O1084"/>
  <c r="N1084"/>
  <c r="M1084"/>
  <c r="L1084"/>
  <c r="K1084"/>
  <c r="J1084"/>
  <c r="I1084"/>
  <c r="H1084"/>
  <c r="G1084"/>
  <c r="F1084"/>
  <c r="E1084"/>
  <c r="D1084"/>
  <c r="C1084"/>
  <c r="B1084"/>
  <c r="K1083"/>
  <c r="J1083"/>
  <c r="I1083"/>
  <c r="H1083"/>
  <c r="G1083"/>
  <c r="F1083"/>
  <c r="C1083"/>
  <c r="P1082"/>
  <c r="O1082"/>
  <c r="N1082"/>
  <c r="M1082"/>
  <c r="L1082"/>
  <c r="K1082"/>
  <c r="J1082"/>
  <c r="I1082"/>
  <c r="H1082"/>
  <c r="G1082"/>
  <c r="F1082"/>
  <c r="E1082"/>
  <c r="D1082"/>
  <c r="C1082"/>
  <c r="B1082"/>
  <c r="K1081"/>
  <c r="J1081"/>
  <c r="I1081"/>
  <c r="H1081"/>
  <c r="G1081"/>
  <c r="F1081"/>
  <c r="C1081"/>
  <c r="P1080"/>
  <c r="O1080"/>
  <c r="N1080"/>
  <c r="M1080"/>
  <c r="L1080"/>
  <c r="K1080"/>
  <c r="J1080"/>
  <c r="I1080"/>
  <c r="H1080"/>
  <c r="G1080"/>
  <c r="F1080"/>
  <c r="E1080"/>
  <c r="D1080"/>
  <c r="C1080"/>
  <c r="B1080"/>
  <c r="K1079"/>
  <c r="J1079"/>
  <c r="I1079"/>
  <c r="H1079"/>
  <c r="G1079"/>
  <c r="F1079"/>
  <c r="C1079"/>
  <c r="P1078"/>
  <c r="O1078"/>
  <c r="N1078"/>
  <c r="M1078"/>
  <c r="L1078"/>
  <c r="K1078"/>
  <c r="J1078"/>
  <c r="I1078"/>
  <c r="H1078"/>
  <c r="G1078"/>
  <c r="F1078"/>
  <c r="E1078"/>
  <c r="D1078"/>
  <c r="C1078"/>
  <c r="B1078"/>
  <c r="K1077"/>
  <c r="J1077"/>
  <c r="I1077"/>
  <c r="H1077"/>
  <c r="G1077"/>
  <c r="F1077"/>
  <c r="C1077"/>
  <c r="P1076"/>
  <c r="O1076"/>
  <c r="N1076"/>
  <c r="M1076"/>
  <c r="L1076"/>
  <c r="K1076"/>
  <c r="J1076"/>
  <c r="I1076"/>
  <c r="H1076"/>
  <c r="G1076"/>
  <c r="F1076"/>
  <c r="E1076"/>
  <c r="D1076"/>
  <c r="C1076"/>
  <c r="B1076"/>
  <c r="K1075"/>
  <c r="J1075"/>
  <c r="I1075"/>
  <c r="H1075"/>
  <c r="G1075"/>
  <c r="F1075"/>
  <c r="C1075"/>
  <c r="P1074"/>
  <c r="O1074"/>
  <c r="N1074"/>
  <c r="M1074"/>
  <c r="L1074"/>
  <c r="K1074"/>
  <c r="J1074"/>
  <c r="I1074"/>
  <c r="H1074"/>
  <c r="G1074"/>
  <c r="F1074"/>
  <c r="E1074"/>
  <c r="D1074"/>
  <c r="C1074"/>
  <c r="B1074"/>
  <c r="K1059"/>
  <c r="J1059"/>
  <c r="I1059"/>
  <c r="H1059"/>
  <c r="G1059"/>
  <c r="F1059"/>
  <c r="C1059"/>
  <c r="P1058"/>
  <c r="O1058"/>
  <c r="M1058"/>
  <c r="L1058"/>
  <c r="J1058"/>
  <c r="I1058"/>
  <c r="H1058"/>
  <c r="G1058"/>
  <c r="F1058"/>
  <c r="D1058"/>
  <c r="C1058"/>
  <c r="B1058"/>
  <c r="K1057"/>
  <c r="J1057"/>
  <c r="I1057"/>
  <c r="H1057"/>
  <c r="G1057"/>
  <c r="F1057"/>
  <c r="C1057"/>
  <c r="P1056"/>
  <c r="O1056"/>
  <c r="N1056"/>
  <c r="M1056"/>
  <c r="L1056"/>
  <c r="K1056"/>
  <c r="J1056"/>
  <c r="I1056"/>
  <c r="H1056"/>
  <c r="G1056"/>
  <c r="F1056"/>
  <c r="E1056"/>
  <c r="D1056"/>
  <c r="C1056"/>
  <c r="B1056"/>
  <c r="K1055"/>
  <c r="J1055"/>
  <c r="I1055"/>
  <c r="H1055"/>
  <c r="G1055"/>
  <c r="F1055"/>
  <c r="C1055"/>
  <c r="P1054"/>
  <c r="O1054"/>
  <c r="N1054"/>
  <c r="M1054"/>
  <c r="L1054"/>
  <c r="K1054"/>
  <c r="J1054"/>
  <c r="I1054"/>
  <c r="H1054"/>
  <c r="G1054"/>
  <c r="F1054"/>
  <c r="E1054"/>
  <c r="D1054"/>
  <c r="C1054"/>
  <c r="B1054"/>
  <c r="K1053"/>
  <c r="J1053"/>
  <c r="I1053"/>
  <c r="H1053"/>
  <c r="G1053"/>
  <c r="F1053"/>
  <c r="C1053"/>
  <c r="K1052"/>
  <c r="J1052"/>
  <c r="I1052"/>
  <c r="H1052"/>
  <c r="G1052"/>
  <c r="F1052"/>
  <c r="E1052"/>
  <c r="D1052"/>
  <c r="C1052"/>
  <c r="B1052"/>
  <c r="K1037"/>
  <c r="J1037"/>
  <c r="I1037"/>
  <c r="H1037"/>
  <c r="G1037"/>
  <c r="F1037"/>
  <c r="C1037"/>
  <c r="J1036"/>
  <c r="I1036"/>
  <c r="H1036"/>
  <c r="G1036"/>
  <c r="F1036"/>
  <c r="D1036"/>
  <c r="C1036"/>
  <c r="B1036"/>
  <c r="K1035"/>
  <c r="J1035"/>
  <c r="I1035"/>
  <c r="H1035"/>
  <c r="G1035"/>
  <c r="F1035"/>
  <c r="C1035"/>
  <c r="K1034"/>
  <c r="J1034"/>
  <c r="I1034"/>
  <c r="H1034"/>
  <c r="G1034"/>
  <c r="F1034"/>
  <c r="E1034"/>
  <c r="D1034"/>
  <c r="C1034"/>
  <c r="B1034"/>
  <c r="K1033"/>
  <c r="J1033"/>
  <c r="I1033"/>
  <c r="H1033"/>
  <c r="G1033"/>
  <c r="F1033"/>
  <c r="C1033"/>
  <c r="K1032"/>
  <c r="J1032"/>
  <c r="I1032"/>
  <c r="H1032"/>
  <c r="G1032"/>
  <c r="F1032"/>
  <c r="E1032"/>
  <c r="D1032"/>
  <c r="C1032"/>
  <c r="B1032"/>
  <c r="K1031"/>
  <c r="J1031"/>
  <c r="I1031"/>
  <c r="H1031"/>
  <c r="G1031"/>
  <c r="F1031"/>
  <c r="C1031"/>
  <c r="K1030"/>
  <c r="J1030"/>
  <c r="I1030"/>
  <c r="H1030"/>
  <c r="G1030"/>
  <c r="F1030"/>
  <c r="E1030"/>
  <c r="D1030"/>
  <c r="C1030"/>
  <c r="B1030"/>
  <c r="K1029"/>
  <c r="J1029"/>
  <c r="I1029"/>
  <c r="H1029"/>
  <c r="G1029"/>
  <c r="F1029"/>
  <c r="C1029"/>
  <c r="K1028"/>
  <c r="J1028"/>
  <c r="I1028"/>
  <c r="H1028"/>
  <c r="G1028"/>
  <c r="F1028"/>
  <c r="E1028"/>
  <c r="D1028"/>
  <c r="C1028"/>
  <c r="B1028"/>
  <c r="K1027"/>
  <c r="J1027"/>
  <c r="I1027"/>
  <c r="H1027"/>
  <c r="G1027"/>
  <c r="F1027"/>
  <c r="C1027"/>
  <c r="K1026"/>
  <c r="J1026"/>
  <c r="I1026"/>
  <c r="H1026"/>
  <c r="G1026"/>
  <c r="F1026"/>
  <c r="E1026"/>
  <c r="D1026"/>
  <c r="C1026"/>
  <c r="B1026"/>
  <c r="K1025"/>
  <c r="J1025"/>
  <c r="I1025"/>
  <c r="H1025"/>
  <c r="G1025"/>
  <c r="F1025"/>
  <c r="C1025"/>
  <c r="P1024"/>
  <c r="O1024"/>
  <c r="N1024"/>
  <c r="M1024"/>
  <c r="L1024"/>
  <c r="K1024"/>
  <c r="J1024"/>
  <c r="I1024"/>
  <c r="H1024"/>
  <c r="G1024"/>
  <c r="F1024"/>
  <c r="E1024"/>
  <c r="D1024"/>
  <c r="C1024"/>
  <c r="B1024"/>
  <c r="K1023"/>
  <c r="J1023"/>
  <c r="I1023"/>
  <c r="H1023"/>
  <c r="G1023"/>
  <c r="F1023"/>
  <c r="C1023"/>
  <c r="P1022"/>
  <c r="O1022"/>
  <c r="N1022"/>
  <c r="M1022"/>
  <c r="L1022"/>
  <c r="K1022"/>
  <c r="J1022"/>
  <c r="I1022"/>
  <c r="H1022"/>
  <c r="G1022"/>
  <c r="F1022"/>
  <c r="E1022"/>
  <c r="D1022"/>
  <c r="C1022"/>
  <c r="B1022"/>
  <c r="K1021"/>
  <c r="J1021"/>
  <c r="I1021"/>
  <c r="H1021"/>
  <c r="G1021"/>
  <c r="F1021"/>
  <c r="C1021"/>
  <c r="P1020"/>
  <c r="O1020"/>
  <c r="N1020"/>
  <c r="M1020"/>
  <c r="L1020"/>
  <c r="K1020"/>
  <c r="J1020"/>
  <c r="I1020"/>
  <c r="H1020"/>
  <c r="G1020"/>
  <c r="F1020"/>
  <c r="E1020"/>
  <c r="D1020"/>
  <c r="C1020"/>
  <c r="B1020"/>
  <c r="K1019"/>
  <c r="J1019"/>
  <c r="I1019"/>
  <c r="H1019"/>
  <c r="G1019"/>
  <c r="F1019"/>
  <c r="C1019"/>
  <c r="P1018"/>
  <c r="O1018"/>
  <c r="N1018"/>
  <c r="M1018"/>
  <c r="L1018"/>
  <c r="K1018"/>
  <c r="J1018"/>
  <c r="I1018"/>
  <c r="H1018"/>
  <c r="G1018"/>
  <c r="F1018"/>
  <c r="E1018"/>
  <c r="D1018"/>
  <c r="C1018"/>
  <c r="B1018"/>
  <c r="K1017"/>
  <c r="J1017"/>
  <c r="I1017"/>
  <c r="H1017"/>
  <c r="G1017"/>
  <c r="F1017"/>
  <c r="C1017"/>
  <c r="P1016"/>
  <c r="O1016"/>
  <c r="N1016"/>
  <c r="M1016"/>
  <c r="L1016"/>
  <c r="K1016"/>
  <c r="J1016"/>
  <c r="I1016"/>
  <c r="H1016"/>
  <c r="G1016"/>
  <c r="F1016"/>
  <c r="E1016"/>
  <c r="D1016"/>
  <c r="C1016"/>
  <c r="B1016"/>
  <c r="K1015"/>
  <c r="J1015"/>
  <c r="I1015"/>
  <c r="H1015"/>
  <c r="G1015"/>
  <c r="F1015"/>
  <c r="C1015"/>
  <c r="P1014"/>
  <c r="O1014"/>
  <c r="N1014"/>
  <c r="M1014"/>
  <c r="L1014"/>
  <c r="K1014"/>
  <c r="J1014"/>
  <c r="I1014"/>
  <c r="H1014"/>
  <c r="G1014"/>
  <c r="F1014"/>
  <c r="E1014"/>
  <c r="D1014"/>
  <c r="C1014"/>
  <c r="B1014"/>
  <c r="K1013"/>
  <c r="J1013"/>
  <c r="I1013"/>
  <c r="H1013"/>
  <c r="G1013"/>
  <c r="F1013"/>
  <c r="C1013"/>
  <c r="K1012"/>
  <c r="J1012"/>
  <c r="I1012"/>
  <c r="H1012"/>
  <c r="G1012"/>
  <c r="F1012"/>
  <c r="E1012"/>
  <c r="D1012"/>
  <c r="C1012"/>
  <c r="B1012"/>
  <c r="K1011"/>
  <c r="J1011"/>
  <c r="I1011"/>
  <c r="H1011"/>
  <c r="G1011"/>
  <c r="F1011"/>
  <c r="C1011"/>
  <c r="K1010"/>
  <c r="J1010"/>
  <c r="I1010"/>
  <c r="H1010"/>
  <c r="G1010"/>
  <c r="F1010"/>
  <c r="E1010"/>
  <c r="D1010"/>
  <c r="C1010"/>
  <c r="B1010"/>
  <c r="K1009"/>
  <c r="J1009"/>
  <c r="I1009"/>
  <c r="H1009"/>
  <c r="G1009"/>
  <c r="F1009"/>
  <c r="C1009"/>
  <c r="K1008"/>
  <c r="J1008"/>
  <c r="I1008"/>
  <c r="H1008"/>
  <c r="G1008"/>
  <c r="F1008"/>
  <c r="E1008"/>
  <c r="D1008"/>
  <c r="C1008"/>
  <c r="B1008"/>
  <c r="K1007"/>
  <c r="J1007"/>
  <c r="I1007"/>
  <c r="H1007"/>
  <c r="G1007"/>
  <c r="F1007"/>
  <c r="C1007"/>
  <c r="K1006"/>
  <c r="J1006"/>
  <c r="I1006"/>
  <c r="H1006"/>
  <c r="G1006"/>
  <c r="F1006"/>
  <c r="E1006"/>
  <c r="D1006"/>
  <c r="C1006"/>
  <c r="B1006"/>
  <c r="K991"/>
  <c r="J991"/>
  <c r="I991"/>
  <c r="H991"/>
  <c r="G991"/>
  <c r="F991"/>
  <c r="C991"/>
  <c r="J990"/>
  <c r="I990"/>
  <c r="H990"/>
  <c r="G990"/>
  <c r="F990"/>
  <c r="D990"/>
  <c r="C990"/>
  <c r="B990"/>
  <c r="K989"/>
  <c r="J989"/>
  <c r="I989"/>
  <c r="H989"/>
  <c r="G989"/>
  <c r="F989"/>
  <c r="C989"/>
  <c r="K988"/>
  <c r="J988"/>
  <c r="I988"/>
  <c r="H988"/>
  <c r="G988"/>
  <c r="F988"/>
  <c r="E988"/>
  <c r="D988"/>
  <c r="C988"/>
  <c r="B988"/>
  <c r="K987"/>
  <c r="J987"/>
  <c r="I987"/>
  <c r="H987"/>
  <c r="G987"/>
  <c r="F987"/>
  <c r="C987"/>
  <c r="K986"/>
  <c r="J986"/>
  <c r="I986"/>
  <c r="H986"/>
  <c r="G986"/>
  <c r="F986"/>
  <c r="E986"/>
  <c r="D986"/>
  <c r="C986"/>
  <c r="B986"/>
  <c r="K985"/>
  <c r="J985"/>
  <c r="I985"/>
  <c r="H985"/>
  <c r="G985"/>
  <c r="F985"/>
  <c r="C985"/>
  <c r="P984"/>
  <c r="O984"/>
  <c r="N984"/>
  <c r="M984"/>
  <c r="L984"/>
  <c r="K984"/>
  <c r="J984"/>
  <c r="I984"/>
  <c r="H984"/>
  <c r="G984"/>
  <c r="F984"/>
  <c r="E984"/>
  <c r="D984"/>
  <c r="C984"/>
  <c r="B984"/>
  <c r="J983"/>
  <c r="I983"/>
  <c r="H983"/>
  <c r="G983"/>
  <c r="F983"/>
  <c r="C983"/>
  <c r="P982"/>
  <c r="O982"/>
  <c r="N982"/>
  <c r="M982"/>
  <c r="L982"/>
  <c r="J982"/>
  <c r="I982"/>
  <c r="H982"/>
  <c r="G982"/>
  <c r="F982"/>
  <c r="E982"/>
  <c r="D982"/>
  <c r="C982"/>
  <c r="B982"/>
  <c r="K981"/>
  <c r="J981"/>
  <c r="I981"/>
  <c r="H981"/>
  <c r="G981"/>
  <c r="F981"/>
  <c r="C981"/>
  <c r="P980"/>
  <c r="O980"/>
  <c r="N980"/>
  <c r="M980"/>
  <c r="L980"/>
  <c r="K980"/>
  <c r="J980"/>
  <c r="I980"/>
  <c r="H980"/>
  <c r="G980"/>
  <c r="F980"/>
  <c r="E980"/>
  <c r="D980"/>
  <c r="C980"/>
  <c r="B980"/>
  <c r="K979"/>
  <c r="J979"/>
  <c r="I979"/>
  <c r="H979"/>
  <c r="G979"/>
  <c r="F979"/>
  <c r="C979"/>
  <c r="P978"/>
  <c r="O978"/>
  <c r="N978"/>
  <c r="M978"/>
  <c r="L978"/>
  <c r="K978"/>
  <c r="J978"/>
  <c r="I978"/>
  <c r="H978"/>
  <c r="G978"/>
  <c r="F978"/>
  <c r="E978"/>
  <c r="D978"/>
  <c r="C978"/>
  <c r="B978"/>
  <c r="K977"/>
  <c r="J977"/>
  <c r="I977"/>
  <c r="H977"/>
  <c r="G977"/>
  <c r="F977"/>
  <c r="C977"/>
  <c r="P976"/>
  <c r="O976"/>
  <c r="N976"/>
  <c r="M976"/>
  <c r="L976"/>
  <c r="K976"/>
  <c r="J976"/>
  <c r="I976"/>
  <c r="H976"/>
  <c r="G976"/>
  <c r="F976"/>
  <c r="E976"/>
  <c r="D976"/>
  <c r="C976"/>
  <c r="B976"/>
  <c r="K975"/>
  <c r="J975"/>
  <c r="I975"/>
  <c r="H975"/>
  <c r="G975"/>
  <c r="F975"/>
  <c r="C975"/>
  <c r="P974"/>
  <c r="O974"/>
  <c r="N974"/>
  <c r="M974"/>
  <c r="L974"/>
  <c r="K974"/>
  <c r="J974"/>
  <c r="I974"/>
  <c r="H974"/>
  <c r="G974"/>
  <c r="F974"/>
  <c r="E974"/>
  <c r="D974"/>
  <c r="C974"/>
  <c r="B974"/>
  <c r="J973"/>
  <c r="I973"/>
  <c r="H973"/>
  <c r="G973"/>
  <c r="F973"/>
  <c r="C973"/>
  <c r="P972"/>
  <c r="O972"/>
  <c r="N972"/>
  <c r="M972"/>
  <c r="L972"/>
  <c r="K972"/>
  <c r="J972"/>
  <c r="I972"/>
  <c r="H972"/>
  <c r="G972"/>
  <c r="F972"/>
  <c r="E972"/>
  <c r="D972"/>
  <c r="C972"/>
  <c r="B972"/>
  <c r="K971"/>
  <c r="J971"/>
  <c r="I971"/>
  <c r="H971"/>
  <c r="G971"/>
  <c r="F971"/>
  <c r="C971"/>
  <c r="P970"/>
  <c r="O970"/>
  <c r="N970"/>
  <c r="M970"/>
  <c r="L970"/>
  <c r="K970"/>
  <c r="J970"/>
  <c r="I970"/>
  <c r="H970"/>
  <c r="G970"/>
  <c r="F970"/>
  <c r="E970"/>
  <c r="D970"/>
  <c r="C970"/>
  <c r="B970"/>
  <c r="K969"/>
  <c r="J969"/>
  <c r="I969"/>
  <c r="H969"/>
  <c r="G969"/>
  <c r="F969"/>
  <c r="C969"/>
  <c r="P968"/>
  <c r="O968"/>
  <c r="N968"/>
  <c r="M968"/>
  <c r="L968"/>
  <c r="K968"/>
  <c r="J968"/>
  <c r="I968"/>
  <c r="H968"/>
  <c r="G968"/>
  <c r="F968"/>
  <c r="E968"/>
  <c r="D968"/>
  <c r="C968"/>
  <c r="B968"/>
  <c r="K967"/>
  <c r="J967"/>
  <c r="I967"/>
  <c r="H967"/>
  <c r="G967"/>
  <c r="F967"/>
  <c r="C967"/>
  <c r="P966"/>
  <c r="O966"/>
  <c r="N966"/>
  <c r="M966"/>
  <c r="L966"/>
  <c r="K966"/>
  <c r="J966"/>
  <c r="I966"/>
  <c r="H966"/>
  <c r="G966"/>
  <c r="F966"/>
  <c r="E966"/>
  <c r="D966"/>
  <c r="C966"/>
  <c r="B966"/>
  <c r="J965"/>
  <c r="I965"/>
  <c r="H965"/>
  <c r="G965"/>
  <c r="F965"/>
  <c r="C965"/>
  <c r="P964"/>
  <c r="O964"/>
  <c r="N964"/>
  <c r="M964"/>
  <c r="L964"/>
  <c r="K964"/>
  <c r="J964"/>
  <c r="I964"/>
  <c r="H964"/>
  <c r="G964"/>
  <c r="F964"/>
  <c r="E964"/>
  <c r="D964"/>
  <c r="C964"/>
  <c r="B964"/>
  <c r="K963"/>
  <c r="J963"/>
  <c r="I963"/>
  <c r="H963"/>
  <c r="G963"/>
  <c r="F963"/>
  <c r="C963"/>
  <c r="P962"/>
  <c r="O962"/>
  <c r="N962"/>
  <c r="M962"/>
  <c r="L962"/>
  <c r="K962"/>
  <c r="J962"/>
  <c r="I962"/>
  <c r="H962"/>
  <c r="G962"/>
  <c r="F962"/>
  <c r="E962"/>
  <c r="D962"/>
  <c r="C962"/>
  <c r="B962"/>
  <c r="K961"/>
  <c r="J961"/>
  <c r="I961"/>
  <c r="H961"/>
  <c r="G961"/>
  <c r="F961"/>
  <c r="C961"/>
  <c r="P960"/>
  <c r="O960"/>
  <c r="N960"/>
  <c r="M960"/>
  <c r="L960"/>
  <c r="K960"/>
  <c r="J960"/>
  <c r="I960"/>
  <c r="H960"/>
  <c r="G960"/>
  <c r="F960"/>
  <c r="E960"/>
  <c r="D960"/>
  <c r="C960"/>
  <c r="B960"/>
  <c r="K959"/>
  <c r="J959"/>
  <c r="I959"/>
  <c r="H959"/>
  <c r="G959"/>
  <c r="F959"/>
  <c r="C959"/>
  <c r="P958"/>
  <c r="O958"/>
  <c r="N958"/>
  <c r="M958"/>
  <c r="L958"/>
  <c r="K958"/>
  <c r="J958"/>
  <c r="I958"/>
  <c r="H958"/>
  <c r="G958"/>
  <c r="F958"/>
  <c r="E958"/>
  <c r="D958"/>
  <c r="C958"/>
  <c r="B958"/>
  <c r="K957"/>
  <c r="J957"/>
  <c r="I957"/>
  <c r="H957"/>
  <c r="G957"/>
  <c r="F957"/>
  <c r="C957"/>
  <c r="P956"/>
  <c r="O956"/>
  <c r="N956"/>
  <c r="M956"/>
  <c r="L956"/>
  <c r="K956"/>
  <c r="J956"/>
  <c r="I956"/>
  <c r="H956"/>
  <c r="G956"/>
  <c r="F956"/>
  <c r="E956"/>
  <c r="D956"/>
  <c r="C956"/>
  <c r="B956"/>
  <c r="K955"/>
  <c r="I955"/>
  <c r="H955"/>
  <c r="G955"/>
  <c r="F955"/>
  <c r="C955"/>
  <c r="P954"/>
  <c r="O954"/>
  <c r="N954"/>
  <c r="M954"/>
  <c r="L954"/>
  <c r="K954"/>
  <c r="I954"/>
  <c r="H954"/>
  <c r="G954"/>
  <c r="F954"/>
  <c r="E954"/>
  <c r="D954"/>
  <c r="C954"/>
  <c r="B954"/>
  <c r="K953"/>
  <c r="I953"/>
  <c r="H953"/>
  <c r="G953"/>
  <c r="F953"/>
  <c r="C953"/>
  <c r="P952"/>
  <c r="O952"/>
  <c r="N952"/>
  <c r="M952"/>
  <c r="L952"/>
  <c r="K952"/>
  <c r="I952"/>
  <c r="H952"/>
  <c r="G952"/>
  <c r="F952"/>
  <c r="E952"/>
  <c r="D952"/>
  <c r="C952"/>
  <c r="B952"/>
  <c r="K951"/>
  <c r="I951"/>
  <c r="H951"/>
  <c r="G951"/>
  <c r="F951"/>
  <c r="C951"/>
  <c r="P950"/>
  <c r="O950"/>
  <c r="N950"/>
  <c r="M950"/>
  <c r="L950"/>
  <c r="K950"/>
  <c r="I950"/>
  <c r="H950"/>
  <c r="G950"/>
  <c r="F950"/>
  <c r="E950"/>
  <c r="D950"/>
  <c r="C950"/>
  <c r="B950"/>
  <c r="K949"/>
  <c r="I949"/>
  <c r="H949"/>
  <c r="G949"/>
  <c r="F949"/>
  <c r="C949"/>
  <c r="P948"/>
  <c r="O948"/>
  <c r="N948"/>
  <c r="M948"/>
  <c r="L948"/>
  <c r="K948"/>
  <c r="I948"/>
  <c r="H948"/>
  <c r="G948"/>
  <c r="F948"/>
  <c r="E948"/>
  <c r="D948"/>
  <c r="C948"/>
  <c r="B948"/>
  <c r="K947"/>
  <c r="I947"/>
  <c r="H947"/>
  <c r="G947"/>
  <c r="F947"/>
  <c r="C947"/>
  <c r="P946"/>
  <c r="O946"/>
  <c r="N946"/>
  <c r="M946"/>
  <c r="L946"/>
  <c r="K946"/>
  <c r="I946"/>
  <c r="H946"/>
  <c r="G946"/>
  <c r="F946"/>
  <c r="E946"/>
  <c r="D946"/>
  <c r="C946"/>
  <c r="B946"/>
  <c r="K945"/>
  <c r="I945"/>
  <c r="H945"/>
  <c r="G945"/>
  <c r="F945"/>
  <c r="C945"/>
  <c r="P944"/>
  <c r="O944"/>
  <c r="N944"/>
  <c r="M944"/>
  <c r="L944"/>
  <c r="K944"/>
  <c r="I944"/>
  <c r="H944"/>
  <c r="G944"/>
  <c r="F944"/>
  <c r="E944"/>
  <c r="D944"/>
  <c r="C944"/>
  <c r="B944"/>
  <c r="K943"/>
  <c r="I943"/>
  <c r="H943"/>
  <c r="G943"/>
  <c r="F943"/>
  <c r="C943"/>
  <c r="P942"/>
  <c r="O942"/>
  <c r="N942"/>
  <c r="M942"/>
  <c r="L942"/>
  <c r="K942"/>
  <c r="I942"/>
  <c r="H942"/>
  <c r="G942"/>
  <c r="F942"/>
  <c r="E942"/>
  <c r="D942"/>
  <c r="C942"/>
  <c r="B942"/>
  <c r="K941"/>
  <c r="I941"/>
  <c r="H941"/>
  <c r="G941"/>
  <c r="F941"/>
  <c r="C941"/>
  <c r="P940"/>
  <c r="O940"/>
  <c r="N940"/>
  <c r="M940"/>
  <c r="L940"/>
  <c r="I940"/>
  <c r="H940"/>
  <c r="G940"/>
  <c r="F940"/>
  <c r="E940"/>
  <c r="D940"/>
  <c r="C940"/>
  <c r="B940"/>
  <c r="I939"/>
  <c r="H939"/>
  <c r="G939"/>
  <c r="F939"/>
  <c r="C939"/>
  <c r="P938"/>
  <c r="O938"/>
  <c r="N938"/>
  <c r="M938"/>
  <c r="L938"/>
  <c r="I938"/>
  <c r="H938"/>
  <c r="G938"/>
  <c r="F938"/>
  <c r="E938"/>
  <c r="D938"/>
  <c r="C938"/>
  <c r="B938"/>
  <c r="J937"/>
  <c r="I937"/>
  <c r="H937"/>
  <c r="G937"/>
  <c r="F937"/>
  <c r="C937"/>
  <c r="P936"/>
  <c r="O936"/>
  <c r="N936"/>
  <c r="M936"/>
  <c r="L936"/>
  <c r="J936"/>
  <c r="I936"/>
  <c r="H936"/>
  <c r="G936"/>
  <c r="F936"/>
  <c r="E936"/>
  <c r="D936"/>
  <c r="C936"/>
  <c r="B936"/>
  <c r="K935"/>
  <c r="J935"/>
  <c r="I935"/>
  <c r="H935"/>
  <c r="G935"/>
  <c r="F935"/>
  <c r="C935"/>
  <c r="P934"/>
  <c r="O934"/>
  <c r="N934"/>
  <c r="M934"/>
  <c r="L934"/>
  <c r="K934"/>
  <c r="J934"/>
  <c r="I934"/>
  <c r="H934"/>
  <c r="G934"/>
  <c r="F934"/>
  <c r="E934"/>
  <c r="D934"/>
  <c r="C934"/>
  <c r="B934"/>
  <c r="J933"/>
  <c r="I933"/>
  <c r="H933"/>
  <c r="G933"/>
  <c r="F933"/>
  <c r="C933"/>
  <c r="P932"/>
  <c r="O932"/>
  <c r="N932"/>
  <c r="M932"/>
  <c r="L932"/>
  <c r="J932"/>
  <c r="I932"/>
  <c r="H932"/>
  <c r="G932"/>
  <c r="F932"/>
  <c r="E932"/>
  <c r="D932"/>
  <c r="C932"/>
  <c r="B932"/>
  <c r="K931"/>
  <c r="J931"/>
  <c r="I931"/>
  <c r="H931"/>
  <c r="G931"/>
  <c r="F931"/>
  <c r="C931"/>
  <c r="P930"/>
  <c r="O930"/>
  <c r="N930"/>
  <c r="M930"/>
  <c r="L930"/>
  <c r="K930"/>
  <c r="J930"/>
  <c r="I930"/>
  <c r="H930"/>
  <c r="G930"/>
  <c r="F930"/>
  <c r="E930"/>
  <c r="D930"/>
  <c r="C930"/>
  <c r="B930"/>
  <c r="K929"/>
  <c r="J929"/>
  <c r="I929"/>
  <c r="H929"/>
  <c r="G929"/>
  <c r="F929"/>
  <c r="C929"/>
  <c r="P928"/>
  <c r="O928"/>
  <c r="N928"/>
  <c r="M928"/>
  <c r="L928"/>
  <c r="K928"/>
  <c r="J928"/>
  <c r="I928"/>
  <c r="H928"/>
  <c r="G928"/>
  <c r="F928"/>
  <c r="E928"/>
  <c r="D928"/>
  <c r="C928"/>
  <c r="B928"/>
  <c r="K927"/>
  <c r="J927"/>
  <c r="I927"/>
  <c r="H927"/>
  <c r="G927"/>
  <c r="F927"/>
  <c r="C927"/>
  <c r="P926"/>
  <c r="O926"/>
  <c r="N926"/>
  <c r="M926"/>
  <c r="L926"/>
  <c r="K926"/>
  <c r="J926"/>
  <c r="I926"/>
  <c r="H926"/>
  <c r="G926"/>
  <c r="F926"/>
  <c r="E926"/>
  <c r="D926"/>
  <c r="C926"/>
  <c r="B926"/>
  <c r="K925"/>
  <c r="J925"/>
  <c r="I925"/>
  <c r="H925"/>
  <c r="G925"/>
  <c r="F925"/>
  <c r="C925"/>
  <c r="P924"/>
  <c r="O924"/>
  <c r="N924"/>
  <c r="M924"/>
  <c r="L924"/>
  <c r="K924"/>
  <c r="J924"/>
  <c r="I924"/>
  <c r="H924"/>
  <c r="G924"/>
  <c r="F924"/>
  <c r="E924"/>
  <c r="D924"/>
  <c r="C924"/>
  <c r="B924"/>
  <c r="K923"/>
  <c r="J923"/>
  <c r="I923"/>
  <c r="H923"/>
  <c r="G923"/>
  <c r="F923"/>
  <c r="C923"/>
  <c r="P922"/>
  <c r="O922"/>
  <c r="N922"/>
  <c r="M922"/>
  <c r="L922"/>
  <c r="K922"/>
  <c r="J922"/>
  <c r="I922"/>
  <c r="H922"/>
  <c r="G922"/>
  <c r="F922"/>
  <c r="E922"/>
  <c r="D922"/>
  <c r="C922"/>
  <c r="B922"/>
  <c r="K921"/>
  <c r="J921"/>
  <c r="I921"/>
  <c r="H921"/>
  <c r="G921"/>
  <c r="F921"/>
  <c r="C921"/>
  <c r="P920"/>
  <c r="O920"/>
  <c r="N920"/>
  <c r="M920"/>
  <c r="L920"/>
  <c r="K920"/>
  <c r="J920"/>
  <c r="I920"/>
  <c r="H920"/>
  <c r="G920"/>
  <c r="F920"/>
  <c r="E920"/>
  <c r="D920"/>
  <c r="C920"/>
  <c r="B920"/>
  <c r="K919"/>
  <c r="J919"/>
  <c r="I919"/>
  <c r="H919"/>
  <c r="G919"/>
  <c r="F919"/>
  <c r="C919"/>
  <c r="K918"/>
  <c r="J918"/>
  <c r="I918"/>
  <c r="H918"/>
  <c r="G918"/>
  <c r="F918"/>
  <c r="E918"/>
  <c r="D918"/>
  <c r="C918"/>
  <c r="B918"/>
  <c r="K917"/>
  <c r="J917"/>
  <c r="I917"/>
  <c r="H917"/>
  <c r="G917"/>
  <c r="F917"/>
  <c r="C917"/>
  <c r="P916"/>
  <c r="O916"/>
  <c r="N916"/>
  <c r="M916"/>
  <c r="L916"/>
  <c r="J916"/>
  <c r="I916"/>
  <c r="H916"/>
  <c r="G916"/>
  <c r="F916"/>
  <c r="E916"/>
  <c r="D916"/>
  <c r="C916"/>
  <c r="B916"/>
  <c r="J915"/>
  <c r="I915"/>
  <c r="H915"/>
  <c r="G915"/>
  <c r="F915"/>
  <c r="C915"/>
  <c r="P914"/>
  <c r="O914"/>
  <c r="N914"/>
  <c r="M914"/>
  <c r="L914"/>
  <c r="J914"/>
  <c r="I914"/>
  <c r="H914"/>
  <c r="G914"/>
  <c r="F914"/>
  <c r="E914"/>
  <c r="D914"/>
  <c r="C914"/>
  <c r="B914"/>
  <c r="J913"/>
  <c r="I913"/>
  <c r="H913"/>
  <c r="G913"/>
  <c r="F913"/>
  <c r="C913"/>
  <c r="P912"/>
  <c r="O912"/>
  <c r="N912"/>
  <c r="M912"/>
  <c r="L912"/>
  <c r="K912"/>
  <c r="J912"/>
  <c r="I912"/>
  <c r="H912"/>
  <c r="G912"/>
  <c r="F912"/>
  <c r="E912"/>
  <c r="D912"/>
  <c r="C912"/>
  <c r="B912"/>
  <c r="K911"/>
  <c r="J911"/>
  <c r="I911"/>
  <c r="H911"/>
  <c r="G911"/>
  <c r="F911"/>
  <c r="C911"/>
  <c r="P910"/>
  <c r="O910"/>
  <c r="N910"/>
  <c r="M910"/>
  <c r="L910"/>
  <c r="K910"/>
  <c r="J910"/>
  <c r="I910"/>
  <c r="H910"/>
  <c r="G910"/>
  <c r="F910"/>
  <c r="E910"/>
  <c r="D910"/>
  <c r="C910"/>
  <c r="B910"/>
  <c r="K909"/>
  <c r="J909"/>
  <c r="I909"/>
  <c r="H909"/>
  <c r="G909"/>
  <c r="F909"/>
  <c r="C909"/>
  <c r="P908"/>
  <c r="O908"/>
  <c r="N908"/>
  <c r="M908"/>
  <c r="L908"/>
  <c r="K908"/>
  <c r="J908"/>
  <c r="I908"/>
  <c r="H908"/>
  <c r="G908"/>
  <c r="F908"/>
  <c r="E908"/>
  <c r="D908"/>
  <c r="C908"/>
  <c r="B908"/>
  <c r="K907"/>
  <c r="J907"/>
  <c r="I907"/>
  <c r="H907"/>
  <c r="G907"/>
  <c r="F907"/>
  <c r="C907"/>
  <c r="P906"/>
  <c r="O906"/>
  <c r="N906"/>
  <c r="M906"/>
  <c r="L906"/>
  <c r="K906"/>
  <c r="J906"/>
  <c r="I906"/>
  <c r="H906"/>
  <c r="G906"/>
  <c r="F906"/>
  <c r="E906"/>
  <c r="D906"/>
  <c r="C906"/>
  <c r="B906"/>
  <c r="K905"/>
  <c r="J905"/>
  <c r="I905"/>
  <c r="H905"/>
  <c r="G905"/>
  <c r="F905"/>
  <c r="C905"/>
  <c r="P904"/>
  <c r="O904"/>
  <c r="N904"/>
  <c r="M904"/>
  <c r="L904"/>
  <c r="K904"/>
  <c r="J904"/>
  <c r="I904"/>
  <c r="H904"/>
  <c r="G904"/>
  <c r="F904"/>
  <c r="E904"/>
  <c r="D904"/>
  <c r="C904"/>
  <c r="B904"/>
  <c r="K903"/>
  <c r="J903"/>
  <c r="I903"/>
  <c r="H903"/>
  <c r="G903"/>
  <c r="F903"/>
  <c r="C903"/>
  <c r="P902"/>
  <c r="O902"/>
  <c r="N902"/>
  <c r="M902"/>
  <c r="L902"/>
  <c r="K902"/>
  <c r="J902"/>
  <c r="I902"/>
  <c r="H902"/>
  <c r="G902"/>
  <c r="F902"/>
  <c r="E902"/>
  <c r="D902"/>
  <c r="C902"/>
  <c r="B902"/>
  <c r="K901"/>
  <c r="J901"/>
  <c r="I901"/>
  <c r="H901"/>
  <c r="G901"/>
  <c r="F901"/>
  <c r="C901"/>
  <c r="P900"/>
  <c r="O900"/>
  <c r="N900"/>
  <c r="M900"/>
  <c r="L900"/>
  <c r="K900"/>
  <c r="J900"/>
  <c r="I900"/>
  <c r="H900"/>
  <c r="G900"/>
  <c r="F900"/>
  <c r="E900"/>
  <c r="D900"/>
  <c r="C900"/>
  <c r="B900"/>
  <c r="J885"/>
  <c r="I885"/>
  <c r="H885"/>
  <c r="G885"/>
  <c r="F885"/>
  <c r="C885"/>
  <c r="P884"/>
  <c r="O884"/>
  <c r="M884"/>
  <c r="L884"/>
  <c r="J884"/>
  <c r="I884"/>
  <c r="H884"/>
  <c r="G884"/>
  <c r="F884"/>
  <c r="D884"/>
  <c r="C884"/>
  <c r="B884"/>
  <c r="K883"/>
  <c r="J883"/>
  <c r="I883"/>
  <c r="H883"/>
  <c r="G883"/>
  <c r="F883"/>
  <c r="C883"/>
  <c r="P882"/>
  <c r="O882"/>
  <c r="N882"/>
  <c r="M882"/>
  <c r="L882"/>
  <c r="K882"/>
  <c r="I882"/>
  <c r="H882"/>
  <c r="G882"/>
  <c r="F882"/>
  <c r="E882"/>
  <c r="D882"/>
  <c r="C882"/>
  <c r="B882"/>
  <c r="K881"/>
  <c r="J881"/>
  <c r="I881"/>
  <c r="H881"/>
  <c r="G881"/>
  <c r="F881"/>
  <c r="C881"/>
  <c r="P880"/>
  <c r="O880"/>
  <c r="N880"/>
  <c r="M880"/>
  <c r="L880"/>
  <c r="K880"/>
  <c r="J880"/>
  <c r="I880"/>
  <c r="H880"/>
  <c r="G880"/>
  <c r="F880"/>
  <c r="E880"/>
  <c r="D880"/>
  <c r="C880"/>
  <c r="B880"/>
  <c r="K879"/>
  <c r="J879"/>
  <c r="I879"/>
  <c r="H879"/>
  <c r="G879"/>
  <c r="F879"/>
  <c r="C879"/>
  <c r="L878"/>
  <c r="J878"/>
  <c r="I878"/>
  <c r="H878"/>
  <c r="G878"/>
  <c r="F878"/>
  <c r="E878"/>
  <c r="D878"/>
  <c r="C878"/>
  <c r="B878"/>
  <c r="J877"/>
  <c r="I877"/>
  <c r="H877"/>
  <c r="G877"/>
  <c r="F877"/>
  <c r="C877"/>
  <c r="P876"/>
  <c r="O876"/>
  <c r="N876"/>
  <c r="M876"/>
  <c r="L876"/>
  <c r="K876"/>
  <c r="J876"/>
  <c r="I876"/>
  <c r="H876"/>
  <c r="G876"/>
  <c r="F876"/>
  <c r="E876"/>
  <c r="D876"/>
  <c r="C876"/>
  <c r="B876"/>
  <c r="K875"/>
  <c r="J875"/>
  <c r="I875"/>
  <c r="H875"/>
  <c r="G875"/>
  <c r="F875"/>
  <c r="C875"/>
  <c r="P874"/>
  <c r="O874"/>
  <c r="N874"/>
  <c r="M874"/>
  <c r="L874"/>
  <c r="K874"/>
  <c r="J874"/>
  <c r="I874"/>
  <c r="H874"/>
  <c r="G874"/>
  <c r="F874"/>
  <c r="E874"/>
  <c r="D874"/>
  <c r="C874"/>
  <c r="B874"/>
  <c r="K873"/>
  <c r="J873"/>
  <c r="I873"/>
  <c r="H873"/>
  <c r="G873"/>
  <c r="F873"/>
  <c r="C873"/>
  <c r="P872"/>
  <c r="O872"/>
  <c r="N872"/>
  <c r="M872"/>
  <c r="L872"/>
  <c r="K872"/>
  <c r="J872"/>
  <c r="I872"/>
  <c r="H872"/>
  <c r="G872"/>
  <c r="F872"/>
  <c r="E872"/>
  <c r="D872"/>
  <c r="C872"/>
  <c r="B872"/>
  <c r="K871"/>
  <c r="J871"/>
  <c r="I871"/>
  <c r="H871"/>
  <c r="G871"/>
  <c r="F871"/>
  <c r="C871"/>
  <c r="P870"/>
  <c r="O870"/>
  <c r="N870"/>
  <c r="M870"/>
  <c r="L870"/>
  <c r="K870"/>
  <c r="J870"/>
  <c r="I870"/>
  <c r="H870"/>
  <c r="G870"/>
  <c r="F870"/>
  <c r="E870"/>
  <c r="D870"/>
  <c r="C870"/>
  <c r="B870"/>
  <c r="K869"/>
  <c r="J869"/>
  <c r="I869"/>
  <c r="H869"/>
  <c r="G869"/>
  <c r="F869"/>
  <c r="C869"/>
  <c r="P868"/>
  <c r="O868"/>
  <c r="N868"/>
  <c r="M868"/>
  <c r="L868"/>
  <c r="K868"/>
  <c r="J868"/>
  <c r="I868"/>
  <c r="H868"/>
  <c r="G868"/>
  <c r="F868"/>
  <c r="E868"/>
  <c r="D868"/>
  <c r="C868"/>
  <c r="B868"/>
  <c r="K867"/>
  <c r="J867"/>
  <c r="I867"/>
  <c r="H867"/>
  <c r="G867"/>
  <c r="F867"/>
  <c r="C867"/>
  <c r="P866"/>
  <c r="O866"/>
  <c r="N866"/>
  <c r="M866"/>
  <c r="L866"/>
  <c r="K866"/>
  <c r="J866"/>
  <c r="I866"/>
  <c r="H866"/>
  <c r="G866"/>
  <c r="F866"/>
  <c r="E866"/>
  <c r="D866"/>
  <c r="C866"/>
  <c r="B866"/>
  <c r="K865"/>
  <c r="J865"/>
  <c r="I865"/>
  <c r="H865"/>
  <c r="G865"/>
  <c r="F865"/>
  <c r="C865"/>
  <c r="P864"/>
  <c r="O864"/>
  <c r="N864"/>
  <c r="M864"/>
  <c r="L864"/>
  <c r="K864"/>
  <c r="J864"/>
  <c r="I864"/>
  <c r="H864"/>
  <c r="G864"/>
  <c r="F864"/>
  <c r="E864"/>
  <c r="D864"/>
  <c r="C864"/>
  <c r="B864"/>
  <c r="K863"/>
  <c r="J863"/>
  <c r="I863"/>
  <c r="H863"/>
  <c r="G863"/>
  <c r="F863"/>
  <c r="C863"/>
  <c r="P862"/>
  <c r="O862"/>
  <c r="N862"/>
  <c r="M862"/>
  <c r="L862"/>
  <c r="K862"/>
  <c r="J862"/>
  <c r="I862"/>
  <c r="H862"/>
  <c r="G862"/>
  <c r="F862"/>
  <c r="E862"/>
  <c r="D862"/>
  <c r="C862"/>
  <c r="B862"/>
  <c r="K861"/>
  <c r="J861"/>
  <c r="I861"/>
  <c r="H861"/>
  <c r="G861"/>
  <c r="F861"/>
  <c r="C861"/>
  <c r="P860"/>
  <c r="O860"/>
  <c r="N860"/>
  <c r="M860"/>
  <c r="L860"/>
  <c r="K860"/>
  <c r="J860"/>
  <c r="I860"/>
  <c r="H860"/>
  <c r="G860"/>
  <c r="F860"/>
  <c r="E860"/>
  <c r="D860"/>
  <c r="C860"/>
  <c r="B860"/>
  <c r="K859"/>
  <c r="J859"/>
  <c r="I859"/>
  <c r="H859"/>
  <c r="G859"/>
  <c r="F859"/>
  <c r="C859"/>
  <c r="P858"/>
  <c r="O858"/>
  <c r="N858"/>
  <c r="M858"/>
  <c r="L858"/>
  <c r="K858"/>
  <c r="J858"/>
  <c r="I858"/>
  <c r="H858"/>
  <c r="G858"/>
  <c r="F858"/>
  <c r="E858"/>
  <c r="D858"/>
  <c r="C858"/>
  <c r="B858"/>
  <c r="K857"/>
  <c r="J857"/>
  <c r="I857"/>
  <c r="H857"/>
  <c r="G857"/>
  <c r="F857"/>
  <c r="C857"/>
  <c r="P856"/>
  <c r="O856"/>
  <c r="N856"/>
  <c r="M856"/>
  <c r="L856"/>
  <c r="K856"/>
  <c r="J856"/>
  <c r="I856"/>
  <c r="H856"/>
  <c r="G856"/>
  <c r="F856"/>
  <c r="E856"/>
  <c r="D856"/>
  <c r="C856"/>
  <c r="B856"/>
  <c r="K855"/>
  <c r="J855"/>
  <c r="I855"/>
  <c r="H855"/>
  <c r="G855"/>
  <c r="F855"/>
  <c r="C855"/>
  <c r="P854"/>
  <c r="O854"/>
  <c r="N854"/>
  <c r="M854"/>
  <c r="L854"/>
  <c r="K854"/>
  <c r="J854"/>
  <c r="I854"/>
  <c r="H854"/>
  <c r="G854"/>
  <c r="F854"/>
  <c r="E854"/>
  <c r="D854"/>
  <c r="C854"/>
  <c r="B854"/>
  <c r="K853"/>
  <c r="J853"/>
  <c r="I853"/>
  <c r="H853"/>
  <c r="G853"/>
  <c r="F853"/>
  <c r="C853"/>
  <c r="P852"/>
  <c r="O852"/>
  <c r="N852"/>
  <c r="M852"/>
  <c r="L852"/>
  <c r="K852"/>
  <c r="J852"/>
  <c r="I852"/>
  <c r="H852"/>
  <c r="G852"/>
  <c r="F852"/>
  <c r="E852"/>
  <c r="D852"/>
  <c r="C852"/>
  <c r="B852"/>
  <c r="K851"/>
  <c r="J851"/>
  <c r="I851"/>
  <c r="H851"/>
  <c r="G851"/>
  <c r="F851"/>
  <c r="C851"/>
  <c r="P850"/>
  <c r="O850"/>
  <c r="N850"/>
  <c r="M850"/>
  <c r="L850"/>
  <c r="K850"/>
  <c r="J850"/>
  <c r="I850"/>
  <c r="H850"/>
  <c r="G850"/>
  <c r="F850"/>
  <c r="E850"/>
  <c r="D850"/>
  <c r="C850"/>
  <c r="B850"/>
  <c r="K849"/>
  <c r="J849"/>
  <c r="I849"/>
  <c r="H849"/>
  <c r="G849"/>
  <c r="F849"/>
  <c r="C849"/>
  <c r="P848"/>
  <c r="O848"/>
  <c r="N848"/>
  <c r="M848"/>
  <c r="L848"/>
  <c r="K848"/>
  <c r="J848"/>
  <c r="I848"/>
  <c r="H848"/>
  <c r="G848"/>
  <c r="F848"/>
  <c r="E848"/>
  <c r="D848"/>
  <c r="C848"/>
  <c r="B848"/>
  <c r="K847"/>
  <c r="J847"/>
  <c r="I847"/>
  <c r="H847"/>
  <c r="G847"/>
  <c r="F847"/>
  <c r="C847"/>
  <c r="P846"/>
  <c r="O846"/>
  <c r="N846"/>
  <c r="M846"/>
  <c r="L846"/>
  <c r="K846"/>
  <c r="J846"/>
  <c r="I846"/>
  <c r="H846"/>
  <c r="G846"/>
  <c r="F846"/>
  <c r="E846"/>
  <c r="D846"/>
  <c r="C846"/>
  <c r="B846"/>
  <c r="K845"/>
  <c r="J845"/>
  <c r="I845"/>
  <c r="H845"/>
  <c r="G845"/>
  <c r="F845"/>
  <c r="C845"/>
  <c r="P844"/>
  <c r="O844"/>
  <c r="N844"/>
  <c r="M844"/>
  <c r="L844"/>
  <c r="K844"/>
  <c r="J844"/>
  <c r="I844"/>
  <c r="H844"/>
  <c r="G844"/>
  <c r="F844"/>
  <c r="E844"/>
  <c r="D844"/>
  <c r="C844"/>
  <c r="B844"/>
  <c r="K843"/>
  <c r="J843"/>
  <c r="I843"/>
  <c r="H843"/>
  <c r="G843"/>
  <c r="F843"/>
  <c r="C843"/>
  <c r="P842"/>
  <c r="O842"/>
  <c r="N842"/>
  <c r="M842"/>
  <c r="L842"/>
  <c r="K842"/>
  <c r="J842"/>
  <c r="I842"/>
  <c r="H842"/>
  <c r="G842"/>
  <c r="F842"/>
  <c r="E842"/>
  <c r="D842"/>
  <c r="C842"/>
  <c r="B842"/>
  <c r="K841"/>
  <c r="J841"/>
  <c r="I841"/>
  <c r="H841"/>
  <c r="G841"/>
  <c r="F841"/>
  <c r="C841"/>
  <c r="P840"/>
  <c r="O840"/>
  <c r="N840"/>
  <c r="M840"/>
  <c r="L840"/>
  <c r="K840"/>
  <c r="J840"/>
  <c r="I840"/>
  <c r="H840"/>
  <c r="G840"/>
  <c r="F840"/>
  <c r="E840"/>
  <c r="D840"/>
  <c r="C840"/>
  <c r="B840"/>
  <c r="J839"/>
  <c r="I839"/>
  <c r="H839"/>
  <c r="G839"/>
  <c r="F839"/>
  <c r="C839"/>
  <c r="P838"/>
  <c r="O838"/>
  <c r="N838"/>
  <c r="M838"/>
  <c r="L838"/>
  <c r="K838"/>
  <c r="J838"/>
  <c r="I838"/>
  <c r="H838"/>
  <c r="G838"/>
  <c r="F838"/>
  <c r="E838"/>
  <c r="D838"/>
  <c r="C838"/>
  <c r="B838"/>
  <c r="K837"/>
  <c r="J837"/>
  <c r="I837"/>
  <c r="H837"/>
  <c r="G837"/>
  <c r="F837"/>
  <c r="C837"/>
  <c r="P836"/>
  <c r="O836"/>
  <c r="N836"/>
  <c r="M836"/>
  <c r="L836"/>
  <c r="K836"/>
  <c r="J836"/>
  <c r="I836"/>
  <c r="H836"/>
  <c r="G836"/>
  <c r="F836"/>
  <c r="E836"/>
  <c r="D836"/>
  <c r="C836"/>
  <c r="B836"/>
  <c r="J835"/>
  <c r="I835"/>
  <c r="H835"/>
  <c r="G835"/>
  <c r="F835"/>
  <c r="C835"/>
  <c r="P834"/>
  <c r="O834"/>
  <c r="N834"/>
  <c r="M834"/>
  <c r="L834"/>
  <c r="K834"/>
  <c r="J834"/>
  <c r="I834"/>
  <c r="H834"/>
  <c r="G834"/>
  <c r="F834"/>
  <c r="E834"/>
  <c r="D834"/>
  <c r="C834"/>
  <c r="B834"/>
  <c r="K833"/>
  <c r="J833"/>
  <c r="I833"/>
  <c r="H833"/>
  <c r="G833"/>
  <c r="F833"/>
  <c r="C833"/>
  <c r="P832"/>
  <c r="O832"/>
  <c r="N832"/>
  <c r="M832"/>
  <c r="L832"/>
  <c r="K832"/>
  <c r="J832"/>
  <c r="I832"/>
  <c r="H832"/>
  <c r="G832"/>
  <c r="F832"/>
  <c r="E832"/>
  <c r="D832"/>
  <c r="C832"/>
  <c r="B832"/>
  <c r="K831"/>
  <c r="J831"/>
  <c r="I831"/>
  <c r="H831"/>
  <c r="G831"/>
  <c r="F831"/>
  <c r="C831"/>
  <c r="P830"/>
  <c r="O830"/>
  <c r="N830"/>
  <c r="M830"/>
  <c r="L830"/>
  <c r="K830"/>
  <c r="J830"/>
  <c r="I830"/>
  <c r="H830"/>
  <c r="G830"/>
  <c r="F830"/>
  <c r="E830"/>
  <c r="D830"/>
  <c r="C830"/>
  <c r="B830"/>
  <c r="K829"/>
  <c r="J829"/>
  <c r="I829"/>
  <c r="H829"/>
  <c r="G829"/>
  <c r="F829"/>
  <c r="C829"/>
  <c r="P828"/>
  <c r="O828"/>
  <c r="N828"/>
  <c r="M828"/>
  <c r="L828"/>
  <c r="K828"/>
  <c r="J828"/>
  <c r="I828"/>
  <c r="H828"/>
  <c r="G828"/>
  <c r="F828"/>
  <c r="E828"/>
  <c r="D828"/>
  <c r="C828"/>
  <c r="B828"/>
  <c r="K827"/>
  <c r="J827"/>
  <c r="I827"/>
  <c r="H827"/>
  <c r="G827"/>
  <c r="F827"/>
  <c r="C827"/>
  <c r="P826"/>
  <c r="O826"/>
  <c r="N826"/>
  <c r="M826"/>
  <c r="L826"/>
  <c r="K826"/>
  <c r="J826"/>
  <c r="I826"/>
  <c r="H826"/>
  <c r="G826"/>
  <c r="F826"/>
  <c r="E826"/>
  <c r="D826"/>
  <c r="C826"/>
  <c r="B826"/>
  <c r="K825"/>
  <c r="J825"/>
  <c r="I825"/>
  <c r="H825"/>
  <c r="G825"/>
  <c r="F825"/>
  <c r="C825"/>
  <c r="P824"/>
  <c r="O824"/>
  <c r="N824"/>
  <c r="M824"/>
  <c r="L824"/>
  <c r="K824"/>
  <c r="J824"/>
  <c r="I824"/>
  <c r="H824"/>
  <c r="G824"/>
  <c r="F824"/>
  <c r="E824"/>
  <c r="D824"/>
  <c r="C824"/>
  <c r="B824"/>
  <c r="K823"/>
  <c r="J823"/>
  <c r="I823"/>
  <c r="H823"/>
  <c r="G823"/>
  <c r="F823"/>
  <c r="C823"/>
  <c r="P822"/>
  <c r="O822"/>
  <c r="N822"/>
  <c r="M822"/>
  <c r="L822"/>
  <c r="K822"/>
  <c r="J822"/>
  <c r="I822"/>
  <c r="H822"/>
  <c r="G822"/>
  <c r="F822"/>
  <c r="E822"/>
  <c r="D822"/>
  <c r="C822"/>
  <c r="B822"/>
  <c r="K821"/>
  <c r="J821"/>
  <c r="I821"/>
  <c r="H821"/>
  <c r="G821"/>
  <c r="F821"/>
  <c r="C821"/>
  <c r="P820"/>
  <c r="O820"/>
  <c r="N820"/>
  <c r="M820"/>
  <c r="L820"/>
  <c r="K820"/>
  <c r="J820"/>
  <c r="I820"/>
  <c r="H820"/>
  <c r="G820"/>
  <c r="F820"/>
  <c r="E820"/>
  <c r="D820"/>
  <c r="C820"/>
  <c r="B820"/>
  <c r="J819"/>
  <c r="I819"/>
  <c r="H819"/>
  <c r="G819"/>
  <c r="F819"/>
  <c r="C819"/>
  <c r="P818"/>
  <c r="O818"/>
  <c r="N818"/>
  <c r="M818"/>
  <c r="L818"/>
  <c r="K818"/>
  <c r="J818"/>
  <c r="I818"/>
  <c r="H818"/>
  <c r="G818"/>
  <c r="F818"/>
  <c r="E818"/>
  <c r="D818"/>
  <c r="C818"/>
  <c r="B818"/>
  <c r="K817"/>
  <c r="J817"/>
  <c r="I817"/>
  <c r="H817"/>
  <c r="G817"/>
  <c r="F817"/>
  <c r="C817"/>
  <c r="P816"/>
  <c r="O816"/>
  <c r="N816"/>
  <c r="M816"/>
  <c r="L816"/>
  <c r="K816"/>
  <c r="J816"/>
  <c r="I816"/>
  <c r="H816"/>
  <c r="G816"/>
  <c r="F816"/>
  <c r="E816"/>
  <c r="D816"/>
  <c r="C816"/>
  <c r="B816"/>
  <c r="K815"/>
  <c r="J815"/>
  <c r="I815"/>
  <c r="H815"/>
  <c r="G815"/>
  <c r="F815"/>
  <c r="C815"/>
  <c r="P814"/>
  <c r="O814"/>
  <c r="N814"/>
  <c r="M814"/>
  <c r="L814"/>
  <c r="K814"/>
  <c r="J814"/>
  <c r="I814"/>
  <c r="H814"/>
  <c r="G814"/>
  <c r="F814"/>
  <c r="E814"/>
  <c r="D814"/>
  <c r="C814"/>
  <c r="B814"/>
  <c r="K813"/>
  <c r="J813"/>
  <c r="I813"/>
  <c r="H813"/>
  <c r="G813"/>
  <c r="F813"/>
  <c r="C813"/>
  <c r="P812"/>
  <c r="O812"/>
  <c r="N812"/>
  <c r="M812"/>
  <c r="L812"/>
  <c r="K812"/>
  <c r="J812"/>
  <c r="I812"/>
  <c r="H812"/>
  <c r="G812"/>
  <c r="F812"/>
  <c r="E812"/>
  <c r="D812"/>
  <c r="C812"/>
  <c r="B812"/>
  <c r="K811"/>
  <c r="J811"/>
  <c r="I811"/>
  <c r="H811"/>
  <c r="G811"/>
  <c r="F811"/>
  <c r="C811"/>
  <c r="P810"/>
  <c r="O810"/>
  <c r="N810"/>
  <c r="M810"/>
  <c r="L810"/>
  <c r="K810"/>
  <c r="J810"/>
  <c r="I810"/>
  <c r="H810"/>
  <c r="G810"/>
  <c r="F810"/>
  <c r="E810"/>
  <c r="D810"/>
  <c r="C810"/>
  <c r="B810"/>
  <c r="K809"/>
  <c r="J809"/>
  <c r="I809"/>
  <c r="H809"/>
  <c r="G809"/>
  <c r="F809"/>
  <c r="C809"/>
  <c r="P808"/>
  <c r="O808"/>
  <c r="N808"/>
  <c r="M808"/>
  <c r="L808"/>
  <c r="K808"/>
  <c r="J808"/>
  <c r="I808"/>
  <c r="H808"/>
  <c r="G808"/>
  <c r="F808"/>
  <c r="E808"/>
  <c r="D808"/>
  <c r="C808"/>
  <c r="B808"/>
  <c r="K807"/>
  <c r="J807"/>
  <c r="I807"/>
  <c r="H807"/>
  <c r="G807"/>
  <c r="F807"/>
  <c r="C807"/>
  <c r="P806"/>
  <c r="O806"/>
  <c r="N806"/>
  <c r="M806"/>
  <c r="L806"/>
  <c r="K806"/>
  <c r="J806"/>
  <c r="I806"/>
  <c r="H806"/>
  <c r="G806"/>
  <c r="F806"/>
  <c r="E806"/>
  <c r="D806"/>
  <c r="C806"/>
  <c r="B806"/>
  <c r="K805"/>
  <c r="J805"/>
  <c r="I805"/>
  <c r="H805"/>
  <c r="G805"/>
  <c r="F805"/>
  <c r="C805"/>
  <c r="P804"/>
  <c r="O804"/>
  <c r="N804"/>
  <c r="M804"/>
  <c r="L804"/>
  <c r="K804"/>
  <c r="J804"/>
  <c r="I804"/>
  <c r="H804"/>
  <c r="G804"/>
  <c r="F804"/>
  <c r="E804"/>
  <c r="D804"/>
  <c r="C804"/>
  <c r="B804"/>
  <c r="K803"/>
  <c r="J803"/>
  <c r="I803"/>
  <c r="H803"/>
  <c r="G803"/>
  <c r="F803"/>
  <c r="C803"/>
  <c r="P802"/>
  <c r="O802"/>
  <c r="N802"/>
  <c r="M802"/>
  <c r="L802"/>
  <c r="K802"/>
  <c r="J802"/>
  <c r="I802"/>
  <c r="H802"/>
  <c r="G802"/>
  <c r="F802"/>
  <c r="E802"/>
  <c r="D802"/>
  <c r="C802"/>
  <c r="B802"/>
  <c r="K801"/>
  <c r="J801"/>
  <c r="I801"/>
  <c r="H801"/>
  <c r="G801"/>
  <c r="F801"/>
  <c r="C801"/>
  <c r="P800"/>
  <c r="O800"/>
  <c r="N800"/>
  <c r="M800"/>
  <c r="L800"/>
  <c r="K800"/>
  <c r="J800"/>
  <c r="I800"/>
  <c r="H800"/>
  <c r="G800"/>
  <c r="F800"/>
  <c r="E800"/>
  <c r="D800"/>
  <c r="C800"/>
  <c r="B800"/>
  <c r="K799"/>
  <c r="J799"/>
  <c r="I799"/>
  <c r="H799"/>
  <c r="G799"/>
  <c r="F799"/>
  <c r="C799"/>
  <c r="P798"/>
  <c r="O798"/>
  <c r="N798"/>
  <c r="M798"/>
  <c r="L798"/>
  <c r="K798"/>
  <c r="J798"/>
  <c r="I798"/>
  <c r="H798"/>
  <c r="G798"/>
  <c r="F798"/>
  <c r="E798"/>
  <c r="D798"/>
  <c r="C798"/>
  <c r="B798"/>
  <c r="K797"/>
  <c r="J797"/>
  <c r="I797"/>
  <c r="H797"/>
  <c r="G797"/>
  <c r="F797"/>
  <c r="C797"/>
  <c r="P796"/>
  <c r="O796"/>
  <c r="N796"/>
  <c r="M796"/>
  <c r="L796"/>
  <c r="K796"/>
  <c r="J796"/>
  <c r="I796"/>
  <c r="H796"/>
  <c r="G796"/>
  <c r="F796"/>
  <c r="E796"/>
  <c r="D796"/>
  <c r="C796"/>
  <c r="B796"/>
  <c r="K795"/>
  <c r="J795"/>
  <c r="I795"/>
  <c r="H795"/>
  <c r="G795"/>
  <c r="F795"/>
  <c r="C795"/>
  <c r="P794"/>
  <c r="O794"/>
  <c r="N794"/>
  <c r="M794"/>
  <c r="L794"/>
  <c r="K794"/>
  <c r="J794"/>
  <c r="I794"/>
  <c r="H794"/>
  <c r="G794"/>
  <c r="F794"/>
  <c r="E794"/>
  <c r="D794"/>
  <c r="C794"/>
  <c r="B794"/>
  <c r="K779"/>
  <c r="J779"/>
  <c r="I779"/>
  <c r="H779"/>
  <c r="G779"/>
  <c r="F779"/>
  <c r="C779"/>
  <c r="P778"/>
  <c r="O778"/>
  <c r="N778"/>
  <c r="M778"/>
  <c r="L778"/>
  <c r="J778"/>
  <c r="I778"/>
  <c r="H778"/>
  <c r="G778"/>
  <c r="F778"/>
  <c r="D778"/>
  <c r="C778"/>
  <c r="B778"/>
  <c r="K777"/>
  <c r="J777"/>
  <c r="I777"/>
  <c r="H777"/>
  <c r="G777"/>
  <c r="F777"/>
  <c r="C777"/>
  <c r="X776"/>
  <c r="P776"/>
  <c r="O776"/>
  <c r="N776"/>
  <c r="M776"/>
  <c r="L776"/>
  <c r="K776"/>
  <c r="J776"/>
  <c r="I776"/>
  <c r="H776"/>
  <c r="G776"/>
  <c r="F776"/>
  <c r="E776"/>
  <c r="D776"/>
  <c r="C776"/>
  <c r="B776"/>
  <c r="K775"/>
  <c r="J775"/>
  <c r="I775"/>
  <c r="H775"/>
  <c r="G775"/>
  <c r="F775"/>
  <c r="C775"/>
  <c r="P774"/>
  <c r="O774"/>
  <c r="N774"/>
  <c r="M774"/>
  <c r="L774"/>
  <c r="K774"/>
  <c r="J774"/>
  <c r="I774"/>
  <c r="H774"/>
  <c r="G774"/>
  <c r="F774"/>
  <c r="E774"/>
  <c r="D774"/>
  <c r="C774"/>
  <c r="B774"/>
  <c r="K773"/>
  <c r="J773"/>
  <c r="I773"/>
  <c r="H773"/>
  <c r="G773"/>
  <c r="F773"/>
  <c r="C773"/>
  <c r="P772"/>
  <c r="O772"/>
  <c r="N772"/>
  <c r="M772"/>
  <c r="L772"/>
  <c r="K772"/>
  <c r="J772"/>
  <c r="I772"/>
  <c r="H772"/>
  <c r="G772"/>
  <c r="F772"/>
  <c r="E772"/>
  <c r="D772"/>
  <c r="C772"/>
  <c r="B772"/>
  <c r="K771"/>
  <c r="J771"/>
  <c r="I771"/>
  <c r="H771"/>
  <c r="G771"/>
  <c r="F771"/>
  <c r="C771"/>
  <c r="P770"/>
  <c r="O770"/>
  <c r="N770"/>
  <c r="M770"/>
  <c r="L770"/>
  <c r="K770"/>
  <c r="J770"/>
  <c r="I770"/>
  <c r="H770"/>
  <c r="G770"/>
  <c r="F770"/>
  <c r="E770"/>
  <c r="D770"/>
  <c r="C770"/>
  <c r="B770"/>
  <c r="K769"/>
  <c r="J769"/>
  <c r="I769"/>
  <c r="H769"/>
  <c r="G769"/>
  <c r="F769"/>
  <c r="C769"/>
  <c r="P768"/>
  <c r="O768"/>
  <c r="N768"/>
  <c r="M768"/>
  <c r="L768"/>
  <c r="K768"/>
  <c r="J768"/>
  <c r="I768"/>
  <c r="H768"/>
  <c r="G768"/>
  <c r="F768"/>
  <c r="E768"/>
  <c r="D768"/>
  <c r="C768"/>
  <c r="B768"/>
  <c r="K767"/>
  <c r="J767"/>
  <c r="I767"/>
  <c r="H767"/>
  <c r="G767"/>
  <c r="F767"/>
  <c r="C767"/>
  <c r="P766"/>
  <c r="O766"/>
  <c r="N766"/>
  <c r="M766"/>
  <c r="L766"/>
  <c r="K766"/>
  <c r="J766"/>
  <c r="I766"/>
  <c r="H766"/>
  <c r="G766"/>
  <c r="F766"/>
  <c r="E766"/>
  <c r="D766"/>
  <c r="C766"/>
  <c r="B766"/>
  <c r="K765"/>
  <c r="J765"/>
  <c r="I765"/>
  <c r="H765"/>
  <c r="G765"/>
  <c r="F765"/>
  <c r="C765"/>
  <c r="P764"/>
  <c r="O764"/>
  <c r="N764"/>
  <c r="M764"/>
  <c r="L764"/>
  <c r="K764"/>
  <c r="J764"/>
  <c r="I764"/>
  <c r="H764"/>
  <c r="G764"/>
  <c r="F764"/>
  <c r="E764"/>
  <c r="D764"/>
  <c r="C764"/>
  <c r="B764"/>
  <c r="K763"/>
  <c r="J763"/>
  <c r="I763"/>
  <c r="H763"/>
  <c r="G763"/>
  <c r="F763"/>
  <c r="C763"/>
  <c r="P762"/>
  <c r="O762"/>
  <c r="N762"/>
  <c r="M762"/>
  <c r="L762"/>
  <c r="K762"/>
  <c r="J762"/>
  <c r="I762"/>
  <c r="H762"/>
  <c r="G762"/>
  <c r="F762"/>
  <c r="E762"/>
  <c r="D762"/>
  <c r="C762"/>
  <c r="B762"/>
  <c r="K761"/>
  <c r="J761"/>
  <c r="I761"/>
  <c r="H761"/>
  <c r="G761"/>
  <c r="F761"/>
  <c r="C761"/>
  <c r="P760"/>
  <c r="O760"/>
  <c r="N760"/>
  <c r="M760"/>
  <c r="L760"/>
  <c r="K760"/>
  <c r="J760"/>
  <c r="I760"/>
  <c r="H760"/>
  <c r="G760"/>
  <c r="F760"/>
  <c r="E760"/>
  <c r="D760"/>
  <c r="C760"/>
  <c r="B760"/>
  <c r="J759"/>
  <c r="I759"/>
  <c r="H759"/>
  <c r="G759"/>
  <c r="F759"/>
  <c r="C759"/>
  <c r="P758"/>
  <c r="O758"/>
  <c r="N758"/>
  <c r="M758"/>
  <c r="L758"/>
  <c r="K758"/>
  <c r="J758"/>
  <c r="I758"/>
  <c r="H758"/>
  <c r="G758"/>
  <c r="F758"/>
  <c r="E758"/>
  <c r="D758"/>
  <c r="C758"/>
  <c r="B758"/>
  <c r="K757"/>
  <c r="J757"/>
  <c r="I757"/>
  <c r="H757"/>
  <c r="G757"/>
  <c r="F757"/>
  <c r="C757"/>
  <c r="P756"/>
  <c r="O756"/>
  <c r="N756"/>
  <c r="M756"/>
  <c r="L756"/>
  <c r="K756"/>
  <c r="J756"/>
  <c r="I756"/>
  <c r="H756"/>
  <c r="G756"/>
  <c r="F756"/>
  <c r="E756"/>
  <c r="D756"/>
  <c r="C756"/>
  <c r="B756"/>
  <c r="K755"/>
  <c r="J755"/>
  <c r="I755"/>
  <c r="H755"/>
  <c r="G755"/>
  <c r="F755"/>
  <c r="C755"/>
  <c r="P754"/>
  <c r="O754"/>
  <c r="N754"/>
  <c r="M754"/>
  <c r="L754"/>
  <c r="K754"/>
  <c r="J754"/>
  <c r="I754"/>
  <c r="H754"/>
  <c r="G754"/>
  <c r="F754"/>
  <c r="E754"/>
  <c r="D754"/>
  <c r="C754"/>
  <c r="B754"/>
  <c r="K753"/>
  <c r="J753"/>
  <c r="I753"/>
  <c r="H753"/>
  <c r="G753"/>
  <c r="F753"/>
  <c r="C753"/>
  <c r="P752"/>
  <c r="O752"/>
  <c r="N752"/>
  <c r="M752"/>
  <c r="L752"/>
  <c r="K752"/>
  <c r="J752"/>
  <c r="I752"/>
  <c r="H752"/>
  <c r="G752"/>
  <c r="F752"/>
  <c r="E752"/>
  <c r="D752"/>
  <c r="C752"/>
  <c r="B752"/>
  <c r="K751"/>
  <c r="J751"/>
  <c r="I751"/>
  <c r="H751"/>
  <c r="G751"/>
  <c r="F751"/>
  <c r="C751"/>
  <c r="P750"/>
  <c r="O750"/>
  <c r="N750"/>
  <c r="M750"/>
  <c r="L750"/>
  <c r="K750"/>
  <c r="J750"/>
  <c r="I750"/>
  <c r="H750"/>
  <c r="G750"/>
  <c r="F750"/>
  <c r="E750"/>
  <c r="D750"/>
  <c r="C750"/>
  <c r="B750"/>
  <c r="K749"/>
  <c r="J749"/>
  <c r="I749"/>
  <c r="H749"/>
  <c r="G749"/>
  <c r="F749"/>
  <c r="C749"/>
  <c r="P748"/>
  <c r="O748"/>
  <c r="N748"/>
  <c r="M748"/>
  <c r="L748"/>
  <c r="K748"/>
  <c r="J748"/>
  <c r="I748"/>
  <c r="H748"/>
  <c r="G748"/>
  <c r="F748"/>
  <c r="E748"/>
  <c r="D748"/>
  <c r="C748"/>
  <c r="B748"/>
  <c r="K747"/>
  <c r="J747"/>
  <c r="I747"/>
  <c r="H747"/>
  <c r="G747"/>
  <c r="F747"/>
  <c r="C747"/>
  <c r="P746"/>
  <c r="O746"/>
  <c r="N746"/>
  <c r="M746"/>
  <c r="L746"/>
  <c r="K746"/>
  <c r="J746"/>
  <c r="I746"/>
  <c r="H746"/>
  <c r="G746"/>
  <c r="F746"/>
  <c r="E746"/>
  <c r="D746"/>
  <c r="C746"/>
  <c r="B746"/>
  <c r="K745"/>
  <c r="J745"/>
  <c r="I745"/>
  <c r="H745"/>
  <c r="G745"/>
  <c r="F745"/>
  <c r="C745"/>
  <c r="P744"/>
  <c r="O744"/>
  <c r="N744"/>
  <c r="M744"/>
  <c r="L744"/>
  <c r="K744"/>
  <c r="J744"/>
  <c r="I744"/>
  <c r="H744"/>
  <c r="G744"/>
  <c r="F744"/>
  <c r="E744"/>
  <c r="D744"/>
  <c r="C744"/>
  <c r="B744"/>
  <c r="K743"/>
  <c r="J743"/>
  <c r="I743"/>
  <c r="H743"/>
  <c r="G743"/>
  <c r="F743"/>
  <c r="C743"/>
  <c r="P742"/>
  <c r="O742"/>
  <c r="N742"/>
  <c r="M742"/>
  <c r="L742"/>
  <c r="K742"/>
  <c r="J742"/>
  <c r="I742"/>
  <c r="H742"/>
  <c r="G742"/>
  <c r="F742"/>
  <c r="E742"/>
  <c r="D742"/>
  <c r="C742"/>
  <c r="B742"/>
  <c r="K741"/>
  <c r="J741"/>
  <c r="I741"/>
  <c r="H741"/>
  <c r="G741"/>
  <c r="F741"/>
  <c r="C741"/>
  <c r="P740"/>
  <c r="O740"/>
  <c r="N740"/>
  <c r="M740"/>
  <c r="L740"/>
  <c r="K740"/>
  <c r="J740"/>
  <c r="I740"/>
  <c r="H740"/>
  <c r="G740"/>
  <c r="F740"/>
  <c r="E740"/>
  <c r="D740"/>
  <c r="C740"/>
  <c r="B740"/>
  <c r="K739"/>
  <c r="J739"/>
  <c r="I739"/>
  <c r="H739"/>
  <c r="G739"/>
  <c r="F739"/>
  <c r="C739"/>
  <c r="P738"/>
  <c r="O738"/>
  <c r="N738"/>
  <c r="M738"/>
  <c r="L738"/>
  <c r="K738"/>
  <c r="J738"/>
  <c r="I738"/>
  <c r="H738"/>
  <c r="G738"/>
  <c r="F738"/>
  <c r="E738"/>
  <c r="D738"/>
  <c r="C738"/>
  <c r="B738"/>
  <c r="K737"/>
  <c r="J737"/>
  <c r="I737"/>
  <c r="H737"/>
  <c r="G737"/>
  <c r="F737"/>
  <c r="C737"/>
  <c r="P736"/>
  <c r="O736"/>
  <c r="N736"/>
  <c r="M736"/>
  <c r="L736"/>
  <c r="K736"/>
  <c r="J736"/>
  <c r="I736"/>
  <c r="H736"/>
  <c r="G736"/>
  <c r="F736"/>
  <c r="E736"/>
  <c r="D736"/>
  <c r="C736"/>
  <c r="B736"/>
  <c r="K735"/>
  <c r="J735"/>
  <c r="I735"/>
  <c r="H735"/>
  <c r="G735"/>
  <c r="F735"/>
  <c r="C735"/>
  <c r="P734"/>
  <c r="O734"/>
  <c r="N734"/>
  <c r="M734"/>
  <c r="L734"/>
  <c r="K734"/>
  <c r="J734"/>
  <c r="I734"/>
  <c r="H734"/>
  <c r="G734"/>
  <c r="F734"/>
  <c r="E734"/>
  <c r="D734"/>
  <c r="C734"/>
  <c r="B734"/>
  <c r="K733"/>
  <c r="J733"/>
  <c r="I733"/>
  <c r="H733"/>
  <c r="G733"/>
  <c r="F733"/>
  <c r="C733"/>
  <c r="P732"/>
  <c r="O732"/>
  <c r="N732"/>
  <c r="M732"/>
  <c r="L732"/>
  <c r="K732"/>
  <c r="J732"/>
  <c r="I732"/>
  <c r="H732"/>
  <c r="G732"/>
  <c r="F732"/>
  <c r="E732"/>
  <c r="D732"/>
  <c r="C732"/>
  <c r="B732"/>
  <c r="K731"/>
  <c r="J731"/>
  <c r="I731"/>
  <c r="H731"/>
  <c r="G731"/>
  <c r="F731"/>
  <c r="C731"/>
  <c r="P730"/>
  <c r="O730"/>
  <c r="N730"/>
  <c r="M730"/>
  <c r="L730"/>
  <c r="K730"/>
  <c r="J730"/>
  <c r="I730"/>
  <c r="H730"/>
  <c r="G730"/>
  <c r="F730"/>
  <c r="E730"/>
  <c r="D730"/>
  <c r="C730"/>
  <c r="B730"/>
  <c r="K729"/>
  <c r="J729"/>
  <c r="I729"/>
  <c r="H729"/>
  <c r="G729"/>
  <c r="F729"/>
  <c r="C729"/>
  <c r="P728"/>
  <c r="O728"/>
  <c r="N728"/>
  <c r="M728"/>
  <c r="L728"/>
  <c r="K728"/>
  <c r="J728"/>
  <c r="I728"/>
  <c r="H728"/>
  <c r="G728"/>
  <c r="F728"/>
  <c r="E728"/>
  <c r="D728"/>
  <c r="C728"/>
  <c r="B728"/>
  <c r="K727"/>
  <c r="J727"/>
  <c r="I727"/>
  <c r="H727"/>
  <c r="G727"/>
  <c r="F727"/>
  <c r="C727"/>
  <c r="P726"/>
  <c r="O726"/>
  <c r="N726"/>
  <c r="M726"/>
  <c r="L726"/>
  <c r="K726"/>
  <c r="J726"/>
  <c r="I726"/>
  <c r="H726"/>
  <c r="G726"/>
  <c r="F726"/>
  <c r="E726"/>
  <c r="D726"/>
  <c r="C726"/>
  <c r="B726"/>
  <c r="K725"/>
  <c r="J725"/>
  <c r="I725"/>
  <c r="H725"/>
  <c r="G725"/>
  <c r="F725"/>
  <c r="C725"/>
  <c r="P724"/>
  <c r="O724"/>
  <c r="N724"/>
  <c r="M724"/>
  <c r="L724"/>
  <c r="K724"/>
  <c r="J724"/>
  <c r="I724"/>
  <c r="H724"/>
  <c r="G724"/>
  <c r="F724"/>
  <c r="E724"/>
  <c r="D724"/>
  <c r="C724"/>
  <c r="B724"/>
  <c r="K723"/>
  <c r="J723"/>
  <c r="I723"/>
  <c r="H723"/>
  <c r="G723"/>
  <c r="F723"/>
  <c r="C723"/>
  <c r="P722"/>
  <c r="O722"/>
  <c r="N722"/>
  <c r="M722"/>
  <c r="L722"/>
  <c r="K722"/>
  <c r="J722"/>
  <c r="I722"/>
  <c r="H722"/>
  <c r="G722"/>
  <c r="F722"/>
  <c r="E722"/>
  <c r="D722"/>
  <c r="C722"/>
  <c r="B722"/>
  <c r="K721"/>
  <c r="J721"/>
  <c r="I721"/>
  <c r="H721"/>
  <c r="G721"/>
  <c r="F721"/>
  <c r="C721"/>
  <c r="P720"/>
  <c r="O720"/>
  <c r="N720"/>
  <c r="M720"/>
  <c r="L720"/>
  <c r="K720"/>
  <c r="J720"/>
  <c r="I720"/>
  <c r="H720"/>
  <c r="G720"/>
  <c r="F720"/>
  <c r="E720"/>
  <c r="D720"/>
  <c r="C720"/>
  <c r="B720"/>
  <c r="K719"/>
  <c r="J719"/>
  <c r="I719"/>
  <c r="H719"/>
  <c r="G719"/>
  <c r="F719"/>
  <c r="C719"/>
  <c r="P718"/>
  <c r="O718"/>
  <c r="N718"/>
  <c r="M718"/>
  <c r="L718"/>
  <c r="K718"/>
  <c r="J718"/>
  <c r="I718"/>
  <c r="H718"/>
  <c r="G718"/>
  <c r="F718"/>
  <c r="E718"/>
  <c r="D718"/>
  <c r="C718"/>
  <c r="B718"/>
  <c r="K717"/>
  <c r="J717"/>
  <c r="I717"/>
  <c r="H717"/>
  <c r="G717"/>
  <c r="F717"/>
  <c r="C717"/>
  <c r="P716"/>
  <c r="O716"/>
  <c r="N716"/>
  <c r="M716"/>
  <c r="L716"/>
  <c r="K716"/>
  <c r="J716"/>
  <c r="I716"/>
  <c r="H716"/>
  <c r="G716"/>
  <c r="F716"/>
  <c r="E716"/>
  <c r="D716"/>
  <c r="C716"/>
  <c r="B716"/>
  <c r="K715"/>
  <c r="J715"/>
  <c r="I715"/>
  <c r="H715"/>
  <c r="G715"/>
  <c r="F715"/>
  <c r="C715"/>
  <c r="P714"/>
  <c r="O714"/>
  <c r="N714"/>
  <c r="M714"/>
  <c r="L714"/>
  <c r="K714"/>
  <c r="J714"/>
  <c r="I714"/>
  <c r="H714"/>
  <c r="G714"/>
  <c r="F714"/>
  <c r="E714"/>
  <c r="D714"/>
  <c r="C714"/>
  <c r="B714"/>
  <c r="J713"/>
  <c r="I713"/>
  <c r="H713"/>
  <c r="G713"/>
  <c r="F713"/>
  <c r="C713"/>
  <c r="P712"/>
  <c r="O712"/>
  <c r="N712"/>
  <c r="M712"/>
  <c r="L712"/>
  <c r="K712"/>
  <c r="J712"/>
  <c r="I712"/>
  <c r="H712"/>
  <c r="G712"/>
  <c r="F712"/>
  <c r="E712"/>
  <c r="D712"/>
  <c r="C712"/>
  <c r="B712"/>
  <c r="K711"/>
  <c r="J711"/>
  <c r="I711"/>
  <c r="H711"/>
  <c r="G711"/>
  <c r="F711"/>
  <c r="C711"/>
  <c r="P710"/>
  <c r="O710"/>
  <c r="N710"/>
  <c r="M710"/>
  <c r="L710"/>
  <c r="K710"/>
  <c r="J710"/>
  <c r="I710"/>
  <c r="H710"/>
  <c r="G710"/>
  <c r="F710"/>
  <c r="E710"/>
  <c r="D710"/>
  <c r="C710"/>
  <c r="B710"/>
  <c r="K709"/>
  <c r="J709"/>
  <c r="I709"/>
  <c r="H709"/>
  <c r="G709"/>
  <c r="F709"/>
  <c r="C709"/>
  <c r="P708"/>
  <c r="O708"/>
  <c r="N708"/>
  <c r="M708"/>
  <c r="L708"/>
  <c r="K708"/>
  <c r="J708"/>
  <c r="I708"/>
  <c r="H708"/>
  <c r="G708"/>
  <c r="F708"/>
  <c r="E708"/>
  <c r="D708"/>
  <c r="C708"/>
  <c r="B708"/>
  <c r="K707"/>
  <c r="J707"/>
  <c r="I707"/>
  <c r="H707"/>
  <c r="G707"/>
  <c r="F707"/>
  <c r="C707"/>
  <c r="P706"/>
  <c r="O706"/>
  <c r="N706"/>
  <c r="M706"/>
  <c r="L706"/>
  <c r="K706"/>
  <c r="J706"/>
  <c r="I706"/>
  <c r="H706"/>
  <c r="G706"/>
  <c r="F706"/>
  <c r="E706"/>
  <c r="D706"/>
  <c r="C706"/>
  <c r="B706"/>
  <c r="K705"/>
  <c r="J705"/>
  <c r="I705"/>
  <c r="H705"/>
  <c r="G705"/>
  <c r="F705"/>
  <c r="C705"/>
  <c r="P704"/>
  <c r="O704"/>
  <c r="N704"/>
  <c r="M704"/>
  <c r="L704"/>
  <c r="K704"/>
  <c r="J704"/>
  <c r="I704"/>
  <c r="H704"/>
  <c r="G704"/>
  <c r="F704"/>
  <c r="E704"/>
  <c r="D704"/>
  <c r="C704"/>
  <c r="B704"/>
  <c r="K703"/>
  <c r="J703"/>
  <c r="I703"/>
  <c r="H703"/>
  <c r="G703"/>
  <c r="F703"/>
  <c r="C703"/>
  <c r="P702"/>
  <c r="O702"/>
  <c r="N702"/>
  <c r="M702"/>
  <c r="L702"/>
  <c r="K702"/>
  <c r="J702"/>
  <c r="I702"/>
  <c r="H702"/>
  <c r="G702"/>
  <c r="F702"/>
  <c r="E702"/>
  <c r="D702"/>
  <c r="C702"/>
  <c r="B702"/>
  <c r="K701"/>
  <c r="J701"/>
  <c r="I701"/>
  <c r="H701"/>
  <c r="G701"/>
  <c r="F701"/>
  <c r="C701"/>
  <c r="P700"/>
  <c r="O700"/>
  <c r="N700"/>
  <c r="M700"/>
  <c r="L700"/>
  <c r="K700"/>
  <c r="J700"/>
  <c r="I700"/>
  <c r="H700"/>
  <c r="G700"/>
  <c r="F700"/>
  <c r="E700"/>
  <c r="D700"/>
  <c r="C700"/>
  <c r="B700"/>
  <c r="K699"/>
  <c r="J699"/>
  <c r="I699"/>
  <c r="H699"/>
  <c r="G699"/>
  <c r="F699"/>
  <c r="C699"/>
  <c r="P698"/>
  <c r="O698"/>
  <c r="N698"/>
  <c r="M698"/>
  <c r="L698"/>
  <c r="K698"/>
  <c r="J698"/>
  <c r="I698"/>
  <c r="H698"/>
  <c r="G698"/>
  <c r="F698"/>
  <c r="E698"/>
  <c r="D698"/>
  <c r="C698"/>
  <c r="B698"/>
  <c r="K697"/>
  <c r="J697"/>
  <c r="I697"/>
  <c r="H697"/>
  <c r="G697"/>
  <c r="F697"/>
  <c r="C697"/>
  <c r="P696"/>
  <c r="O696"/>
  <c r="N696"/>
  <c r="M696"/>
  <c r="L696"/>
  <c r="K696"/>
  <c r="J696"/>
  <c r="I696"/>
  <c r="H696"/>
  <c r="G696"/>
  <c r="F696"/>
  <c r="E696"/>
  <c r="D696"/>
  <c r="C696"/>
  <c r="B696"/>
  <c r="K695"/>
  <c r="J695"/>
  <c r="I695"/>
  <c r="H695"/>
  <c r="G695"/>
  <c r="F695"/>
  <c r="C695"/>
  <c r="P694"/>
  <c r="O694"/>
  <c r="N694"/>
  <c r="M694"/>
  <c r="L694"/>
  <c r="K694"/>
  <c r="J694"/>
  <c r="I694"/>
  <c r="H694"/>
  <c r="G694"/>
  <c r="F694"/>
  <c r="E694"/>
  <c r="D694"/>
  <c r="C694"/>
  <c r="B694"/>
  <c r="K693"/>
  <c r="J693"/>
  <c r="I693"/>
  <c r="H693"/>
  <c r="G693"/>
  <c r="F693"/>
  <c r="C693"/>
  <c r="P692"/>
  <c r="O692"/>
  <c r="N692"/>
  <c r="M692"/>
  <c r="L692"/>
  <c r="K692"/>
  <c r="J692"/>
  <c r="I692"/>
  <c r="H692"/>
  <c r="G692"/>
  <c r="F692"/>
  <c r="E692"/>
  <c r="D692"/>
  <c r="C692"/>
  <c r="B692"/>
  <c r="K691"/>
  <c r="J691"/>
  <c r="I691"/>
  <c r="H691"/>
  <c r="G691"/>
  <c r="F691"/>
  <c r="C691"/>
  <c r="P690"/>
  <c r="O690"/>
  <c r="N690"/>
  <c r="M690"/>
  <c r="L690"/>
  <c r="K690"/>
  <c r="J690"/>
  <c r="I690"/>
  <c r="H690"/>
  <c r="G690"/>
  <c r="F690"/>
  <c r="E690"/>
  <c r="D690"/>
  <c r="C690"/>
  <c r="B690"/>
  <c r="K689"/>
  <c r="J689"/>
  <c r="I689"/>
  <c r="H689"/>
  <c r="G689"/>
  <c r="F689"/>
  <c r="C689"/>
  <c r="P688"/>
  <c r="O688"/>
  <c r="N688"/>
  <c r="M688"/>
  <c r="L688"/>
  <c r="K688"/>
  <c r="J688"/>
  <c r="I688"/>
  <c r="H688"/>
  <c r="G688"/>
  <c r="F688"/>
  <c r="E688"/>
  <c r="D688"/>
  <c r="C688"/>
  <c r="B688"/>
  <c r="K687"/>
  <c r="J687"/>
  <c r="I687"/>
  <c r="H687"/>
  <c r="G687"/>
  <c r="F687"/>
  <c r="C687"/>
  <c r="P686"/>
  <c r="O686"/>
  <c r="N686"/>
  <c r="M686"/>
  <c r="L686"/>
  <c r="K686"/>
  <c r="J686"/>
  <c r="I686"/>
  <c r="H686"/>
  <c r="G686"/>
  <c r="F686"/>
  <c r="E686"/>
  <c r="D686"/>
  <c r="C686"/>
  <c r="B686"/>
  <c r="K685"/>
  <c r="J685"/>
  <c r="I685"/>
  <c r="H685"/>
  <c r="G685"/>
  <c r="F685"/>
  <c r="C685"/>
  <c r="P684"/>
  <c r="O684"/>
  <c r="N684"/>
  <c r="M684"/>
  <c r="L684"/>
  <c r="K684"/>
  <c r="J684"/>
  <c r="I684"/>
  <c r="H684"/>
  <c r="G684"/>
  <c r="F684"/>
  <c r="E684"/>
  <c r="D684"/>
  <c r="C684"/>
  <c r="B684"/>
  <c r="K683"/>
  <c r="J683"/>
  <c r="I683"/>
  <c r="H683"/>
  <c r="G683"/>
  <c r="F683"/>
  <c r="C683"/>
  <c r="P682"/>
  <c r="O682"/>
  <c r="N682"/>
  <c r="M682"/>
  <c r="L682"/>
  <c r="K682"/>
  <c r="J682"/>
  <c r="I682"/>
  <c r="H682"/>
  <c r="G682"/>
  <c r="F682"/>
  <c r="E682"/>
  <c r="D682"/>
  <c r="C682"/>
  <c r="B682"/>
  <c r="K681"/>
  <c r="J681"/>
  <c r="I681"/>
  <c r="H681"/>
  <c r="G681"/>
  <c r="F681"/>
  <c r="C681"/>
  <c r="P680"/>
  <c r="O680"/>
  <c r="N680"/>
  <c r="M680"/>
  <c r="L680"/>
  <c r="K680"/>
  <c r="J680"/>
  <c r="I680"/>
  <c r="H680"/>
  <c r="G680"/>
  <c r="F680"/>
  <c r="E680"/>
  <c r="D680"/>
  <c r="C680"/>
  <c r="B680"/>
  <c r="K679"/>
  <c r="J679"/>
  <c r="I679"/>
  <c r="H679"/>
  <c r="G679"/>
  <c r="F679"/>
  <c r="C679"/>
  <c r="K678"/>
  <c r="J678"/>
  <c r="I678"/>
  <c r="H678"/>
  <c r="G678"/>
  <c r="F678"/>
  <c r="E678"/>
  <c r="D678"/>
  <c r="C678"/>
  <c r="B678"/>
  <c r="K677"/>
  <c r="J677"/>
  <c r="I677"/>
  <c r="H677"/>
  <c r="G677"/>
  <c r="F677"/>
  <c r="C677"/>
  <c r="K676"/>
  <c r="J676"/>
  <c r="I676"/>
  <c r="H676"/>
  <c r="G676"/>
  <c r="F676"/>
  <c r="E676"/>
  <c r="D676"/>
  <c r="C676"/>
  <c r="B676"/>
  <c r="K675"/>
  <c r="J675"/>
  <c r="I675"/>
  <c r="H675"/>
  <c r="G675"/>
  <c r="F675"/>
  <c r="C675"/>
  <c r="K674"/>
  <c r="J674"/>
  <c r="I674"/>
  <c r="H674"/>
  <c r="G674"/>
  <c r="F674"/>
  <c r="E674"/>
  <c r="D674"/>
  <c r="C674"/>
  <c r="B674"/>
  <c r="K673"/>
  <c r="J673"/>
  <c r="I673"/>
  <c r="H673"/>
  <c r="G673"/>
  <c r="F673"/>
  <c r="C673"/>
  <c r="K672"/>
  <c r="J672"/>
  <c r="I672"/>
  <c r="H672"/>
  <c r="G672"/>
  <c r="F672"/>
  <c r="E672"/>
  <c r="D672"/>
  <c r="C672"/>
  <c r="B672"/>
  <c r="K671"/>
  <c r="J671"/>
  <c r="I671"/>
  <c r="H671"/>
  <c r="G671"/>
  <c r="F671"/>
  <c r="C671"/>
  <c r="K670"/>
  <c r="J670"/>
  <c r="I670"/>
  <c r="H670"/>
  <c r="G670"/>
  <c r="F670"/>
  <c r="E670"/>
  <c r="D670"/>
  <c r="C670"/>
  <c r="B670"/>
  <c r="K669"/>
  <c r="J669"/>
  <c r="I669"/>
  <c r="H669"/>
  <c r="G669"/>
  <c r="F669"/>
  <c r="C669"/>
  <c r="K668"/>
  <c r="J668"/>
  <c r="I668"/>
  <c r="H668"/>
  <c r="G668"/>
  <c r="F668"/>
  <c r="E668"/>
  <c r="D668"/>
  <c r="C668"/>
  <c r="B668"/>
  <c r="K655"/>
  <c r="J655"/>
  <c r="I655"/>
  <c r="H655"/>
  <c r="G655"/>
  <c r="F655"/>
  <c r="C655"/>
  <c r="P654"/>
  <c r="O654"/>
  <c r="N654"/>
  <c r="M654"/>
  <c r="L654"/>
  <c r="J654"/>
  <c r="I654"/>
  <c r="H654"/>
  <c r="G654"/>
  <c r="F654"/>
  <c r="D654"/>
  <c r="C654"/>
  <c r="B654"/>
  <c r="K653"/>
  <c r="J653"/>
  <c r="I653"/>
  <c r="H653"/>
  <c r="G653"/>
  <c r="F653"/>
  <c r="C653"/>
  <c r="J652"/>
  <c r="I652"/>
  <c r="H652"/>
  <c r="G652"/>
  <c r="F652"/>
  <c r="C652"/>
  <c r="B652"/>
  <c r="K646"/>
  <c r="J646"/>
  <c r="I646"/>
  <c r="H646"/>
  <c r="G646"/>
  <c r="F646"/>
  <c r="C646"/>
  <c r="J645"/>
  <c r="I645"/>
  <c r="H645"/>
  <c r="G645"/>
  <c r="F645"/>
  <c r="D645"/>
  <c r="C645"/>
  <c r="B645"/>
  <c r="K644"/>
  <c r="J644"/>
  <c r="I644"/>
  <c r="H644"/>
  <c r="G644"/>
  <c r="F644"/>
  <c r="C644"/>
  <c r="J643"/>
  <c r="I643"/>
  <c r="H643"/>
  <c r="G643"/>
  <c r="F643"/>
  <c r="D643"/>
  <c r="C643"/>
  <c r="B643"/>
  <c r="K642"/>
  <c r="J642"/>
  <c r="I642"/>
  <c r="H642"/>
  <c r="G642"/>
  <c r="F642"/>
  <c r="C642"/>
  <c r="J641"/>
  <c r="I641"/>
  <c r="H641"/>
  <c r="G641"/>
  <c r="F641"/>
  <c r="D641"/>
  <c r="C641"/>
  <c r="B641"/>
  <c r="K640"/>
  <c r="J640"/>
  <c r="I640"/>
  <c r="H640"/>
  <c r="G640"/>
  <c r="F640"/>
  <c r="C640"/>
  <c r="K639"/>
  <c r="J639"/>
  <c r="I639"/>
  <c r="H639"/>
  <c r="G639"/>
  <c r="F639"/>
  <c r="C639"/>
  <c r="B639"/>
  <c r="K638"/>
  <c r="J638"/>
  <c r="I638"/>
  <c r="H638"/>
  <c r="G638"/>
  <c r="F638"/>
  <c r="C638"/>
  <c r="P637"/>
  <c r="O637"/>
  <c r="N637"/>
  <c r="M637"/>
  <c r="L637"/>
  <c r="K637"/>
  <c r="J637"/>
  <c r="I637"/>
  <c r="H637"/>
  <c r="G637"/>
  <c r="F637"/>
  <c r="E637"/>
  <c r="D637"/>
  <c r="C637"/>
  <c r="B637"/>
  <c r="K636"/>
  <c r="J636"/>
  <c r="I636"/>
  <c r="H636"/>
  <c r="G636"/>
  <c r="F636"/>
  <c r="C636"/>
  <c r="P635"/>
  <c r="O635"/>
  <c r="N635"/>
  <c r="M635"/>
  <c r="L635"/>
  <c r="K635"/>
  <c r="J635"/>
  <c r="I635"/>
  <c r="H635"/>
  <c r="G635"/>
  <c r="F635"/>
  <c r="E635"/>
  <c r="D635"/>
  <c r="C635"/>
  <c r="B635"/>
  <c r="K634"/>
  <c r="J634"/>
  <c r="I634"/>
  <c r="H634"/>
  <c r="G634"/>
  <c r="F634"/>
  <c r="C634"/>
  <c r="P633"/>
  <c r="O633"/>
  <c r="N633"/>
  <c r="M633"/>
  <c r="L633"/>
  <c r="K633"/>
  <c r="J633"/>
  <c r="I633"/>
  <c r="H633"/>
  <c r="G633"/>
  <c r="F633"/>
  <c r="E633"/>
  <c r="D633"/>
  <c r="C633"/>
  <c r="B633"/>
  <c r="K632"/>
  <c r="J632"/>
  <c r="I632"/>
  <c r="H632"/>
  <c r="G632"/>
  <c r="F632"/>
  <c r="C632"/>
  <c r="P631"/>
  <c r="O631"/>
  <c r="N631"/>
  <c r="M631"/>
  <c r="L631"/>
  <c r="K631"/>
  <c r="J631"/>
  <c r="I631"/>
  <c r="H631"/>
  <c r="G631"/>
  <c r="F631"/>
  <c r="E631"/>
  <c r="D631"/>
  <c r="C631"/>
  <c r="B631"/>
  <c r="K630"/>
  <c r="J630"/>
  <c r="I630"/>
  <c r="H630"/>
  <c r="G630"/>
  <c r="F630"/>
  <c r="C630"/>
  <c r="P629"/>
  <c r="O629"/>
  <c r="N629"/>
  <c r="M629"/>
  <c r="L629"/>
  <c r="K629"/>
  <c r="J629"/>
  <c r="I629"/>
  <c r="H629"/>
  <c r="G629"/>
  <c r="F629"/>
  <c r="E629"/>
  <c r="D629"/>
  <c r="C629"/>
  <c r="B629"/>
  <c r="K628"/>
  <c r="J628"/>
  <c r="I628"/>
  <c r="H628"/>
  <c r="G628"/>
  <c r="F628"/>
  <c r="C628"/>
  <c r="P627"/>
  <c r="O627"/>
  <c r="N627"/>
  <c r="M627"/>
  <c r="L627"/>
  <c r="K627"/>
  <c r="J627"/>
  <c r="I627"/>
  <c r="H627"/>
  <c r="G627"/>
  <c r="F627"/>
  <c r="E627"/>
  <c r="D627"/>
  <c r="C627"/>
  <c r="B627"/>
  <c r="K626"/>
  <c r="J626"/>
  <c r="I626"/>
  <c r="H626"/>
  <c r="G626"/>
  <c r="F626"/>
  <c r="C626"/>
  <c r="P625"/>
  <c r="O625"/>
  <c r="N625"/>
  <c r="M625"/>
  <c r="L625"/>
  <c r="K625"/>
  <c r="J625"/>
  <c r="I625"/>
  <c r="H625"/>
  <c r="G625"/>
  <c r="F625"/>
  <c r="E625"/>
  <c r="D625"/>
  <c r="C625"/>
  <c r="B625"/>
  <c r="K624"/>
  <c r="J624"/>
  <c r="I624"/>
  <c r="H624"/>
  <c r="G624"/>
  <c r="F624"/>
  <c r="C624"/>
  <c r="P623"/>
  <c r="O623"/>
  <c r="N623"/>
  <c r="M623"/>
  <c r="L623"/>
  <c r="K623"/>
  <c r="J623"/>
  <c r="I623"/>
  <c r="H623"/>
  <c r="G623"/>
  <c r="F623"/>
  <c r="E623"/>
  <c r="D623"/>
  <c r="C623"/>
  <c r="B623"/>
  <c r="K622"/>
  <c r="J622"/>
  <c r="I622"/>
  <c r="H622"/>
  <c r="G622"/>
  <c r="F622"/>
  <c r="C622"/>
  <c r="P621"/>
  <c r="O621"/>
  <c r="N621"/>
  <c r="M621"/>
  <c r="L621"/>
  <c r="K621"/>
  <c r="J621"/>
  <c r="I621"/>
  <c r="H621"/>
  <c r="G621"/>
  <c r="F621"/>
  <c r="E621"/>
  <c r="D621"/>
  <c r="C621"/>
  <c r="B621"/>
  <c r="K620"/>
  <c r="J620"/>
  <c r="I620"/>
  <c r="H620"/>
  <c r="G620"/>
  <c r="F620"/>
  <c r="C620"/>
  <c r="P619"/>
  <c r="O619"/>
  <c r="N619"/>
  <c r="M619"/>
  <c r="L619"/>
  <c r="K619"/>
  <c r="J619"/>
  <c r="I619"/>
  <c r="H619"/>
  <c r="G619"/>
  <c r="F619"/>
  <c r="E619"/>
  <c r="D619"/>
  <c r="C619"/>
  <c r="B619"/>
  <c r="K618"/>
  <c r="J618"/>
  <c r="I618"/>
  <c r="H618"/>
  <c r="G618"/>
  <c r="F618"/>
  <c r="C618"/>
  <c r="P617"/>
  <c r="O617"/>
  <c r="N617"/>
  <c r="M617"/>
  <c r="L617"/>
  <c r="K617"/>
  <c r="J617"/>
  <c r="I617"/>
  <c r="H617"/>
  <c r="G617"/>
  <c r="F617"/>
  <c r="E617"/>
  <c r="D617"/>
  <c r="C617"/>
  <c r="B617"/>
  <c r="K616"/>
  <c r="J616"/>
  <c r="I616"/>
  <c r="H616"/>
  <c r="G616"/>
  <c r="F616"/>
  <c r="C616"/>
  <c r="P615"/>
  <c r="O615"/>
  <c r="N615"/>
  <c r="M615"/>
  <c r="L615"/>
  <c r="K615"/>
  <c r="J615"/>
  <c r="I615"/>
  <c r="H615"/>
  <c r="G615"/>
  <c r="F615"/>
  <c r="E615"/>
  <c r="D615"/>
  <c r="C615"/>
  <c r="B615"/>
  <c r="K614"/>
  <c r="J614"/>
  <c r="I614"/>
  <c r="H614"/>
  <c r="G614"/>
  <c r="F614"/>
  <c r="C614"/>
  <c r="P613"/>
  <c r="O613"/>
  <c r="N613"/>
  <c r="M613"/>
  <c r="L613"/>
  <c r="K613"/>
  <c r="J613"/>
  <c r="I613"/>
  <c r="H613"/>
  <c r="G613"/>
  <c r="F613"/>
  <c r="E613"/>
  <c r="D613"/>
  <c r="C613"/>
  <c r="B613"/>
  <c r="K612"/>
  <c r="J612"/>
  <c r="I612"/>
  <c r="H612"/>
  <c r="G612"/>
  <c r="F612"/>
  <c r="C612"/>
  <c r="P611"/>
  <c r="O611"/>
  <c r="N611"/>
  <c r="M611"/>
  <c r="L611"/>
  <c r="K611"/>
  <c r="J611"/>
  <c r="I611"/>
  <c r="H611"/>
  <c r="G611"/>
  <c r="F611"/>
  <c r="E611"/>
  <c r="D611"/>
  <c r="C611"/>
  <c r="B611"/>
  <c r="K610"/>
  <c r="J610"/>
  <c r="I610"/>
  <c r="H610"/>
  <c r="G610"/>
  <c r="F610"/>
  <c r="C610"/>
  <c r="P609"/>
  <c r="O609"/>
  <c r="N609"/>
  <c r="M609"/>
  <c r="L609"/>
  <c r="K609"/>
  <c r="J609"/>
  <c r="I609"/>
  <c r="H609"/>
  <c r="G609"/>
  <c r="F609"/>
  <c r="E609"/>
  <c r="D609"/>
  <c r="C609"/>
  <c r="B609"/>
  <c r="K608"/>
  <c r="J608"/>
  <c r="I608"/>
  <c r="H608"/>
  <c r="G608"/>
  <c r="F608"/>
  <c r="C608"/>
  <c r="P607"/>
  <c r="O607"/>
  <c r="N607"/>
  <c r="M607"/>
  <c r="L607"/>
  <c r="J607"/>
  <c r="I607"/>
  <c r="H607"/>
  <c r="G607"/>
  <c r="F607"/>
  <c r="E607"/>
  <c r="D607"/>
  <c r="C607"/>
  <c r="B607"/>
  <c r="K606"/>
  <c r="J606"/>
  <c r="I606"/>
  <c r="H606"/>
  <c r="G606"/>
  <c r="F606"/>
  <c r="C606"/>
  <c r="P605"/>
  <c r="O605"/>
  <c r="N605"/>
  <c r="M605"/>
  <c r="L605"/>
  <c r="K605"/>
  <c r="J605"/>
  <c r="I605"/>
  <c r="H605"/>
  <c r="G605"/>
  <c r="F605"/>
  <c r="E605"/>
  <c r="D605"/>
  <c r="C605"/>
  <c r="B605"/>
  <c r="K604"/>
  <c r="J604"/>
  <c r="I604"/>
  <c r="H604"/>
  <c r="G604"/>
  <c r="F604"/>
  <c r="C604"/>
  <c r="P603"/>
  <c r="O603"/>
  <c r="N603"/>
  <c r="M603"/>
  <c r="L603"/>
  <c r="J603"/>
  <c r="I603"/>
  <c r="H603"/>
  <c r="G603"/>
  <c r="F603"/>
  <c r="E603"/>
  <c r="D603"/>
  <c r="C603"/>
  <c r="B603"/>
  <c r="K602"/>
  <c r="J602"/>
  <c r="I602"/>
  <c r="H602"/>
  <c r="G602"/>
  <c r="F602"/>
  <c r="C602"/>
  <c r="P601"/>
  <c r="O601"/>
  <c r="N601"/>
  <c r="M601"/>
  <c r="L601"/>
  <c r="K601"/>
  <c r="J601"/>
  <c r="I601"/>
  <c r="H601"/>
  <c r="G601"/>
  <c r="F601"/>
  <c r="E601"/>
  <c r="D601"/>
  <c r="C601"/>
  <c r="B601"/>
  <c r="K600"/>
  <c r="J600"/>
  <c r="I600"/>
  <c r="H600"/>
  <c r="G600"/>
  <c r="F600"/>
  <c r="C600"/>
  <c r="P599"/>
  <c r="O599"/>
  <c r="N599"/>
  <c r="M599"/>
  <c r="L599"/>
  <c r="K599"/>
  <c r="J599"/>
  <c r="I599"/>
  <c r="H599"/>
  <c r="G599"/>
  <c r="F599"/>
  <c r="E599"/>
  <c r="D599"/>
  <c r="C599"/>
  <c r="B599"/>
  <c r="K598"/>
  <c r="J598"/>
  <c r="I598"/>
  <c r="H598"/>
  <c r="G598"/>
  <c r="F598"/>
  <c r="C598"/>
  <c r="P597"/>
  <c r="O597"/>
  <c r="N597"/>
  <c r="M597"/>
  <c r="L597"/>
  <c r="K597"/>
  <c r="J597"/>
  <c r="I597"/>
  <c r="H597"/>
  <c r="G597"/>
  <c r="F597"/>
  <c r="E597"/>
  <c r="D597"/>
  <c r="C597"/>
  <c r="B597"/>
  <c r="K596"/>
  <c r="J596"/>
  <c r="I596"/>
  <c r="H596"/>
  <c r="G596"/>
  <c r="F596"/>
  <c r="C596"/>
  <c r="P595"/>
  <c r="O595"/>
  <c r="N595"/>
  <c r="M595"/>
  <c r="L595"/>
  <c r="K595"/>
  <c r="J595"/>
  <c r="I595"/>
  <c r="H595"/>
  <c r="G595"/>
  <c r="F595"/>
  <c r="E595"/>
  <c r="D595"/>
  <c r="C595"/>
  <c r="B595"/>
  <c r="K594"/>
  <c r="J594"/>
  <c r="I594"/>
  <c r="H594"/>
  <c r="G594"/>
  <c r="F594"/>
  <c r="C594"/>
  <c r="P593"/>
  <c r="O593"/>
  <c r="N593"/>
  <c r="M593"/>
  <c r="L593"/>
  <c r="K593"/>
  <c r="J593"/>
  <c r="I593"/>
  <c r="H593"/>
  <c r="G593"/>
  <c r="F593"/>
  <c r="E593"/>
  <c r="D593"/>
  <c r="C593"/>
  <c r="B593"/>
  <c r="K592"/>
  <c r="J592"/>
  <c r="I592"/>
  <c r="H592"/>
  <c r="G592"/>
  <c r="F592"/>
  <c r="C592"/>
  <c r="P591"/>
  <c r="O591"/>
  <c r="N591"/>
  <c r="M591"/>
  <c r="L591"/>
  <c r="K591"/>
  <c r="J591"/>
  <c r="I591"/>
  <c r="H591"/>
  <c r="G591"/>
  <c r="F591"/>
  <c r="E591"/>
  <c r="D591"/>
  <c r="C591"/>
  <c r="B591"/>
  <c r="K590"/>
  <c r="J590"/>
  <c r="I590"/>
  <c r="H590"/>
  <c r="G590"/>
  <c r="F590"/>
  <c r="C590"/>
  <c r="P589"/>
  <c r="O589"/>
  <c r="N589"/>
  <c r="M589"/>
  <c r="L589"/>
  <c r="K589"/>
  <c r="J589"/>
  <c r="I589"/>
  <c r="H589"/>
  <c r="G589"/>
  <c r="F589"/>
  <c r="E589"/>
  <c r="D589"/>
  <c r="C589"/>
  <c r="B589"/>
  <c r="K588"/>
  <c r="J588"/>
  <c r="I588"/>
  <c r="H588"/>
  <c r="G588"/>
  <c r="F588"/>
  <c r="C588"/>
  <c r="P587"/>
  <c r="O587"/>
  <c r="N587"/>
  <c r="M587"/>
  <c r="L587"/>
  <c r="J587"/>
  <c r="I587"/>
  <c r="H587"/>
  <c r="G587"/>
  <c r="F587"/>
  <c r="E587"/>
  <c r="D587"/>
  <c r="C587"/>
  <c r="B587"/>
  <c r="K586"/>
  <c r="J586"/>
  <c r="I586"/>
  <c r="H586"/>
  <c r="G586"/>
  <c r="F586"/>
  <c r="C586"/>
  <c r="P585"/>
  <c r="O585"/>
  <c r="N585"/>
  <c r="M585"/>
  <c r="L585"/>
  <c r="K585"/>
  <c r="J585"/>
  <c r="I585"/>
  <c r="H585"/>
  <c r="G585"/>
  <c r="F585"/>
  <c r="E585"/>
  <c r="D585"/>
  <c r="C585"/>
  <c r="B585"/>
  <c r="K584"/>
  <c r="J584"/>
  <c r="I584"/>
  <c r="H584"/>
  <c r="G584"/>
  <c r="F584"/>
  <c r="C584"/>
  <c r="P583"/>
  <c r="O583"/>
  <c r="N583"/>
  <c r="M583"/>
  <c r="L583"/>
  <c r="K583"/>
  <c r="J583"/>
  <c r="I583"/>
  <c r="H583"/>
  <c r="G583"/>
  <c r="F583"/>
  <c r="E583"/>
  <c r="D583"/>
  <c r="C583"/>
  <c r="B583"/>
  <c r="K582"/>
  <c r="J582"/>
  <c r="I582"/>
  <c r="H582"/>
  <c r="G582"/>
  <c r="F582"/>
  <c r="C582"/>
  <c r="P581"/>
  <c r="O581"/>
  <c r="N581"/>
  <c r="M581"/>
  <c r="L581"/>
  <c r="K581"/>
  <c r="J581"/>
  <c r="I581"/>
  <c r="H581"/>
  <c r="G581"/>
  <c r="F581"/>
  <c r="E581"/>
  <c r="D581"/>
  <c r="C581"/>
  <c r="B581"/>
  <c r="K580"/>
  <c r="J580"/>
  <c r="I580"/>
  <c r="H580"/>
  <c r="G580"/>
  <c r="F580"/>
  <c r="C580"/>
  <c r="P579"/>
  <c r="O579"/>
  <c r="N579"/>
  <c r="M579"/>
  <c r="L579"/>
  <c r="K579"/>
  <c r="J579"/>
  <c r="I579"/>
  <c r="H579"/>
  <c r="G579"/>
  <c r="F579"/>
  <c r="E579"/>
  <c r="D579"/>
  <c r="C579"/>
  <c r="B579"/>
  <c r="K578"/>
  <c r="J578"/>
  <c r="I578"/>
  <c r="H578"/>
  <c r="G578"/>
  <c r="F578"/>
  <c r="C578"/>
  <c r="P577"/>
  <c r="O577"/>
  <c r="N577"/>
  <c r="M577"/>
  <c r="L577"/>
  <c r="K577"/>
  <c r="J577"/>
  <c r="I577"/>
  <c r="H577"/>
  <c r="G577"/>
  <c r="F577"/>
  <c r="E577"/>
  <c r="D577"/>
  <c r="C577"/>
  <c r="B577"/>
  <c r="K576"/>
  <c r="J576"/>
  <c r="I576"/>
  <c r="H576"/>
  <c r="G576"/>
  <c r="F576"/>
  <c r="C576"/>
  <c r="P575"/>
  <c r="O575"/>
  <c r="N575"/>
  <c r="M575"/>
  <c r="L575"/>
  <c r="K575"/>
  <c r="J575"/>
  <c r="I575"/>
  <c r="H575"/>
  <c r="G575"/>
  <c r="F575"/>
  <c r="E575"/>
  <c r="D575"/>
  <c r="C575"/>
  <c r="B575"/>
  <c r="K574"/>
  <c r="J574"/>
  <c r="I574"/>
  <c r="H574"/>
  <c r="G574"/>
  <c r="F574"/>
  <c r="C574"/>
  <c r="P573"/>
  <c r="O573"/>
  <c r="N573"/>
  <c r="M573"/>
  <c r="L573"/>
  <c r="K573"/>
  <c r="J573"/>
  <c r="I573"/>
  <c r="H573"/>
  <c r="G573"/>
  <c r="F573"/>
  <c r="E573"/>
  <c r="D573"/>
  <c r="C573"/>
  <c r="B573"/>
  <c r="K572"/>
  <c r="J572"/>
  <c r="I572"/>
  <c r="H572"/>
  <c r="G572"/>
  <c r="F572"/>
  <c r="C572"/>
  <c r="P571"/>
  <c r="O571"/>
  <c r="N571"/>
  <c r="M571"/>
  <c r="L571"/>
  <c r="K571"/>
  <c r="J571"/>
  <c r="I571"/>
  <c r="H571"/>
  <c r="G571"/>
  <c r="F571"/>
  <c r="E571"/>
  <c r="D571"/>
  <c r="C571"/>
  <c r="B571"/>
  <c r="K570"/>
  <c r="J570"/>
  <c r="I570"/>
  <c r="H570"/>
  <c r="G570"/>
  <c r="F570"/>
  <c r="C570"/>
  <c r="P569"/>
  <c r="O569"/>
  <c r="N569"/>
  <c r="M569"/>
  <c r="L569"/>
  <c r="K569"/>
  <c r="J569"/>
  <c r="I569"/>
  <c r="H569"/>
  <c r="G569"/>
  <c r="F569"/>
  <c r="E569"/>
  <c r="D569"/>
  <c r="C569"/>
  <c r="B569"/>
  <c r="K568"/>
  <c r="J568"/>
  <c r="I568"/>
  <c r="H568"/>
  <c r="G568"/>
  <c r="F568"/>
  <c r="C568"/>
  <c r="P567"/>
  <c r="O567"/>
  <c r="N567"/>
  <c r="M567"/>
  <c r="L567"/>
  <c r="K567"/>
  <c r="J567"/>
  <c r="I567"/>
  <c r="H567"/>
  <c r="G567"/>
  <c r="F567"/>
  <c r="E567"/>
  <c r="D567"/>
  <c r="C567"/>
  <c r="B567"/>
  <c r="K566"/>
  <c r="J566"/>
  <c r="I566"/>
  <c r="H566"/>
  <c r="G566"/>
  <c r="F566"/>
  <c r="C566"/>
  <c r="P565"/>
  <c r="O565"/>
  <c r="N565"/>
  <c r="M565"/>
  <c r="L565"/>
  <c r="K565"/>
  <c r="J565"/>
  <c r="I565"/>
  <c r="H565"/>
  <c r="G565"/>
  <c r="F565"/>
  <c r="E565"/>
  <c r="D565"/>
  <c r="C565"/>
  <c r="B565"/>
  <c r="K564"/>
  <c r="J564"/>
  <c r="I564"/>
  <c r="H564"/>
  <c r="G564"/>
  <c r="F564"/>
  <c r="C564"/>
  <c r="P563"/>
  <c r="O563"/>
  <c r="N563"/>
  <c r="M563"/>
  <c r="L563"/>
  <c r="K563"/>
  <c r="J563"/>
  <c r="I563"/>
  <c r="H563"/>
  <c r="G563"/>
  <c r="F563"/>
  <c r="E563"/>
  <c r="D563"/>
  <c r="C563"/>
  <c r="B563"/>
  <c r="K552"/>
  <c r="J552"/>
  <c r="I552"/>
  <c r="H552"/>
  <c r="G552"/>
  <c r="F552"/>
  <c r="C552"/>
  <c r="P551"/>
  <c r="O551"/>
  <c r="N551"/>
  <c r="M551"/>
  <c r="L551"/>
  <c r="J551"/>
  <c r="I551"/>
  <c r="H551"/>
  <c r="G551"/>
  <c r="F551"/>
  <c r="D551"/>
  <c r="C551"/>
  <c r="B551"/>
  <c r="K550"/>
  <c r="J550"/>
  <c r="I550"/>
  <c r="H550"/>
  <c r="G550"/>
  <c r="F550"/>
  <c r="C550"/>
  <c r="P549"/>
  <c r="O549"/>
  <c r="N549"/>
  <c r="M549"/>
  <c r="L549"/>
  <c r="K549"/>
  <c r="J549"/>
  <c r="I549"/>
  <c r="H549"/>
  <c r="G549"/>
  <c r="F549"/>
  <c r="E549"/>
  <c r="D549"/>
  <c r="C549"/>
  <c r="B549"/>
  <c r="K548"/>
  <c r="J548"/>
  <c r="I548"/>
  <c r="H548"/>
  <c r="G548"/>
  <c r="F548"/>
  <c r="C548"/>
  <c r="P547"/>
  <c r="O547"/>
  <c r="N547"/>
  <c r="M547"/>
  <c r="L547"/>
  <c r="K547"/>
  <c r="J547"/>
  <c r="I547"/>
  <c r="H547"/>
  <c r="G547"/>
  <c r="F547"/>
  <c r="E547"/>
  <c r="D547"/>
  <c r="C547"/>
  <c r="B547"/>
  <c r="K546"/>
  <c r="J546"/>
  <c r="I546"/>
  <c r="H546"/>
  <c r="G546"/>
  <c r="F546"/>
  <c r="C546"/>
  <c r="P545"/>
  <c r="O545"/>
  <c r="N545"/>
  <c r="M545"/>
  <c r="L545"/>
  <c r="K545"/>
  <c r="J545"/>
  <c r="I545"/>
  <c r="H545"/>
  <c r="G545"/>
  <c r="F545"/>
  <c r="E545"/>
  <c r="D545"/>
  <c r="C545"/>
  <c r="B545"/>
  <c r="K534"/>
  <c r="J534"/>
  <c r="I534"/>
  <c r="H534"/>
  <c r="G534"/>
  <c r="F534"/>
  <c r="C534"/>
  <c r="P533"/>
  <c r="O533"/>
  <c r="N533"/>
  <c r="M533"/>
  <c r="S534" s="1"/>
  <c r="L533"/>
  <c r="R534" s="1"/>
  <c r="J533"/>
  <c r="I533"/>
  <c r="H533"/>
  <c r="G533"/>
  <c r="F533"/>
  <c r="D533"/>
  <c r="C533"/>
  <c r="B533"/>
  <c r="K532"/>
  <c r="J532"/>
  <c r="I532"/>
  <c r="H532"/>
  <c r="G532"/>
  <c r="F532"/>
  <c r="C532"/>
  <c r="L531"/>
  <c r="K531"/>
  <c r="J531"/>
  <c r="I531"/>
  <c r="H531"/>
  <c r="G531"/>
  <c r="F531"/>
  <c r="E531"/>
  <c r="D531"/>
  <c r="C531"/>
  <c r="B531"/>
  <c r="K530"/>
  <c r="J530"/>
  <c r="I530"/>
  <c r="H530"/>
  <c r="G530"/>
  <c r="F530"/>
  <c r="C530"/>
  <c r="P529"/>
  <c r="O529"/>
  <c r="N529"/>
  <c r="M529"/>
  <c r="L529"/>
  <c r="K529"/>
  <c r="J529"/>
  <c r="I529"/>
  <c r="H529"/>
  <c r="G529"/>
  <c r="F529"/>
  <c r="E529"/>
  <c r="D529"/>
  <c r="C529"/>
  <c r="B529"/>
  <c r="K528"/>
  <c r="J528"/>
  <c r="I528"/>
  <c r="H528"/>
  <c r="G528"/>
  <c r="F528"/>
  <c r="C528"/>
  <c r="P527"/>
  <c r="O527"/>
  <c r="N527"/>
  <c r="M527"/>
  <c r="L527"/>
  <c r="K527"/>
  <c r="J527"/>
  <c r="I527"/>
  <c r="H527"/>
  <c r="G527"/>
  <c r="F527"/>
  <c r="E527"/>
  <c r="D527"/>
  <c r="C527"/>
  <c r="B527"/>
  <c r="K526"/>
  <c r="J526"/>
  <c r="I526"/>
  <c r="H526"/>
  <c r="G526"/>
  <c r="F526"/>
  <c r="C526"/>
  <c r="P525"/>
  <c r="O525"/>
  <c r="N525"/>
  <c r="M525"/>
  <c r="L525"/>
  <c r="K525"/>
  <c r="J525"/>
  <c r="I525"/>
  <c r="H525"/>
  <c r="G525"/>
  <c r="F525"/>
  <c r="E525"/>
  <c r="D525"/>
  <c r="C525"/>
  <c r="B525"/>
  <c r="K524"/>
  <c r="J524"/>
  <c r="I524"/>
  <c r="H524"/>
  <c r="G524"/>
  <c r="F524"/>
  <c r="C524"/>
  <c r="P523"/>
  <c r="O523"/>
  <c r="N523"/>
  <c r="M523"/>
  <c r="L523"/>
  <c r="K523"/>
  <c r="J523"/>
  <c r="I523"/>
  <c r="H523"/>
  <c r="G523"/>
  <c r="F523"/>
  <c r="E523"/>
  <c r="D523"/>
  <c r="C523"/>
  <c r="B523"/>
  <c r="K522"/>
  <c r="J522"/>
  <c r="I522"/>
  <c r="H522"/>
  <c r="G522"/>
  <c r="F522"/>
  <c r="C522"/>
  <c r="P521"/>
  <c r="O521"/>
  <c r="N521"/>
  <c r="M521"/>
  <c r="L521"/>
  <c r="J521"/>
  <c r="I521"/>
  <c r="H521"/>
  <c r="G521"/>
  <c r="F521"/>
  <c r="E521"/>
  <c r="D521"/>
  <c r="C521"/>
  <c r="B521"/>
  <c r="K520"/>
  <c r="J520"/>
  <c r="I520"/>
  <c r="H520"/>
  <c r="G520"/>
  <c r="F520"/>
  <c r="C520"/>
  <c r="P519"/>
  <c r="O519"/>
  <c r="N519"/>
  <c r="M519"/>
  <c r="L519"/>
  <c r="K519"/>
  <c r="J519"/>
  <c r="I519"/>
  <c r="H519"/>
  <c r="G519"/>
  <c r="F519"/>
  <c r="E519"/>
  <c r="D519"/>
  <c r="C519"/>
  <c r="B519"/>
  <c r="K518"/>
  <c r="J518"/>
  <c r="I518"/>
  <c r="H518"/>
  <c r="G518"/>
  <c r="F518"/>
  <c r="C518"/>
  <c r="P517"/>
  <c r="O517"/>
  <c r="N517"/>
  <c r="M517"/>
  <c r="L517"/>
  <c r="K517"/>
  <c r="J517"/>
  <c r="I517"/>
  <c r="H517"/>
  <c r="G517"/>
  <c r="F517"/>
  <c r="E517"/>
  <c r="D517"/>
  <c r="C517"/>
  <c r="B517"/>
  <c r="K516"/>
  <c r="J516"/>
  <c r="I516"/>
  <c r="H516"/>
  <c r="G516"/>
  <c r="F516"/>
  <c r="C516"/>
  <c r="P515"/>
  <c r="O515"/>
  <c r="N515"/>
  <c r="M515"/>
  <c r="L515"/>
  <c r="K515"/>
  <c r="J515"/>
  <c r="I515"/>
  <c r="H515"/>
  <c r="G515"/>
  <c r="F515"/>
  <c r="E515"/>
  <c r="D515"/>
  <c r="C515"/>
  <c r="B515"/>
  <c r="K514"/>
  <c r="J514"/>
  <c r="I514"/>
  <c r="H514"/>
  <c r="G514"/>
  <c r="F514"/>
  <c r="C514"/>
  <c r="P513"/>
  <c r="O513"/>
  <c r="N513"/>
  <c r="M513"/>
  <c r="L513"/>
  <c r="K513"/>
  <c r="J513"/>
  <c r="I513"/>
  <c r="H513"/>
  <c r="G513"/>
  <c r="F513"/>
  <c r="E513"/>
  <c r="D513"/>
  <c r="C513"/>
  <c r="B513"/>
  <c r="K512"/>
  <c r="J512"/>
  <c r="I512"/>
  <c r="H512"/>
  <c r="G512"/>
  <c r="F512"/>
  <c r="C512"/>
  <c r="P511"/>
  <c r="O511"/>
  <c r="N511"/>
  <c r="M511"/>
  <c r="L511"/>
  <c r="K511"/>
  <c r="J511"/>
  <c r="I511"/>
  <c r="H511"/>
  <c r="G511"/>
  <c r="F511"/>
  <c r="E511"/>
  <c r="D511"/>
  <c r="C511"/>
  <c r="B511"/>
  <c r="K510"/>
  <c r="J510"/>
  <c r="I510"/>
  <c r="H510"/>
  <c r="G510"/>
  <c r="F510"/>
  <c r="C510"/>
  <c r="P509"/>
  <c r="O509"/>
  <c r="N509"/>
  <c r="M509"/>
  <c r="L509"/>
  <c r="K509"/>
  <c r="J509"/>
  <c r="I509"/>
  <c r="H509"/>
  <c r="G509"/>
  <c r="F509"/>
  <c r="E509"/>
  <c r="D509"/>
  <c r="C509"/>
  <c r="B509"/>
  <c r="K508"/>
  <c r="J508"/>
  <c r="I508"/>
  <c r="H508"/>
  <c r="G508"/>
  <c r="F508"/>
  <c r="C508"/>
  <c r="P507"/>
  <c r="O507"/>
  <c r="N507"/>
  <c r="M507"/>
  <c r="L507"/>
  <c r="K507"/>
  <c r="J507"/>
  <c r="I507"/>
  <c r="H507"/>
  <c r="G507"/>
  <c r="F507"/>
  <c r="E507"/>
  <c r="D507"/>
  <c r="C507"/>
  <c r="B507"/>
  <c r="K506"/>
  <c r="J506"/>
  <c r="I506"/>
  <c r="H506"/>
  <c r="G506"/>
  <c r="F506"/>
  <c r="C506"/>
  <c r="P505"/>
  <c r="O505"/>
  <c r="N505"/>
  <c r="M505"/>
  <c r="L505"/>
  <c r="K505"/>
  <c r="J505"/>
  <c r="I505"/>
  <c r="H505"/>
  <c r="G505"/>
  <c r="F505"/>
  <c r="E505"/>
  <c r="D505"/>
  <c r="C505"/>
  <c r="B505"/>
  <c r="K504"/>
  <c r="J504"/>
  <c r="I504"/>
  <c r="H504"/>
  <c r="G504"/>
  <c r="F504"/>
  <c r="C504"/>
  <c r="P503"/>
  <c r="O503"/>
  <c r="N503"/>
  <c r="M503"/>
  <c r="L503"/>
  <c r="K503"/>
  <c r="J503"/>
  <c r="I503"/>
  <c r="H503"/>
  <c r="G503"/>
  <c r="F503"/>
  <c r="E503"/>
  <c r="D503"/>
  <c r="C503"/>
  <c r="B503"/>
  <c r="K492"/>
  <c r="J492"/>
  <c r="I492"/>
  <c r="H492"/>
  <c r="G492"/>
  <c r="F492"/>
  <c r="C492"/>
  <c r="L491"/>
  <c r="J491"/>
  <c r="I491"/>
  <c r="H491"/>
  <c r="G491"/>
  <c r="F491"/>
  <c r="D491"/>
  <c r="C491"/>
  <c r="B491"/>
  <c r="K490"/>
  <c r="J490"/>
  <c r="I490"/>
  <c r="H490"/>
  <c r="G490"/>
  <c r="F490"/>
  <c r="C490"/>
  <c r="X489"/>
  <c r="P489"/>
  <c r="O489"/>
  <c r="N489"/>
  <c r="K489"/>
  <c r="J489"/>
  <c r="I489"/>
  <c r="H489"/>
  <c r="G489"/>
  <c r="F489"/>
  <c r="E489"/>
  <c r="D489"/>
  <c r="C489"/>
  <c r="B489"/>
  <c r="K488"/>
  <c r="J488"/>
  <c r="I488"/>
  <c r="H488"/>
  <c r="G488"/>
  <c r="F488"/>
  <c r="C488"/>
  <c r="P487"/>
  <c r="O487"/>
  <c r="N487"/>
  <c r="K487"/>
  <c r="J487"/>
  <c r="I487"/>
  <c r="H487"/>
  <c r="G487"/>
  <c r="F487"/>
  <c r="E487"/>
  <c r="D487"/>
  <c r="C487"/>
  <c r="B487"/>
  <c r="K486"/>
  <c r="J486"/>
  <c r="I486"/>
  <c r="H486"/>
  <c r="G486"/>
  <c r="F486"/>
  <c r="C486"/>
  <c r="P485"/>
  <c r="O485"/>
  <c r="N485"/>
  <c r="M485"/>
  <c r="L485"/>
  <c r="K485"/>
  <c r="J485"/>
  <c r="I485"/>
  <c r="H485"/>
  <c r="G485"/>
  <c r="F485"/>
  <c r="E485"/>
  <c r="D485"/>
  <c r="C485"/>
  <c r="B485"/>
  <c r="K484"/>
  <c r="J484"/>
  <c r="I484"/>
  <c r="H484"/>
  <c r="G484"/>
  <c r="F484"/>
  <c r="C484"/>
  <c r="P483"/>
  <c r="O483"/>
  <c r="N483"/>
  <c r="M483"/>
  <c r="L483"/>
  <c r="K483"/>
  <c r="J483"/>
  <c r="I483"/>
  <c r="H483"/>
  <c r="G483"/>
  <c r="F483"/>
  <c r="E483"/>
  <c r="D483"/>
  <c r="C483"/>
  <c r="B483"/>
  <c r="K482"/>
  <c r="J482"/>
  <c r="I482"/>
  <c r="H482"/>
  <c r="G482"/>
  <c r="F482"/>
  <c r="C482"/>
  <c r="P481"/>
  <c r="O481"/>
  <c r="N481"/>
  <c r="M481"/>
  <c r="L481"/>
  <c r="K481"/>
  <c r="J481"/>
  <c r="I481"/>
  <c r="H481"/>
  <c r="G481"/>
  <c r="F481"/>
  <c r="E481"/>
  <c r="D481"/>
  <c r="C481"/>
  <c r="B481"/>
  <c r="K480"/>
  <c r="J480"/>
  <c r="I480"/>
  <c r="H480"/>
  <c r="G480"/>
  <c r="F480"/>
  <c r="C480"/>
  <c r="P479"/>
  <c r="O479"/>
  <c r="N479"/>
  <c r="M479"/>
  <c r="L479"/>
  <c r="K479"/>
  <c r="J479"/>
  <c r="I479"/>
  <c r="H479"/>
  <c r="G479"/>
  <c r="F479"/>
  <c r="E479"/>
  <c r="D479"/>
  <c r="C479"/>
  <c r="B479"/>
  <c r="K478"/>
  <c r="J478"/>
  <c r="I478"/>
  <c r="H478"/>
  <c r="G478"/>
  <c r="F478"/>
  <c r="C478"/>
  <c r="P477"/>
  <c r="O477"/>
  <c r="N477"/>
  <c r="K477"/>
  <c r="J477"/>
  <c r="I477"/>
  <c r="H477"/>
  <c r="G477"/>
  <c r="F477"/>
  <c r="E477"/>
  <c r="D477"/>
  <c r="C477"/>
  <c r="B477"/>
  <c r="K476"/>
  <c r="J476"/>
  <c r="I476"/>
  <c r="H476"/>
  <c r="G476"/>
  <c r="F476"/>
  <c r="C476"/>
  <c r="P475"/>
  <c r="O475"/>
  <c r="N475"/>
  <c r="M475"/>
  <c r="L475"/>
  <c r="K475"/>
  <c r="J475"/>
  <c r="I475"/>
  <c r="H475"/>
  <c r="G475"/>
  <c r="F475"/>
  <c r="E475"/>
  <c r="D475"/>
  <c r="C475"/>
  <c r="B475"/>
  <c r="K474"/>
  <c r="J474"/>
  <c r="I474"/>
  <c r="H474"/>
  <c r="G474"/>
  <c r="F474"/>
  <c r="C474"/>
  <c r="P473"/>
  <c r="O473"/>
  <c r="N473"/>
  <c r="M473"/>
  <c r="L473"/>
  <c r="K473"/>
  <c r="J473"/>
  <c r="I473"/>
  <c r="H473"/>
  <c r="G473"/>
  <c r="F473"/>
  <c r="E473"/>
  <c r="D473"/>
  <c r="C473"/>
  <c r="B473"/>
  <c r="K472"/>
  <c r="J472"/>
  <c r="I472"/>
  <c r="H472"/>
  <c r="G472"/>
  <c r="F472"/>
  <c r="C472"/>
  <c r="P471"/>
  <c r="O471"/>
  <c r="N471"/>
  <c r="K471"/>
  <c r="J471"/>
  <c r="I471"/>
  <c r="H471"/>
  <c r="G471"/>
  <c r="F471"/>
  <c r="E471"/>
  <c r="D471"/>
  <c r="C471"/>
  <c r="B471"/>
  <c r="K470"/>
  <c r="J470"/>
  <c r="I470"/>
  <c r="H470"/>
  <c r="G470"/>
  <c r="F470"/>
  <c r="C470"/>
  <c r="P469"/>
  <c r="O469"/>
  <c r="N469"/>
  <c r="M469"/>
  <c r="L469"/>
  <c r="K469"/>
  <c r="J469"/>
  <c r="I469"/>
  <c r="H469"/>
  <c r="G469"/>
  <c r="F469"/>
  <c r="E469"/>
  <c r="D469"/>
  <c r="C469"/>
  <c r="B469"/>
  <c r="K468"/>
  <c r="J468"/>
  <c r="I468"/>
  <c r="H468"/>
  <c r="G468"/>
  <c r="F468"/>
  <c r="C468"/>
  <c r="P467"/>
  <c r="O467"/>
  <c r="N467"/>
  <c r="M467"/>
  <c r="L467"/>
  <c r="K467"/>
  <c r="J467"/>
  <c r="I467"/>
  <c r="H467"/>
  <c r="G467"/>
  <c r="F467"/>
  <c r="E467"/>
  <c r="D467"/>
  <c r="C467"/>
  <c r="B467"/>
  <c r="K466"/>
  <c r="J466"/>
  <c r="I466"/>
  <c r="H466"/>
  <c r="G466"/>
  <c r="F466"/>
  <c r="C466"/>
  <c r="P465"/>
  <c r="O465"/>
  <c r="N465"/>
  <c r="M465"/>
  <c r="L465"/>
  <c r="J465"/>
  <c r="I465"/>
  <c r="H465"/>
  <c r="G465"/>
  <c r="F465"/>
  <c r="E465"/>
  <c r="D465"/>
  <c r="C465"/>
  <c r="B465"/>
  <c r="K464"/>
  <c r="J464"/>
  <c r="I464"/>
  <c r="H464"/>
  <c r="G464"/>
  <c r="F464"/>
  <c r="C464"/>
  <c r="P463"/>
  <c r="O463"/>
  <c r="N463"/>
  <c r="M463"/>
  <c r="L463"/>
  <c r="K463"/>
  <c r="J463"/>
  <c r="I463"/>
  <c r="H463"/>
  <c r="G463"/>
  <c r="F463"/>
  <c r="E463"/>
  <c r="D463"/>
  <c r="C463"/>
  <c r="B463"/>
  <c r="K462"/>
  <c r="J462"/>
  <c r="I462"/>
  <c r="H462"/>
  <c r="G462"/>
  <c r="F462"/>
  <c r="C462"/>
  <c r="P461"/>
  <c r="O461"/>
  <c r="N461"/>
  <c r="M461"/>
  <c r="L461"/>
  <c r="K461"/>
  <c r="J461"/>
  <c r="I461"/>
  <c r="H461"/>
  <c r="G461"/>
  <c r="F461"/>
  <c r="E461"/>
  <c r="D461"/>
  <c r="C461"/>
  <c r="B461"/>
  <c r="K460"/>
  <c r="J460"/>
  <c r="I460"/>
  <c r="H460"/>
  <c r="G460"/>
  <c r="F460"/>
  <c r="C460"/>
  <c r="P459"/>
  <c r="O459"/>
  <c r="N459"/>
  <c r="M459"/>
  <c r="L459"/>
  <c r="K459"/>
  <c r="J459"/>
  <c r="I459"/>
  <c r="H459"/>
  <c r="G459"/>
  <c r="F459"/>
  <c r="E459"/>
  <c r="D459"/>
  <c r="C459"/>
  <c r="B459"/>
  <c r="K458"/>
  <c r="J458"/>
  <c r="I458"/>
  <c r="H458"/>
  <c r="G458"/>
  <c r="F458"/>
  <c r="C458"/>
  <c r="P457"/>
  <c r="O457"/>
  <c r="N457"/>
  <c r="M457"/>
  <c r="L457"/>
  <c r="K457"/>
  <c r="J457"/>
  <c r="I457"/>
  <c r="H457"/>
  <c r="G457"/>
  <c r="F457"/>
  <c r="E457"/>
  <c r="D457"/>
  <c r="C457"/>
  <c r="B457"/>
  <c r="K456"/>
  <c r="J456"/>
  <c r="I456"/>
  <c r="H456"/>
  <c r="G456"/>
  <c r="F456"/>
  <c r="C456"/>
  <c r="P455"/>
  <c r="O455"/>
  <c r="N455"/>
  <c r="K455"/>
  <c r="J455"/>
  <c r="I455"/>
  <c r="H455"/>
  <c r="G455"/>
  <c r="F455"/>
  <c r="E455"/>
  <c r="D455"/>
  <c r="C455"/>
  <c r="B455"/>
  <c r="K454"/>
  <c r="J454"/>
  <c r="I454"/>
  <c r="H454"/>
  <c r="G454"/>
  <c r="F454"/>
  <c r="C454"/>
  <c r="P453"/>
  <c r="O453"/>
  <c r="N453"/>
  <c r="M453"/>
  <c r="L453"/>
  <c r="K453"/>
  <c r="J453"/>
  <c r="I453"/>
  <c r="H453"/>
  <c r="G453"/>
  <c r="F453"/>
  <c r="E453"/>
  <c r="D453"/>
  <c r="C453"/>
  <c r="B453"/>
  <c r="K452"/>
  <c r="J452"/>
  <c r="I452"/>
  <c r="H452"/>
  <c r="G452"/>
  <c r="F452"/>
  <c r="C452"/>
  <c r="P451"/>
  <c r="O451"/>
  <c r="N451"/>
  <c r="M451"/>
  <c r="L451"/>
  <c r="K451"/>
  <c r="J451"/>
  <c r="I451"/>
  <c r="H451"/>
  <c r="G451"/>
  <c r="F451"/>
  <c r="E451"/>
  <c r="D451"/>
  <c r="C451"/>
  <c r="B451"/>
  <c r="K450"/>
  <c r="J450"/>
  <c r="I450"/>
  <c r="H450"/>
  <c r="G450"/>
  <c r="F450"/>
  <c r="C450"/>
  <c r="P449"/>
  <c r="O449"/>
  <c r="N449"/>
  <c r="M449"/>
  <c r="L449"/>
  <c r="K449"/>
  <c r="J449"/>
  <c r="I449"/>
  <c r="H449"/>
  <c r="G449"/>
  <c r="F449"/>
  <c r="E449"/>
  <c r="D449"/>
  <c r="C449"/>
  <c r="B449"/>
  <c r="K448"/>
  <c r="J448"/>
  <c r="I448"/>
  <c r="H448"/>
  <c r="G448"/>
  <c r="F448"/>
  <c r="C448"/>
  <c r="P447"/>
  <c r="O447"/>
  <c r="N447"/>
  <c r="K447"/>
  <c r="J447"/>
  <c r="I447"/>
  <c r="H447"/>
  <c r="G447"/>
  <c r="F447"/>
  <c r="E447"/>
  <c r="D447"/>
  <c r="C447"/>
  <c r="B447"/>
  <c r="K446"/>
  <c r="J446"/>
  <c r="I446"/>
  <c r="H446"/>
  <c r="G446"/>
  <c r="F446"/>
  <c r="C446"/>
  <c r="P445"/>
  <c r="O445"/>
  <c r="N445"/>
  <c r="K445"/>
  <c r="J445"/>
  <c r="I445"/>
  <c r="H445"/>
  <c r="G445"/>
  <c r="F445"/>
  <c r="E445"/>
  <c r="D445"/>
  <c r="C445"/>
  <c r="B445"/>
  <c r="K444"/>
  <c r="J444"/>
  <c r="I444"/>
  <c r="H444"/>
  <c r="G444"/>
  <c r="F444"/>
  <c r="C444"/>
  <c r="P443"/>
  <c r="O443"/>
  <c r="N443"/>
  <c r="K443"/>
  <c r="J443"/>
  <c r="I443"/>
  <c r="H443"/>
  <c r="G443"/>
  <c r="F443"/>
  <c r="E443"/>
  <c r="D443"/>
  <c r="C443"/>
  <c r="B443"/>
  <c r="K442"/>
  <c r="J442"/>
  <c r="I442"/>
  <c r="H442"/>
  <c r="G442"/>
  <c r="F442"/>
  <c r="C442"/>
  <c r="P441"/>
  <c r="O441"/>
  <c r="N441"/>
  <c r="M441"/>
  <c r="L441"/>
  <c r="K441"/>
  <c r="J441"/>
  <c r="I441"/>
  <c r="H441"/>
  <c r="G441"/>
  <c r="F441"/>
  <c r="E441"/>
  <c r="D441"/>
  <c r="C441"/>
  <c r="B441"/>
  <c r="K440"/>
  <c r="J440"/>
  <c r="I440"/>
  <c r="H440"/>
  <c r="G440"/>
  <c r="F440"/>
  <c r="C440"/>
  <c r="P439"/>
  <c r="O439"/>
  <c r="N439"/>
  <c r="M439"/>
  <c r="L439"/>
  <c r="K439"/>
  <c r="J439"/>
  <c r="I439"/>
  <c r="H439"/>
  <c r="G439"/>
  <c r="F439"/>
  <c r="E439"/>
  <c r="D439"/>
  <c r="C439"/>
  <c r="B439"/>
  <c r="K438"/>
  <c r="J438"/>
  <c r="I438"/>
  <c r="H438"/>
  <c r="G438"/>
  <c r="F438"/>
  <c r="C438"/>
  <c r="P437"/>
  <c r="O437"/>
  <c r="N437"/>
  <c r="K437"/>
  <c r="J437"/>
  <c r="I437"/>
  <c r="H437"/>
  <c r="G437"/>
  <c r="F437"/>
  <c r="E437"/>
  <c r="D437"/>
  <c r="C437"/>
  <c r="B437"/>
  <c r="K436"/>
  <c r="J436"/>
  <c r="I436"/>
  <c r="H436"/>
  <c r="G436"/>
  <c r="F436"/>
  <c r="C436"/>
  <c r="P435"/>
  <c r="O435"/>
  <c r="N435"/>
  <c r="M435"/>
  <c r="L435"/>
  <c r="K435"/>
  <c r="J435"/>
  <c r="I435"/>
  <c r="H435"/>
  <c r="G435"/>
  <c r="F435"/>
  <c r="E435"/>
  <c r="D435"/>
  <c r="C435"/>
  <c r="B435"/>
  <c r="K434"/>
  <c r="J434"/>
  <c r="I434"/>
  <c r="H434"/>
  <c r="G434"/>
  <c r="F434"/>
  <c r="C434"/>
  <c r="P433"/>
  <c r="O433"/>
  <c r="N433"/>
  <c r="K433"/>
  <c r="J433"/>
  <c r="I433"/>
  <c r="H433"/>
  <c r="G433"/>
  <c r="F433"/>
  <c r="E433"/>
  <c r="D433"/>
  <c r="C433"/>
  <c r="B433"/>
  <c r="K432"/>
  <c r="J432"/>
  <c r="I432"/>
  <c r="H432"/>
  <c r="G432"/>
  <c r="F432"/>
  <c r="C432"/>
  <c r="P431"/>
  <c r="O431"/>
  <c r="N431"/>
  <c r="M431"/>
  <c r="L431"/>
  <c r="K431"/>
  <c r="J431"/>
  <c r="I431"/>
  <c r="H431"/>
  <c r="G431"/>
  <c r="F431"/>
  <c r="E431"/>
  <c r="D431"/>
  <c r="C431"/>
  <c r="B431"/>
  <c r="K430"/>
  <c r="J430"/>
  <c r="I430"/>
  <c r="H430"/>
  <c r="G430"/>
  <c r="F430"/>
  <c r="C430"/>
  <c r="P429"/>
  <c r="O429"/>
  <c r="N429"/>
  <c r="K429"/>
  <c r="J429"/>
  <c r="I429"/>
  <c r="H429"/>
  <c r="G429"/>
  <c r="F429"/>
  <c r="E429"/>
  <c r="D429"/>
  <c r="C429"/>
  <c r="B429"/>
  <c r="K428"/>
  <c r="J428"/>
  <c r="I428"/>
  <c r="H428"/>
  <c r="G428"/>
  <c r="F428"/>
  <c r="C428"/>
  <c r="P427"/>
  <c r="O427"/>
  <c r="N427"/>
  <c r="M427"/>
  <c r="L427"/>
  <c r="K427"/>
  <c r="J427"/>
  <c r="I427"/>
  <c r="H427"/>
  <c r="G427"/>
  <c r="F427"/>
  <c r="E427"/>
  <c r="D427"/>
  <c r="C427"/>
  <c r="B427"/>
  <c r="K426"/>
  <c r="J426"/>
  <c r="I426"/>
  <c r="H426"/>
  <c r="G426"/>
  <c r="F426"/>
  <c r="C426"/>
  <c r="P425"/>
  <c r="O425"/>
  <c r="N425"/>
  <c r="M425"/>
  <c r="L425"/>
  <c r="K425"/>
  <c r="J425"/>
  <c r="I425"/>
  <c r="H425"/>
  <c r="G425"/>
  <c r="F425"/>
  <c r="E425"/>
  <c r="D425"/>
  <c r="C425"/>
  <c r="B425"/>
  <c r="K424"/>
  <c r="J424"/>
  <c r="I424"/>
  <c r="H424"/>
  <c r="G424"/>
  <c r="F424"/>
  <c r="C424"/>
  <c r="P423"/>
  <c r="O423"/>
  <c r="N423"/>
  <c r="M423"/>
  <c r="L423"/>
  <c r="K423"/>
  <c r="J423"/>
  <c r="I423"/>
  <c r="H423"/>
  <c r="G423"/>
  <c r="F423"/>
  <c r="E423"/>
  <c r="D423"/>
  <c r="C423"/>
  <c r="B423"/>
  <c r="K422"/>
  <c r="J422"/>
  <c r="I422"/>
  <c r="H422"/>
  <c r="G422"/>
  <c r="F422"/>
  <c r="C422"/>
  <c r="P421"/>
  <c r="O421"/>
  <c r="N421"/>
  <c r="M421"/>
  <c r="L421"/>
  <c r="K421"/>
  <c r="J421"/>
  <c r="I421"/>
  <c r="H421"/>
  <c r="G421"/>
  <c r="F421"/>
  <c r="E421"/>
  <c r="D421"/>
  <c r="C421"/>
  <c r="B421"/>
  <c r="K420"/>
  <c r="J420"/>
  <c r="I420"/>
  <c r="H420"/>
  <c r="G420"/>
  <c r="F420"/>
  <c r="C420"/>
  <c r="P419"/>
  <c r="O419"/>
  <c r="N419"/>
  <c r="K419"/>
  <c r="J419"/>
  <c r="I419"/>
  <c r="H419"/>
  <c r="G419"/>
  <c r="F419"/>
  <c r="E419"/>
  <c r="D419"/>
  <c r="C419"/>
  <c r="B419"/>
  <c r="K418"/>
  <c r="J418"/>
  <c r="I418"/>
  <c r="H418"/>
  <c r="G418"/>
  <c r="F418"/>
  <c r="C418"/>
  <c r="P417"/>
  <c r="O417"/>
  <c r="N417"/>
  <c r="M417"/>
  <c r="L417"/>
  <c r="K417"/>
  <c r="J417"/>
  <c r="I417"/>
  <c r="H417"/>
  <c r="G417"/>
  <c r="F417"/>
  <c r="E417"/>
  <c r="D417"/>
  <c r="C417"/>
  <c r="B417"/>
  <c r="K416"/>
  <c r="J416"/>
  <c r="I416"/>
  <c r="H416"/>
  <c r="G416"/>
  <c r="F416"/>
  <c r="C416"/>
  <c r="P415"/>
  <c r="O415"/>
  <c r="N415"/>
  <c r="M415"/>
  <c r="L415"/>
  <c r="K415"/>
  <c r="J415"/>
  <c r="I415"/>
  <c r="H415"/>
  <c r="G415"/>
  <c r="F415"/>
  <c r="E415"/>
  <c r="D415"/>
  <c r="C415"/>
  <c r="B415"/>
  <c r="K414"/>
  <c r="J414"/>
  <c r="I414"/>
  <c r="H414"/>
  <c r="G414"/>
  <c r="F414"/>
  <c r="C414"/>
  <c r="P413"/>
  <c r="O413"/>
  <c r="N413"/>
  <c r="M413"/>
  <c r="L413"/>
  <c r="K413"/>
  <c r="J413"/>
  <c r="I413"/>
  <c r="H413"/>
  <c r="G413"/>
  <c r="F413"/>
  <c r="E413"/>
  <c r="D413"/>
  <c r="C413"/>
  <c r="B413"/>
  <c r="K412"/>
  <c r="J412"/>
  <c r="I412"/>
  <c r="H412"/>
  <c r="G412"/>
  <c r="F412"/>
  <c r="C412"/>
  <c r="P411"/>
  <c r="O411"/>
  <c r="N411"/>
  <c r="M411"/>
  <c r="L411"/>
  <c r="K411"/>
  <c r="J411"/>
  <c r="I411"/>
  <c r="H411"/>
  <c r="G411"/>
  <c r="F411"/>
  <c r="E411"/>
  <c r="D411"/>
  <c r="C411"/>
  <c r="B411"/>
  <c r="K410"/>
  <c r="J410"/>
  <c r="I410"/>
  <c r="H410"/>
  <c r="G410"/>
  <c r="F410"/>
  <c r="C410"/>
  <c r="P409"/>
  <c r="O409"/>
  <c r="N409"/>
  <c r="M409"/>
  <c r="L409"/>
  <c r="J409"/>
  <c r="I409"/>
  <c r="H409"/>
  <c r="G409"/>
  <c r="F409"/>
  <c r="E409"/>
  <c r="D409"/>
  <c r="C409"/>
  <c r="B409"/>
  <c r="J408"/>
  <c r="I408"/>
  <c r="H408"/>
  <c r="G408"/>
  <c r="F408"/>
  <c r="C408"/>
  <c r="L407"/>
  <c r="K407"/>
  <c r="J407"/>
  <c r="I407"/>
  <c r="H407"/>
  <c r="G407"/>
  <c r="F407"/>
  <c r="E407"/>
  <c r="D407"/>
  <c r="C407"/>
  <c r="B407"/>
  <c r="K406"/>
  <c r="J406"/>
  <c r="I406"/>
  <c r="H406"/>
  <c r="G406"/>
  <c r="F406"/>
  <c r="C406"/>
  <c r="K405"/>
  <c r="J405"/>
  <c r="I405"/>
  <c r="H405"/>
  <c r="G405"/>
  <c r="F405"/>
  <c r="E405"/>
  <c r="D405"/>
  <c r="C405"/>
  <c r="B405"/>
  <c r="K404"/>
  <c r="J404"/>
  <c r="I404"/>
  <c r="H404"/>
  <c r="G404"/>
  <c r="F404"/>
  <c r="C404"/>
  <c r="L403"/>
  <c r="K403"/>
  <c r="J403"/>
  <c r="I403"/>
  <c r="H403"/>
  <c r="G403"/>
  <c r="F403"/>
  <c r="E403"/>
  <c r="D403"/>
  <c r="C403"/>
  <c r="B403"/>
  <c r="K402"/>
  <c r="J402"/>
  <c r="I402"/>
  <c r="H402"/>
  <c r="G402"/>
  <c r="F402"/>
  <c r="C402"/>
  <c r="L401"/>
  <c r="K401"/>
  <c r="J401"/>
  <c r="I401"/>
  <c r="H401"/>
  <c r="G401"/>
  <c r="F401"/>
  <c r="E401"/>
  <c r="D401"/>
  <c r="C401"/>
  <c r="B401"/>
  <c r="K390"/>
  <c r="J390"/>
  <c r="I390"/>
  <c r="H390"/>
  <c r="G390"/>
  <c r="F390"/>
  <c r="C390"/>
  <c r="J389"/>
  <c r="I389"/>
  <c r="H389"/>
  <c r="G389"/>
  <c r="F389"/>
  <c r="D389"/>
  <c r="C389"/>
  <c r="B389"/>
  <c r="K388"/>
  <c r="J388"/>
  <c r="I388"/>
  <c r="H388"/>
  <c r="G388"/>
  <c r="F388"/>
  <c r="C388"/>
  <c r="X387"/>
  <c r="W387"/>
  <c r="L387"/>
  <c r="K387"/>
  <c r="J387"/>
  <c r="I387"/>
  <c r="H387"/>
  <c r="G387"/>
  <c r="F387"/>
  <c r="E387"/>
  <c r="D387"/>
  <c r="C387"/>
  <c r="B387"/>
  <c r="K386"/>
  <c r="J386"/>
  <c r="I386"/>
  <c r="H386"/>
  <c r="G386"/>
  <c r="F386"/>
  <c r="C386"/>
  <c r="L385"/>
  <c r="K385"/>
  <c r="J385"/>
  <c r="I385"/>
  <c r="H385"/>
  <c r="G385"/>
  <c r="F385"/>
  <c r="E385"/>
  <c r="D385"/>
  <c r="C385"/>
  <c r="B385"/>
  <c r="K384"/>
  <c r="J384"/>
  <c r="I384"/>
  <c r="H384"/>
  <c r="G384"/>
  <c r="F384"/>
  <c r="C384"/>
  <c r="L383"/>
  <c r="K383"/>
  <c r="J383"/>
  <c r="I383"/>
  <c r="H383"/>
  <c r="G383"/>
  <c r="F383"/>
  <c r="E383"/>
  <c r="D383"/>
  <c r="C383"/>
  <c r="B383"/>
  <c r="K382"/>
  <c r="J382"/>
  <c r="I382"/>
  <c r="H382"/>
  <c r="G382"/>
  <c r="F382"/>
  <c r="C382"/>
  <c r="L381"/>
  <c r="K381"/>
  <c r="J381"/>
  <c r="I381"/>
  <c r="H381"/>
  <c r="G381"/>
  <c r="F381"/>
  <c r="E381"/>
  <c r="D381"/>
  <c r="C381"/>
  <c r="B381"/>
  <c r="K380"/>
  <c r="J380"/>
  <c r="I380"/>
  <c r="H380"/>
  <c r="G380"/>
  <c r="F380"/>
  <c r="C380"/>
  <c r="L379"/>
  <c r="K379"/>
  <c r="J379"/>
  <c r="I379"/>
  <c r="H379"/>
  <c r="G379"/>
  <c r="F379"/>
  <c r="E379"/>
  <c r="D379"/>
  <c r="C379"/>
  <c r="B379"/>
  <c r="K378"/>
  <c r="J378"/>
  <c r="I378"/>
  <c r="H378"/>
  <c r="G378"/>
  <c r="F378"/>
  <c r="C378"/>
  <c r="L377"/>
  <c r="K377"/>
  <c r="J377"/>
  <c r="I377"/>
  <c r="H377"/>
  <c r="G377"/>
  <c r="F377"/>
  <c r="E377"/>
  <c r="D377"/>
  <c r="C377"/>
  <c r="B377"/>
  <c r="K376"/>
  <c r="J376"/>
  <c r="I376"/>
  <c r="H376"/>
  <c r="G376"/>
  <c r="F376"/>
  <c r="C376"/>
  <c r="L375"/>
  <c r="K375"/>
  <c r="J375"/>
  <c r="I375"/>
  <c r="H375"/>
  <c r="G375"/>
  <c r="F375"/>
  <c r="E375"/>
  <c r="D375"/>
  <c r="C375"/>
  <c r="B375"/>
  <c r="K374"/>
  <c r="J374"/>
  <c r="I374"/>
  <c r="H374"/>
  <c r="G374"/>
  <c r="F374"/>
  <c r="C374"/>
  <c r="L373"/>
  <c r="K373"/>
  <c r="J373"/>
  <c r="I373"/>
  <c r="H373"/>
  <c r="G373"/>
  <c r="F373"/>
  <c r="E373"/>
  <c r="D373"/>
  <c r="C373"/>
  <c r="B373"/>
  <c r="K372"/>
  <c r="J372"/>
  <c r="I372"/>
  <c r="H372"/>
  <c r="G372"/>
  <c r="F372"/>
  <c r="C372"/>
  <c r="L371"/>
  <c r="K371"/>
  <c r="J371"/>
  <c r="I371"/>
  <c r="H371"/>
  <c r="G371"/>
  <c r="F371"/>
  <c r="E371"/>
  <c r="D371"/>
  <c r="C371"/>
  <c r="B371"/>
  <c r="K370"/>
  <c r="J370"/>
  <c r="I370"/>
  <c r="H370"/>
  <c r="G370"/>
  <c r="F370"/>
  <c r="C370"/>
  <c r="L369"/>
  <c r="K369"/>
  <c r="J369"/>
  <c r="I369"/>
  <c r="H369"/>
  <c r="G369"/>
  <c r="F369"/>
  <c r="E369"/>
  <c r="D369"/>
  <c r="C369"/>
  <c r="B369"/>
  <c r="K368"/>
  <c r="J368"/>
  <c r="I368"/>
  <c r="H368"/>
  <c r="G368"/>
  <c r="F368"/>
  <c r="C368"/>
  <c r="L367"/>
  <c r="K367"/>
  <c r="J367"/>
  <c r="I367"/>
  <c r="H367"/>
  <c r="G367"/>
  <c r="F367"/>
  <c r="E367"/>
  <c r="D367"/>
  <c r="C367"/>
  <c r="B367"/>
  <c r="K366"/>
  <c r="J366"/>
  <c r="I366"/>
  <c r="H366"/>
  <c r="G366"/>
  <c r="F366"/>
  <c r="C366"/>
  <c r="L365"/>
  <c r="K365"/>
  <c r="J365"/>
  <c r="I365"/>
  <c r="H365"/>
  <c r="G365"/>
  <c r="F365"/>
  <c r="E365"/>
  <c r="D365"/>
  <c r="C365"/>
  <c r="B365"/>
  <c r="K364"/>
  <c r="J364"/>
  <c r="I364"/>
  <c r="H364"/>
  <c r="G364"/>
  <c r="F364"/>
  <c r="C364"/>
  <c r="L363"/>
  <c r="K363"/>
  <c r="J363"/>
  <c r="I363"/>
  <c r="H363"/>
  <c r="G363"/>
  <c r="F363"/>
  <c r="E363"/>
  <c r="D363"/>
  <c r="C363"/>
  <c r="B363"/>
  <c r="K362"/>
  <c r="J362"/>
  <c r="I362"/>
  <c r="H362"/>
  <c r="G362"/>
  <c r="F362"/>
  <c r="C362"/>
  <c r="L361"/>
  <c r="K361"/>
  <c r="J361"/>
  <c r="I361"/>
  <c r="H361"/>
  <c r="G361"/>
  <c r="F361"/>
  <c r="E361"/>
  <c r="D361"/>
  <c r="C361"/>
  <c r="B361"/>
  <c r="K360"/>
  <c r="J360"/>
  <c r="I360"/>
  <c r="H360"/>
  <c r="G360"/>
  <c r="F360"/>
  <c r="C360"/>
  <c r="L359"/>
  <c r="K359"/>
  <c r="J359"/>
  <c r="I359"/>
  <c r="H359"/>
  <c r="G359"/>
  <c r="F359"/>
  <c r="E359"/>
  <c r="D359"/>
  <c r="C359"/>
  <c r="B359"/>
  <c r="K358"/>
  <c r="J358"/>
  <c r="I358"/>
  <c r="H358"/>
  <c r="G358"/>
  <c r="F358"/>
  <c r="C358"/>
  <c r="L357"/>
  <c r="K357"/>
  <c r="J357"/>
  <c r="I357"/>
  <c r="H357"/>
  <c r="G357"/>
  <c r="F357"/>
  <c r="E357"/>
  <c r="D357"/>
  <c r="C357"/>
  <c r="B357"/>
  <c r="K356"/>
  <c r="J356"/>
  <c r="I356"/>
  <c r="H356"/>
  <c r="G356"/>
  <c r="F356"/>
  <c r="C356"/>
  <c r="L355"/>
  <c r="K355"/>
  <c r="J355"/>
  <c r="I355"/>
  <c r="H355"/>
  <c r="G355"/>
  <c r="F355"/>
  <c r="E355"/>
  <c r="D355"/>
  <c r="C355"/>
  <c r="B355"/>
  <c r="K354"/>
  <c r="J354"/>
  <c r="I354"/>
  <c r="H354"/>
  <c r="G354"/>
  <c r="F354"/>
  <c r="C354"/>
  <c r="L353"/>
  <c r="K353"/>
  <c r="J353"/>
  <c r="I353"/>
  <c r="H353"/>
  <c r="G353"/>
  <c r="F353"/>
  <c r="E353"/>
  <c r="D353"/>
  <c r="C353"/>
  <c r="B353"/>
  <c r="K352"/>
  <c r="J352"/>
  <c r="I352"/>
  <c r="H352"/>
  <c r="G352"/>
  <c r="F352"/>
  <c r="C352"/>
  <c r="L351"/>
  <c r="K351"/>
  <c r="J351"/>
  <c r="I351"/>
  <c r="H351"/>
  <c r="G351"/>
  <c r="F351"/>
  <c r="E351"/>
  <c r="D351"/>
  <c r="C351"/>
  <c r="B351"/>
  <c r="K350"/>
  <c r="J350"/>
  <c r="I350"/>
  <c r="H350"/>
  <c r="G350"/>
  <c r="F350"/>
  <c r="C350"/>
  <c r="L349"/>
  <c r="K349"/>
  <c r="J349"/>
  <c r="I349"/>
  <c r="H349"/>
  <c r="G349"/>
  <c r="F349"/>
  <c r="E349"/>
  <c r="D349"/>
  <c r="C349"/>
  <c r="B349"/>
  <c r="K348"/>
  <c r="J348"/>
  <c r="I348"/>
  <c r="H348"/>
  <c r="G348"/>
  <c r="F348"/>
  <c r="C348"/>
  <c r="L347"/>
  <c r="K347"/>
  <c r="J347"/>
  <c r="I347"/>
  <c r="H347"/>
  <c r="G347"/>
  <c r="F347"/>
  <c r="E347"/>
  <c r="D347"/>
  <c r="C347"/>
  <c r="B347"/>
  <c r="K346"/>
  <c r="J346"/>
  <c r="I346"/>
  <c r="H346"/>
  <c r="G346"/>
  <c r="F346"/>
  <c r="C346"/>
  <c r="L345"/>
  <c r="K345"/>
  <c r="J345"/>
  <c r="I345"/>
  <c r="H345"/>
  <c r="G345"/>
  <c r="F345"/>
  <c r="E345"/>
  <c r="D345"/>
  <c r="C345"/>
  <c r="B345"/>
  <c r="K344"/>
  <c r="J344"/>
  <c r="I344"/>
  <c r="H344"/>
  <c r="G344"/>
  <c r="F344"/>
  <c r="C344"/>
  <c r="L343"/>
  <c r="K343"/>
  <c r="J343"/>
  <c r="I343"/>
  <c r="H343"/>
  <c r="G343"/>
  <c r="F343"/>
  <c r="E343"/>
  <c r="D343"/>
  <c r="C343"/>
  <c r="B343"/>
  <c r="K342"/>
  <c r="J342"/>
  <c r="I342"/>
  <c r="H342"/>
  <c r="G342"/>
  <c r="F342"/>
  <c r="C342"/>
  <c r="L341"/>
  <c r="K341"/>
  <c r="J341"/>
  <c r="I341"/>
  <c r="H341"/>
  <c r="G341"/>
  <c r="F341"/>
  <c r="E341"/>
  <c r="D341"/>
  <c r="C341"/>
  <c r="B341"/>
  <c r="K340"/>
  <c r="J340"/>
  <c r="I340"/>
  <c r="H340"/>
  <c r="G340"/>
  <c r="F340"/>
  <c r="C340"/>
  <c r="L339"/>
  <c r="K339"/>
  <c r="J339"/>
  <c r="I339"/>
  <c r="H339"/>
  <c r="G339"/>
  <c r="F339"/>
  <c r="E339"/>
  <c r="D339"/>
  <c r="C339"/>
  <c r="B339"/>
  <c r="K338"/>
  <c r="J338"/>
  <c r="I338"/>
  <c r="H338"/>
  <c r="G338"/>
  <c r="F338"/>
  <c r="C338"/>
  <c r="L337"/>
  <c r="K337"/>
  <c r="J337"/>
  <c r="I337"/>
  <c r="H337"/>
  <c r="G337"/>
  <c r="F337"/>
  <c r="E337"/>
  <c r="D337"/>
  <c r="C337"/>
  <c r="B337"/>
  <c r="K336"/>
  <c r="J336"/>
  <c r="I336"/>
  <c r="H336"/>
  <c r="G336"/>
  <c r="F336"/>
  <c r="C336"/>
  <c r="L335"/>
  <c r="K335"/>
  <c r="J335"/>
  <c r="I335"/>
  <c r="H335"/>
  <c r="G335"/>
  <c r="F335"/>
  <c r="E335"/>
  <c r="D335"/>
  <c r="C335"/>
  <c r="B335"/>
  <c r="K334"/>
  <c r="J334"/>
  <c r="I334"/>
  <c r="H334"/>
  <c r="G334"/>
  <c r="F334"/>
  <c r="C334"/>
  <c r="L333"/>
  <c r="K333"/>
  <c r="J333"/>
  <c r="I333"/>
  <c r="H333"/>
  <c r="G333"/>
  <c r="F333"/>
  <c r="E333"/>
  <c r="D333"/>
  <c r="C333"/>
  <c r="B333"/>
  <c r="K332"/>
  <c r="J332"/>
  <c r="I332"/>
  <c r="H332"/>
  <c r="G332"/>
  <c r="F332"/>
  <c r="C332"/>
  <c r="L331"/>
  <c r="K331"/>
  <c r="J331"/>
  <c r="I331"/>
  <c r="H331"/>
  <c r="G331"/>
  <c r="F331"/>
  <c r="E331"/>
  <c r="D331"/>
  <c r="C331"/>
  <c r="B331"/>
  <c r="K330"/>
  <c r="J330"/>
  <c r="I330"/>
  <c r="H330"/>
  <c r="G330"/>
  <c r="F330"/>
  <c r="C330"/>
  <c r="L329"/>
  <c r="K329"/>
  <c r="J329"/>
  <c r="I329"/>
  <c r="H329"/>
  <c r="G329"/>
  <c r="F329"/>
  <c r="E329"/>
  <c r="D329"/>
  <c r="C329"/>
  <c r="B329"/>
  <c r="K328"/>
  <c r="J328"/>
  <c r="I328"/>
  <c r="H328"/>
  <c r="G328"/>
  <c r="F328"/>
  <c r="C328"/>
  <c r="L327"/>
  <c r="K327"/>
  <c r="J327"/>
  <c r="I327"/>
  <c r="H327"/>
  <c r="G327"/>
  <c r="F327"/>
  <c r="E327"/>
  <c r="D327"/>
  <c r="C327"/>
  <c r="B327"/>
  <c r="K326"/>
  <c r="J326"/>
  <c r="I326"/>
  <c r="H326"/>
  <c r="G326"/>
  <c r="F326"/>
  <c r="C326"/>
  <c r="L325"/>
  <c r="K325"/>
  <c r="J325"/>
  <c r="I325"/>
  <c r="H325"/>
  <c r="G325"/>
  <c r="F325"/>
  <c r="E325"/>
  <c r="D325"/>
  <c r="C325"/>
  <c r="B325"/>
  <c r="K324"/>
  <c r="J324"/>
  <c r="I324"/>
  <c r="H324"/>
  <c r="G324"/>
  <c r="F324"/>
  <c r="C324"/>
  <c r="L323"/>
  <c r="K323"/>
  <c r="J323"/>
  <c r="I323"/>
  <c r="H323"/>
  <c r="G323"/>
  <c r="F323"/>
  <c r="E323"/>
  <c r="D323"/>
  <c r="C323"/>
  <c r="B323"/>
  <c r="K322"/>
  <c r="J322"/>
  <c r="I322"/>
  <c r="H322"/>
  <c r="G322"/>
  <c r="F322"/>
  <c r="C322"/>
  <c r="L321"/>
  <c r="K321"/>
  <c r="J321"/>
  <c r="I321"/>
  <c r="H321"/>
  <c r="G321"/>
  <c r="F321"/>
  <c r="E321"/>
  <c r="D321"/>
  <c r="C321"/>
  <c r="B321"/>
  <c r="K320"/>
  <c r="J320"/>
  <c r="I320"/>
  <c r="H320"/>
  <c r="G320"/>
  <c r="F320"/>
  <c r="C320"/>
  <c r="L319"/>
  <c r="K319"/>
  <c r="J319"/>
  <c r="I319"/>
  <c r="H319"/>
  <c r="G319"/>
  <c r="F319"/>
  <c r="E319"/>
  <c r="D319"/>
  <c r="C319"/>
  <c r="B319"/>
  <c r="K318"/>
  <c r="J318"/>
  <c r="I318"/>
  <c r="H318"/>
  <c r="G318"/>
  <c r="F318"/>
  <c r="C318"/>
  <c r="L317"/>
  <c r="K317"/>
  <c r="J317"/>
  <c r="I317"/>
  <c r="H317"/>
  <c r="G317"/>
  <c r="F317"/>
  <c r="E317"/>
  <c r="D317"/>
  <c r="C317"/>
  <c r="B317"/>
  <c r="K316"/>
  <c r="J316"/>
  <c r="I316"/>
  <c r="H316"/>
  <c r="G316"/>
  <c r="F316"/>
  <c r="C316"/>
  <c r="L315"/>
  <c r="K315"/>
  <c r="J315"/>
  <c r="I315"/>
  <c r="H315"/>
  <c r="G315"/>
  <c r="F315"/>
  <c r="E315"/>
  <c r="D315"/>
  <c r="C315"/>
  <c r="B315"/>
  <c r="K314"/>
  <c r="J314"/>
  <c r="I314"/>
  <c r="H314"/>
  <c r="G314"/>
  <c r="F314"/>
  <c r="C314"/>
  <c r="L313"/>
  <c r="K313"/>
  <c r="J313"/>
  <c r="I313"/>
  <c r="H313"/>
  <c r="G313"/>
  <c r="F313"/>
  <c r="E313"/>
  <c r="D313"/>
  <c r="C313"/>
  <c r="B313"/>
  <c r="K312"/>
  <c r="J312"/>
  <c r="I312"/>
  <c r="H312"/>
  <c r="G312"/>
  <c r="F312"/>
  <c r="C312"/>
  <c r="L311"/>
  <c r="K311"/>
  <c r="J311"/>
  <c r="I311"/>
  <c r="H311"/>
  <c r="G311"/>
  <c r="F311"/>
  <c r="E311"/>
  <c r="D311"/>
  <c r="C311"/>
  <c r="B311"/>
  <c r="K310"/>
  <c r="J310"/>
  <c r="I310"/>
  <c r="H310"/>
  <c r="G310"/>
  <c r="F310"/>
  <c r="C310"/>
  <c r="L309"/>
  <c r="K309"/>
  <c r="J309"/>
  <c r="I309"/>
  <c r="H309"/>
  <c r="G309"/>
  <c r="F309"/>
  <c r="E309"/>
  <c r="D309"/>
  <c r="C309"/>
  <c r="B309"/>
  <c r="K308"/>
  <c r="J308"/>
  <c r="I308"/>
  <c r="H308"/>
  <c r="G308"/>
  <c r="F308"/>
  <c r="C308"/>
  <c r="L307"/>
  <c r="K307"/>
  <c r="J307"/>
  <c r="I307"/>
  <c r="H307"/>
  <c r="G307"/>
  <c r="F307"/>
  <c r="E307"/>
  <c r="D307"/>
  <c r="C307"/>
  <c r="B307"/>
  <c r="K306"/>
  <c r="J306"/>
  <c r="I306"/>
  <c r="H306"/>
  <c r="G306"/>
  <c r="F306"/>
  <c r="C306"/>
  <c r="L305"/>
  <c r="K305"/>
  <c r="J305"/>
  <c r="I305"/>
  <c r="H305"/>
  <c r="G305"/>
  <c r="F305"/>
  <c r="E305"/>
  <c r="D305"/>
  <c r="C305"/>
  <c r="B305"/>
  <c r="K304"/>
  <c r="J304"/>
  <c r="I304"/>
  <c r="H304"/>
  <c r="G304"/>
  <c r="F304"/>
  <c r="C304"/>
  <c r="L303"/>
  <c r="K303"/>
  <c r="J303"/>
  <c r="I303"/>
  <c r="H303"/>
  <c r="G303"/>
  <c r="F303"/>
  <c r="E303"/>
  <c r="D303"/>
  <c r="C303"/>
  <c r="B303"/>
  <c r="K302"/>
  <c r="J302"/>
  <c r="I302"/>
  <c r="H302"/>
  <c r="G302"/>
  <c r="F302"/>
  <c r="C302"/>
  <c r="L301"/>
  <c r="K301"/>
  <c r="J301"/>
  <c r="I301"/>
  <c r="H301"/>
  <c r="G301"/>
  <c r="F301"/>
  <c r="E301"/>
  <c r="D301"/>
  <c r="C301"/>
  <c r="B301"/>
  <c r="K300"/>
  <c r="J300"/>
  <c r="I300"/>
  <c r="H300"/>
  <c r="G300"/>
  <c r="F300"/>
  <c r="C300"/>
  <c r="L299"/>
  <c r="K299"/>
  <c r="J299"/>
  <c r="I299"/>
  <c r="H299"/>
  <c r="G299"/>
  <c r="F299"/>
  <c r="E299"/>
  <c r="D299"/>
  <c r="C299"/>
  <c r="B299"/>
  <c r="K288"/>
  <c r="J288"/>
  <c r="I288"/>
  <c r="H288"/>
  <c r="G288"/>
  <c r="F288"/>
  <c r="C288"/>
  <c r="L287"/>
  <c r="J287"/>
  <c r="I287"/>
  <c r="H287"/>
  <c r="G287"/>
  <c r="F287"/>
  <c r="D287"/>
  <c r="C287"/>
  <c r="B287"/>
  <c r="K286"/>
  <c r="J286"/>
  <c r="I286"/>
  <c r="H286"/>
  <c r="G286"/>
  <c r="F286"/>
  <c r="C286"/>
  <c r="L285"/>
  <c r="K285"/>
  <c r="J285"/>
  <c r="I285"/>
  <c r="H285"/>
  <c r="G285"/>
  <c r="F285"/>
  <c r="E285"/>
  <c r="D285"/>
  <c r="C285"/>
  <c r="B285"/>
  <c r="K284"/>
  <c r="J284"/>
  <c r="I284"/>
  <c r="H284"/>
  <c r="G284"/>
  <c r="F284"/>
  <c r="C284"/>
  <c r="L283"/>
  <c r="K283"/>
  <c r="J283"/>
  <c r="I283"/>
  <c r="H283"/>
  <c r="G283"/>
  <c r="F283"/>
  <c r="E283"/>
  <c r="D283"/>
  <c r="C283"/>
  <c r="B283"/>
  <c r="K282"/>
  <c r="J282"/>
  <c r="I282"/>
  <c r="H282"/>
  <c r="G282"/>
  <c r="F282"/>
  <c r="C282"/>
  <c r="L281"/>
  <c r="K281"/>
  <c r="J281"/>
  <c r="I281"/>
  <c r="H281"/>
  <c r="G281"/>
  <c r="F281"/>
  <c r="E281"/>
  <c r="D281"/>
  <c r="C281"/>
  <c r="B281"/>
  <c r="K280"/>
  <c r="J280"/>
  <c r="I280"/>
  <c r="H280"/>
  <c r="G280"/>
  <c r="F280"/>
  <c r="C280"/>
  <c r="L279"/>
  <c r="K279"/>
  <c r="J279"/>
  <c r="I279"/>
  <c r="H279"/>
  <c r="G279"/>
  <c r="F279"/>
  <c r="E279"/>
  <c r="D279"/>
  <c r="C279"/>
  <c r="B279"/>
  <c r="K278"/>
  <c r="J278"/>
  <c r="I278"/>
  <c r="H278"/>
  <c r="G278"/>
  <c r="F278"/>
  <c r="C278"/>
  <c r="L277"/>
  <c r="K277"/>
  <c r="J277"/>
  <c r="I277"/>
  <c r="H277"/>
  <c r="G277"/>
  <c r="F277"/>
  <c r="E277"/>
  <c r="D277"/>
  <c r="C277"/>
  <c r="B277"/>
  <c r="K276"/>
  <c r="J276"/>
  <c r="I276"/>
  <c r="H276"/>
  <c r="G276"/>
  <c r="F276"/>
  <c r="C276"/>
  <c r="L275"/>
  <c r="K275"/>
  <c r="J275"/>
  <c r="I275"/>
  <c r="H275"/>
  <c r="G275"/>
  <c r="F275"/>
  <c r="E275"/>
  <c r="D275"/>
  <c r="C275"/>
  <c r="B275"/>
  <c r="K274"/>
  <c r="J274"/>
  <c r="I274"/>
  <c r="H274"/>
  <c r="G274"/>
  <c r="F274"/>
  <c r="C274"/>
  <c r="L273"/>
  <c r="K273"/>
  <c r="J273"/>
  <c r="I273"/>
  <c r="H273"/>
  <c r="G273"/>
  <c r="F273"/>
  <c r="E273"/>
  <c r="D273"/>
  <c r="C273"/>
  <c r="B273"/>
  <c r="K272"/>
  <c r="J272"/>
  <c r="I272"/>
  <c r="H272"/>
  <c r="G272"/>
  <c r="F272"/>
  <c r="C272"/>
  <c r="L271"/>
  <c r="K271"/>
  <c r="J271"/>
  <c r="I271"/>
  <c r="H271"/>
  <c r="G271"/>
  <c r="F271"/>
  <c r="E271"/>
  <c r="D271"/>
  <c r="C271"/>
  <c r="B271"/>
  <c r="K270"/>
  <c r="J270"/>
  <c r="I270"/>
  <c r="H270"/>
  <c r="G270"/>
  <c r="F270"/>
  <c r="C270"/>
  <c r="L269"/>
  <c r="K269"/>
  <c r="J269"/>
  <c r="I269"/>
  <c r="H269"/>
  <c r="G269"/>
  <c r="F269"/>
  <c r="E269"/>
  <c r="D269"/>
  <c r="C269"/>
  <c r="B269"/>
  <c r="K268"/>
  <c r="J268"/>
  <c r="I268"/>
  <c r="H268"/>
  <c r="G268"/>
  <c r="F268"/>
  <c r="C268"/>
  <c r="L267"/>
  <c r="K267"/>
  <c r="J267"/>
  <c r="I267"/>
  <c r="H267"/>
  <c r="G267"/>
  <c r="F267"/>
  <c r="E267"/>
  <c r="D267"/>
  <c r="C267"/>
  <c r="B267"/>
  <c r="K266"/>
  <c r="J266"/>
  <c r="I266"/>
  <c r="H266"/>
  <c r="G266"/>
  <c r="F266"/>
  <c r="C266"/>
  <c r="L265"/>
  <c r="K265"/>
  <c r="J265"/>
  <c r="I265"/>
  <c r="H265"/>
  <c r="G265"/>
  <c r="F265"/>
  <c r="E265"/>
  <c r="D265"/>
  <c r="C265"/>
  <c r="B265"/>
  <c r="K264"/>
  <c r="J264"/>
  <c r="I264"/>
  <c r="H264"/>
  <c r="G264"/>
  <c r="F264"/>
  <c r="C264"/>
  <c r="L263"/>
  <c r="K263"/>
  <c r="J263"/>
  <c r="I263"/>
  <c r="H263"/>
  <c r="G263"/>
  <c r="F263"/>
  <c r="E263"/>
  <c r="D263"/>
  <c r="C263"/>
  <c r="B263"/>
  <c r="K262"/>
  <c r="J262"/>
  <c r="I262"/>
  <c r="H262"/>
  <c r="G262"/>
  <c r="F262"/>
  <c r="C262"/>
  <c r="L261"/>
  <c r="K261"/>
  <c r="J261"/>
  <c r="I261"/>
  <c r="H261"/>
  <c r="G261"/>
  <c r="F261"/>
  <c r="E261"/>
  <c r="D261"/>
  <c r="C261"/>
  <c r="B261"/>
  <c r="K260"/>
  <c r="J260"/>
  <c r="I260"/>
  <c r="H260"/>
  <c r="G260"/>
  <c r="F260"/>
  <c r="C260"/>
  <c r="L259"/>
  <c r="K259"/>
  <c r="J259"/>
  <c r="I259"/>
  <c r="H259"/>
  <c r="G259"/>
  <c r="F259"/>
  <c r="E259"/>
  <c r="D259"/>
  <c r="C259"/>
  <c r="B259"/>
  <c r="K258"/>
  <c r="J258"/>
  <c r="I258"/>
  <c r="H258"/>
  <c r="G258"/>
  <c r="F258"/>
  <c r="C258"/>
  <c r="L257"/>
  <c r="K257"/>
  <c r="J257"/>
  <c r="I257"/>
  <c r="H257"/>
  <c r="G257"/>
  <c r="F257"/>
  <c r="E257"/>
  <c r="D257"/>
  <c r="C257"/>
  <c r="B257"/>
  <c r="K256"/>
  <c r="J256"/>
  <c r="I256"/>
  <c r="H256"/>
  <c r="G256"/>
  <c r="F256"/>
  <c r="C256"/>
  <c r="L255"/>
  <c r="K255"/>
  <c r="J255"/>
  <c r="I255"/>
  <c r="H255"/>
  <c r="G255"/>
  <c r="F255"/>
  <c r="E255"/>
  <c r="D255"/>
  <c r="C255"/>
  <c r="B255"/>
  <c r="K254"/>
  <c r="J254"/>
  <c r="I254"/>
  <c r="H254"/>
  <c r="G254"/>
  <c r="F254"/>
  <c r="C254"/>
  <c r="L253"/>
  <c r="K253"/>
  <c r="J253"/>
  <c r="I253"/>
  <c r="H253"/>
  <c r="G253"/>
  <c r="F253"/>
  <c r="E253"/>
  <c r="D253"/>
  <c r="C253"/>
  <c r="B253"/>
  <c r="K252"/>
  <c r="J252"/>
  <c r="I252"/>
  <c r="H252"/>
  <c r="G252"/>
  <c r="F252"/>
  <c r="C252"/>
  <c r="L251"/>
  <c r="K251"/>
  <c r="J251"/>
  <c r="I251"/>
  <c r="H251"/>
  <c r="G251"/>
  <c r="F251"/>
  <c r="E251"/>
  <c r="D251"/>
  <c r="C251"/>
  <c r="B251"/>
  <c r="K250"/>
  <c r="J250"/>
  <c r="I250"/>
  <c r="H250"/>
  <c r="G250"/>
  <c r="F250"/>
  <c r="C250"/>
  <c r="L249"/>
  <c r="K249"/>
  <c r="J249"/>
  <c r="I249"/>
  <c r="H249"/>
  <c r="G249"/>
  <c r="F249"/>
  <c r="E249"/>
  <c r="D249"/>
  <c r="C249"/>
  <c r="B249"/>
  <c r="K248"/>
  <c r="J248"/>
  <c r="I248"/>
  <c r="H248"/>
  <c r="G248"/>
  <c r="F248"/>
  <c r="C248"/>
  <c r="L247"/>
  <c r="K247"/>
  <c r="J247"/>
  <c r="I247"/>
  <c r="H247"/>
  <c r="G247"/>
  <c r="F247"/>
  <c r="E247"/>
  <c r="D247"/>
  <c r="C247"/>
  <c r="B247"/>
  <c r="K246"/>
  <c r="J246"/>
  <c r="I246"/>
  <c r="H246"/>
  <c r="G246"/>
  <c r="F246"/>
  <c r="C246"/>
  <c r="L245"/>
  <c r="K245"/>
  <c r="J245"/>
  <c r="I245"/>
  <c r="H245"/>
  <c r="G245"/>
  <c r="F245"/>
  <c r="E245"/>
  <c r="D245"/>
  <c r="C245"/>
  <c r="B245"/>
  <c r="K244"/>
  <c r="J244"/>
  <c r="I244"/>
  <c r="H244"/>
  <c r="G244"/>
  <c r="F244"/>
  <c r="C244"/>
  <c r="L243"/>
  <c r="K243"/>
  <c r="J243"/>
  <c r="I243"/>
  <c r="H243"/>
  <c r="G243"/>
  <c r="F243"/>
  <c r="E243"/>
  <c r="D243"/>
  <c r="C243"/>
  <c r="B243"/>
  <c r="K242"/>
  <c r="J242"/>
  <c r="I242"/>
  <c r="H242"/>
  <c r="G242"/>
  <c r="F242"/>
  <c r="C242"/>
  <c r="L241"/>
  <c r="K241"/>
  <c r="J241"/>
  <c r="I241"/>
  <c r="H241"/>
  <c r="G241"/>
  <c r="F241"/>
  <c r="E241"/>
  <c r="D241"/>
  <c r="C241"/>
  <c r="B241"/>
  <c r="K240"/>
  <c r="J240"/>
  <c r="I240"/>
  <c r="H240"/>
  <c r="G240"/>
  <c r="F240"/>
  <c r="C240"/>
  <c r="L239"/>
  <c r="K239"/>
  <c r="J239"/>
  <c r="I239"/>
  <c r="H239"/>
  <c r="G239"/>
  <c r="F239"/>
  <c r="E239"/>
  <c r="D239"/>
  <c r="C239"/>
  <c r="B239"/>
  <c r="K238"/>
  <c r="J238"/>
  <c r="I238"/>
  <c r="H238"/>
  <c r="G238"/>
  <c r="F238"/>
  <c r="C238"/>
  <c r="L237"/>
  <c r="K237"/>
  <c r="J237"/>
  <c r="I237"/>
  <c r="H237"/>
  <c r="G237"/>
  <c r="F237"/>
  <c r="E237"/>
  <c r="D237"/>
  <c r="C237"/>
  <c r="B237"/>
  <c r="K236"/>
  <c r="J236"/>
  <c r="I236"/>
  <c r="H236"/>
  <c r="G236"/>
  <c r="F236"/>
  <c r="C236"/>
  <c r="L235"/>
  <c r="K235"/>
  <c r="J235"/>
  <c r="I235"/>
  <c r="H235"/>
  <c r="G235"/>
  <c r="F235"/>
  <c r="E235"/>
  <c r="D235"/>
  <c r="C235"/>
  <c r="B235"/>
  <c r="K234"/>
  <c r="J234"/>
  <c r="I234"/>
  <c r="H234"/>
  <c r="G234"/>
  <c r="F234"/>
  <c r="C234"/>
  <c r="L233"/>
  <c r="K233"/>
  <c r="J233"/>
  <c r="I233"/>
  <c r="H233"/>
  <c r="G233"/>
  <c r="F233"/>
  <c r="E233"/>
  <c r="D233"/>
  <c r="C233"/>
  <c r="B233"/>
  <c r="K232"/>
  <c r="J232"/>
  <c r="I232"/>
  <c r="H232"/>
  <c r="G232"/>
  <c r="F232"/>
  <c r="C232"/>
  <c r="L231"/>
  <c r="K231"/>
  <c r="J231"/>
  <c r="I231"/>
  <c r="H231"/>
  <c r="G231"/>
  <c r="F231"/>
  <c r="E231"/>
  <c r="D231"/>
  <c r="C231"/>
  <c r="B231"/>
  <c r="K230"/>
  <c r="J230"/>
  <c r="I230"/>
  <c r="H230"/>
  <c r="G230"/>
  <c r="F230"/>
  <c r="C230"/>
  <c r="L229"/>
  <c r="K229"/>
  <c r="J229"/>
  <c r="I229"/>
  <c r="H229"/>
  <c r="G229"/>
  <c r="F229"/>
  <c r="E229"/>
  <c r="D229"/>
  <c r="C229"/>
  <c r="B229"/>
  <c r="K228"/>
  <c r="J228"/>
  <c r="I228"/>
  <c r="H228"/>
  <c r="G228"/>
  <c r="F228"/>
  <c r="C228"/>
  <c r="L227"/>
  <c r="K227"/>
  <c r="J227"/>
  <c r="I227"/>
  <c r="H227"/>
  <c r="G227"/>
  <c r="F227"/>
  <c r="E227"/>
  <c r="D227"/>
  <c r="C227"/>
  <c r="B227"/>
  <c r="K226"/>
  <c r="J226"/>
  <c r="I226"/>
  <c r="H226"/>
  <c r="G226"/>
  <c r="F226"/>
  <c r="C226"/>
  <c r="L225"/>
  <c r="K225"/>
  <c r="J225"/>
  <c r="I225"/>
  <c r="H225"/>
  <c r="G225"/>
  <c r="F225"/>
  <c r="E225"/>
  <c r="D225"/>
  <c r="C225"/>
  <c r="B225"/>
  <c r="K224"/>
  <c r="J224"/>
  <c r="I224"/>
  <c r="H224"/>
  <c r="G224"/>
  <c r="F224"/>
  <c r="C224"/>
  <c r="L223"/>
  <c r="K223"/>
  <c r="J223"/>
  <c r="I223"/>
  <c r="H223"/>
  <c r="G223"/>
  <c r="F223"/>
  <c r="E223"/>
  <c r="D223"/>
  <c r="C223"/>
  <c r="B223"/>
  <c r="K222"/>
  <c r="J222"/>
  <c r="I222"/>
  <c r="H222"/>
  <c r="G222"/>
  <c r="F222"/>
  <c r="C222"/>
  <c r="L221"/>
  <c r="K221"/>
  <c r="J221"/>
  <c r="I221"/>
  <c r="H221"/>
  <c r="G221"/>
  <c r="F221"/>
  <c r="E221"/>
  <c r="D221"/>
  <c r="C221"/>
  <c r="B221"/>
  <c r="K220"/>
  <c r="J220"/>
  <c r="I220"/>
  <c r="H220"/>
  <c r="G220"/>
  <c r="F220"/>
  <c r="C220"/>
  <c r="L219"/>
  <c r="K219"/>
  <c r="J219"/>
  <c r="I219"/>
  <c r="H219"/>
  <c r="G219"/>
  <c r="F219"/>
  <c r="E219"/>
  <c r="D219"/>
  <c r="C219"/>
  <c r="B219"/>
  <c r="K218"/>
  <c r="J218"/>
  <c r="I218"/>
  <c r="H218"/>
  <c r="G218"/>
  <c r="F218"/>
  <c r="C218"/>
  <c r="L217"/>
  <c r="K217"/>
  <c r="J217"/>
  <c r="I217"/>
  <c r="H217"/>
  <c r="G217"/>
  <c r="F217"/>
  <c r="E217"/>
  <c r="D217"/>
  <c r="C217"/>
  <c r="B217"/>
  <c r="K216"/>
  <c r="J216"/>
  <c r="I216"/>
  <c r="H216"/>
  <c r="G216"/>
  <c r="F216"/>
  <c r="C216"/>
  <c r="L215"/>
  <c r="K215"/>
  <c r="J215"/>
  <c r="I215"/>
  <c r="H215"/>
  <c r="G215"/>
  <c r="F215"/>
  <c r="E215"/>
  <c r="D215"/>
  <c r="C215"/>
  <c r="B215"/>
  <c r="K214"/>
  <c r="J214"/>
  <c r="I214"/>
  <c r="H214"/>
  <c r="G214"/>
  <c r="F214"/>
  <c r="C214"/>
  <c r="L213"/>
  <c r="K213"/>
  <c r="J213"/>
  <c r="I213"/>
  <c r="H213"/>
  <c r="G213"/>
  <c r="F213"/>
  <c r="E213"/>
  <c r="D213"/>
  <c r="C213"/>
  <c r="B213"/>
  <c r="K212"/>
  <c r="J212"/>
  <c r="I212"/>
  <c r="H212"/>
  <c r="G212"/>
  <c r="F212"/>
  <c r="C212"/>
  <c r="L211"/>
  <c r="K211"/>
  <c r="J211"/>
  <c r="I211"/>
  <c r="H211"/>
  <c r="G211"/>
  <c r="F211"/>
  <c r="E211"/>
  <c r="D211"/>
  <c r="C211"/>
  <c r="B211"/>
  <c r="K210"/>
  <c r="J210"/>
  <c r="I210"/>
  <c r="H210"/>
  <c r="G210"/>
  <c r="F210"/>
  <c r="C210"/>
  <c r="L209"/>
  <c r="K209"/>
  <c r="J209"/>
  <c r="I209"/>
  <c r="H209"/>
  <c r="G209"/>
  <c r="F209"/>
  <c r="E209"/>
  <c r="D209"/>
  <c r="C209"/>
  <c r="B209"/>
  <c r="K208"/>
  <c r="J208"/>
  <c r="I208"/>
  <c r="H208"/>
  <c r="G208"/>
  <c r="F208"/>
  <c r="C208"/>
  <c r="L207"/>
  <c r="K207"/>
  <c r="J207"/>
  <c r="I207"/>
  <c r="H207"/>
  <c r="G207"/>
  <c r="F207"/>
  <c r="E207"/>
  <c r="D207"/>
  <c r="C207"/>
  <c r="B207"/>
  <c r="K206"/>
  <c r="J206"/>
  <c r="I206"/>
  <c r="H206"/>
  <c r="G206"/>
  <c r="F206"/>
  <c r="C206"/>
  <c r="L205"/>
  <c r="K205"/>
  <c r="J205"/>
  <c r="I205"/>
  <c r="H205"/>
  <c r="G205"/>
  <c r="F205"/>
  <c r="E205"/>
  <c r="D205"/>
  <c r="C205"/>
  <c r="B205"/>
  <c r="K204"/>
  <c r="J204"/>
  <c r="I204"/>
  <c r="H204"/>
  <c r="G204"/>
  <c r="F204"/>
  <c r="C204"/>
  <c r="L203"/>
  <c r="K203"/>
  <c r="J203"/>
  <c r="I203"/>
  <c r="H203"/>
  <c r="G203"/>
  <c r="F203"/>
  <c r="E203"/>
  <c r="D203"/>
  <c r="C203"/>
  <c r="B203"/>
  <c r="K202"/>
  <c r="J202"/>
  <c r="I202"/>
  <c r="H202"/>
  <c r="G202"/>
  <c r="F202"/>
  <c r="C202"/>
  <c r="L201"/>
  <c r="K201"/>
  <c r="J201"/>
  <c r="I201"/>
  <c r="H201"/>
  <c r="G201"/>
  <c r="F201"/>
  <c r="E201"/>
  <c r="D201"/>
  <c r="C201"/>
  <c r="B201"/>
  <c r="K200"/>
  <c r="J200"/>
  <c r="I200"/>
  <c r="H200"/>
  <c r="G200"/>
  <c r="F200"/>
  <c r="C200"/>
  <c r="L199"/>
  <c r="K199"/>
  <c r="J199"/>
  <c r="I199"/>
  <c r="H199"/>
  <c r="G199"/>
  <c r="F199"/>
  <c r="E199"/>
  <c r="D199"/>
  <c r="C199"/>
  <c r="B199"/>
  <c r="K198"/>
  <c r="J198"/>
  <c r="I198"/>
  <c r="H198"/>
  <c r="G198"/>
  <c r="F198"/>
  <c r="C198"/>
  <c r="L197"/>
  <c r="K197"/>
  <c r="J197"/>
  <c r="I197"/>
  <c r="H197"/>
  <c r="G197"/>
  <c r="F197"/>
  <c r="E197"/>
  <c r="D197"/>
  <c r="C197"/>
  <c r="B197"/>
  <c r="K196"/>
  <c r="J196"/>
  <c r="I196"/>
  <c r="H196"/>
  <c r="G196"/>
  <c r="F196"/>
  <c r="C196"/>
  <c r="L195"/>
  <c r="K195"/>
  <c r="J195"/>
  <c r="I195"/>
  <c r="H195"/>
  <c r="G195"/>
  <c r="F195"/>
  <c r="E195"/>
  <c r="D195"/>
  <c r="C195"/>
  <c r="B195"/>
  <c r="K194"/>
  <c r="J194"/>
  <c r="I194"/>
  <c r="H194"/>
  <c r="G194"/>
  <c r="F194"/>
  <c r="C194"/>
  <c r="L193"/>
  <c r="K193"/>
  <c r="J193"/>
  <c r="I193"/>
  <c r="H193"/>
  <c r="G193"/>
  <c r="F193"/>
  <c r="E193"/>
  <c r="D193"/>
  <c r="C193"/>
  <c r="B193"/>
  <c r="K192"/>
  <c r="J192"/>
  <c r="I192"/>
  <c r="H192"/>
  <c r="G192"/>
  <c r="F192"/>
  <c r="C192"/>
  <c r="L191"/>
  <c r="K191"/>
  <c r="J191"/>
  <c r="I191"/>
  <c r="H191"/>
  <c r="G191"/>
  <c r="F191"/>
  <c r="E191"/>
  <c r="D191"/>
  <c r="C191"/>
  <c r="B191"/>
  <c r="K190"/>
  <c r="J190"/>
  <c r="I190"/>
  <c r="H190"/>
  <c r="G190"/>
  <c r="F190"/>
  <c r="C190"/>
  <c r="L189"/>
  <c r="K189"/>
  <c r="J189"/>
  <c r="I189"/>
  <c r="H189"/>
  <c r="G189"/>
  <c r="F189"/>
  <c r="E189"/>
  <c r="D189"/>
  <c r="C189"/>
  <c r="B189"/>
  <c r="K188"/>
  <c r="J188"/>
  <c r="I188"/>
  <c r="H188"/>
  <c r="G188"/>
  <c r="F188"/>
  <c r="C188"/>
  <c r="L187"/>
  <c r="K187"/>
  <c r="J187"/>
  <c r="I187"/>
  <c r="H187"/>
  <c r="G187"/>
  <c r="F187"/>
  <c r="E187"/>
  <c r="D187"/>
  <c r="C187"/>
  <c r="B187"/>
  <c r="K186"/>
  <c r="J186"/>
  <c r="I186"/>
  <c r="H186"/>
  <c r="G186"/>
  <c r="F186"/>
  <c r="C186"/>
  <c r="L185"/>
  <c r="K185"/>
  <c r="J185"/>
  <c r="I185"/>
  <c r="H185"/>
  <c r="G185"/>
  <c r="F185"/>
  <c r="E185"/>
  <c r="D185"/>
  <c r="C185"/>
  <c r="B185"/>
  <c r="K184"/>
  <c r="J184"/>
  <c r="I184"/>
  <c r="H184"/>
  <c r="G184"/>
  <c r="F184"/>
  <c r="C184"/>
  <c r="L183"/>
  <c r="K183"/>
  <c r="J183"/>
  <c r="I183"/>
  <c r="H183"/>
  <c r="G183"/>
  <c r="F183"/>
  <c r="E183"/>
  <c r="D183"/>
  <c r="C183"/>
  <c r="B183"/>
  <c r="K182"/>
  <c r="J182"/>
  <c r="I182"/>
  <c r="H182"/>
  <c r="G182"/>
  <c r="F182"/>
  <c r="C182"/>
  <c r="L181"/>
  <c r="K181"/>
  <c r="J181"/>
  <c r="I181"/>
  <c r="H181"/>
  <c r="G181"/>
  <c r="F181"/>
  <c r="E181"/>
  <c r="D181"/>
  <c r="C181"/>
  <c r="B181"/>
  <c r="K180"/>
  <c r="J180"/>
  <c r="I180"/>
  <c r="H180"/>
  <c r="G180"/>
  <c r="F180"/>
  <c r="C180"/>
  <c r="L179"/>
  <c r="K179"/>
  <c r="J179"/>
  <c r="I179"/>
  <c r="H179"/>
  <c r="G179"/>
  <c r="F179"/>
  <c r="E179"/>
  <c r="D179"/>
  <c r="C179"/>
  <c r="B179"/>
  <c r="K178"/>
  <c r="J178"/>
  <c r="I178"/>
  <c r="H178"/>
  <c r="G178"/>
  <c r="F178"/>
  <c r="C178"/>
  <c r="L177"/>
  <c r="K177"/>
  <c r="J177"/>
  <c r="I177"/>
  <c r="H177"/>
  <c r="G177"/>
  <c r="F177"/>
  <c r="E177"/>
  <c r="D177"/>
  <c r="C177"/>
  <c r="B177"/>
  <c r="K166"/>
  <c r="J166"/>
  <c r="I166"/>
  <c r="H166"/>
  <c r="G166"/>
  <c r="F166"/>
  <c r="C166"/>
  <c r="L165"/>
  <c r="J165"/>
  <c r="I165"/>
  <c r="H165"/>
  <c r="G165"/>
  <c r="F165"/>
  <c r="D165"/>
  <c r="C165"/>
  <c r="B165"/>
  <c r="K164"/>
  <c r="J164"/>
  <c r="I164"/>
  <c r="H164"/>
  <c r="G164"/>
  <c r="F164"/>
  <c r="C164"/>
  <c r="J163"/>
  <c r="I163"/>
  <c r="H163"/>
  <c r="G163"/>
  <c r="F163"/>
  <c r="C163"/>
  <c r="B163"/>
  <c r="L162"/>
  <c r="K162"/>
  <c r="I162"/>
  <c r="H162"/>
  <c r="G162"/>
  <c r="F162"/>
  <c r="D162"/>
  <c r="K161"/>
  <c r="I161"/>
  <c r="H161"/>
  <c r="G161"/>
  <c r="F161"/>
  <c r="L160"/>
  <c r="K160"/>
  <c r="I160"/>
  <c r="H160"/>
  <c r="G160"/>
  <c r="F160"/>
  <c r="D160"/>
  <c r="K159"/>
  <c r="I159"/>
  <c r="H159"/>
  <c r="G159"/>
  <c r="F159"/>
  <c r="L158"/>
  <c r="K158"/>
  <c r="I158"/>
  <c r="H158"/>
  <c r="G158"/>
  <c r="F158"/>
  <c r="D158"/>
  <c r="K157"/>
  <c r="J157"/>
  <c r="I157"/>
  <c r="H157"/>
  <c r="G157"/>
  <c r="F157"/>
  <c r="C157"/>
  <c r="L156"/>
  <c r="J156"/>
  <c r="I156"/>
  <c r="H156"/>
  <c r="G156"/>
  <c r="F156"/>
  <c r="D156"/>
  <c r="C156"/>
  <c r="B156"/>
  <c r="K155"/>
  <c r="J155"/>
  <c r="I155"/>
  <c r="H155"/>
  <c r="G155"/>
  <c r="F155"/>
  <c r="C155"/>
  <c r="L154"/>
  <c r="J154"/>
  <c r="I154"/>
  <c r="H154"/>
  <c r="G154"/>
  <c r="F154"/>
  <c r="D154"/>
  <c r="C154"/>
  <c r="B154"/>
  <c r="K153"/>
  <c r="J153"/>
  <c r="I153"/>
  <c r="H153"/>
  <c r="G153"/>
  <c r="F153"/>
  <c r="C153"/>
  <c r="L152"/>
  <c r="K152"/>
  <c r="J152"/>
  <c r="I152"/>
  <c r="H152"/>
  <c r="G152"/>
  <c r="F152"/>
  <c r="D152"/>
  <c r="C152"/>
  <c r="B152"/>
  <c r="K151"/>
  <c r="J151"/>
  <c r="I151"/>
  <c r="H151"/>
  <c r="G151"/>
  <c r="F151"/>
  <c r="C151"/>
  <c r="K150"/>
  <c r="J150"/>
  <c r="I150"/>
  <c r="H150"/>
  <c r="G150"/>
  <c r="F150"/>
  <c r="C150"/>
  <c r="B150"/>
  <c r="L149"/>
  <c r="K149"/>
  <c r="I149"/>
  <c r="H149"/>
  <c r="G149"/>
  <c r="F149"/>
  <c r="D149"/>
  <c r="K148"/>
  <c r="I148"/>
  <c r="H148"/>
  <c r="G148"/>
  <c r="F148"/>
  <c r="L147"/>
  <c r="K147"/>
  <c r="I147"/>
  <c r="H147"/>
  <c r="G147"/>
  <c r="F147"/>
  <c r="D147"/>
  <c r="K146"/>
  <c r="I146"/>
  <c r="H146"/>
  <c r="G146"/>
  <c r="F146"/>
  <c r="L145"/>
  <c r="K145"/>
  <c r="I145"/>
  <c r="H145"/>
  <c r="G145"/>
  <c r="F145"/>
  <c r="D145"/>
  <c r="K144"/>
  <c r="I144"/>
  <c r="H144"/>
  <c r="G144"/>
  <c r="F144"/>
  <c r="L143"/>
  <c r="K143"/>
  <c r="I143"/>
  <c r="H143"/>
  <c r="G143"/>
  <c r="F143"/>
  <c r="D143"/>
  <c r="K142"/>
  <c r="I142"/>
  <c r="H142"/>
  <c r="G142"/>
  <c r="F142"/>
  <c r="L141"/>
  <c r="K141"/>
  <c r="I141"/>
  <c r="H141"/>
  <c r="G141"/>
  <c r="F141"/>
  <c r="D141"/>
  <c r="K140"/>
  <c r="I140"/>
  <c r="H140"/>
  <c r="G140"/>
  <c r="F140"/>
  <c r="L139"/>
  <c r="K139"/>
  <c r="I139"/>
  <c r="H139"/>
  <c r="G139"/>
  <c r="F139"/>
  <c r="D139"/>
  <c r="K138"/>
  <c r="I138"/>
  <c r="H138"/>
  <c r="G138"/>
  <c r="F138"/>
  <c r="K137"/>
  <c r="I137"/>
  <c r="H137"/>
  <c r="G137"/>
  <c r="F137"/>
  <c r="D137"/>
  <c r="K136"/>
  <c r="I136"/>
  <c r="H136"/>
  <c r="G136"/>
  <c r="F136"/>
  <c r="L135"/>
  <c r="K135"/>
  <c r="I135"/>
  <c r="H135"/>
  <c r="G135"/>
  <c r="F135"/>
  <c r="D135"/>
  <c r="K134"/>
  <c r="I134"/>
  <c r="H134"/>
  <c r="G134"/>
  <c r="F134"/>
  <c r="K133"/>
  <c r="I133"/>
  <c r="H133"/>
  <c r="G133"/>
  <c r="F133"/>
  <c r="D133"/>
  <c r="K132"/>
  <c r="I132"/>
  <c r="H132"/>
  <c r="G132"/>
  <c r="F132"/>
  <c r="K131"/>
  <c r="I131"/>
  <c r="H131"/>
  <c r="G131"/>
  <c r="F131"/>
  <c r="D131"/>
  <c r="K130"/>
  <c r="I130"/>
  <c r="H130"/>
  <c r="G130"/>
  <c r="F130"/>
  <c r="K129"/>
  <c r="I129"/>
  <c r="H129"/>
  <c r="G129"/>
  <c r="F129"/>
  <c r="D129"/>
  <c r="K128"/>
  <c r="J128"/>
  <c r="I128"/>
  <c r="H128"/>
  <c r="G128"/>
  <c r="F128"/>
  <c r="C128"/>
  <c r="L127"/>
  <c r="K127"/>
  <c r="J127"/>
  <c r="I127"/>
  <c r="H127"/>
  <c r="G127"/>
  <c r="F127"/>
  <c r="D127"/>
  <c r="C127"/>
  <c r="B127"/>
  <c r="K126"/>
  <c r="J126"/>
  <c r="I126"/>
  <c r="H126"/>
  <c r="G126"/>
  <c r="F126"/>
  <c r="C126"/>
  <c r="L125"/>
  <c r="K125"/>
  <c r="J125"/>
  <c r="I125"/>
  <c r="H125"/>
  <c r="G125"/>
  <c r="F125"/>
  <c r="D125"/>
  <c r="C125"/>
  <c r="B125"/>
  <c r="K124"/>
  <c r="J124"/>
  <c r="I124"/>
  <c r="H124"/>
  <c r="G124"/>
  <c r="F124"/>
  <c r="C124"/>
  <c r="L123"/>
  <c r="K123"/>
  <c r="J123"/>
  <c r="I123"/>
  <c r="H123"/>
  <c r="G123"/>
  <c r="F123"/>
  <c r="D123"/>
  <c r="C123"/>
  <c r="B123"/>
  <c r="K122"/>
  <c r="J122"/>
  <c r="I122"/>
  <c r="H122"/>
  <c r="G122"/>
  <c r="F122"/>
  <c r="C122"/>
  <c r="L121"/>
  <c r="K121"/>
  <c r="J121"/>
  <c r="I121"/>
  <c r="H121"/>
  <c r="G121"/>
  <c r="F121"/>
  <c r="D121"/>
  <c r="C121"/>
  <c r="B121"/>
  <c r="K120"/>
  <c r="J120"/>
  <c r="I120"/>
  <c r="H120"/>
  <c r="G120"/>
  <c r="F120"/>
  <c r="C120"/>
  <c r="L119"/>
  <c r="K119"/>
  <c r="J119"/>
  <c r="I119"/>
  <c r="H119"/>
  <c r="G119"/>
  <c r="F119"/>
  <c r="D119"/>
  <c r="C119"/>
  <c r="B119"/>
  <c r="K118"/>
  <c r="J118"/>
  <c r="I118"/>
  <c r="H118"/>
  <c r="G118"/>
  <c r="F118"/>
  <c r="C118"/>
  <c r="L117"/>
  <c r="K117"/>
  <c r="J117"/>
  <c r="I117"/>
  <c r="H117"/>
  <c r="G117"/>
  <c r="F117"/>
  <c r="D117"/>
  <c r="C117"/>
  <c r="B117"/>
  <c r="K116"/>
  <c r="J116"/>
  <c r="I116"/>
  <c r="H116"/>
  <c r="G116"/>
  <c r="F116"/>
  <c r="C116"/>
  <c r="L115"/>
  <c r="K115"/>
  <c r="J115"/>
  <c r="I115"/>
  <c r="H115"/>
  <c r="G115"/>
  <c r="F115"/>
  <c r="D115"/>
  <c r="C115"/>
  <c r="B115"/>
  <c r="K114"/>
  <c r="J114"/>
  <c r="I114"/>
  <c r="H114"/>
  <c r="G114"/>
  <c r="F114"/>
  <c r="C114"/>
  <c r="L113"/>
  <c r="K113"/>
  <c r="J113"/>
  <c r="I113"/>
  <c r="H113"/>
  <c r="G113"/>
  <c r="F113"/>
  <c r="D113"/>
  <c r="C113"/>
  <c r="B113"/>
  <c r="K112"/>
  <c r="J112"/>
  <c r="I112"/>
  <c r="H112"/>
  <c r="G112"/>
  <c r="F112"/>
  <c r="C112"/>
  <c r="L111"/>
  <c r="K111"/>
  <c r="J111"/>
  <c r="I111"/>
  <c r="H111"/>
  <c r="G111"/>
  <c r="F111"/>
  <c r="D111"/>
  <c r="C111"/>
  <c r="B111"/>
  <c r="K110"/>
  <c r="J110"/>
  <c r="I110"/>
  <c r="H110"/>
  <c r="G110"/>
  <c r="F110"/>
  <c r="C110"/>
  <c r="L109"/>
  <c r="K109"/>
  <c r="J109"/>
  <c r="I109"/>
  <c r="H109"/>
  <c r="G109"/>
  <c r="F109"/>
  <c r="D109"/>
  <c r="C109"/>
  <c r="B109"/>
  <c r="K108"/>
  <c r="J108"/>
  <c r="I108"/>
  <c r="H108"/>
  <c r="G108"/>
  <c r="F108"/>
  <c r="C108"/>
  <c r="L107"/>
  <c r="K107"/>
  <c r="J107"/>
  <c r="I107"/>
  <c r="H107"/>
  <c r="G107"/>
  <c r="F107"/>
  <c r="D107"/>
  <c r="C107"/>
  <c r="B107"/>
  <c r="K106"/>
  <c r="J106"/>
  <c r="I106"/>
  <c r="H106"/>
  <c r="G106"/>
  <c r="F106"/>
  <c r="C106"/>
  <c r="L105"/>
  <c r="K105"/>
  <c r="J105"/>
  <c r="I105"/>
  <c r="H105"/>
  <c r="G105"/>
  <c r="F105"/>
  <c r="C105"/>
  <c r="B105"/>
  <c r="K104"/>
  <c r="J104"/>
  <c r="I104"/>
  <c r="H104"/>
  <c r="G104"/>
  <c r="F104"/>
  <c r="C104"/>
  <c r="L103"/>
  <c r="K103"/>
  <c r="J103"/>
  <c r="I103"/>
  <c r="H103"/>
  <c r="G103"/>
  <c r="F103"/>
  <c r="D103"/>
  <c r="C103"/>
  <c r="B103"/>
  <c r="K102"/>
  <c r="J102"/>
  <c r="I102"/>
  <c r="H102"/>
  <c r="G102"/>
  <c r="F102"/>
  <c r="C102"/>
  <c r="L101"/>
  <c r="K101"/>
  <c r="J101"/>
  <c r="I101"/>
  <c r="H101"/>
  <c r="G101"/>
  <c r="F101"/>
  <c r="D101"/>
  <c r="C101"/>
  <c r="B101"/>
  <c r="K100"/>
  <c r="J100"/>
  <c r="I100"/>
  <c r="H100"/>
  <c r="G100"/>
  <c r="F100"/>
  <c r="C100"/>
  <c r="X99"/>
  <c r="W99"/>
  <c r="K99"/>
  <c r="I99"/>
  <c r="H99"/>
  <c r="G99"/>
  <c r="F99"/>
  <c r="C99"/>
  <c r="B99"/>
  <c r="K98"/>
  <c r="J98"/>
  <c r="I98"/>
  <c r="H98"/>
  <c r="G98"/>
  <c r="F98"/>
  <c r="C98"/>
  <c r="L97"/>
  <c r="J97"/>
  <c r="I97"/>
  <c r="H97"/>
  <c r="G97"/>
  <c r="F97"/>
  <c r="D97"/>
  <c r="C97"/>
  <c r="B97"/>
  <c r="K84"/>
  <c r="J84"/>
  <c r="I84"/>
  <c r="H84"/>
  <c r="G84"/>
  <c r="F84"/>
  <c r="C84"/>
  <c r="L83"/>
  <c r="J83"/>
  <c r="I83"/>
  <c r="H83"/>
  <c r="G83"/>
  <c r="F83"/>
  <c r="D83"/>
  <c r="C83"/>
  <c r="B83"/>
  <c r="K82"/>
  <c r="J82"/>
  <c r="I82"/>
  <c r="H82"/>
  <c r="G82"/>
  <c r="F82"/>
  <c r="C82"/>
  <c r="L81"/>
  <c r="K81"/>
  <c r="J81"/>
  <c r="I81"/>
  <c r="H81"/>
  <c r="G81"/>
  <c r="F81"/>
  <c r="C81"/>
  <c r="B81"/>
  <c r="K80"/>
  <c r="I80"/>
  <c r="H80"/>
  <c r="G80"/>
  <c r="F80"/>
  <c r="D80"/>
  <c r="K79"/>
  <c r="I79"/>
  <c r="H79"/>
  <c r="G79"/>
  <c r="F79"/>
  <c r="K78"/>
  <c r="I78"/>
  <c r="H78"/>
  <c r="G78"/>
  <c r="F78"/>
  <c r="D78"/>
  <c r="K77"/>
  <c r="I77"/>
  <c r="H77"/>
  <c r="G77"/>
  <c r="F77"/>
  <c r="K76"/>
  <c r="I76"/>
  <c r="H76"/>
  <c r="G76"/>
  <c r="F76"/>
  <c r="D76"/>
  <c r="K75"/>
  <c r="I75"/>
  <c r="H75"/>
  <c r="G75"/>
  <c r="F75"/>
  <c r="K74"/>
  <c r="I74"/>
  <c r="H74"/>
  <c r="G74"/>
  <c r="F74"/>
  <c r="D74"/>
  <c r="K73"/>
  <c r="J73"/>
  <c r="I73"/>
  <c r="H73"/>
  <c r="G73"/>
  <c r="F73"/>
  <c r="C73"/>
  <c r="L72"/>
  <c r="J72"/>
  <c r="I72"/>
  <c r="H72"/>
  <c r="G72"/>
  <c r="F72"/>
  <c r="D72"/>
  <c r="C72"/>
  <c r="B72"/>
  <c r="K71"/>
  <c r="J71"/>
  <c r="I71"/>
  <c r="H71"/>
  <c r="G71"/>
  <c r="F71"/>
  <c r="C71"/>
  <c r="L70"/>
  <c r="J70"/>
  <c r="I70"/>
  <c r="H70"/>
  <c r="G70"/>
  <c r="F70"/>
  <c r="D70"/>
  <c r="C70"/>
  <c r="B70"/>
  <c r="K69"/>
  <c r="J69"/>
  <c r="I69"/>
  <c r="H69"/>
  <c r="G69"/>
  <c r="F69"/>
  <c r="C69"/>
  <c r="L68"/>
  <c r="J68"/>
  <c r="I68"/>
  <c r="H68"/>
  <c r="G68"/>
  <c r="F68"/>
  <c r="D68"/>
  <c r="C68"/>
  <c r="B68"/>
  <c r="K67"/>
  <c r="J67"/>
  <c r="I67"/>
  <c r="H67"/>
  <c r="G67"/>
  <c r="F67"/>
  <c r="C67"/>
  <c r="L66"/>
  <c r="J66"/>
  <c r="I66"/>
  <c r="H66"/>
  <c r="G66"/>
  <c r="F66"/>
  <c r="D66"/>
  <c r="C66"/>
  <c r="B66"/>
  <c r="K65"/>
  <c r="J65"/>
  <c r="I65"/>
  <c r="H65"/>
  <c r="G65"/>
  <c r="F65"/>
  <c r="C65"/>
  <c r="L64"/>
  <c r="K64"/>
  <c r="J64"/>
  <c r="I64"/>
  <c r="H64"/>
  <c r="G64"/>
  <c r="F64"/>
  <c r="C64"/>
  <c r="B64"/>
  <c r="K63"/>
  <c r="J63"/>
  <c r="I63"/>
  <c r="H63"/>
  <c r="G63"/>
  <c r="F63"/>
  <c r="C63"/>
  <c r="X62"/>
  <c r="W62"/>
  <c r="L62"/>
  <c r="K62"/>
  <c r="I62"/>
  <c r="H62"/>
  <c r="G62"/>
  <c r="F62"/>
  <c r="C62"/>
  <c r="B62"/>
  <c r="K61"/>
  <c r="J61"/>
  <c r="I61"/>
  <c r="H61"/>
  <c r="G61"/>
  <c r="F61"/>
  <c r="C61"/>
  <c r="K60"/>
  <c r="J60"/>
  <c r="I60"/>
  <c r="H60"/>
  <c r="G60"/>
  <c r="F60"/>
  <c r="C60"/>
  <c r="B60"/>
  <c r="K59"/>
  <c r="J59"/>
  <c r="I59"/>
  <c r="H59"/>
  <c r="G59"/>
  <c r="F59"/>
  <c r="C59"/>
  <c r="L58"/>
  <c r="K58"/>
  <c r="J58"/>
  <c r="I58"/>
  <c r="H58"/>
  <c r="G58"/>
  <c r="F58"/>
  <c r="E58"/>
  <c r="D58"/>
  <c r="C58"/>
  <c r="B58"/>
  <c r="K57"/>
  <c r="J57"/>
  <c r="I57"/>
  <c r="H57"/>
  <c r="G57"/>
  <c r="F57"/>
  <c r="C57"/>
  <c r="L56"/>
  <c r="K56"/>
  <c r="J56"/>
  <c r="I56"/>
  <c r="H56"/>
  <c r="G56"/>
  <c r="F56"/>
  <c r="E56"/>
  <c r="D56"/>
  <c r="C56"/>
  <c r="B56"/>
  <c r="K55"/>
  <c r="J55"/>
  <c r="I55"/>
  <c r="H55"/>
  <c r="G55"/>
  <c r="F55"/>
  <c r="C55"/>
  <c r="L54"/>
  <c r="K54"/>
  <c r="J54"/>
  <c r="I54"/>
  <c r="H54"/>
  <c r="G54"/>
  <c r="F54"/>
  <c r="E54"/>
  <c r="D54"/>
  <c r="C54"/>
  <c r="B54"/>
  <c r="K53"/>
  <c r="J53"/>
  <c r="I53"/>
  <c r="H53"/>
  <c r="G53"/>
  <c r="F53"/>
  <c r="C53"/>
  <c r="L52"/>
  <c r="K52"/>
  <c r="J52"/>
  <c r="I52"/>
  <c r="H52"/>
  <c r="G52"/>
  <c r="F52"/>
  <c r="E52"/>
  <c r="D52"/>
  <c r="C52"/>
  <c r="B52"/>
  <c r="K51"/>
  <c r="J51"/>
  <c r="I51"/>
  <c r="H51"/>
  <c r="G51"/>
  <c r="F51"/>
  <c r="C51"/>
  <c r="L50"/>
  <c r="K50"/>
  <c r="J50"/>
  <c r="I50"/>
  <c r="H50"/>
  <c r="G50"/>
  <c r="F50"/>
  <c r="E50"/>
  <c r="D50"/>
  <c r="C50"/>
  <c r="B50"/>
  <c r="K49"/>
  <c r="J49"/>
  <c r="I49"/>
  <c r="H49"/>
  <c r="G49"/>
  <c r="F49"/>
  <c r="C49"/>
  <c r="L48"/>
  <c r="K48"/>
  <c r="J48"/>
  <c r="I48"/>
  <c r="H48"/>
  <c r="G48"/>
  <c r="F48"/>
  <c r="E48"/>
  <c r="D48"/>
  <c r="C48"/>
  <c r="B48"/>
  <c r="K47"/>
  <c r="J47"/>
  <c r="I47"/>
  <c r="H47"/>
  <c r="G47"/>
  <c r="F47"/>
  <c r="C47"/>
  <c r="L46"/>
  <c r="K46"/>
  <c r="J46"/>
  <c r="I46"/>
  <c r="H46"/>
  <c r="G46"/>
  <c r="F46"/>
  <c r="E46"/>
  <c r="D46"/>
  <c r="C46"/>
  <c r="B46"/>
  <c r="K45"/>
  <c r="J45"/>
  <c r="I45"/>
  <c r="H45"/>
  <c r="G45"/>
  <c r="F45"/>
  <c r="C45"/>
  <c r="J44"/>
  <c r="I44"/>
  <c r="H44"/>
  <c r="G44"/>
  <c r="F44"/>
  <c r="D44"/>
  <c r="C44"/>
  <c r="B44"/>
  <c r="K43"/>
  <c r="J43"/>
  <c r="I43"/>
  <c r="H43"/>
  <c r="G43"/>
  <c r="F43"/>
  <c r="C43"/>
  <c r="L42"/>
  <c r="K42"/>
  <c r="J42"/>
  <c r="I42"/>
  <c r="H42"/>
  <c r="G42"/>
  <c r="F42"/>
  <c r="E42"/>
  <c r="D42"/>
  <c r="C42"/>
  <c r="B42"/>
  <c r="K41"/>
  <c r="J41"/>
  <c r="I41"/>
  <c r="H41"/>
  <c r="G41"/>
  <c r="F41"/>
  <c r="C41"/>
  <c r="L40"/>
  <c r="K40"/>
  <c r="J40"/>
  <c r="I40"/>
  <c r="H40"/>
  <c r="G40"/>
  <c r="F40"/>
  <c r="E40"/>
  <c r="D40"/>
  <c r="C40"/>
  <c r="B40"/>
  <c r="K39"/>
  <c r="J39"/>
  <c r="I39"/>
  <c r="H39"/>
  <c r="G39"/>
  <c r="F39"/>
  <c r="C39"/>
  <c r="L38"/>
  <c r="K38"/>
  <c r="J38"/>
  <c r="I38"/>
  <c r="H38"/>
  <c r="G38"/>
  <c r="F38"/>
  <c r="E38"/>
  <c r="D38"/>
  <c r="C38"/>
  <c r="B38"/>
  <c r="K37"/>
  <c r="J37"/>
  <c r="I37"/>
  <c r="H37"/>
  <c r="G37"/>
  <c r="F37"/>
  <c r="C37"/>
  <c r="L36"/>
  <c r="K36"/>
  <c r="J36"/>
  <c r="I36"/>
  <c r="H36"/>
  <c r="G36"/>
  <c r="F36"/>
  <c r="E36"/>
  <c r="D36"/>
  <c r="C36"/>
  <c r="B36"/>
  <c r="K35"/>
  <c r="J35"/>
  <c r="I35"/>
  <c r="H35"/>
  <c r="G35"/>
  <c r="F35"/>
  <c r="C35"/>
  <c r="L34"/>
  <c r="K34"/>
  <c r="J34"/>
  <c r="I34"/>
  <c r="H34"/>
  <c r="G34"/>
  <c r="F34"/>
  <c r="E34"/>
  <c r="D34"/>
  <c r="C34"/>
  <c r="B34"/>
  <c r="K33"/>
  <c r="J33"/>
  <c r="I33"/>
  <c r="H33"/>
  <c r="G33"/>
  <c r="F33"/>
  <c r="C33"/>
  <c r="L32"/>
  <c r="K32"/>
  <c r="J32"/>
  <c r="I32"/>
  <c r="H32"/>
  <c r="G32"/>
  <c r="F32"/>
  <c r="E32"/>
  <c r="D32"/>
  <c r="C32"/>
  <c r="B32"/>
  <c r="K31"/>
  <c r="J31"/>
  <c r="I31"/>
  <c r="H31"/>
  <c r="G31"/>
  <c r="F31"/>
  <c r="C31"/>
  <c r="L30"/>
  <c r="K30"/>
  <c r="J30"/>
  <c r="I30"/>
  <c r="H30"/>
  <c r="G30"/>
  <c r="F30"/>
  <c r="E30"/>
  <c r="D30"/>
  <c r="C30"/>
  <c r="B30"/>
  <c r="K29"/>
  <c r="J29"/>
  <c r="I29"/>
  <c r="H29"/>
  <c r="G29"/>
  <c r="F29"/>
  <c r="C29"/>
  <c r="L28"/>
  <c r="J28"/>
  <c r="I28"/>
  <c r="H28"/>
  <c r="G28"/>
  <c r="F28"/>
  <c r="D28"/>
  <c r="C28"/>
  <c r="B28"/>
  <c r="K27"/>
  <c r="I27"/>
  <c r="H27"/>
  <c r="G27"/>
  <c r="F27"/>
  <c r="C27"/>
  <c r="P26"/>
  <c r="O26"/>
  <c r="N26"/>
  <c r="M26"/>
  <c r="L26"/>
  <c r="K26"/>
  <c r="I26"/>
  <c r="H26"/>
  <c r="G26"/>
  <c r="F26"/>
  <c r="E26"/>
  <c r="D26"/>
  <c r="C26"/>
  <c r="B26"/>
  <c r="K25"/>
  <c r="I25"/>
  <c r="H25"/>
  <c r="G25"/>
  <c r="F25"/>
  <c r="C25"/>
  <c r="P24"/>
  <c r="O24"/>
  <c r="N24"/>
  <c r="M24"/>
  <c r="L24"/>
  <c r="I24"/>
  <c r="H24"/>
  <c r="G24"/>
  <c r="F24"/>
  <c r="E24"/>
  <c r="D24"/>
  <c r="C24"/>
  <c r="B24"/>
  <c r="K23"/>
  <c r="I23"/>
  <c r="H23"/>
  <c r="G23"/>
  <c r="F23"/>
  <c r="C23"/>
  <c r="P22"/>
  <c r="O22"/>
  <c r="N22"/>
  <c r="M22"/>
  <c r="L22"/>
  <c r="K22"/>
  <c r="I22"/>
  <c r="H22"/>
  <c r="G22"/>
  <c r="F22"/>
  <c r="E22"/>
  <c r="D22"/>
  <c r="C22"/>
  <c r="B22"/>
  <c r="K21"/>
  <c r="J21"/>
  <c r="I21"/>
  <c r="H21"/>
  <c r="G21"/>
  <c r="F21"/>
  <c r="C21"/>
  <c r="P20"/>
  <c r="O20"/>
  <c r="N20"/>
  <c r="M20"/>
  <c r="L20"/>
  <c r="K20"/>
  <c r="J20"/>
  <c r="I20"/>
  <c r="H20"/>
  <c r="G20"/>
  <c r="F20"/>
  <c r="E20"/>
  <c r="D20"/>
  <c r="C20"/>
  <c r="B20"/>
  <c r="K19"/>
  <c r="J19"/>
  <c r="I19"/>
  <c r="H19"/>
  <c r="G19"/>
  <c r="F19"/>
  <c r="C19"/>
  <c r="P18"/>
  <c r="O18"/>
  <c r="N18"/>
  <c r="M18"/>
  <c r="L18"/>
  <c r="K18"/>
  <c r="I18"/>
  <c r="H18"/>
  <c r="G18"/>
  <c r="F18"/>
  <c r="E18"/>
  <c r="D18"/>
  <c r="C18"/>
  <c r="B18"/>
  <c r="K17"/>
  <c r="I17"/>
  <c r="H17"/>
  <c r="G17"/>
  <c r="F17"/>
  <c r="C17"/>
  <c r="P16"/>
  <c r="O16"/>
  <c r="N16"/>
  <c r="M16"/>
  <c r="L16"/>
  <c r="K16"/>
  <c r="I16"/>
  <c r="H16"/>
  <c r="G16"/>
  <c r="F16"/>
  <c r="E16"/>
  <c r="D16"/>
  <c r="C16"/>
  <c r="B16"/>
  <c r="K15"/>
  <c r="I15"/>
  <c r="H15"/>
  <c r="G15"/>
  <c r="F15"/>
  <c r="C15"/>
  <c r="P14"/>
  <c r="O14"/>
  <c r="N14"/>
  <c r="M14"/>
  <c r="L14"/>
  <c r="K14"/>
  <c r="I14"/>
  <c r="H14"/>
  <c r="G14"/>
  <c r="F14"/>
  <c r="E14"/>
  <c r="D14"/>
  <c r="C14"/>
  <c r="B14"/>
  <c r="K13"/>
  <c r="I13"/>
  <c r="H13"/>
  <c r="G13"/>
  <c r="F13"/>
  <c r="C13"/>
  <c r="K12"/>
  <c r="I12"/>
  <c r="H12"/>
  <c r="G12"/>
  <c r="F12"/>
  <c r="D12"/>
  <c r="C12"/>
  <c r="B12"/>
  <c r="I11"/>
  <c r="H11"/>
  <c r="G11"/>
  <c r="F11"/>
  <c r="C11"/>
  <c r="I10"/>
  <c r="H10"/>
  <c r="G10"/>
  <c r="F10"/>
  <c r="C10"/>
  <c r="B10"/>
  <c r="K9"/>
  <c r="I9"/>
  <c r="H9"/>
  <c r="G9"/>
  <c r="F9"/>
  <c r="C9"/>
  <c r="O8"/>
  <c r="N8"/>
  <c r="M8"/>
  <c r="L8"/>
  <c r="I8"/>
  <c r="H8"/>
  <c r="G8"/>
  <c r="F8"/>
  <c r="D8"/>
  <c r="C8"/>
  <c r="B8"/>
  <c r="K7"/>
  <c r="I7"/>
  <c r="H7"/>
  <c r="G7"/>
  <c r="F7"/>
  <c r="C7"/>
  <c r="O6"/>
  <c r="N6"/>
  <c r="M6"/>
  <c r="L6"/>
  <c r="I6"/>
  <c r="H6"/>
  <c r="G6"/>
  <c r="F6"/>
  <c r="D6"/>
  <c r="C6"/>
  <c r="B6"/>
  <c r="K5"/>
  <c r="I5"/>
  <c r="H5"/>
  <c r="G5"/>
  <c r="F5"/>
  <c r="C5"/>
  <c r="K4"/>
  <c r="I4"/>
  <c r="H4"/>
  <c r="G4"/>
  <c r="F4"/>
  <c r="C4"/>
  <c r="B4"/>
  <c r="K3"/>
  <c r="I3"/>
  <c r="H3"/>
  <c r="G3"/>
  <c r="F3"/>
  <c r="I2"/>
  <c r="H2"/>
  <c r="G2"/>
  <c r="F2"/>
  <c r="B2"/>
  <c r="W1"/>
  <c r="U1"/>
  <c r="T1"/>
  <c r="S1"/>
  <c r="R1"/>
  <c r="Q1"/>
  <c r="P1"/>
  <c r="O1"/>
  <c r="N1"/>
  <c r="M1"/>
  <c r="L1"/>
  <c r="K1"/>
  <c r="J1"/>
  <c r="I1"/>
  <c r="H1"/>
  <c r="G1"/>
  <c r="F1"/>
  <c r="E1"/>
  <c r="D1"/>
  <c r="C1"/>
  <c r="B1"/>
  <c r="A1"/>
  <c r="K559" i="8"/>
  <c r="I559"/>
  <c r="H559"/>
  <c r="G559"/>
  <c r="F559"/>
  <c r="D559"/>
  <c r="C559"/>
  <c r="B559"/>
  <c r="K558"/>
  <c r="I558"/>
  <c r="H558"/>
  <c r="G558"/>
  <c r="F558"/>
  <c r="D558"/>
  <c r="C558"/>
  <c r="B558"/>
  <c r="K557"/>
  <c r="I557"/>
  <c r="H557"/>
  <c r="G557"/>
  <c r="F557"/>
  <c r="D557"/>
  <c r="C557"/>
  <c r="B557"/>
  <c r="K556"/>
  <c r="I556"/>
  <c r="H556"/>
  <c r="G556"/>
  <c r="F556"/>
  <c r="D556"/>
  <c r="C556"/>
  <c r="B556"/>
  <c r="K555"/>
  <c r="I555"/>
  <c r="H555"/>
  <c r="G555"/>
  <c r="F555"/>
  <c r="D555"/>
  <c r="C555"/>
  <c r="B555"/>
  <c r="K554"/>
  <c r="I554"/>
  <c r="H554"/>
  <c r="G554"/>
  <c r="F554"/>
  <c r="D554"/>
  <c r="C554"/>
  <c r="B554"/>
  <c r="K553"/>
  <c r="I553"/>
  <c r="H553"/>
  <c r="G553"/>
  <c r="F553"/>
  <c r="D553"/>
  <c r="C553"/>
  <c r="B553"/>
  <c r="K552"/>
  <c r="I552"/>
  <c r="H552"/>
  <c r="G552"/>
  <c r="F552"/>
  <c r="D552"/>
  <c r="C552"/>
  <c r="B552"/>
  <c r="K551"/>
  <c r="I551"/>
  <c r="H551"/>
  <c r="G551"/>
  <c r="F551"/>
  <c r="C551"/>
  <c r="B551"/>
  <c r="K550"/>
  <c r="J550"/>
  <c r="I550"/>
  <c r="H550"/>
  <c r="G550"/>
  <c r="F550"/>
  <c r="D550"/>
  <c r="C550"/>
  <c r="B550"/>
  <c r="K549"/>
  <c r="J549"/>
  <c r="I549"/>
  <c r="H549"/>
  <c r="G549"/>
  <c r="F549"/>
  <c r="D549"/>
  <c r="C549"/>
  <c r="B549"/>
  <c r="K548"/>
  <c r="J548"/>
  <c r="I548"/>
  <c r="H548"/>
  <c r="G548"/>
  <c r="F548"/>
  <c r="D548"/>
  <c r="C548"/>
  <c r="B548"/>
  <c r="J547"/>
  <c r="I547"/>
  <c r="H547"/>
  <c r="G547"/>
  <c r="F547"/>
  <c r="C547"/>
  <c r="B547"/>
  <c r="J546"/>
  <c r="I546"/>
  <c r="H546"/>
  <c r="G546"/>
  <c r="F546"/>
  <c r="E546"/>
  <c r="D546"/>
  <c r="C546"/>
  <c r="B546"/>
  <c r="K545"/>
  <c r="J545"/>
  <c r="I545"/>
  <c r="H545"/>
  <c r="G545"/>
  <c r="F545"/>
  <c r="E545"/>
  <c r="D545"/>
  <c r="C545"/>
  <c r="B545"/>
  <c r="K544"/>
  <c r="J544"/>
  <c r="I544"/>
  <c r="H544"/>
  <c r="G544"/>
  <c r="F544"/>
  <c r="E544"/>
  <c r="D544"/>
  <c r="C544"/>
  <c r="B544"/>
  <c r="K543"/>
  <c r="J543"/>
  <c r="I543"/>
  <c r="H543"/>
  <c r="G543"/>
  <c r="F543"/>
  <c r="E543"/>
  <c r="D543"/>
  <c r="C543"/>
  <c r="B543"/>
  <c r="K542"/>
  <c r="J542"/>
  <c r="I542"/>
  <c r="H542"/>
  <c r="G542"/>
  <c r="F542"/>
  <c r="E542"/>
  <c r="D542"/>
  <c r="C542"/>
  <c r="B542"/>
  <c r="K541"/>
  <c r="J541"/>
  <c r="I541"/>
  <c r="H541"/>
  <c r="G541"/>
  <c r="F541"/>
  <c r="E541"/>
  <c r="D541"/>
  <c r="C541"/>
  <c r="B541"/>
  <c r="K540"/>
  <c r="J540"/>
  <c r="I540"/>
  <c r="H540"/>
  <c r="G540"/>
  <c r="F540"/>
  <c r="E540"/>
  <c r="D540"/>
  <c r="C540"/>
  <c r="B540"/>
  <c r="K539"/>
  <c r="J539"/>
  <c r="I539"/>
  <c r="H539"/>
  <c r="G539"/>
  <c r="F539"/>
  <c r="E539"/>
  <c r="D539"/>
  <c r="C539"/>
  <c r="B539"/>
  <c r="K538"/>
  <c r="J538"/>
  <c r="I538"/>
  <c r="H538"/>
  <c r="G538"/>
  <c r="F538"/>
  <c r="E538"/>
  <c r="D538"/>
  <c r="C538"/>
  <c r="B538"/>
  <c r="K537"/>
  <c r="J537"/>
  <c r="I537"/>
  <c r="H537"/>
  <c r="G537"/>
  <c r="F537"/>
  <c r="E537"/>
  <c r="D537"/>
  <c r="C537"/>
  <c r="B537"/>
  <c r="K536"/>
  <c r="J536"/>
  <c r="I536"/>
  <c r="H536"/>
  <c r="G536"/>
  <c r="F536"/>
  <c r="E536"/>
  <c r="D536"/>
  <c r="C536"/>
  <c r="B536"/>
  <c r="K535"/>
  <c r="J535"/>
  <c r="I535"/>
  <c r="H535"/>
  <c r="G535"/>
  <c r="F535"/>
  <c r="E535"/>
  <c r="D535"/>
  <c r="C535"/>
  <c r="B535"/>
  <c r="K534"/>
  <c r="J534"/>
  <c r="I534"/>
  <c r="H534"/>
  <c r="G534"/>
  <c r="F534"/>
  <c r="E534"/>
  <c r="D534"/>
  <c r="C534"/>
  <c r="B534"/>
  <c r="K533"/>
  <c r="J533"/>
  <c r="I533"/>
  <c r="H533"/>
  <c r="G533"/>
  <c r="F533"/>
  <c r="E533"/>
  <c r="D533"/>
  <c r="C533"/>
  <c r="B533"/>
  <c r="K532"/>
  <c r="J532"/>
  <c r="I532"/>
  <c r="H532"/>
  <c r="G532"/>
  <c r="F532"/>
  <c r="E532"/>
  <c r="D532"/>
  <c r="C532"/>
  <c r="B532"/>
  <c r="K531"/>
  <c r="J531"/>
  <c r="I531"/>
  <c r="H531"/>
  <c r="G531"/>
  <c r="F531"/>
  <c r="E531"/>
  <c r="D531"/>
  <c r="C531"/>
  <c r="B531"/>
  <c r="K530"/>
  <c r="J530"/>
  <c r="I530"/>
  <c r="H530"/>
  <c r="G530"/>
  <c r="F530"/>
  <c r="E530"/>
  <c r="D530"/>
  <c r="C530"/>
  <c r="B530"/>
  <c r="K529"/>
  <c r="J529"/>
  <c r="I529"/>
  <c r="H529"/>
  <c r="G529"/>
  <c r="F529"/>
  <c r="E529"/>
  <c r="D529"/>
  <c r="C529"/>
  <c r="B529"/>
  <c r="K528"/>
  <c r="J528"/>
  <c r="I528"/>
  <c r="H528"/>
  <c r="G528"/>
  <c r="F528"/>
  <c r="E528"/>
  <c r="D528"/>
  <c r="C528"/>
  <c r="B528"/>
  <c r="K527"/>
  <c r="J527"/>
  <c r="I527"/>
  <c r="H527"/>
  <c r="G527"/>
  <c r="F527"/>
  <c r="E527"/>
  <c r="D527"/>
  <c r="C527"/>
  <c r="B527"/>
  <c r="K526"/>
  <c r="J526"/>
  <c r="I526"/>
  <c r="H526"/>
  <c r="G526"/>
  <c r="F526"/>
  <c r="E526"/>
  <c r="D526"/>
  <c r="C526"/>
  <c r="B526"/>
  <c r="K525"/>
  <c r="J525"/>
  <c r="I525"/>
  <c r="H525"/>
  <c r="G525"/>
  <c r="F525"/>
  <c r="E525"/>
  <c r="D525"/>
  <c r="C525"/>
  <c r="B525"/>
  <c r="K524"/>
  <c r="J524"/>
  <c r="I524"/>
  <c r="H524"/>
  <c r="G524"/>
  <c r="F524"/>
  <c r="E524"/>
  <c r="D524"/>
  <c r="C524"/>
  <c r="B524"/>
  <c r="K523"/>
  <c r="J523"/>
  <c r="I523"/>
  <c r="H523"/>
  <c r="G523"/>
  <c r="F523"/>
  <c r="E523"/>
  <c r="D523"/>
  <c r="C523"/>
  <c r="B523"/>
  <c r="K522"/>
  <c r="J522"/>
  <c r="I522"/>
  <c r="H522"/>
  <c r="G522"/>
  <c r="F522"/>
  <c r="E522"/>
  <c r="D522"/>
  <c r="C522"/>
  <c r="B522"/>
  <c r="K521"/>
  <c r="J521"/>
  <c r="I521"/>
  <c r="H521"/>
  <c r="G521"/>
  <c r="F521"/>
  <c r="E521"/>
  <c r="D521"/>
  <c r="C521"/>
  <c r="B521"/>
  <c r="K520"/>
  <c r="J520"/>
  <c r="I520"/>
  <c r="H520"/>
  <c r="G520"/>
  <c r="F520"/>
  <c r="E520"/>
  <c r="D520"/>
  <c r="C520"/>
  <c r="B520"/>
  <c r="K519"/>
  <c r="J519"/>
  <c r="I519"/>
  <c r="H519"/>
  <c r="G519"/>
  <c r="F519"/>
  <c r="E519"/>
  <c r="D519"/>
  <c r="C519"/>
  <c r="B519"/>
  <c r="K518"/>
  <c r="J518"/>
  <c r="I518"/>
  <c r="H518"/>
  <c r="G518"/>
  <c r="F518"/>
  <c r="E518"/>
  <c r="D518"/>
  <c r="C518"/>
  <c r="B518"/>
  <c r="K517"/>
  <c r="J517"/>
  <c r="I517"/>
  <c r="H517"/>
  <c r="G517"/>
  <c r="F517"/>
  <c r="E517"/>
  <c r="D517"/>
  <c r="C517"/>
  <c r="B517"/>
  <c r="K516"/>
  <c r="J516"/>
  <c r="I516"/>
  <c r="H516"/>
  <c r="G516"/>
  <c r="F516"/>
  <c r="E516"/>
  <c r="D516"/>
  <c r="C516"/>
  <c r="B516"/>
  <c r="K515"/>
  <c r="J515"/>
  <c r="I515"/>
  <c r="H515"/>
  <c r="G515"/>
  <c r="F515"/>
  <c r="E515"/>
  <c r="D515"/>
  <c r="C515"/>
  <c r="B515"/>
  <c r="K514"/>
  <c r="J514"/>
  <c r="I514"/>
  <c r="H514"/>
  <c r="G514"/>
  <c r="F514"/>
  <c r="E514"/>
  <c r="D514"/>
  <c r="C514"/>
  <c r="B514"/>
  <c r="K513"/>
  <c r="J513"/>
  <c r="I513"/>
  <c r="H513"/>
  <c r="G513"/>
  <c r="F513"/>
  <c r="E513"/>
  <c r="D513"/>
  <c r="C513"/>
  <c r="B513"/>
  <c r="K512"/>
  <c r="J512"/>
  <c r="I512"/>
  <c r="H512"/>
  <c r="G512"/>
  <c r="F512"/>
  <c r="E512"/>
  <c r="D512"/>
  <c r="C512"/>
  <c r="B512"/>
  <c r="K511"/>
  <c r="J511"/>
  <c r="I511"/>
  <c r="H511"/>
  <c r="G511"/>
  <c r="F511"/>
  <c r="E511"/>
  <c r="D511"/>
  <c r="C511"/>
  <c r="B511"/>
  <c r="K510"/>
  <c r="J510"/>
  <c r="I510"/>
  <c r="H510"/>
  <c r="G510"/>
  <c r="F510"/>
  <c r="E510"/>
  <c r="D510"/>
  <c r="C510"/>
  <c r="B510"/>
  <c r="K509"/>
  <c r="J509"/>
  <c r="I509"/>
  <c r="H509"/>
  <c r="G509"/>
  <c r="F509"/>
  <c r="E509"/>
  <c r="D509"/>
  <c r="C509"/>
  <c r="B509"/>
  <c r="J508"/>
  <c r="I508"/>
  <c r="H508"/>
  <c r="G508"/>
  <c r="F508"/>
  <c r="D508"/>
  <c r="C508"/>
  <c r="B508"/>
  <c r="K507"/>
  <c r="J507"/>
  <c r="I507"/>
  <c r="H507"/>
  <c r="G507"/>
  <c r="F507"/>
  <c r="E507"/>
  <c r="D507"/>
  <c r="C507"/>
  <c r="B507"/>
  <c r="K506"/>
  <c r="J506"/>
  <c r="I506"/>
  <c r="H506"/>
  <c r="G506"/>
  <c r="F506"/>
  <c r="E506"/>
  <c r="D506"/>
  <c r="C506"/>
  <c r="B506"/>
  <c r="K505"/>
  <c r="J505"/>
  <c r="I505"/>
  <c r="H505"/>
  <c r="G505"/>
  <c r="F505"/>
  <c r="E505"/>
  <c r="D505"/>
  <c r="C505"/>
  <c r="B505"/>
  <c r="J504"/>
  <c r="I504"/>
  <c r="H504"/>
  <c r="G504"/>
  <c r="F504"/>
  <c r="D504"/>
  <c r="C504"/>
  <c r="B504"/>
  <c r="K503"/>
  <c r="J503"/>
  <c r="I503"/>
  <c r="H503"/>
  <c r="G503"/>
  <c r="F503"/>
  <c r="E503"/>
  <c r="D503"/>
  <c r="C503"/>
  <c r="B503"/>
  <c r="K502"/>
  <c r="J502"/>
  <c r="I502"/>
  <c r="H502"/>
  <c r="G502"/>
  <c r="F502"/>
  <c r="E502"/>
  <c r="D502"/>
  <c r="C502"/>
  <c r="B502"/>
  <c r="K501"/>
  <c r="J501"/>
  <c r="I501"/>
  <c r="H501"/>
  <c r="G501"/>
  <c r="F501"/>
  <c r="E501"/>
  <c r="D501"/>
  <c r="C501"/>
  <c r="B501"/>
  <c r="K500"/>
  <c r="J500"/>
  <c r="I500"/>
  <c r="H500"/>
  <c r="G500"/>
  <c r="F500"/>
  <c r="E500"/>
  <c r="D500"/>
  <c r="C500"/>
  <c r="B500"/>
  <c r="K499"/>
  <c r="J499"/>
  <c r="I499"/>
  <c r="H499"/>
  <c r="G499"/>
  <c r="F499"/>
  <c r="E499"/>
  <c r="D499"/>
  <c r="C499"/>
  <c r="B499"/>
  <c r="K498"/>
  <c r="J498"/>
  <c r="I498"/>
  <c r="H498"/>
  <c r="G498"/>
  <c r="F498"/>
  <c r="E498"/>
  <c r="D498"/>
  <c r="C498"/>
  <c r="B498"/>
  <c r="K497"/>
  <c r="J497"/>
  <c r="I497"/>
  <c r="H497"/>
  <c r="G497"/>
  <c r="F497"/>
  <c r="E497"/>
  <c r="D497"/>
  <c r="C497"/>
  <c r="B497"/>
  <c r="K496"/>
  <c r="J496"/>
  <c r="I496"/>
  <c r="H496"/>
  <c r="G496"/>
  <c r="F496"/>
  <c r="E496"/>
  <c r="D496"/>
  <c r="C496"/>
  <c r="B496"/>
  <c r="K495"/>
  <c r="J495"/>
  <c r="I495"/>
  <c r="H495"/>
  <c r="G495"/>
  <c r="F495"/>
  <c r="E495"/>
  <c r="D495"/>
  <c r="C495"/>
  <c r="B495"/>
  <c r="K494"/>
  <c r="J494"/>
  <c r="I494"/>
  <c r="H494"/>
  <c r="G494"/>
  <c r="F494"/>
  <c r="E494"/>
  <c r="D494"/>
  <c r="C494"/>
  <c r="B494"/>
  <c r="K493"/>
  <c r="J493"/>
  <c r="I493"/>
  <c r="H493"/>
  <c r="G493"/>
  <c r="F493"/>
  <c r="E493"/>
  <c r="D493"/>
  <c r="C493"/>
  <c r="B493"/>
  <c r="K492"/>
  <c r="J492"/>
  <c r="I492"/>
  <c r="H492"/>
  <c r="G492"/>
  <c r="F492"/>
  <c r="E492"/>
  <c r="D492"/>
  <c r="C492"/>
  <c r="B492"/>
  <c r="K491"/>
  <c r="J491"/>
  <c r="I491"/>
  <c r="H491"/>
  <c r="G491"/>
  <c r="F491"/>
  <c r="E491"/>
  <c r="D491"/>
  <c r="C491"/>
  <c r="B491"/>
  <c r="K490"/>
  <c r="J490"/>
  <c r="I490"/>
  <c r="H490"/>
  <c r="G490"/>
  <c r="F490"/>
  <c r="E490"/>
  <c r="D490"/>
  <c r="C490"/>
  <c r="B490"/>
  <c r="K489"/>
  <c r="J489"/>
  <c r="I489"/>
  <c r="H489"/>
  <c r="G489"/>
  <c r="F489"/>
  <c r="E489"/>
  <c r="D489"/>
  <c r="C489"/>
  <c r="B489"/>
  <c r="J488"/>
  <c r="I488"/>
  <c r="H488"/>
  <c r="G488"/>
  <c r="F488"/>
  <c r="D488"/>
  <c r="C488"/>
  <c r="B488"/>
  <c r="K487"/>
  <c r="J487"/>
  <c r="I487"/>
  <c r="H487"/>
  <c r="G487"/>
  <c r="F487"/>
  <c r="E487"/>
  <c r="D487"/>
  <c r="C487"/>
  <c r="B487"/>
  <c r="K486"/>
  <c r="J486"/>
  <c r="I486"/>
  <c r="H486"/>
  <c r="G486"/>
  <c r="F486"/>
  <c r="E486"/>
  <c r="D486"/>
  <c r="C486"/>
  <c r="B486"/>
  <c r="K485"/>
  <c r="J485"/>
  <c r="I485"/>
  <c r="H485"/>
  <c r="G485"/>
  <c r="F485"/>
  <c r="E485"/>
  <c r="D485"/>
  <c r="C485"/>
  <c r="B485"/>
  <c r="J484"/>
  <c r="I484"/>
  <c r="H484"/>
  <c r="G484"/>
  <c r="F484"/>
  <c r="E484"/>
  <c r="D484"/>
  <c r="C484"/>
  <c r="B484"/>
  <c r="K483"/>
  <c r="J483"/>
  <c r="I483"/>
  <c r="H483"/>
  <c r="G483"/>
  <c r="F483"/>
  <c r="E483"/>
  <c r="D483"/>
  <c r="C483"/>
  <c r="B483"/>
  <c r="K482"/>
  <c r="J482"/>
  <c r="I482"/>
  <c r="H482"/>
  <c r="G482"/>
  <c r="F482"/>
  <c r="E482"/>
  <c r="D482"/>
  <c r="C482"/>
  <c r="B482"/>
  <c r="K481"/>
  <c r="J481"/>
  <c r="I481"/>
  <c r="H481"/>
  <c r="G481"/>
  <c r="F481"/>
  <c r="E481"/>
  <c r="D481"/>
  <c r="C481"/>
  <c r="B481"/>
  <c r="K480"/>
  <c r="J480"/>
  <c r="I480"/>
  <c r="H480"/>
  <c r="G480"/>
  <c r="F480"/>
  <c r="E480"/>
  <c r="D480"/>
  <c r="C480"/>
  <c r="B480"/>
  <c r="K479"/>
  <c r="J479"/>
  <c r="I479"/>
  <c r="H479"/>
  <c r="G479"/>
  <c r="F479"/>
  <c r="E479"/>
  <c r="D479"/>
  <c r="C479"/>
  <c r="B479"/>
  <c r="K478"/>
  <c r="J478"/>
  <c r="I478"/>
  <c r="H478"/>
  <c r="G478"/>
  <c r="F478"/>
  <c r="E478"/>
  <c r="D478"/>
  <c r="C478"/>
  <c r="B478"/>
  <c r="K477"/>
  <c r="J477"/>
  <c r="I477"/>
  <c r="H477"/>
  <c r="G477"/>
  <c r="F477"/>
  <c r="E477"/>
  <c r="D477"/>
  <c r="C477"/>
  <c r="B477"/>
  <c r="K476"/>
  <c r="J476"/>
  <c r="I476"/>
  <c r="H476"/>
  <c r="G476"/>
  <c r="F476"/>
  <c r="E476"/>
  <c r="D476"/>
  <c r="C476"/>
  <c r="B476"/>
  <c r="K475"/>
  <c r="J475"/>
  <c r="I475"/>
  <c r="H475"/>
  <c r="G475"/>
  <c r="F475"/>
  <c r="E475"/>
  <c r="D475"/>
  <c r="C475"/>
  <c r="B475"/>
  <c r="K474"/>
  <c r="J474"/>
  <c r="I474"/>
  <c r="H474"/>
  <c r="G474"/>
  <c r="F474"/>
  <c r="E474"/>
  <c r="D474"/>
  <c r="C474"/>
  <c r="B474"/>
  <c r="K473"/>
  <c r="J473"/>
  <c r="I473"/>
  <c r="H473"/>
  <c r="G473"/>
  <c r="F473"/>
  <c r="E473"/>
  <c r="D473"/>
  <c r="C473"/>
  <c r="B473"/>
  <c r="K472"/>
  <c r="J472"/>
  <c r="I472"/>
  <c r="H472"/>
  <c r="G472"/>
  <c r="F472"/>
  <c r="E472"/>
  <c r="D472"/>
  <c r="C472"/>
  <c r="B472"/>
  <c r="K471"/>
  <c r="J471"/>
  <c r="I471"/>
  <c r="H471"/>
  <c r="G471"/>
  <c r="F471"/>
  <c r="E471"/>
  <c r="D471"/>
  <c r="C471"/>
  <c r="B471"/>
  <c r="K470"/>
  <c r="I470"/>
  <c r="H470"/>
  <c r="G470"/>
  <c r="F470"/>
  <c r="E470"/>
  <c r="D470"/>
  <c r="C470"/>
  <c r="B470"/>
  <c r="K469"/>
  <c r="I469"/>
  <c r="H469"/>
  <c r="G469"/>
  <c r="F469"/>
  <c r="E469"/>
  <c r="D469"/>
  <c r="C469"/>
  <c r="B469"/>
  <c r="K468"/>
  <c r="I468"/>
  <c r="H468"/>
  <c r="G468"/>
  <c r="F468"/>
  <c r="E468"/>
  <c r="D468"/>
  <c r="C468"/>
  <c r="B468"/>
  <c r="K467"/>
  <c r="I467"/>
  <c r="H467"/>
  <c r="G467"/>
  <c r="F467"/>
  <c r="E467"/>
  <c r="D467"/>
  <c r="C467"/>
  <c r="B467"/>
  <c r="K466"/>
  <c r="I466"/>
  <c r="H466"/>
  <c r="G466"/>
  <c r="F466"/>
  <c r="E466"/>
  <c r="D466"/>
  <c r="C466"/>
  <c r="B466"/>
  <c r="K465"/>
  <c r="I465"/>
  <c r="H465"/>
  <c r="G465"/>
  <c r="F465"/>
  <c r="E465"/>
  <c r="D465"/>
  <c r="C465"/>
  <c r="B465"/>
  <c r="K464"/>
  <c r="I464"/>
  <c r="H464"/>
  <c r="G464"/>
  <c r="F464"/>
  <c r="E464"/>
  <c r="D464"/>
  <c r="C464"/>
  <c r="B464"/>
  <c r="I463"/>
  <c r="H463"/>
  <c r="G463"/>
  <c r="F463"/>
  <c r="E463"/>
  <c r="D463"/>
  <c r="C463"/>
  <c r="B463"/>
  <c r="I462"/>
  <c r="H462"/>
  <c r="G462"/>
  <c r="F462"/>
  <c r="E462"/>
  <c r="D462"/>
  <c r="C462"/>
  <c r="B462"/>
  <c r="J461"/>
  <c r="I461"/>
  <c r="H461"/>
  <c r="G461"/>
  <c r="F461"/>
  <c r="E461"/>
  <c r="D461"/>
  <c r="C461"/>
  <c r="B461"/>
  <c r="K460"/>
  <c r="J460"/>
  <c r="I460"/>
  <c r="H460"/>
  <c r="G460"/>
  <c r="F460"/>
  <c r="E460"/>
  <c r="D460"/>
  <c r="C460"/>
  <c r="B460"/>
  <c r="J459"/>
  <c r="I459"/>
  <c r="H459"/>
  <c r="G459"/>
  <c r="F459"/>
  <c r="E459"/>
  <c r="D459"/>
  <c r="C459"/>
  <c r="B459"/>
  <c r="K458"/>
  <c r="J458"/>
  <c r="I458"/>
  <c r="H458"/>
  <c r="G458"/>
  <c r="F458"/>
  <c r="E458"/>
  <c r="D458"/>
  <c r="C458"/>
  <c r="B458"/>
  <c r="K457"/>
  <c r="J457"/>
  <c r="I457"/>
  <c r="H457"/>
  <c r="G457"/>
  <c r="F457"/>
  <c r="E457"/>
  <c r="D457"/>
  <c r="C457"/>
  <c r="B457"/>
  <c r="K456"/>
  <c r="J456"/>
  <c r="I456"/>
  <c r="H456"/>
  <c r="G456"/>
  <c r="F456"/>
  <c r="E456"/>
  <c r="D456"/>
  <c r="C456"/>
  <c r="B456"/>
  <c r="K455"/>
  <c r="J455"/>
  <c r="I455"/>
  <c r="H455"/>
  <c r="G455"/>
  <c r="F455"/>
  <c r="E455"/>
  <c r="D455"/>
  <c r="C455"/>
  <c r="B455"/>
  <c r="K454"/>
  <c r="J454"/>
  <c r="I454"/>
  <c r="H454"/>
  <c r="G454"/>
  <c r="F454"/>
  <c r="E454"/>
  <c r="D454"/>
  <c r="C454"/>
  <c r="B454"/>
  <c r="K453"/>
  <c r="J453"/>
  <c r="I453"/>
  <c r="H453"/>
  <c r="G453"/>
  <c r="F453"/>
  <c r="E453"/>
  <c r="D453"/>
  <c r="C453"/>
  <c r="B453"/>
  <c r="K452"/>
  <c r="J452"/>
  <c r="I452"/>
  <c r="H452"/>
  <c r="G452"/>
  <c r="F452"/>
  <c r="E452"/>
  <c r="D452"/>
  <c r="C452"/>
  <c r="B452"/>
  <c r="J451"/>
  <c r="I451"/>
  <c r="H451"/>
  <c r="G451"/>
  <c r="F451"/>
  <c r="E451"/>
  <c r="D451"/>
  <c r="C451"/>
  <c r="B451"/>
  <c r="J450"/>
  <c r="I450"/>
  <c r="H450"/>
  <c r="G450"/>
  <c r="F450"/>
  <c r="E450"/>
  <c r="D450"/>
  <c r="C450"/>
  <c r="B450"/>
  <c r="K449"/>
  <c r="J449"/>
  <c r="I449"/>
  <c r="H449"/>
  <c r="G449"/>
  <c r="F449"/>
  <c r="E449"/>
  <c r="D449"/>
  <c r="C449"/>
  <c r="B449"/>
  <c r="K448"/>
  <c r="J448"/>
  <c r="I448"/>
  <c r="H448"/>
  <c r="G448"/>
  <c r="F448"/>
  <c r="E448"/>
  <c r="D448"/>
  <c r="C448"/>
  <c r="B448"/>
  <c r="K447"/>
  <c r="J447"/>
  <c r="I447"/>
  <c r="H447"/>
  <c r="G447"/>
  <c r="F447"/>
  <c r="E447"/>
  <c r="D447"/>
  <c r="C447"/>
  <c r="B447"/>
  <c r="K446"/>
  <c r="J446"/>
  <c r="I446"/>
  <c r="H446"/>
  <c r="G446"/>
  <c r="F446"/>
  <c r="E446"/>
  <c r="D446"/>
  <c r="C446"/>
  <c r="B446"/>
  <c r="K445"/>
  <c r="J445"/>
  <c r="I445"/>
  <c r="H445"/>
  <c r="G445"/>
  <c r="F445"/>
  <c r="E445"/>
  <c r="D445"/>
  <c r="C445"/>
  <c r="B445"/>
  <c r="K444"/>
  <c r="J444"/>
  <c r="I444"/>
  <c r="H444"/>
  <c r="G444"/>
  <c r="F444"/>
  <c r="E444"/>
  <c r="D444"/>
  <c r="C444"/>
  <c r="B444"/>
  <c r="K443"/>
  <c r="J443"/>
  <c r="I443"/>
  <c r="H443"/>
  <c r="G443"/>
  <c r="F443"/>
  <c r="E443"/>
  <c r="D443"/>
  <c r="C443"/>
  <c r="B443"/>
  <c r="J442"/>
  <c r="I442"/>
  <c r="H442"/>
  <c r="G442"/>
  <c r="F442"/>
  <c r="D442"/>
  <c r="C442"/>
  <c r="B442"/>
  <c r="K441"/>
  <c r="I441"/>
  <c r="H441"/>
  <c r="G441"/>
  <c r="F441"/>
  <c r="E441"/>
  <c r="D441"/>
  <c r="C441"/>
  <c r="B441"/>
  <c r="K440"/>
  <c r="J440"/>
  <c r="I440"/>
  <c r="H440"/>
  <c r="G440"/>
  <c r="F440"/>
  <c r="E440"/>
  <c r="D440"/>
  <c r="C440"/>
  <c r="B440"/>
  <c r="J439"/>
  <c r="I439"/>
  <c r="H439"/>
  <c r="G439"/>
  <c r="F439"/>
  <c r="E439"/>
  <c r="D439"/>
  <c r="C439"/>
  <c r="B439"/>
  <c r="K438"/>
  <c r="J438"/>
  <c r="I438"/>
  <c r="H438"/>
  <c r="G438"/>
  <c r="F438"/>
  <c r="E438"/>
  <c r="D438"/>
  <c r="C438"/>
  <c r="B438"/>
  <c r="K437"/>
  <c r="J437"/>
  <c r="I437"/>
  <c r="H437"/>
  <c r="G437"/>
  <c r="F437"/>
  <c r="E437"/>
  <c r="D437"/>
  <c r="C437"/>
  <c r="B437"/>
  <c r="K436"/>
  <c r="J436"/>
  <c r="I436"/>
  <c r="H436"/>
  <c r="G436"/>
  <c r="F436"/>
  <c r="E436"/>
  <c r="D436"/>
  <c r="C436"/>
  <c r="B436"/>
  <c r="K435"/>
  <c r="J435"/>
  <c r="I435"/>
  <c r="H435"/>
  <c r="G435"/>
  <c r="F435"/>
  <c r="E435"/>
  <c r="D435"/>
  <c r="C435"/>
  <c r="B435"/>
  <c r="K434"/>
  <c r="J434"/>
  <c r="I434"/>
  <c r="H434"/>
  <c r="G434"/>
  <c r="F434"/>
  <c r="E434"/>
  <c r="D434"/>
  <c r="C434"/>
  <c r="B434"/>
  <c r="K433"/>
  <c r="J433"/>
  <c r="I433"/>
  <c r="H433"/>
  <c r="G433"/>
  <c r="F433"/>
  <c r="E433"/>
  <c r="D433"/>
  <c r="C433"/>
  <c r="B433"/>
  <c r="K432"/>
  <c r="J432"/>
  <c r="I432"/>
  <c r="H432"/>
  <c r="G432"/>
  <c r="F432"/>
  <c r="E432"/>
  <c r="D432"/>
  <c r="C432"/>
  <c r="B432"/>
  <c r="K431"/>
  <c r="J431"/>
  <c r="I431"/>
  <c r="H431"/>
  <c r="G431"/>
  <c r="F431"/>
  <c r="E431"/>
  <c r="D431"/>
  <c r="C431"/>
  <c r="B431"/>
  <c r="K430"/>
  <c r="J430"/>
  <c r="I430"/>
  <c r="H430"/>
  <c r="G430"/>
  <c r="F430"/>
  <c r="E430"/>
  <c r="D430"/>
  <c r="C430"/>
  <c r="B430"/>
  <c r="K429"/>
  <c r="J429"/>
  <c r="I429"/>
  <c r="H429"/>
  <c r="G429"/>
  <c r="F429"/>
  <c r="E429"/>
  <c r="D429"/>
  <c r="C429"/>
  <c r="B429"/>
  <c r="K428"/>
  <c r="J428"/>
  <c r="I428"/>
  <c r="H428"/>
  <c r="G428"/>
  <c r="F428"/>
  <c r="E428"/>
  <c r="D428"/>
  <c r="C428"/>
  <c r="B428"/>
  <c r="K427"/>
  <c r="J427"/>
  <c r="I427"/>
  <c r="H427"/>
  <c r="G427"/>
  <c r="F427"/>
  <c r="E427"/>
  <c r="D427"/>
  <c r="C427"/>
  <c r="B427"/>
  <c r="K426"/>
  <c r="J426"/>
  <c r="I426"/>
  <c r="H426"/>
  <c r="G426"/>
  <c r="F426"/>
  <c r="E426"/>
  <c r="D426"/>
  <c r="C426"/>
  <c r="B426"/>
  <c r="K425"/>
  <c r="J425"/>
  <c r="I425"/>
  <c r="H425"/>
  <c r="G425"/>
  <c r="F425"/>
  <c r="E425"/>
  <c r="D425"/>
  <c r="C425"/>
  <c r="B425"/>
  <c r="K424"/>
  <c r="J424"/>
  <c r="I424"/>
  <c r="H424"/>
  <c r="G424"/>
  <c r="F424"/>
  <c r="E424"/>
  <c r="D424"/>
  <c r="C424"/>
  <c r="B424"/>
  <c r="K423"/>
  <c r="J423"/>
  <c r="I423"/>
  <c r="H423"/>
  <c r="G423"/>
  <c r="F423"/>
  <c r="E423"/>
  <c r="D423"/>
  <c r="C423"/>
  <c r="B423"/>
  <c r="K422"/>
  <c r="J422"/>
  <c r="I422"/>
  <c r="H422"/>
  <c r="G422"/>
  <c r="F422"/>
  <c r="E422"/>
  <c r="D422"/>
  <c r="C422"/>
  <c r="B422"/>
  <c r="K421"/>
  <c r="J421"/>
  <c r="I421"/>
  <c r="H421"/>
  <c r="G421"/>
  <c r="F421"/>
  <c r="E421"/>
  <c r="D421"/>
  <c r="C421"/>
  <c r="B421"/>
  <c r="K420"/>
  <c r="J420"/>
  <c r="I420"/>
  <c r="H420"/>
  <c r="G420"/>
  <c r="F420"/>
  <c r="E420"/>
  <c r="D420"/>
  <c r="C420"/>
  <c r="B420"/>
  <c r="K419"/>
  <c r="J419"/>
  <c r="I419"/>
  <c r="H419"/>
  <c r="G419"/>
  <c r="F419"/>
  <c r="E419"/>
  <c r="D419"/>
  <c r="C419"/>
  <c r="B419"/>
  <c r="K418"/>
  <c r="J418"/>
  <c r="I418"/>
  <c r="H418"/>
  <c r="G418"/>
  <c r="F418"/>
  <c r="E418"/>
  <c r="D418"/>
  <c r="C418"/>
  <c r="B418"/>
  <c r="K417"/>
  <c r="J417"/>
  <c r="I417"/>
  <c r="H417"/>
  <c r="G417"/>
  <c r="F417"/>
  <c r="E417"/>
  <c r="D417"/>
  <c r="C417"/>
  <c r="B417"/>
  <c r="K416"/>
  <c r="J416"/>
  <c r="I416"/>
  <c r="H416"/>
  <c r="G416"/>
  <c r="F416"/>
  <c r="E416"/>
  <c r="D416"/>
  <c r="C416"/>
  <c r="B416"/>
  <c r="K415"/>
  <c r="J415"/>
  <c r="I415"/>
  <c r="H415"/>
  <c r="G415"/>
  <c r="F415"/>
  <c r="E415"/>
  <c r="D415"/>
  <c r="C415"/>
  <c r="B415"/>
  <c r="K414"/>
  <c r="J414"/>
  <c r="I414"/>
  <c r="H414"/>
  <c r="G414"/>
  <c r="F414"/>
  <c r="E414"/>
  <c r="D414"/>
  <c r="C414"/>
  <c r="B414"/>
  <c r="K413"/>
  <c r="J413"/>
  <c r="I413"/>
  <c r="H413"/>
  <c r="G413"/>
  <c r="F413"/>
  <c r="E413"/>
  <c r="D413"/>
  <c r="C413"/>
  <c r="B413"/>
  <c r="K412"/>
  <c r="J412"/>
  <c r="I412"/>
  <c r="H412"/>
  <c r="G412"/>
  <c r="F412"/>
  <c r="E412"/>
  <c r="D412"/>
  <c r="C412"/>
  <c r="B412"/>
  <c r="K411"/>
  <c r="J411"/>
  <c r="I411"/>
  <c r="H411"/>
  <c r="G411"/>
  <c r="F411"/>
  <c r="E411"/>
  <c r="D411"/>
  <c r="C411"/>
  <c r="B411"/>
  <c r="K410"/>
  <c r="J410"/>
  <c r="I410"/>
  <c r="H410"/>
  <c r="G410"/>
  <c r="F410"/>
  <c r="E410"/>
  <c r="D410"/>
  <c r="C410"/>
  <c r="B410"/>
  <c r="K409"/>
  <c r="J409"/>
  <c r="I409"/>
  <c r="H409"/>
  <c r="G409"/>
  <c r="F409"/>
  <c r="E409"/>
  <c r="D409"/>
  <c r="C409"/>
  <c r="B409"/>
  <c r="K408"/>
  <c r="J408"/>
  <c r="I408"/>
  <c r="H408"/>
  <c r="G408"/>
  <c r="F408"/>
  <c r="E408"/>
  <c r="D408"/>
  <c r="C408"/>
  <c r="B408"/>
  <c r="K407"/>
  <c r="J407"/>
  <c r="I407"/>
  <c r="H407"/>
  <c r="G407"/>
  <c r="F407"/>
  <c r="E407"/>
  <c r="D407"/>
  <c r="C407"/>
  <c r="B407"/>
  <c r="K406"/>
  <c r="J406"/>
  <c r="I406"/>
  <c r="H406"/>
  <c r="G406"/>
  <c r="F406"/>
  <c r="E406"/>
  <c r="D406"/>
  <c r="C406"/>
  <c r="B406"/>
  <c r="K405"/>
  <c r="J405"/>
  <c r="I405"/>
  <c r="H405"/>
  <c r="G405"/>
  <c r="F405"/>
  <c r="E405"/>
  <c r="D405"/>
  <c r="C405"/>
  <c r="B405"/>
  <c r="K404"/>
  <c r="J404"/>
  <c r="I404"/>
  <c r="H404"/>
  <c r="G404"/>
  <c r="F404"/>
  <c r="E404"/>
  <c r="D404"/>
  <c r="C404"/>
  <c r="B404"/>
  <c r="K403"/>
  <c r="J403"/>
  <c r="I403"/>
  <c r="H403"/>
  <c r="G403"/>
  <c r="F403"/>
  <c r="E403"/>
  <c r="D403"/>
  <c r="C403"/>
  <c r="B403"/>
  <c r="K402"/>
  <c r="J402"/>
  <c r="I402"/>
  <c r="H402"/>
  <c r="G402"/>
  <c r="F402"/>
  <c r="E402"/>
  <c r="D402"/>
  <c r="C402"/>
  <c r="B402"/>
  <c r="K401"/>
  <c r="J401"/>
  <c r="I401"/>
  <c r="H401"/>
  <c r="G401"/>
  <c r="F401"/>
  <c r="E401"/>
  <c r="D401"/>
  <c r="C401"/>
  <c r="B401"/>
  <c r="K400"/>
  <c r="J400"/>
  <c r="I400"/>
  <c r="H400"/>
  <c r="G400"/>
  <c r="F400"/>
  <c r="E400"/>
  <c r="D400"/>
  <c r="C400"/>
  <c r="B400"/>
  <c r="K399"/>
  <c r="J399"/>
  <c r="I399"/>
  <c r="H399"/>
  <c r="G399"/>
  <c r="F399"/>
  <c r="E399"/>
  <c r="D399"/>
  <c r="C399"/>
  <c r="B399"/>
  <c r="K398"/>
  <c r="J398"/>
  <c r="I398"/>
  <c r="H398"/>
  <c r="G398"/>
  <c r="F398"/>
  <c r="E398"/>
  <c r="D398"/>
  <c r="C398"/>
  <c r="B398"/>
  <c r="K397"/>
  <c r="J397"/>
  <c r="I397"/>
  <c r="H397"/>
  <c r="G397"/>
  <c r="F397"/>
  <c r="E397"/>
  <c r="D397"/>
  <c r="C397"/>
  <c r="B397"/>
  <c r="J396"/>
  <c r="I396"/>
  <c r="H396"/>
  <c r="G396"/>
  <c r="F396"/>
  <c r="D396"/>
  <c r="C396"/>
  <c r="B396"/>
  <c r="K395"/>
  <c r="J395"/>
  <c r="I395"/>
  <c r="H395"/>
  <c r="G395"/>
  <c r="F395"/>
  <c r="E395"/>
  <c r="D395"/>
  <c r="C395"/>
  <c r="B395"/>
  <c r="K394"/>
  <c r="J394"/>
  <c r="I394"/>
  <c r="H394"/>
  <c r="G394"/>
  <c r="F394"/>
  <c r="E394"/>
  <c r="D394"/>
  <c r="C394"/>
  <c r="B394"/>
  <c r="K393"/>
  <c r="J393"/>
  <c r="I393"/>
  <c r="H393"/>
  <c r="G393"/>
  <c r="F393"/>
  <c r="E393"/>
  <c r="D393"/>
  <c r="C393"/>
  <c r="B393"/>
  <c r="K392"/>
  <c r="J392"/>
  <c r="I392"/>
  <c r="H392"/>
  <c r="G392"/>
  <c r="F392"/>
  <c r="E392"/>
  <c r="D392"/>
  <c r="C392"/>
  <c r="B392"/>
  <c r="K391"/>
  <c r="J391"/>
  <c r="I391"/>
  <c r="H391"/>
  <c r="G391"/>
  <c r="F391"/>
  <c r="E391"/>
  <c r="D391"/>
  <c r="C391"/>
  <c r="B391"/>
  <c r="K390"/>
  <c r="J390"/>
  <c r="I390"/>
  <c r="H390"/>
  <c r="G390"/>
  <c r="F390"/>
  <c r="E390"/>
  <c r="D390"/>
  <c r="C390"/>
  <c r="B390"/>
  <c r="K389"/>
  <c r="J389"/>
  <c r="I389"/>
  <c r="H389"/>
  <c r="G389"/>
  <c r="F389"/>
  <c r="E389"/>
  <c r="D389"/>
  <c r="C389"/>
  <c r="B389"/>
  <c r="K388"/>
  <c r="J388"/>
  <c r="I388"/>
  <c r="H388"/>
  <c r="G388"/>
  <c r="F388"/>
  <c r="E388"/>
  <c r="D388"/>
  <c r="C388"/>
  <c r="B388"/>
  <c r="K387"/>
  <c r="J387"/>
  <c r="I387"/>
  <c r="H387"/>
  <c r="G387"/>
  <c r="F387"/>
  <c r="E387"/>
  <c r="D387"/>
  <c r="C387"/>
  <c r="B387"/>
  <c r="K386"/>
  <c r="J386"/>
  <c r="I386"/>
  <c r="H386"/>
  <c r="G386"/>
  <c r="F386"/>
  <c r="E386"/>
  <c r="D386"/>
  <c r="C386"/>
  <c r="B386"/>
  <c r="K385"/>
  <c r="J385"/>
  <c r="I385"/>
  <c r="H385"/>
  <c r="G385"/>
  <c r="F385"/>
  <c r="E385"/>
  <c r="D385"/>
  <c r="C385"/>
  <c r="B385"/>
  <c r="K384"/>
  <c r="J384"/>
  <c r="I384"/>
  <c r="H384"/>
  <c r="G384"/>
  <c r="F384"/>
  <c r="E384"/>
  <c r="D384"/>
  <c r="C384"/>
  <c r="B384"/>
  <c r="K383"/>
  <c r="J383"/>
  <c r="I383"/>
  <c r="H383"/>
  <c r="G383"/>
  <c r="F383"/>
  <c r="E383"/>
  <c r="D383"/>
  <c r="C383"/>
  <c r="B383"/>
  <c r="K382"/>
  <c r="J382"/>
  <c r="I382"/>
  <c r="H382"/>
  <c r="G382"/>
  <c r="F382"/>
  <c r="E382"/>
  <c r="D382"/>
  <c r="C382"/>
  <c r="B382"/>
  <c r="K381"/>
  <c r="J381"/>
  <c r="I381"/>
  <c r="H381"/>
  <c r="G381"/>
  <c r="F381"/>
  <c r="E381"/>
  <c r="D381"/>
  <c r="C381"/>
  <c r="B381"/>
  <c r="K380"/>
  <c r="J380"/>
  <c r="I380"/>
  <c r="H380"/>
  <c r="G380"/>
  <c r="F380"/>
  <c r="E380"/>
  <c r="D380"/>
  <c r="C380"/>
  <c r="B380"/>
  <c r="K379"/>
  <c r="J379"/>
  <c r="I379"/>
  <c r="H379"/>
  <c r="G379"/>
  <c r="F379"/>
  <c r="E379"/>
  <c r="D379"/>
  <c r="C379"/>
  <c r="B379"/>
  <c r="K378"/>
  <c r="J378"/>
  <c r="I378"/>
  <c r="H378"/>
  <c r="G378"/>
  <c r="F378"/>
  <c r="E378"/>
  <c r="D378"/>
  <c r="C378"/>
  <c r="B378"/>
  <c r="K377"/>
  <c r="J377"/>
  <c r="I377"/>
  <c r="H377"/>
  <c r="G377"/>
  <c r="F377"/>
  <c r="E377"/>
  <c r="D377"/>
  <c r="C377"/>
  <c r="B377"/>
  <c r="K376"/>
  <c r="J376"/>
  <c r="I376"/>
  <c r="H376"/>
  <c r="G376"/>
  <c r="F376"/>
  <c r="E376"/>
  <c r="D376"/>
  <c r="C376"/>
  <c r="B376"/>
  <c r="K375"/>
  <c r="J375"/>
  <c r="I375"/>
  <c r="H375"/>
  <c r="G375"/>
  <c r="F375"/>
  <c r="E375"/>
  <c r="D375"/>
  <c r="C375"/>
  <c r="B375"/>
  <c r="K374"/>
  <c r="J374"/>
  <c r="I374"/>
  <c r="H374"/>
  <c r="G374"/>
  <c r="F374"/>
  <c r="E374"/>
  <c r="D374"/>
  <c r="C374"/>
  <c r="B374"/>
  <c r="K373"/>
  <c r="J373"/>
  <c r="I373"/>
  <c r="H373"/>
  <c r="G373"/>
  <c r="F373"/>
  <c r="E373"/>
  <c r="D373"/>
  <c r="C373"/>
  <c r="B373"/>
  <c r="K372"/>
  <c r="J372"/>
  <c r="I372"/>
  <c r="H372"/>
  <c r="G372"/>
  <c r="F372"/>
  <c r="E372"/>
  <c r="D372"/>
  <c r="C372"/>
  <c r="B372"/>
  <c r="K371"/>
  <c r="J371"/>
  <c r="I371"/>
  <c r="H371"/>
  <c r="G371"/>
  <c r="F371"/>
  <c r="E371"/>
  <c r="D371"/>
  <c r="C371"/>
  <c r="B371"/>
  <c r="K370"/>
  <c r="J370"/>
  <c r="I370"/>
  <c r="H370"/>
  <c r="G370"/>
  <c r="F370"/>
  <c r="E370"/>
  <c r="D370"/>
  <c r="C370"/>
  <c r="B370"/>
  <c r="K369"/>
  <c r="J369"/>
  <c r="I369"/>
  <c r="H369"/>
  <c r="G369"/>
  <c r="F369"/>
  <c r="E369"/>
  <c r="D369"/>
  <c r="C369"/>
  <c r="B369"/>
  <c r="K368"/>
  <c r="J368"/>
  <c r="I368"/>
  <c r="H368"/>
  <c r="G368"/>
  <c r="F368"/>
  <c r="E368"/>
  <c r="D368"/>
  <c r="C368"/>
  <c r="B368"/>
  <c r="K367"/>
  <c r="J367"/>
  <c r="I367"/>
  <c r="H367"/>
  <c r="G367"/>
  <c r="F367"/>
  <c r="E367"/>
  <c r="D367"/>
  <c r="C367"/>
  <c r="B367"/>
  <c r="K366"/>
  <c r="J366"/>
  <c r="I366"/>
  <c r="H366"/>
  <c r="G366"/>
  <c r="F366"/>
  <c r="E366"/>
  <c r="D366"/>
  <c r="C366"/>
  <c r="B366"/>
  <c r="K365"/>
  <c r="J365"/>
  <c r="I365"/>
  <c r="H365"/>
  <c r="G365"/>
  <c r="F365"/>
  <c r="E365"/>
  <c r="D365"/>
  <c r="C365"/>
  <c r="B365"/>
  <c r="K364"/>
  <c r="J364"/>
  <c r="I364"/>
  <c r="H364"/>
  <c r="G364"/>
  <c r="F364"/>
  <c r="E364"/>
  <c r="D364"/>
  <c r="C364"/>
  <c r="B364"/>
  <c r="K363"/>
  <c r="J363"/>
  <c r="I363"/>
  <c r="H363"/>
  <c r="G363"/>
  <c r="F363"/>
  <c r="E363"/>
  <c r="D363"/>
  <c r="C363"/>
  <c r="B363"/>
  <c r="K362"/>
  <c r="J362"/>
  <c r="I362"/>
  <c r="H362"/>
  <c r="G362"/>
  <c r="F362"/>
  <c r="E362"/>
  <c r="D362"/>
  <c r="C362"/>
  <c r="B362"/>
  <c r="K361"/>
  <c r="J361"/>
  <c r="I361"/>
  <c r="H361"/>
  <c r="G361"/>
  <c r="F361"/>
  <c r="E361"/>
  <c r="D361"/>
  <c r="C361"/>
  <c r="B361"/>
  <c r="K360"/>
  <c r="J360"/>
  <c r="I360"/>
  <c r="H360"/>
  <c r="G360"/>
  <c r="F360"/>
  <c r="E360"/>
  <c r="D360"/>
  <c r="C360"/>
  <c r="B360"/>
  <c r="K359"/>
  <c r="J359"/>
  <c r="I359"/>
  <c r="H359"/>
  <c r="G359"/>
  <c r="F359"/>
  <c r="E359"/>
  <c r="D359"/>
  <c r="C359"/>
  <c r="B359"/>
  <c r="K358"/>
  <c r="J358"/>
  <c r="I358"/>
  <c r="H358"/>
  <c r="G358"/>
  <c r="F358"/>
  <c r="E358"/>
  <c r="D358"/>
  <c r="C358"/>
  <c r="B358"/>
  <c r="K357"/>
  <c r="J357"/>
  <c r="I357"/>
  <c r="H357"/>
  <c r="G357"/>
  <c r="F357"/>
  <c r="E357"/>
  <c r="D357"/>
  <c r="C357"/>
  <c r="B357"/>
  <c r="K356"/>
  <c r="J356"/>
  <c r="I356"/>
  <c r="H356"/>
  <c r="G356"/>
  <c r="F356"/>
  <c r="E356"/>
  <c r="D356"/>
  <c r="C356"/>
  <c r="B356"/>
  <c r="K355"/>
  <c r="J355"/>
  <c r="I355"/>
  <c r="H355"/>
  <c r="G355"/>
  <c r="F355"/>
  <c r="E355"/>
  <c r="D355"/>
  <c r="C355"/>
  <c r="B355"/>
  <c r="K354"/>
  <c r="J354"/>
  <c r="I354"/>
  <c r="H354"/>
  <c r="G354"/>
  <c r="F354"/>
  <c r="E354"/>
  <c r="D354"/>
  <c r="C354"/>
  <c r="B354"/>
  <c r="K353"/>
  <c r="J353"/>
  <c r="I353"/>
  <c r="H353"/>
  <c r="G353"/>
  <c r="F353"/>
  <c r="E353"/>
  <c r="D353"/>
  <c r="C353"/>
  <c r="B353"/>
  <c r="K352"/>
  <c r="J352"/>
  <c r="I352"/>
  <c r="H352"/>
  <c r="G352"/>
  <c r="F352"/>
  <c r="E352"/>
  <c r="D352"/>
  <c r="C352"/>
  <c r="B352"/>
  <c r="K351"/>
  <c r="J351"/>
  <c r="I351"/>
  <c r="H351"/>
  <c r="G351"/>
  <c r="F351"/>
  <c r="E351"/>
  <c r="D351"/>
  <c r="C351"/>
  <c r="B351"/>
  <c r="K350"/>
  <c r="J350"/>
  <c r="I350"/>
  <c r="H350"/>
  <c r="G350"/>
  <c r="F350"/>
  <c r="E350"/>
  <c r="D350"/>
  <c r="C350"/>
  <c r="B350"/>
  <c r="K349"/>
  <c r="J349"/>
  <c r="I349"/>
  <c r="H349"/>
  <c r="G349"/>
  <c r="F349"/>
  <c r="E349"/>
  <c r="D349"/>
  <c r="C349"/>
  <c r="B349"/>
  <c r="K348"/>
  <c r="J348"/>
  <c r="I348"/>
  <c r="H348"/>
  <c r="G348"/>
  <c r="F348"/>
  <c r="E348"/>
  <c r="D348"/>
  <c r="C348"/>
  <c r="B348"/>
  <c r="K347"/>
  <c r="J347"/>
  <c r="I347"/>
  <c r="H347"/>
  <c r="G347"/>
  <c r="F347"/>
  <c r="E347"/>
  <c r="D347"/>
  <c r="C347"/>
  <c r="B347"/>
  <c r="K346"/>
  <c r="J346"/>
  <c r="I346"/>
  <c r="H346"/>
  <c r="G346"/>
  <c r="F346"/>
  <c r="E346"/>
  <c r="D346"/>
  <c r="C346"/>
  <c r="B346"/>
  <c r="K345"/>
  <c r="J345"/>
  <c r="I345"/>
  <c r="H345"/>
  <c r="G345"/>
  <c r="F345"/>
  <c r="E345"/>
  <c r="D345"/>
  <c r="C345"/>
  <c r="B345"/>
  <c r="K344"/>
  <c r="J344"/>
  <c r="I344"/>
  <c r="H344"/>
  <c r="G344"/>
  <c r="F344"/>
  <c r="E344"/>
  <c r="D344"/>
  <c r="C344"/>
  <c r="B344"/>
  <c r="K343"/>
  <c r="J343"/>
  <c r="I343"/>
  <c r="H343"/>
  <c r="G343"/>
  <c r="F343"/>
  <c r="E343"/>
  <c r="D343"/>
  <c r="C343"/>
  <c r="B343"/>
  <c r="K342"/>
  <c r="J342"/>
  <c r="I342"/>
  <c r="H342"/>
  <c r="G342"/>
  <c r="F342"/>
  <c r="E342"/>
  <c r="D342"/>
  <c r="C342"/>
  <c r="B342"/>
  <c r="K341"/>
  <c r="J341"/>
  <c r="I341"/>
  <c r="H341"/>
  <c r="G341"/>
  <c r="F341"/>
  <c r="E341"/>
  <c r="D341"/>
  <c r="C341"/>
  <c r="B341"/>
  <c r="J340"/>
  <c r="I340"/>
  <c r="H340"/>
  <c r="G340"/>
  <c r="F340"/>
  <c r="D340"/>
  <c r="C340"/>
  <c r="B340"/>
  <c r="J339"/>
  <c r="I339"/>
  <c r="H339"/>
  <c r="G339"/>
  <c r="F339"/>
  <c r="C339"/>
  <c r="B339"/>
  <c r="K338"/>
  <c r="I338"/>
  <c r="H338"/>
  <c r="G338"/>
  <c r="F338"/>
  <c r="D338"/>
  <c r="C338"/>
  <c r="B338"/>
  <c r="K337"/>
  <c r="I337"/>
  <c r="H337"/>
  <c r="G337"/>
  <c r="F337"/>
  <c r="D337"/>
  <c r="C337"/>
  <c r="B337"/>
  <c r="K336"/>
  <c r="I336"/>
  <c r="H336"/>
  <c r="G336"/>
  <c r="F336"/>
  <c r="D336"/>
  <c r="C336"/>
  <c r="B336"/>
  <c r="I335"/>
  <c r="H335"/>
  <c r="G335"/>
  <c r="F335"/>
  <c r="D335"/>
  <c r="C335"/>
  <c r="B335"/>
  <c r="K334"/>
  <c r="I334"/>
  <c r="H334"/>
  <c r="G334"/>
  <c r="F334"/>
  <c r="D334"/>
  <c r="C334"/>
  <c r="B334"/>
  <c r="K333"/>
  <c r="I333"/>
  <c r="H333"/>
  <c r="G333"/>
  <c r="F333"/>
  <c r="D333"/>
  <c r="C333"/>
  <c r="B333"/>
  <c r="K332"/>
  <c r="I332"/>
  <c r="H332"/>
  <c r="G332"/>
  <c r="F332"/>
  <c r="D332"/>
  <c r="C332"/>
  <c r="B332"/>
  <c r="K331"/>
  <c r="I331"/>
  <c r="H331"/>
  <c r="G331"/>
  <c r="F331"/>
  <c r="D331"/>
  <c r="C331"/>
  <c r="B331"/>
  <c r="K330"/>
  <c r="I330"/>
  <c r="H330"/>
  <c r="G330"/>
  <c r="F330"/>
  <c r="C330"/>
  <c r="B330"/>
  <c r="J329"/>
  <c r="I329"/>
  <c r="H329"/>
  <c r="G329"/>
  <c r="F329"/>
  <c r="D329"/>
  <c r="C329"/>
  <c r="B329"/>
  <c r="J328"/>
  <c r="I328"/>
  <c r="H328"/>
  <c r="G328"/>
  <c r="F328"/>
  <c r="D328"/>
  <c r="C328"/>
  <c r="B328"/>
  <c r="J327"/>
  <c r="I327"/>
  <c r="H327"/>
  <c r="G327"/>
  <c r="F327"/>
  <c r="D327"/>
  <c r="C327"/>
  <c r="B327"/>
  <c r="K326"/>
  <c r="J326"/>
  <c r="I326"/>
  <c r="H326"/>
  <c r="G326"/>
  <c r="F326"/>
  <c r="C326"/>
  <c r="B326"/>
  <c r="K325"/>
  <c r="J325"/>
  <c r="I325"/>
  <c r="H325"/>
  <c r="G325"/>
  <c r="F325"/>
  <c r="E325"/>
  <c r="D325"/>
  <c r="C325"/>
  <c r="B325"/>
  <c r="K324"/>
  <c r="J324"/>
  <c r="I324"/>
  <c r="H324"/>
  <c r="G324"/>
  <c r="F324"/>
  <c r="E324"/>
  <c r="D324"/>
  <c r="C324"/>
  <c r="B324"/>
  <c r="K323"/>
  <c r="J323"/>
  <c r="I323"/>
  <c r="H323"/>
  <c r="G323"/>
  <c r="F323"/>
  <c r="E323"/>
  <c r="D323"/>
  <c r="C323"/>
  <c r="B323"/>
  <c r="K322"/>
  <c r="J322"/>
  <c r="I322"/>
  <c r="H322"/>
  <c r="G322"/>
  <c r="F322"/>
  <c r="E322"/>
  <c r="D322"/>
  <c r="C322"/>
  <c r="B322"/>
  <c r="K321"/>
  <c r="J321"/>
  <c r="I321"/>
  <c r="H321"/>
  <c r="G321"/>
  <c r="F321"/>
  <c r="E321"/>
  <c r="D321"/>
  <c r="C321"/>
  <c r="B321"/>
  <c r="K320"/>
  <c r="J320"/>
  <c r="I320"/>
  <c r="H320"/>
  <c r="G320"/>
  <c r="F320"/>
  <c r="E320"/>
  <c r="D320"/>
  <c r="C320"/>
  <c r="B320"/>
  <c r="K319"/>
  <c r="J319"/>
  <c r="I319"/>
  <c r="H319"/>
  <c r="G319"/>
  <c r="F319"/>
  <c r="E319"/>
  <c r="D319"/>
  <c r="C319"/>
  <c r="B319"/>
  <c r="K318"/>
  <c r="J318"/>
  <c r="I318"/>
  <c r="H318"/>
  <c r="G318"/>
  <c r="F318"/>
  <c r="E318"/>
  <c r="D318"/>
  <c r="C318"/>
  <c r="B318"/>
  <c r="K317"/>
  <c r="J317"/>
  <c r="I317"/>
  <c r="H317"/>
  <c r="G317"/>
  <c r="F317"/>
  <c r="E317"/>
  <c r="D317"/>
  <c r="C317"/>
  <c r="B317"/>
  <c r="K316"/>
  <c r="J316"/>
  <c r="I316"/>
  <c r="H316"/>
  <c r="G316"/>
  <c r="F316"/>
  <c r="E316"/>
  <c r="D316"/>
  <c r="C316"/>
  <c r="B316"/>
  <c r="K315"/>
  <c r="J315"/>
  <c r="I315"/>
  <c r="H315"/>
  <c r="G315"/>
  <c r="F315"/>
  <c r="E315"/>
  <c r="D315"/>
  <c r="C315"/>
  <c r="B315"/>
  <c r="K314"/>
  <c r="J314"/>
  <c r="I314"/>
  <c r="H314"/>
  <c r="G314"/>
  <c r="F314"/>
  <c r="E314"/>
  <c r="D314"/>
  <c r="C314"/>
  <c r="B314"/>
  <c r="K313"/>
  <c r="J313"/>
  <c r="I313"/>
  <c r="H313"/>
  <c r="G313"/>
  <c r="F313"/>
  <c r="E313"/>
  <c r="D313"/>
  <c r="C313"/>
  <c r="B313"/>
  <c r="K312"/>
  <c r="J312"/>
  <c r="I312"/>
  <c r="H312"/>
  <c r="G312"/>
  <c r="F312"/>
  <c r="E312"/>
  <c r="D312"/>
  <c r="C312"/>
  <c r="B312"/>
  <c r="K311"/>
  <c r="J311"/>
  <c r="I311"/>
  <c r="H311"/>
  <c r="G311"/>
  <c r="F311"/>
  <c r="E311"/>
  <c r="D311"/>
  <c r="C311"/>
  <c r="B311"/>
  <c r="J310"/>
  <c r="I310"/>
  <c r="H310"/>
  <c r="G310"/>
  <c r="F310"/>
  <c r="E310"/>
  <c r="D310"/>
  <c r="C310"/>
  <c r="B310"/>
  <c r="K309"/>
  <c r="J309"/>
  <c r="I309"/>
  <c r="H309"/>
  <c r="G309"/>
  <c r="F309"/>
  <c r="E309"/>
  <c r="D309"/>
  <c r="C309"/>
  <c r="B309"/>
  <c r="J308"/>
  <c r="I308"/>
  <c r="H308"/>
  <c r="G308"/>
  <c r="F308"/>
  <c r="E308"/>
  <c r="D308"/>
  <c r="C308"/>
  <c r="B308"/>
  <c r="K307"/>
  <c r="J307"/>
  <c r="I307"/>
  <c r="H307"/>
  <c r="G307"/>
  <c r="F307"/>
  <c r="E307"/>
  <c r="D307"/>
  <c r="C307"/>
  <c r="B307"/>
  <c r="K306"/>
  <c r="J306"/>
  <c r="I306"/>
  <c r="H306"/>
  <c r="G306"/>
  <c r="F306"/>
  <c r="E306"/>
  <c r="D306"/>
  <c r="C306"/>
  <c r="B306"/>
  <c r="K305"/>
  <c r="J305"/>
  <c r="I305"/>
  <c r="H305"/>
  <c r="G305"/>
  <c r="F305"/>
  <c r="E305"/>
  <c r="D305"/>
  <c r="C305"/>
  <c r="B305"/>
  <c r="K304"/>
  <c r="J304"/>
  <c r="I304"/>
  <c r="H304"/>
  <c r="G304"/>
  <c r="F304"/>
  <c r="E304"/>
  <c r="D304"/>
  <c r="C304"/>
  <c r="B304"/>
  <c r="K303"/>
  <c r="J303"/>
  <c r="I303"/>
  <c r="H303"/>
  <c r="G303"/>
  <c r="F303"/>
  <c r="E303"/>
  <c r="D303"/>
  <c r="C303"/>
  <c r="B303"/>
  <c r="K302"/>
  <c r="J302"/>
  <c r="I302"/>
  <c r="H302"/>
  <c r="G302"/>
  <c r="F302"/>
  <c r="E302"/>
  <c r="D302"/>
  <c r="C302"/>
  <c r="B302"/>
  <c r="K301"/>
  <c r="J301"/>
  <c r="I301"/>
  <c r="H301"/>
  <c r="G301"/>
  <c r="F301"/>
  <c r="E301"/>
  <c r="D301"/>
  <c r="C301"/>
  <c r="B301"/>
  <c r="J300"/>
  <c r="I300"/>
  <c r="H300"/>
  <c r="G300"/>
  <c r="F300"/>
  <c r="E300"/>
  <c r="D300"/>
  <c r="C300"/>
  <c r="B300"/>
  <c r="K299"/>
  <c r="J299"/>
  <c r="I299"/>
  <c r="H299"/>
  <c r="G299"/>
  <c r="F299"/>
  <c r="E299"/>
  <c r="D299"/>
  <c r="C299"/>
  <c r="B299"/>
  <c r="K298"/>
  <c r="J298"/>
  <c r="I298"/>
  <c r="H298"/>
  <c r="G298"/>
  <c r="F298"/>
  <c r="E298"/>
  <c r="D298"/>
  <c r="C298"/>
  <c r="B298"/>
  <c r="K297"/>
  <c r="J297"/>
  <c r="I297"/>
  <c r="H297"/>
  <c r="G297"/>
  <c r="F297"/>
  <c r="E297"/>
  <c r="D297"/>
  <c r="C297"/>
  <c r="B297"/>
  <c r="K296"/>
  <c r="J296"/>
  <c r="I296"/>
  <c r="H296"/>
  <c r="G296"/>
  <c r="F296"/>
  <c r="E296"/>
  <c r="D296"/>
  <c r="C296"/>
  <c r="B296"/>
  <c r="K295"/>
  <c r="J295"/>
  <c r="I295"/>
  <c r="H295"/>
  <c r="G295"/>
  <c r="F295"/>
  <c r="E295"/>
  <c r="D295"/>
  <c r="C295"/>
  <c r="B295"/>
  <c r="K294"/>
  <c r="J294"/>
  <c r="I294"/>
  <c r="H294"/>
  <c r="G294"/>
  <c r="F294"/>
  <c r="E294"/>
  <c r="D294"/>
  <c r="C294"/>
  <c r="B294"/>
  <c r="K293"/>
  <c r="J293"/>
  <c r="I293"/>
  <c r="H293"/>
  <c r="G293"/>
  <c r="F293"/>
  <c r="E293"/>
  <c r="D293"/>
  <c r="C293"/>
  <c r="B293"/>
  <c r="K292"/>
  <c r="J292"/>
  <c r="I292"/>
  <c r="H292"/>
  <c r="G292"/>
  <c r="F292"/>
  <c r="E292"/>
  <c r="D292"/>
  <c r="C292"/>
  <c r="B292"/>
  <c r="K291"/>
  <c r="J291"/>
  <c r="I291"/>
  <c r="H291"/>
  <c r="G291"/>
  <c r="F291"/>
  <c r="E291"/>
  <c r="D291"/>
  <c r="C291"/>
  <c r="B291"/>
  <c r="K290"/>
  <c r="J290"/>
  <c r="I290"/>
  <c r="H290"/>
  <c r="G290"/>
  <c r="F290"/>
  <c r="E290"/>
  <c r="D290"/>
  <c r="C290"/>
  <c r="B290"/>
  <c r="K289"/>
  <c r="J289"/>
  <c r="I289"/>
  <c r="H289"/>
  <c r="G289"/>
  <c r="F289"/>
  <c r="E289"/>
  <c r="D289"/>
  <c r="C289"/>
  <c r="B289"/>
  <c r="K288"/>
  <c r="J288"/>
  <c r="I288"/>
  <c r="H288"/>
  <c r="G288"/>
  <c r="F288"/>
  <c r="E288"/>
  <c r="D288"/>
  <c r="C288"/>
  <c r="B288"/>
  <c r="J287"/>
  <c r="I287"/>
  <c r="H287"/>
  <c r="G287"/>
  <c r="F287"/>
  <c r="D287"/>
  <c r="C287"/>
  <c r="B287"/>
  <c r="K286"/>
  <c r="J286"/>
  <c r="I286"/>
  <c r="H286"/>
  <c r="G286"/>
  <c r="F286"/>
  <c r="E286"/>
  <c r="D286"/>
  <c r="C286"/>
  <c r="B286"/>
  <c r="K285"/>
  <c r="J285"/>
  <c r="I285"/>
  <c r="H285"/>
  <c r="G285"/>
  <c r="F285"/>
  <c r="E285"/>
  <c r="D285"/>
  <c r="C285"/>
  <c r="B285"/>
  <c r="K284"/>
  <c r="J284"/>
  <c r="I284"/>
  <c r="H284"/>
  <c r="G284"/>
  <c r="F284"/>
  <c r="E284"/>
  <c r="D284"/>
  <c r="C284"/>
  <c r="B284"/>
  <c r="J283"/>
  <c r="I283"/>
  <c r="H283"/>
  <c r="G283"/>
  <c r="F283"/>
  <c r="D283"/>
  <c r="C283"/>
  <c r="B283"/>
  <c r="K282"/>
  <c r="J282"/>
  <c r="I282"/>
  <c r="H282"/>
  <c r="G282"/>
  <c r="F282"/>
  <c r="E282"/>
  <c r="D282"/>
  <c r="C282"/>
  <c r="B282"/>
  <c r="K281"/>
  <c r="J281"/>
  <c r="I281"/>
  <c r="H281"/>
  <c r="G281"/>
  <c r="F281"/>
  <c r="E281"/>
  <c r="D281"/>
  <c r="C281"/>
  <c r="B281"/>
  <c r="K280"/>
  <c r="J280"/>
  <c r="I280"/>
  <c r="H280"/>
  <c r="G280"/>
  <c r="F280"/>
  <c r="E280"/>
  <c r="D280"/>
  <c r="C280"/>
  <c r="B280"/>
  <c r="K279"/>
  <c r="J279"/>
  <c r="I279"/>
  <c r="H279"/>
  <c r="G279"/>
  <c r="F279"/>
  <c r="E279"/>
  <c r="D279"/>
  <c r="C279"/>
  <c r="B279"/>
  <c r="K278"/>
  <c r="J278"/>
  <c r="I278"/>
  <c r="H278"/>
  <c r="G278"/>
  <c r="F278"/>
  <c r="E278"/>
  <c r="D278"/>
  <c r="C278"/>
  <c r="B278"/>
  <c r="J277"/>
  <c r="I277"/>
  <c r="H277"/>
  <c r="G277"/>
  <c r="F277"/>
  <c r="E277"/>
  <c r="D277"/>
  <c r="C277"/>
  <c r="B277"/>
  <c r="K276"/>
  <c r="J276"/>
  <c r="I276"/>
  <c r="H276"/>
  <c r="G276"/>
  <c r="F276"/>
  <c r="E276"/>
  <c r="D276"/>
  <c r="C276"/>
  <c r="B276"/>
  <c r="K275"/>
  <c r="J275"/>
  <c r="I275"/>
  <c r="H275"/>
  <c r="G275"/>
  <c r="F275"/>
  <c r="E275"/>
  <c r="D275"/>
  <c r="C275"/>
  <c r="B275"/>
  <c r="K274"/>
  <c r="J274"/>
  <c r="I274"/>
  <c r="H274"/>
  <c r="G274"/>
  <c r="F274"/>
  <c r="E274"/>
  <c r="D274"/>
  <c r="C274"/>
  <c r="B274"/>
  <c r="K273"/>
  <c r="J273"/>
  <c r="I273"/>
  <c r="H273"/>
  <c r="G273"/>
  <c r="F273"/>
  <c r="E273"/>
  <c r="D273"/>
  <c r="C273"/>
  <c r="B273"/>
  <c r="K272"/>
  <c r="J272"/>
  <c r="I272"/>
  <c r="H272"/>
  <c r="G272"/>
  <c r="F272"/>
  <c r="E272"/>
  <c r="D272"/>
  <c r="C272"/>
  <c r="B272"/>
  <c r="K271"/>
  <c r="J271"/>
  <c r="I271"/>
  <c r="H271"/>
  <c r="G271"/>
  <c r="F271"/>
  <c r="E271"/>
  <c r="D271"/>
  <c r="C271"/>
  <c r="B271"/>
  <c r="K270"/>
  <c r="J270"/>
  <c r="I270"/>
  <c r="H270"/>
  <c r="G270"/>
  <c r="F270"/>
  <c r="E270"/>
  <c r="D270"/>
  <c r="C270"/>
  <c r="B270"/>
  <c r="K269"/>
  <c r="J269"/>
  <c r="I269"/>
  <c r="H269"/>
  <c r="G269"/>
  <c r="F269"/>
  <c r="E269"/>
  <c r="D269"/>
  <c r="C269"/>
  <c r="B269"/>
  <c r="K268"/>
  <c r="J268"/>
  <c r="I268"/>
  <c r="H268"/>
  <c r="G268"/>
  <c r="F268"/>
  <c r="E268"/>
  <c r="D268"/>
  <c r="C268"/>
  <c r="B268"/>
  <c r="J267"/>
  <c r="I267"/>
  <c r="H267"/>
  <c r="G267"/>
  <c r="F267"/>
  <c r="D267"/>
  <c r="C267"/>
  <c r="B267"/>
  <c r="K266"/>
  <c r="J266"/>
  <c r="I266"/>
  <c r="H266"/>
  <c r="G266"/>
  <c r="F266"/>
  <c r="E266"/>
  <c r="D266"/>
  <c r="C266"/>
  <c r="B266"/>
  <c r="K265"/>
  <c r="J265"/>
  <c r="I265"/>
  <c r="H265"/>
  <c r="G265"/>
  <c r="F265"/>
  <c r="E265"/>
  <c r="D265"/>
  <c r="C265"/>
  <c r="B265"/>
  <c r="K264"/>
  <c r="J264"/>
  <c r="I264"/>
  <c r="H264"/>
  <c r="G264"/>
  <c r="F264"/>
  <c r="E264"/>
  <c r="D264"/>
  <c r="C264"/>
  <c r="B264"/>
  <c r="K263"/>
  <c r="J263"/>
  <c r="I263"/>
  <c r="H263"/>
  <c r="G263"/>
  <c r="F263"/>
  <c r="E263"/>
  <c r="D263"/>
  <c r="C263"/>
  <c r="B263"/>
  <c r="K262"/>
  <c r="J262"/>
  <c r="I262"/>
  <c r="H262"/>
  <c r="G262"/>
  <c r="F262"/>
  <c r="E262"/>
  <c r="D262"/>
  <c r="C262"/>
  <c r="B262"/>
  <c r="K261"/>
  <c r="J261"/>
  <c r="I261"/>
  <c r="H261"/>
  <c r="G261"/>
  <c r="F261"/>
  <c r="E261"/>
  <c r="D261"/>
  <c r="C261"/>
  <c r="B261"/>
  <c r="K260"/>
  <c r="J260"/>
  <c r="I260"/>
  <c r="H260"/>
  <c r="G260"/>
  <c r="F260"/>
  <c r="E260"/>
  <c r="D260"/>
  <c r="C260"/>
  <c r="B260"/>
  <c r="K259"/>
  <c r="J259"/>
  <c r="I259"/>
  <c r="H259"/>
  <c r="G259"/>
  <c r="F259"/>
  <c r="E259"/>
  <c r="D259"/>
  <c r="C259"/>
  <c r="B259"/>
  <c r="K258"/>
  <c r="J258"/>
  <c r="I258"/>
  <c r="H258"/>
  <c r="G258"/>
  <c r="F258"/>
  <c r="E258"/>
  <c r="D258"/>
  <c r="C258"/>
  <c r="B258"/>
  <c r="K257"/>
  <c r="J257"/>
  <c r="I257"/>
  <c r="H257"/>
  <c r="G257"/>
  <c r="F257"/>
  <c r="E257"/>
  <c r="D257"/>
  <c r="C257"/>
  <c r="B257"/>
  <c r="K256"/>
  <c r="J256"/>
  <c r="I256"/>
  <c r="H256"/>
  <c r="G256"/>
  <c r="F256"/>
  <c r="E256"/>
  <c r="D256"/>
  <c r="C256"/>
  <c r="B256"/>
  <c r="K255"/>
  <c r="J255"/>
  <c r="I255"/>
  <c r="H255"/>
  <c r="G255"/>
  <c r="F255"/>
  <c r="E255"/>
  <c r="D255"/>
  <c r="C255"/>
  <c r="B255"/>
  <c r="J254"/>
  <c r="I254"/>
  <c r="H254"/>
  <c r="G254"/>
  <c r="F254"/>
  <c r="E254"/>
  <c r="D254"/>
  <c r="C254"/>
  <c r="B254"/>
  <c r="K253"/>
  <c r="J253"/>
  <c r="I253"/>
  <c r="H253"/>
  <c r="G253"/>
  <c r="F253"/>
  <c r="E253"/>
  <c r="D253"/>
  <c r="C253"/>
  <c r="B253"/>
  <c r="K252"/>
  <c r="J252"/>
  <c r="I252"/>
  <c r="H252"/>
  <c r="G252"/>
  <c r="F252"/>
  <c r="E252"/>
  <c r="D252"/>
  <c r="C252"/>
  <c r="B252"/>
  <c r="K251"/>
  <c r="J251"/>
  <c r="I251"/>
  <c r="H251"/>
  <c r="G251"/>
  <c r="F251"/>
  <c r="E251"/>
  <c r="D251"/>
  <c r="C251"/>
  <c r="B251"/>
  <c r="K250"/>
  <c r="J250"/>
  <c r="I250"/>
  <c r="H250"/>
  <c r="G250"/>
  <c r="F250"/>
  <c r="E250"/>
  <c r="D250"/>
  <c r="C250"/>
  <c r="B250"/>
  <c r="K249"/>
  <c r="J249"/>
  <c r="I249"/>
  <c r="H249"/>
  <c r="G249"/>
  <c r="F249"/>
  <c r="E249"/>
  <c r="D249"/>
  <c r="C249"/>
  <c r="B249"/>
  <c r="K248"/>
  <c r="J248"/>
  <c r="I248"/>
  <c r="H248"/>
  <c r="G248"/>
  <c r="F248"/>
  <c r="E248"/>
  <c r="D248"/>
  <c r="C248"/>
  <c r="B248"/>
  <c r="K247"/>
  <c r="J247"/>
  <c r="I247"/>
  <c r="H247"/>
  <c r="G247"/>
  <c r="F247"/>
  <c r="E247"/>
  <c r="D247"/>
  <c r="C247"/>
  <c r="B247"/>
  <c r="K246"/>
  <c r="J246"/>
  <c r="I246"/>
  <c r="H246"/>
  <c r="G246"/>
  <c r="F246"/>
  <c r="E246"/>
  <c r="D246"/>
  <c r="C246"/>
  <c r="B246"/>
  <c r="K245"/>
  <c r="J245"/>
  <c r="I245"/>
  <c r="H245"/>
  <c r="G245"/>
  <c r="F245"/>
  <c r="E245"/>
  <c r="D245"/>
  <c r="C245"/>
  <c r="B245"/>
  <c r="K244"/>
  <c r="J244"/>
  <c r="I244"/>
  <c r="H244"/>
  <c r="G244"/>
  <c r="F244"/>
  <c r="E244"/>
  <c r="D244"/>
  <c r="C244"/>
  <c r="B244"/>
  <c r="K243"/>
  <c r="J243"/>
  <c r="I243"/>
  <c r="H243"/>
  <c r="G243"/>
  <c r="F243"/>
  <c r="E243"/>
  <c r="D243"/>
  <c r="C243"/>
  <c r="B243"/>
  <c r="K242"/>
  <c r="J242"/>
  <c r="I242"/>
  <c r="H242"/>
  <c r="G242"/>
  <c r="F242"/>
  <c r="E242"/>
  <c r="D242"/>
  <c r="C242"/>
  <c r="B242"/>
  <c r="K241"/>
  <c r="J241"/>
  <c r="I241"/>
  <c r="H241"/>
  <c r="G241"/>
  <c r="F241"/>
  <c r="E241"/>
  <c r="D241"/>
  <c r="C241"/>
  <c r="B241"/>
  <c r="K240"/>
  <c r="J240"/>
  <c r="I240"/>
  <c r="H240"/>
  <c r="G240"/>
  <c r="F240"/>
  <c r="E240"/>
  <c r="D240"/>
  <c r="C240"/>
  <c r="B240"/>
  <c r="K239"/>
  <c r="J239"/>
  <c r="I239"/>
  <c r="H239"/>
  <c r="G239"/>
  <c r="F239"/>
  <c r="E239"/>
  <c r="D239"/>
  <c r="C239"/>
  <c r="B239"/>
  <c r="K238"/>
  <c r="J238"/>
  <c r="I238"/>
  <c r="H238"/>
  <c r="G238"/>
  <c r="F238"/>
  <c r="E238"/>
  <c r="D238"/>
  <c r="C238"/>
  <c r="B238"/>
  <c r="K237"/>
  <c r="J237"/>
  <c r="I237"/>
  <c r="H237"/>
  <c r="G237"/>
  <c r="F237"/>
  <c r="E237"/>
  <c r="D237"/>
  <c r="C237"/>
  <c r="B237"/>
  <c r="K236"/>
  <c r="J236"/>
  <c r="I236"/>
  <c r="H236"/>
  <c r="G236"/>
  <c r="F236"/>
  <c r="E236"/>
  <c r="D236"/>
  <c r="C236"/>
  <c r="B236"/>
  <c r="K235"/>
  <c r="J235"/>
  <c r="I235"/>
  <c r="H235"/>
  <c r="G235"/>
  <c r="F235"/>
  <c r="E235"/>
  <c r="D235"/>
  <c r="C235"/>
  <c r="B235"/>
  <c r="K234"/>
  <c r="J234"/>
  <c r="I234"/>
  <c r="H234"/>
  <c r="G234"/>
  <c r="F234"/>
  <c r="E234"/>
  <c r="D234"/>
  <c r="C234"/>
  <c r="B234"/>
  <c r="K233"/>
  <c r="J233"/>
  <c r="I233"/>
  <c r="H233"/>
  <c r="G233"/>
  <c r="F233"/>
  <c r="E233"/>
  <c r="D233"/>
  <c r="C233"/>
  <c r="B233"/>
  <c r="K232"/>
  <c r="J232"/>
  <c r="I232"/>
  <c r="H232"/>
  <c r="G232"/>
  <c r="F232"/>
  <c r="E232"/>
  <c r="D232"/>
  <c r="C232"/>
  <c r="B232"/>
  <c r="K231"/>
  <c r="J231"/>
  <c r="I231"/>
  <c r="H231"/>
  <c r="G231"/>
  <c r="F231"/>
  <c r="E231"/>
  <c r="D231"/>
  <c r="C231"/>
  <c r="B231"/>
  <c r="K230"/>
  <c r="J230"/>
  <c r="I230"/>
  <c r="H230"/>
  <c r="G230"/>
  <c r="F230"/>
  <c r="E230"/>
  <c r="D230"/>
  <c r="C230"/>
  <c r="B230"/>
  <c r="K229"/>
  <c r="J229"/>
  <c r="I229"/>
  <c r="H229"/>
  <c r="G229"/>
  <c r="F229"/>
  <c r="E229"/>
  <c r="D229"/>
  <c r="C229"/>
  <c r="B229"/>
  <c r="K228"/>
  <c r="J228"/>
  <c r="I228"/>
  <c r="H228"/>
  <c r="G228"/>
  <c r="F228"/>
  <c r="E228"/>
  <c r="D228"/>
  <c r="C228"/>
  <c r="B228"/>
  <c r="K227"/>
  <c r="J227"/>
  <c r="I227"/>
  <c r="H227"/>
  <c r="G227"/>
  <c r="F227"/>
  <c r="E227"/>
  <c r="D227"/>
  <c r="C227"/>
  <c r="B227"/>
  <c r="J226"/>
  <c r="I226"/>
  <c r="H226"/>
  <c r="G226"/>
  <c r="F226"/>
  <c r="E226"/>
  <c r="D226"/>
  <c r="C226"/>
  <c r="B226"/>
  <c r="K225"/>
  <c r="J225"/>
  <c r="I225"/>
  <c r="H225"/>
  <c r="G225"/>
  <c r="F225"/>
  <c r="E225"/>
  <c r="D225"/>
  <c r="C225"/>
  <c r="B225"/>
  <c r="K224"/>
  <c r="J224"/>
  <c r="I224"/>
  <c r="H224"/>
  <c r="G224"/>
  <c r="F224"/>
  <c r="E224"/>
  <c r="D224"/>
  <c r="C224"/>
  <c r="B224"/>
  <c r="K223"/>
  <c r="J223"/>
  <c r="I223"/>
  <c r="H223"/>
  <c r="G223"/>
  <c r="F223"/>
  <c r="E223"/>
  <c r="D223"/>
  <c r="C223"/>
  <c r="B223"/>
  <c r="K222"/>
  <c r="J222"/>
  <c r="I222"/>
  <c r="H222"/>
  <c r="G222"/>
  <c r="F222"/>
  <c r="E222"/>
  <c r="D222"/>
  <c r="C222"/>
  <c r="B222"/>
  <c r="J221"/>
  <c r="I221"/>
  <c r="H221"/>
  <c r="G221"/>
  <c r="F221"/>
  <c r="D221"/>
  <c r="C221"/>
  <c r="B221"/>
  <c r="K220"/>
  <c r="J220"/>
  <c r="I220"/>
  <c r="H220"/>
  <c r="G220"/>
  <c r="F220"/>
  <c r="E220"/>
  <c r="D220"/>
  <c r="C220"/>
  <c r="B220"/>
  <c r="K219"/>
  <c r="J219"/>
  <c r="I219"/>
  <c r="H219"/>
  <c r="G219"/>
  <c r="F219"/>
  <c r="E219"/>
  <c r="D219"/>
  <c r="C219"/>
  <c r="B219"/>
  <c r="K218"/>
  <c r="J218"/>
  <c r="I218"/>
  <c r="H218"/>
  <c r="G218"/>
  <c r="F218"/>
  <c r="E218"/>
  <c r="D218"/>
  <c r="C218"/>
  <c r="B218"/>
  <c r="K217"/>
  <c r="J217"/>
  <c r="I217"/>
  <c r="H217"/>
  <c r="G217"/>
  <c r="F217"/>
  <c r="E217"/>
  <c r="D217"/>
  <c r="C217"/>
  <c r="B217"/>
  <c r="K216"/>
  <c r="J216"/>
  <c r="I216"/>
  <c r="H216"/>
  <c r="G216"/>
  <c r="F216"/>
  <c r="E216"/>
  <c r="D216"/>
  <c r="C216"/>
  <c r="B216"/>
  <c r="K215"/>
  <c r="J215"/>
  <c r="I215"/>
  <c r="H215"/>
  <c r="G215"/>
  <c r="F215"/>
  <c r="E215"/>
  <c r="D215"/>
  <c r="C215"/>
  <c r="B215"/>
  <c r="K214"/>
  <c r="J214"/>
  <c r="I214"/>
  <c r="H214"/>
  <c r="G214"/>
  <c r="F214"/>
  <c r="E214"/>
  <c r="D214"/>
  <c r="C214"/>
  <c r="B214"/>
  <c r="K213"/>
  <c r="J213"/>
  <c r="I213"/>
  <c r="H213"/>
  <c r="G213"/>
  <c r="F213"/>
  <c r="E213"/>
  <c r="D213"/>
  <c r="C213"/>
  <c r="B213"/>
  <c r="K212"/>
  <c r="J212"/>
  <c r="I212"/>
  <c r="H212"/>
  <c r="G212"/>
  <c r="F212"/>
  <c r="E212"/>
  <c r="D212"/>
  <c r="C212"/>
  <c r="B212"/>
  <c r="K211"/>
  <c r="J211"/>
  <c r="I211"/>
  <c r="H211"/>
  <c r="G211"/>
  <c r="F211"/>
  <c r="E211"/>
  <c r="D211"/>
  <c r="C211"/>
  <c r="B211"/>
  <c r="K210"/>
  <c r="J210"/>
  <c r="I210"/>
  <c r="H210"/>
  <c r="G210"/>
  <c r="F210"/>
  <c r="E210"/>
  <c r="D210"/>
  <c r="C210"/>
  <c r="B210"/>
  <c r="K209"/>
  <c r="J209"/>
  <c r="I209"/>
  <c r="H209"/>
  <c r="G209"/>
  <c r="F209"/>
  <c r="E209"/>
  <c r="D209"/>
  <c r="C209"/>
  <c r="B209"/>
  <c r="K208"/>
  <c r="J208"/>
  <c r="I208"/>
  <c r="H208"/>
  <c r="G208"/>
  <c r="F208"/>
  <c r="E208"/>
  <c r="D208"/>
  <c r="C208"/>
  <c r="B208"/>
  <c r="K207"/>
  <c r="J207"/>
  <c r="I207"/>
  <c r="H207"/>
  <c r="G207"/>
  <c r="F207"/>
  <c r="E207"/>
  <c r="D207"/>
  <c r="C207"/>
  <c r="B207"/>
  <c r="K206"/>
  <c r="J206"/>
  <c r="I206"/>
  <c r="H206"/>
  <c r="G206"/>
  <c r="F206"/>
  <c r="E206"/>
  <c r="D206"/>
  <c r="C206"/>
  <c r="B206"/>
  <c r="K205"/>
  <c r="J205"/>
  <c r="I205"/>
  <c r="H205"/>
  <c r="G205"/>
  <c r="F205"/>
  <c r="E205"/>
  <c r="D205"/>
  <c r="C205"/>
  <c r="B205"/>
  <c r="K204"/>
  <c r="J204"/>
  <c r="I204"/>
  <c r="H204"/>
  <c r="G204"/>
  <c r="F204"/>
  <c r="E204"/>
  <c r="D204"/>
  <c r="C204"/>
  <c r="B204"/>
  <c r="K203"/>
  <c r="J203"/>
  <c r="I203"/>
  <c r="H203"/>
  <c r="G203"/>
  <c r="F203"/>
  <c r="E203"/>
  <c r="D203"/>
  <c r="C203"/>
  <c r="B203"/>
  <c r="K202"/>
  <c r="J202"/>
  <c r="I202"/>
  <c r="H202"/>
  <c r="G202"/>
  <c r="F202"/>
  <c r="E202"/>
  <c r="D202"/>
  <c r="C202"/>
  <c r="B202"/>
  <c r="K201"/>
  <c r="J201"/>
  <c r="I201"/>
  <c r="H201"/>
  <c r="G201"/>
  <c r="F201"/>
  <c r="E201"/>
  <c r="D201"/>
  <c r="C201"/>
  <c r="B201"/>
  <c r="K200"/>
  <c r="J200"/>
  <c r="I200"/>
  <c r="H200"/>
  <c r="G200"/>
  <c r="F200"/>
  <c r="E200"/>
  <c r="D200"/>
  <c r="C200"/>
  <c r="B200"/>
  <c r="K199"/>
  <c r="J199"/>
  <c r="I199"/>
  <c r="H199"/>
  <c r="G199"/>
  <c r="F199"/>
  <c r="E199"/>
  <c r="D199"/>
  <c r="C199"/>
  <c r="B199"/>
  <c r="K198"/>
  <c r="J198"/>
  <c r="I198"/>
  <c r="H198"/>
  <c r="G198"/>
  <c r="F198"/>
  <c r="E198"/>
  <c r="D198"/>
  <c r="C198"/>
  <c r="B198"/>
  <c r="K197"/>
  <c r="J197"/>
  <c r="I197"/>
  <c r="H197"/>
  <c r="G197"/>
  <c r="F197"/>
  <c r="E197"/>
  <c r="D197"/>
  <c r="C197"/>
  <c r="B197"/>
  <c r="K196"/>
  <c r="J196"/>
  <c r="I196"/>
  <c r="H196"/>
  <c r="G196"/>
  <c r="F196"/>
  <c r="E196"/>
  <c r="D196"/>
  <c r="C196"/>
  <c r="B196"/>
  <c r="K195"/>
  <c r="J195"/>
  <c r="I195"/>
  <c r="H195"/>
  <c r="G195"/>
  <c r="F195"/>
  <c r="E195"/>
  <c r="D195"/>
  <c r="C195"/>
  <c r="B195"/>
  <c r="K194"/>
  <c r="J194"/>
  <c r="I194"/>
  <c r="H194"/>
  <c r="G194"/>
  <c r="F194"/>
  <c r="E194"/>
  <c r="D194"/>
  <c r="C194"/>
  <c r="B194"/>
  <c r="K193"/>
  <c r="J193"/>
  <c r="I193"/>
  <c r="H193"/>
  <c r="G193"/>
  <c r="F193"/>
  <c r="E193"/>
  <c r="D193"/>
  <c r="C193"/>
  <c r="B193"/>
  <c r="K192"/>
  <c r="J192"/>
  <c r="I192"/>
  <c r="H192"/>
  <c r="G192"/>
  <c r="F192"/>
  <c r="E192"/>
  <c r="D192"/>
  <c r="C192"/>
  <c r="B192"/>
  <c r="K191"/>
  <c r="J191"/>
  <c r="I191"/>
  <c r="H191"/>
  <c r="G191"/>
  <c r="F191"/>
  <c r="E191"/>
  <c r="D191"/>
  <c r="C191"/>
  <c r="B191"/>
  <c r="K190"/>
  <c r="J190"/>
  <c r="I190"/>
  <c r="H190"/>
  <c r="G190"/>
  <c r="F190"/>
  <c r="E190"/>
  <c r="D190"/>
  <c r="C190"/>
  <c r="B190"/>
  <c r="K189"/>
  <c r="J189"/>
  <c r="I189"/>
  <c r="H189"/>
  <c r="G189"/>
  <c r="F189"/>
  <c r="E189"/>
  <c r="D189"/>
  <c r="C189"/>
  <c r="B189"/>
  <c r="K188"/>
  <c r="J188"/>
  <c r="I188"/>
  <c r="H188"/>
  <c r="G188"/>
  <c r="F188"/>
  <c r="E188"/>
  <c r="D188"/>
  <c r="C188"/>
  <c r="B188"/>
  <c r="K187"/>
  <c r="J187"/>
  <c r="I187"/>
  <c r="H187"/>
  <c r="G187"/>
  <c r="F187"/>
  <c r="E187"/>
  <c r="D187"/>
  <c r="C187"/>
  <c r="B187"/>
  <c r="K186"/>
  <c r="J186"/>
  <c r="I186"/>
  <c r="H186"/>
  <c r="G186"/>
  <c r="F186"/>
  <c r="E186"/>
  <c r="D186"/>
  <c r="C186"/>
  <c r="B186"/>
  <c r="K185"/>
  <c r="J185"/>
  <c r="I185"/>
  <c r="H185"/>
  <c r="G185"/>
  <c r="F185"/>
  <c r="E185"/>
  <c r="D185"/>
  <c r="C185"/>
  <c r="B185"/>
  <c r="K184"/>
  <c r="J184"/>
  <c r="I184"/>
  <c r="H184"/>
  <c r="G184"/>
  <c r="F184"/>
  <c r="E184"/>
  <c r="D184"/>
  <c r="C184"/>
  <c r="B184"/>
  <c r="K183"/>
  <c r="J183"/>
  <c r="I183"/>
  <c r="H183"/>
  <c r="G183"/>
  <c r="F183"/>
  <c r="E183"/>
  <c r="D183"/>
  <c r="C183"/>
  <c r="B183"/>
  <c r="K182"/>
  <c r="J182"/>
  <c r="I182"/>
  <c r="H182"/>
  <c r="G182"/>
  <c r="F182"/>
  <c r="E182"/>
  <c r="D182"/>
  <c r="C182"/>
  <c r="B182"/>
  <c r="K181"/>
  <c r="J181"/>
  <c r="I181"/>
  <c r="H181"/>
  <c r="G181"/>
  <c r="F181"/>
  <c r="E181"/>
  <c r="D181"/>
  <c r="C181"/>
  <c r="B181"/>
  <c r="K180"/>
  <c r="J180"/>
  <c r="I180"/>
  <c r="H180"/>
  <c r="G180"/>
  <c r="F180"/>
  <c r="E180"/>
  <c r="D180"/>
  <c r="C180"/>
  <c r="B180"/>
  <c r="K179"/>
  <c r="J179"/>
  <c r="I179"/>
  <c r="H179"/>
  <c r="G179"/>
  <c r="F179"/>
  <c r="E179"/>
  <c r="D179"/>
  <c r="C179"/>
  <c r="B179"/>
  <c r="K178"/>
  <c r="J178"/>
  <c r="I178"/>
  <c r="H178"/>
  <c r="G178"/>
  <c r="F178"/>
  <c r="E178"/>
  <c r="D178"/>
  <c r="C178"/>
  <c r="B178"/>
  <c r="K177"/>
  <c r="J177"/>
  <c r="I177"/>
  <c r="H177"/>
  <c r="G177"/>
  <c r="F177"/>
  <c r="E177"/>
  <c r="D177"/>
  <c r="C177"/>
  <c r="B177"/>
  <c r="K176"/>
  <c r="J176"/>
  <c r="I176"/>
  <c r="H176"/>
  <c r="G176"/>
  <c r="F176"/>
  <c r="E176"/>
  <c r="D176"/>
  <c r="C176"/>
  <c r="B176"/>
  <c r="J175"/>
  <c r="I175"/>
  <c r="H175"/>
  <c r="G175"/>
  <c r="F175"/>
  <c r="D175"/>
  <c r="C175"/>
  <c r="B175"/>
  <c r="K174"/>
  <c r="J174"/>
  <c r="I174"/>
  <c r="H174"/>
  <c r="G174"/>
  <c r="F174"/>
  <c r="E174"/>
  <c r="D174"/>
  <c r="C174"/>
  <c r="B174"/>
  <c r="K173"/>
  <c r="J173"/>
  <c r="I173"/>
  <c r="H173"/>
  <c r="G173"/>
  <c r="F173"/>
  <c r="E173"/>
  <c r="D173"/>
  <c r="C173"/>
  <c r="B173"/>
  <c r="K172"/>
  <c r="J172"/>
  <c r="I172"/>
  <c r="H172"/>
  <c r="G172"/>
  <c r="F172"/>
  <c r="E172"/>
  <c r="D172"/>
  <c r="C172"/>
  <c r="B172"/>
  <c r="K171"/>
  <c r="J171"/>
  <c r="I171"/>
  <c r="H171"/>
  <c r="G171"/>
  <c r="F171"/>
  <c r="E171"/>
  <c r="D171"/>
  <c r="C171"/>
  <c r="B171"/>
  <c r="K170"/>
  <c r="J170"/>
  <c r="I170"/>
  <c r="H170"/>
  <c r="G170"/>
  <c r="F170"/>
  <c r="E170"/>
  <c r="D170"/>
  <c r="C170"/>
  <c r="B170"/>
  <c r="K169"/>
  <c r="J169"/>
  <c r="I169"/>
  <c r="H169"/>
  <c r="G169"/>
  <c r="F169"/>
  <c r="E169"/>
  <c r="D169"/>
  <c r="C169"/>
  <c r="B169"/>
  <c r="K168"/>
  <c r="J168"/>
  <c r="I168"/>
  <c r="H168"/>
  <c r="G168"/>
  <c r="F168"/>
  <c r="E168"/>
  <c r="D168"/>
  <c r="C168"/>
  <c r="B168"/>
  <c r="K167"/>
  <c r="J167"/>
  <c r="I167"/>
  <c r="H167"/>
  <c r="G167"/>
  <c r="F167"/>
  <c r="E167"/>
  <c r="D167"/>
  <c r="C167"/>
  <c r="B167"/>
  <c r="K166"/>
  <c r="J166"/>
  <c r="I166"/>
  <c r="H166"/>
  <c r="G166"/>
  <c r="F166"/>
  <c r="E166"/>
  <c r="D166"/>
  <c r="C166"/>
  <c r="B166"/>
  <c r="K165"/>
  <c r="J165"/>
  <c r="I165"/>
  <c r="H165"/>
  <c r="G165"/>
  <c r="F165"/>
  <c r="E165"/>
  <c r="D165"/>
  <c r="C165"/>
  <c r="B165"/>
  <c r="K164"/>
  <c r="J164"/>
  <c r="I164"/>
  <c r="H164"/>
  <c r="G164"/>
  <c r="F164"/>
  <c r="E164"/>
  <c r="D164"/>
  <c r="C164"/>
  <c r="B164"/>
  <c r="K163"/>
  <c r="J163"/>
  <c r="I163"/>
  <c r="H163"/>
  <c r="G163"/>
  <c r="F163"/>
  <c r="E163"/>
  <c r="D163"/>
  <c r="C163"/>
  <c r="B163"/>
  <c r="K162"/>
  <c r="J162"/>
  <c r="I162"/>
  <c r="H162"/>
  <c r="G162"/>
  <c r="F162"/>
  <c r="E162"/>
  <c r="D162"/>
  <c r="C162"/>
  <c r="B162"/>
  <c r="K161"/>
  <c r="J161"/>
  <c r="I161"/>
  <c r="H161"/>
  <c r="G161"/>
  <c r="F161"/>
  <c r="E161"/>
  <c r="D161"/>
  <c r="C161"/>
  <c r="B161"/>
  <c r="K160"/>
  <c r="J160"/>
  <c r="I160"/>
  <c r="H160"/>
  <c r="G160"/>
  <c r="F160"/>
  <c r="E160"/>
  <c r="D160"/>
  <c r="C160"/>
  <c r="B160"/>
  <c r="K159"/>
  <c r="J159"/>
  <c r="I159"/>
  <c r="H159"/>
  <c r="G159"/>
  <c r="F159"/>
  <c r="E159"/>
  <c r="D159"/>
  <c r="C159"/>
  <c r="B159"/>
  <c r="K158"/>
  <c r="J158"/>
  <c r="I158"/>
  <c r="H158"/>
  <c r="G158"/>
  <c r="F158"/>
  <c r="E158"/>
  <c r="D158"/>
  <c r="C158"/>
  <c r="B158"/>
  <c r="K157"/>
  <c r="J157"/>
  <c r="I157"/>
  <c r="H157"/>
  <c r="G157"/>
  <c r="F157"/>
  <c r="E157"/>
  <c r="D157"/>
  <c r="C157"/>
  <c r="B157"/>
  <c r="K156"/>
  <c r="J156"/>
  <c r="I156"/>
  <c r="H156"/>
  <c r="G156"/>
  <c r="F156"/>
  <c r="E156"/>
  <c r="D156"/>
  <c r="C156"/>
  <c r="B156"/>
  <c r="K155"/>
  <c r="J155"/>
  <c r="I155"/>
  <c r="H155"/>
  <c r="G155"/>
  <c r="F155"/>
  <c r="E155"/>
  <c r="D155"/>
  <c r="C155"/>
  <c r="B155"/>
  <c r="K154"/>
  <c r="J154"/>
  <c r="I154"/>
  <c r="H154"/>
  <c r="G154"/>
  <c r="F154"/>
  <c r="E154"/>
  <c r="D154"/>
  <c r="C154"/>
  <c r="B154"/>
  <c r="K153"/>
  <c r="J153"/>
  <c r="I153"/>
  <c r="H153"/>
  <c r="G153"/>
  <c r="F153"/>
  <c r="E153"/>
  <c r="D153"/>
  <c r="C153"/>
  <c r="B153"/>
  <c r="K152"/>
  <c r="J152"/>
  <c r="I152"/>
  <c r="H152"/>
  <c r="G152"/>
  <c r="F152"/>
  <c r="E152"/>
  <c r="D152"/>
  <c r="C152"/>
  <c r="B152"/>
  <c r="K151"/>
  <c r="J151"/>
  <c r="I151"/>
  <c r="H151"/>
  <c r="G151"/>
  <c r="F151"/>
  <c r="E151"/>
  <c r="D151"/>
  <c r="C151"/>
  <c r="B151"/>
  <c r="K150"/>
  <c r="J150"/>
  <c r="I150"/>
  <c r="H150"/>
  <c r="G150"/>
  <c r="F150"/>
  <c r="E150"/>
  <c r="D150"/>
  <c r="C150"/>
  <c r="B150"/>
  <c r="K149"/>
  <c r="J149"/>
  <c r="I149"/>
  <c r="H149"/>
  <c r="G149"/>
  <c r="F149"/>
  <c r="E149"/>
  <c r="D149"/>
  <c r="C149"/>
  <c r="B149"/>
  <c r="K148"/>
  <c r="J148"/>
  <c r="I148"/>
  <c r="H148"/>
  <c r="G148"/>
  <c r="F148"/>
  <c r="E148"/>
  <c r="D148"/>
  <c r="C148"/>
  <c r="B148"/>
  <c r="K147"/>
  <c r="J147"/>
  <c r="I147"/>
  <c r="H147"/>
  <c r="G147"/>
  <c r="F147"/>
  <c r="E147"/>
  <c r="D147"/>
  <c r="C147"/>
  <c r="B147"/>
  <c r="K146"/>
  <c r="J146"/>
  <c r="I146"/>
  <c r="H146"/>
  <c r="G146"/>
  <c r="F146"/>
  <c r="E146"/>
  <c r="D146"/>
  <c r="C146"/>
  <c r="B146"/>
  <c r="K145"/>
  <c r="J145"/>
  <c r="I145"/>
  <c r="H145"/>
  <c r="G145"/>
  <c r="F145"/>
  <c r="E145"/>
  <c r="D145"/>
  <c r="C145"/>
  <c r="B145"/>
  <c r="K144"/>
  <c r="J144"/>
  <c r="I144"/>
  <c r="H144"/>
  <c r="G144"/>
  <c r="F144"/>
  <c r="E144"/>
  <c r="D144"/>
  <c r="C144"/>
  <c r="B144"/>
  <c r="K143"/>
  <c r="J143"/>
  <c r="I143"/>
  <c r="H143"/>
  <c r="G143"/>
  <c r="F143"/>
  <c r="E143"/>
  <c r="D143"/>
  <c r="C143"/>
  <c r="B143"/>
  <c r="K142"/>
  <c r="J142"/>
  <c r="I142"/>
  <c r="H142"/>
  <c r="G142"/>
  <c r="F142"/>
  <c r="E142"/>
  <c r="D142"/>
  <c r="C142"/>
  <c r="B142"/>
  <c r="K141"/>
  <c r="J141"/>
  <c r="I141"/>
  <c r="H141"/>
  <c r="G141"/>
  <c r="F141"/>
  <c r="E141"/>
  <c r="D141"/>
  <c r="C141"/>
  <c r="B141"/>
  <c r="K140"/>
  <c r="J140"/>
  <c r="I140"/>
  <c r="H140"/>
  <c r="G140"/>
  <c r="F140"/>
  <c r="E140"/>
  <c r="D140"/>
  <c r="C140"/>
  <c r="B140"/>
  <c r="K139"/>
  <c r="J139"/>
  <c r="I139"/>
  <c r="H139"/>
  <c r="G139"/>
  <c r="F139"/>
  <c r="E139"/>
  <c r="D139"/>
  <c r="C139"/>
  <c r="B139"/>
  <c r="K138"/>
  <c r="J138"/>
  <c r="I138"/>
  <c r="H138"/>
  <c r="G138"/>
  <c r="F138"/>
  <c r="E138"/>
  <c r="D138"/>
  <c r="C138"/>
  <c r="B138"/>
  <c r="K137"/>
  <c r="J137"/>
  <c r="I137"/>
  <c r="H137"/>
  <c r="G137"/>
  <c r="F137"/>
  <c r="E137"/>
  <c r="D137"/>
  <c r="C137"/>
  <c r="B137"/>
  <c r="K136"/>
  <c r="J136"/>
  <c r="I136"/>
  <c r="H136"/>
  <c r="G136"/>
  <c r="F136"/>
  <c r="E136"/>
  <c r="D136"/>
  <c r="C136"/>
  <c r="B136"/>
  <c r="K135"/>
  <c r="J135"/>
  <c r="I135"/>
  <c r="H135"/>
  <c r="G135"/>
  <c r="F135"/>
  <c r="E135"/>
  <c r="D135"/>
  <c r="C135"/>
  <c r="B135"/>
  <c r="K134"/>
  <c r="J134"/>
  <c r="I134"/>
  <c r="H134"/>
  <c r="G134"/>
  <c r="F134"/>
  <c r="E134"/>
  <c r="D134"/>
  <c r="C134"/>
  <c r="B134"/>
  <c r="K133"/>
  <c r="J133"/>
  <c r="I133"/>
  <c r="H133"/>
  <c r="G133"/>
  <c r="F133"/>
  <c r="E133"/>
  <c r="D133"/>
  <c r="C133"/>
  <c r="B133"/>
  <c r="K132"/>
  <c r="J132"/>
  <c r="I132"/>
  <c r="H132"/>
  <c r="G132"/>
  <c r="F132"/>
  <c r="E132"/>
  <c r="D132"/>
  <c r="C132"/>
  <c r="B132"/>
  <c r="K131"/>
  <c r="J131"/>
  <c r="I131"/>
  <c r="H131"/>
  <c r="G131"/>
  <c r="F131"/>
  <c r="E131"/>
  <c r="D131"/>
  <c r="C131"/>
  <c r="B131"/>
  <c r="K130"/>
  <c r="J130"/>
  <c r="I130"/>
  <c r="H130"/>
  <c r="G130"/>
  <c r="F130"/>
  <c r="E130"/>
  <c r="D130"/>
  <c r="C130"/>
  <c r="B130"/>
  <c r="K129"/>
  <c r="J129"/>
  <c r="I129"/>
  <c r="H129"/>
  <c r="G129"/>
  <c r="F129"/>
  <c r="E129"/>
  <c r="D129"/>
  <c r="C129"/>
  <c r="B129"/>
  <c r="K128"/>
  <c r="J128"/>
  <c r="I128"/>
  <c r="H128"/>
  <c r="G128"/>
  <c r="F128"/>
  <c r="E128"/>
  <c r="D128"/>
  <c r="C128"/>
  <c r="B128"/>
  <c r="K127"/>
  <c r="J127"/>
  <c r="I127"/>
  <c r="H127"/>
  <c r="G127"/>
  <c r="F127"/>
  <c r="E127"/>
  <c r="D127"/>
  <c r="C127"/>
  <c r="B127"/>
  <c r="K126"/>
  <c r="J126"/>
  <c r="I126"/>
  <c r="H126"/>
  <c r="G126"/>
  <c r="F126"/>
  <c r="E126"/>
  <c r="D126"/>
  <c r="C126"/>
  <c r="B126"/>
  <c r="K125"/>
  <c r="J125"/>
  <c r="I125"/>
  <c r="H125"/>
  <c r="G125"/>
  <c r="F125"/>
  <c r="E125"/>
  <c r="D125"/>
  <c r="C125"/>
  <c r="B125"/>
  <c r="K124"/>
  <c r="J124"/>
  <c r="I124"/>
  <c r="H124"/>
  <c r="G124"/>
  <c r="F124"/>
  <c r="E124"/>
  <c r="D124"/>
  <c r="C124"/>
  <c r="B124"/>
  <c r="K123"/>
  <c r="J123"/>
  <c r="I123"/>
  <c r="H123"/>
  <c r="G123"/>
  <c r="F123"/>
  <c r="E123"/>
  <c r="D123"/>
  <c r="C123"/>
  <c r="B123"/>
  <c r="K122"/>
  <c r="J122"/>
  <c r="I122"/>
  <c r="H122"/>
  <c r="G122"/>
  <c r="F122"/>
  <c r="E122"/>
  <c r="D122"/>
  <c r="C122"/>
  <c r="B122"/>
  <c r="K121"/>
  <c r="J121"/>
  <c r="I121"/>
  <c r="H121"/>
  <c r="G121"/>
  <c r="F121"/>
  <c r="E121"/>
  <c r="D121"/>
  <c r="C121"/>
  <c r="B121"/>
  <c r="K120"/>
  <c r="J120"/>
  <c r="I120"/>
  <c r="H120"/>
  <c r="G120"/>
  <c r="F120"/>
  <c r="E120"/>
  <c r="D120"/>
  <c r="C120"/>
  <c r="B120"/>
  <c r="J119"/>
  <c r="I119"/>
  <c r="H119"/>
  <c r="G119"/>
  <c r="F119"/>
  <c r="D119"/>
  <c r="C119"/>
  <c r="B119"/>
  <c r="J118"/>
  <c r="I118"/>
  <c r="H118"/>
  <c r="G118"/>
  <c r="F118"/>
  <c r="C118"/>
  <c r="B118"/>
  <c r="K117"/>
  <c r="J117"/>
  <c r="I117"/>
  <c r="H117"/>
  <c r="G117"/>
  <c r="F117"/>
  <c r="D117"/>
  <c r="C117"/>
  <c r="B117"/>
  <c r="K116"/>
  <c r="J116"/>
  <c r="I116"/>
  <c r="H116"/>
  <c r="G116"/>
  <c r="F116"/>
  <c r="D116"/>
  <c r="C116"/>
  <c r="B116"/>
  <c r="K115"/>
  <c r="J115"/>
  <c r="I115"/>
  <c r="H115"/>
  <c r="G115"/>
  <c r="F115"/>
  <c r="D115"/>
  <c r="C115"/>
  <c r="B115"/>
  <c r="K114"/>
  <c r="J114"/>
  <c r="I114"/>
  <c r="H114"/>
  <c r="G114"/>
  <c r="F114"/>
  <c r="D114"/>
  <c r="C114"/>
  <c r="B114"/>
  <c r="K113"/>
  <c r="J113"/>
  <c r="I113"/>
  <c r="H113"/>
  <c r="G113"/>
  <c r="F113"/>
  <c r="D113"/>
  <c r="C113"/>
  <c r="B113"/>
  <c r="K112"/>
  <c r="J112"/>
  <c r="I112"/>
  <c r="H112"/>
  <c r="G112"/>
  <c r="F112"/>
  <c r="D112"/>
  <c r="C112"/>
  <c r="B112"/>
  <c r="K111"/>
  <c r="J111"/>
  <c r="I111"/>
  <c r="H111"/>
  <c r="G111"/>
  <c r="F111"/>
  <c r="D111"/>
  <c r="C111"/>
  <c r="B111"/>
  <c r="K110"/>
  <c r="J110"/>
  <c r="I110"/>
  <c r="H110"/>
  <c r="G110"/>
  <c r="F110"/>
  <c r="D110"/>
  <c r="C110"/>
  <c r="B110"/>
  <c r="K109"/>
  <c r="J109"/>
  <c r="I109"/>
  <c r="H109"/>
  <c r="G109"/>
  <c r="F109"/>
  <c r="D109"/>
  <c r="C109"/>
  <c r="B109"/>
  <c r="K108"/>
  <c r="J108"/>
  <c r="I108"/>
  <c r="H108"/>
  <c r="G108"/>
  <c r="F108"/>
  <c r="D108"/>
  <c r="C108"/>
  <c r="B108"/>
  <c r="K107"/>
  <c r="J107"/>
  <c r="I107"/>
  <c r="H107"/>
  <c r="G107"/>
  <c r="F107"/>
  <c r="D107"/>
  <c r="C107"/>
  <c r="B107"/>
  <c r="K106"/>
  <c r="I106"/>
  <c r="H106"/>
  <c r="G106"/>
  <c r="F106"/>
  <c r="C106"/>
  <c r="B106"/>
  <c r="K105"/>
  <c r="I105"/>
  <c r="H105"/>
  <c r="G105"/>
  <c r="F105"/>
  <c r="D105"/>
  <c r="C105"/>
  <c r="B105"/>
  <c r="K104"/>
  <c r="I104"/>
  <c r="H104"/>
  <c r="G104"/>
  <c r="F104"/>
  <c r="D104"/>
  <c r="C104"/>
  <c r="B104"/>
  <c r="K103"/>
  <c r="I103"/>
  <c r="H103"/>
  <c r="G103"/>
  <c r="F103"/>
  <c r="D103"/>
  <c r="C103"/>
  <c r="B103"/>
  <c r="K102"/>
  <c r="I102"/>
  <c r="H102"/>
  <c r="G102"/>
  <c r="F102"/>
  <c r="D102"/>
  <c r="C102"/>
  <c r="B102"/>
  <c r="K101"/>
  <c r="I101"/>
  <c r="H101"/>
  <c r="G101"/>
  <c r="F101"/>
  <c r="D101"/>
  <c r="C101"/>
  <c r="B101"/>
  <c r="K100"/>
  <c r="I100"/>
  <c r="H100"/>
  <c r="G100"/>
  <c r="F100"/>
  <c r="D100"/>
  <c r="C100"/>
  <c r="B100"/>
  <c r="K99"/>
  <c r="I99"/>
  <c r="H99"/>
  <c r="G99"/>
  <c r="F99"/>
  <c r="D99"/>
  <c r="C99"/>
  <c r="B99"/>
  <c r="I98"/>
  <c r="H98"/>
  <c r="G98"/>
  <c r="F98"/>
  <c r="C98"/>
  <c r="B98"/>
  <c r="J97"/>
  <c r="I97"/>
  <c r="H97"/>
  <c r="G97"/>
  <c r="F97"/>
  <c r="D97"/>
  <c r="C97"/>
  <c r="B97"/>
  <c r="J96"/>
  <c r="I96"/>
  <c r="H96"/>
  <c r="G96"/>
  <c r="F96"/>
  <c r="D96"/>
  <c r="C96"/>
  <c r="B96"/>
  <c r="K95"/>
  <c r="J95"/>
  <c r="I95"/>
  <c r="H95"/>
  <c r="G95"/>
  <c r="F95"/>
  <c r="D95"/>
  <c r="C95"/>
  <c r="B95"/>
  <c r="K94"/>
  <c r="J94"/>
  <c r="I94"/>
  <c r="H94"/>
  <c r="G94"/>
  <c r="F94"/>
  <c r="C94"/>
  <c r="B94"/>
  <c r="K93"/>
  <c r="J93"/>
  <c r="I93"/>
  <c r="H93"/>
  <c r="G93"/>
  <c r="F93"/>
  <c r="D93"/>
  <c r="C93"/>
  <c r="B93"/>
  <c r="K92"/>
  <c r="J92"/>
  <c r="I92"/>
  <c r="H92"/>
  <c r="G92"/>
  <c r="F92"/>
  <c r="D92"/>
  <c r="C92"/>
  <c r="B92"/>
  <c r="K91"/>
  <c r="J91"/>
  <c r="I91"/>
  <c r="H91"/>
  <c r="G91"/>
  <c r="F91"/>
  <c r="D91"/>
  <c r="C91"/>
  <c r="B91"/>
  <c r="K90"/>
  <c r="J90"/>
  <c r="I90"/>
  <c r="H90"/>
  <c r="G90"/>
  <c r="F90"/>
  <c r="D90"/>
  <c r="C90"/>
  <c r="B90"/>
  <c r="K89"/>
  <c r="J89"/>
  <c r="I89"/>
  <c r="H89"/>
  <c r="G89"/>
  <c r="F89"/>
  <c r="D89"/>
  <c r="C89"/>
  <c r="B89"/>
  <c r="K88"/>
  <c r="J88"/>
  <c r="I88"/>
  <c r="H88"/>
  <c r="G88"/>
  <c r="F88"/>
  <c r="D88"/>
  <c r="C88"/>
  <c r="B88"/>
  <c r="K87"/>
  <c r="J87"/>
  <c r="I87"/>
  <c r="H87"/>
  <c r="G87"/>
  <c r="F87"/>
  <c r="D87"/>
  <c r="C87"/>
  <c r="B87"/>
  <c r="K86"/>
  <c r="J86"/>
  <c r="I86"/>
  <c r="H86"/>
  <c r="G86"/>
  <c r="F86"/>
  <c r="D86"/>
  <c r="C86"/>
  <c r="B86"/>
  <c r="K85"/>
  <c r="J85"/>
  <c r="I85"/>
  <c r="H85"/>
  <c r="G85"/>
  <c r="F85"/>
  <c r="D85"/>
  <c r="C85"/>
  <c r="B85"/>
  <c r="K84"/>
  <c r="J84"/>
  <c r="I84"/>
  <c r="H84"/>
  <c r="G84"/>
  <c r="F84"/>
  <c r="D84"/>
  <c r="C84"/>
  <c r="B84"/>
  <c r="K83"/>
  <c r="J83"/>
  <c r="I83"/>
  <c r="H83"/>
  <c r="G83"/>
  <c r="F83"/>
  <c r="D83"/>
  <c r="C83"/>
  <c r="B83"/>
  <c r="K82"/>
  <c r="J82"/>
  <c r="I82"/>
  <c r="H82"/>
  <c r="G82"/>
  <c r="F82"/>
  <c r="C82"/>
  <c r="B82"/>
  <c r="K81"/>
  <c r="I81"/>
  <c r="H81"/>
  <c r="G81"/>
  <c r="F81"/>
  <c r="B81"/>
  <c r="K80"/>
  <c r="I80"/>
  <c r="H80"/>
  <c r="G80"/>
  <c r="F80"/>
  <c r="D80"/>
  <c r="C80"/>
  <c r="B80"/>
  <c r="K79"/>
  <c r="I79"/>
  <c r="H79"/>
  <c r="G79"/>
  <c r="F79"/>
  <c r="D79"/>
  <c r="C79"/>
  <c r="B79"/>
  <c r="K78"/>
  <c r="I78"/>
  <c r="H78"/>
  <c r="G78"/>
  <c r="F78"/>
  <c r="D78"/>
  <c r="C78"/>
  <c r="B78"/>
  <c r="K77"/>
  <c r="I77"/>
  <c r="H77"/>
  <c r="G77"/>
  <c r="F77"/>
  <c r="D77"/>
  <c r="C77"/>
  <c r="B77"/>
  <c r="K76"/>
  <c r="I76"/>
  <c r="H76"/>
  <c r="G76"/>
  <c r="F76"/>
  <c r="D76"/>
  <c r="C76"/>
  <c r="B76"/>
  <c r="K75"/>
  <c r="I75"/>
  <c r="H75"/>
  <c r="G75"/>
  <c r="F75"/>
  <c r="D75"/>
  <c r="C75"/>
  <c r="B75"/>
  <c r="K74"/>
  <c r="I74"/>
  <c r="H74"/>
  <c r="G74"/>
  <c r="F74"/>
  <c r="D74"/>
  <c r="C74"/>
  <c r="B74"/>
  <c r="K73"/>
  <c r="I73"/>
  <c r="H73"/>
  <c r="G73"/>
  <c r="F73"/>
  <c r="D73"/>
  <c r="C73"/>
  <c r="B73"/>
  <c r="K72"/>
  <c r="I72"/>
  <c r="H72"/>
  <c r="G72"/>
  <c r="F72"/>
  <c r="C72"/>
  <c r="B72"/>
  <c r="K71"/>
  <c r="I71"/>
  <c r="H71"/>
  <c r="G71"/>
  <c r="F71"/>
  <c r="E71"/>
  <c r="D71"/>
  <c r="C71"/>
  <c r="B71"/>
  <c r="K70"/>
  <c r="I70"/>
  <c r="H70"/>
  <c r="G70"/>
  <c r="F70"/>
  <c r="E70"/>
  <c r="D70"/>
  <c r="C70"/>
  <c r="B70"/>
  <c r="K69"/>
  <c r="I69"/>
  <c r="H69"/>
  <c r="G69"/>
  <c r="F69"/>
  <c r="E69"/>
  <c r="D69"/>
  <c r="C69"/>
  <c r="B69"/>
  <c r="K68"/>
  <c r="I68"/>
  <c r="H68"/>
  <c r="G68"/>
  <c r="F68"/>
  <c r="E68"/>
  <c r="D68"/>
  <c r="C68"/>
  <c r="B68"/>
  <c r="K67"/>
  <c r="I67"/>
  <c r="H67"/>
  <c r="G67"/>
  <c r="F67"/>
  <c r="E67"/>
  <c r="D67"/>
  <c r="C67"/>
  <c r="B67"/>
  <c r="K66"/>
  <c r="I66"/>
  <c r="H66"/>
  <c r="G66"/>
  <c r="F66"/>
  <c r="E66"/>
  <c r="D66"/>
  <c r="C66"/>
  <c r="B66"/>
  <c r="I65"/>
  <c r="H65"/>
  <c r="G65"/>
  <c r="F65"/>
  <c r="D65"/>
  <c r="C65"/>
  <c r="B65"/>
  <c r="I64"/>
  <c r="H64"/>
  <c r="G64"/>
  <c r="F64"/>
  <c r="D64"/>
  <c r="C64"/>
  <c r="B64"/>
  <c r="I63"/>
  <c r="H63"/>
  <c r="G63"/>
  <c r="F63"/>
  <c r="C63"/>
  <c r="B63"/>
  <c r="J62"/>
  <c r="I62"/>
  <c r="H62"/>
  <c r="G62"/>
  <c r="F62"/>
  <c r="D62"/>
  <c r="C62"/>
  <c r="B62"/>
  <c r="J61"/>
  <c r="I61"/>
  <c r="H61"/>
  <c r="G61"/>
  <c r="F61"/>
  <c r="D61"/>
  <c r="C61"/>
  <c r="B61"/>
  <c r="K60"/>
  <c r="J60"/>
  <c r="I60"/>
  <c r="H60"/>
  <c r="G60"/>
  <c r="F60"/>
  <c r="C60"/>
  <c r="B60"/>
  <c r="I59"/>
  <c r="H59"/>
  <c r="G59"/>
  <c r="F59"/>
  <c r="D59"/>
  <c r="C59"/>
  <c r="B59"/>
  <c r="K58"/>
  <c r="I58"/>
  <c r="H58"/>
  <c r="G58"/>
  <c r="F58"/>
  <c r="D58"/>
  <c r="C58"/>
  <c r="B58"/>
  <c r="K57"/>
  <c r="I57"/>
  <c r="H57"/>
  <c r="G57"/>
  <c r="F57"/>
  <c r="C57"/>
  <c r="B57"/>
  <c r="K56"/>
  <c r="J56"/>
  <c r="I56"/>
  <c r="H56"/>
  <c r="G56"/>
  <c r="F56"/>
  <c r="D56"/>
  <c r="C56"/>
  <c r="B56"/>
  <c r="K55"/>
  <c r="J55"/>
  <c r="I55"/>
  <c r="H55"/>
  <c r="G55"/>
  <c r="F55"/>
  <c r="D55"/>
  <c r="C55"/>
  <c r="B55"/>
  <c r="K54"/>
  <c r="I54"/>
  <c r="H54"/>
  <c r="G54"/>
  <c r="F54"/>
  <c r="C54"/>
  <c r="B54"/>
  <c r="J53"/>
  <c r="I53"/>
  <c r="H53"/>
  <c r="G53"/>
  <c r="F53"/>
  <c r="D53"/>
  <c r="C53"/>
  <c r="B53"/>
  <c r="J52"/>
  <c r="I52"/>
  <c r="H52"/>
  <c r="G52"/>
  <c r="F52"/>
  <c r="D52"/>
  <c r="C52"/>
  <c r="B52"/>
  <c r="K51"/>
  <c r="J51"/>
  <c r="I51"/>
  <c r="H51"/>
  <c r="G51"/>
  <c r="F51"/>
  <c r="C51"/>
  <c r="B51"/>
  <c r="J50"/>
  <c r="I50"/>
  <c r="H50"/>
  <c r="G50"/>
  <c r="F50"/>
  <c r="D50"/>
  <c r="C50"/>
  <c r="B50"/>
  <c r="J49"/>
  <c r="I49"/>
  <c r="H49"/>
  <c r="G49"/>
  <c r="F49"/>
  <c r="D49"/>
  <c r="C49"/>
  <c r="B49"/>
  <c r="J48"/>
  <c r="I48"/>
  <c r="H48"/>
  <c r="G48"/>
  <c r="F48"/>
  <c r="D48"/>
  <c r="C48"/>
  <c r="B48"/>
  <c r="J47"/>
  <c r="I47"/>
  <c r="H47"/>
  <c r="G47"/>
  <c r="F47"/>
  <c r="D47"/>
  <c r="C47"/>
  <c r="B47"/>
  <c r="K46"/>
  <c r="J46"/>
  <c r="I46"/>
  <c r="H46"/>
  <c r="G46"/>
  <c r="F46"/>
  <c r="C46"/>
  <c r="B46"/>
  <c r="K45"/>
  <c r="I45"/>
  <c r="H45"/>
  <c r="G45"/>
  <c r="F45"/>
  <c r="C45"/>
  <c r="B45"/>
  <c r="K44"/>
  <c r="J44"/>
  <c r="I44"/>
  <c r="H44"/>
  <c r="G44"/>
  <c r="F44"/>
  <c r="D44"/>
  <c r="C44"/>
  <c r="B44"/>
  <c r="K43"/>
  <c r="J43"/>
  <c r="I43"/>
  <c r="H43"/>
  <c r="G43"/>
  <c r="F43"/>
  <c r="D43"/>
  <c r="C43"/>
  <c r="B43"/>
  <c r="K42"/>
  <c r="J42"/>
  <c r="I42"/>
  <c r="H42"/>
  <c r="G42"/>
  <c r="F42"/>
  <c r="D42"/>
  <c r="C42"/>
  <c r="B42"/>
  <c r="K41"/>
  <c r="J41"/>
  <c r="I41"/>
  <c r="H41"/>
  <c r="G41"/>
  <c r="F41"/>
  <c r="D41"/>
  <c r="C41"/>
  <c r="B41"/>
  <c r="K40"/>
  <c r="J40"/>
  <c r="I40"/>
  <c r="H40"/>
  <c r="G40"/>
  <c r="F40"/>
  <c r="D40"/>
  <c r="C40"/>
  <c r="B40"/>
  <c r="K39"/>
  <c r="J39"/>
  <c r="I39"/>
  <c r="H39"/>
  <c r="G39"/>
  <c r="F39"/>
  <c r="D39"/>
  <c r="C39"/>
  <c r="B39"/>
  <c r="K38"/>
  <c r="J38"/>
  <c r="I38"/>
  <c r="H38"/>
  <c r="G38"/>
  <c r="F38"/>
  <c r="D38"/>
  <c r="C38"/>
  <c r="B38"/>
  <c r="K37"/>
  <c r="J37"/>
  <c r="I37"/>
  <c r="H37"/>
  <c r="G37"/>
  <c r="F37"/>
  <c r="D37"/>
  <c r="C37"/>
  <c r="B37"/>
  <c r="K36"/>
  <c r="J36"/>
  <c r="I36"/>
  <c r="H36"/>
  <c r="G36"/>
  <c r="F36"/>
  <c r="D36"/>
  <c r="C36"/>
  <c r="B36"/>
  <c r="K35"/>
  <c r="J35"/>
  <c r="I35"/>
  <c r="H35"/>
  <c r="G35"/>
  <c r="F35"/>
  <c r="D35"/>
  <c r="C35"/>
  <c r="B35"/>
  <c r="K34"/>
  <c r="J34"/>
  <c r="I34"/>
  <c r="H34"/>
  <c r="G34"/>
  <c r="F34"/>
  <c r="D34"/>
  <c r="C34"/>
  <c r="B34"/>
  <c r="K33"/>
  <c r="J33"/>
  <c r="I33"/>
  <c r="H33"/>
  <c r="G33"/>
  <c r="F33"/>
  <c r="D33"/>
  <c r="C33"/>
  <c r="B33"/>
  <c r="K32"/>
  <c r="J32"/>
  <c r="I32"/>
  <c r="H32"/>
  <c r="G32"/>
  <c r="F32"/>
  <c r="C32"/>
  <c r="B32"/>
  <c r="K31"/>
  <c r="J31"/>
  <c r="I31"/>
  <c r="H31"/>
  <c r="G31"/>
  <c r="F31"/>
  <c r="E31"/>
  <c r="D31"/>
  <c r="C31"/>
  <c r="B31"/>
  <c r="K30"/>
  <c r="J30"/>
  <c r="I30"/>
  <c r="H30"/>
  <c r="G30"/>
  <c r="F30"/>
  <c r="E30"/>
  <c r="D30"/>
  <c r="C30"/>
  <c r="B30"/>
  <c r="K29"/>
  <c r="J29"/>
  <c r="I29"/>
  <c r="H29"/>
  <c r="G29"/>
  <c r="F29"/>
  <c r="E29"/>
  <c r="D29"/>
  <c r="C29"/>
  <c r="B29"/>
  <c r="K28"/>
  <c r="J28"/>
  <c r="I28"/>
  <c r="H28"/>
  <c r="G28"/>
  <c r="F28"/>
  <c r="E28"/>
  <c r="D28"/>
  <c r="C28"/>
  <c r="B28"/>
  <c r="K27"/>
  <c r="J27"/>
  <c r="I27"/>
  <c r="H27"/>
  <c r="G27"/>
  <c r="F27"/>
  <c r="E27"/>
  <c r="D27"/>
  <c r="C27"/>
  <c r="B27"/>
  <c r="K26"/>
  <c r="J26"/>
  <c r="I26"/>
  <c r="H26"/>
  <c r="G26"/>
  <c r="F26"/>
  <c r="E26"/>
  <c r="D26"/>
  <c r="C26"/>
  <c r="B26"/>
  <c r="K25"/>
  <c r="J25"/>
  <c r="I25"/>
  <c r="H25"/>
  <c r="G25"/>
  <c r="F25"/>
  <c r="E25"/>
  <c r="D25"/>
  <c r="C25"/>
  <c r="B25"/>
  <c r="J24"/>
  <c r="I24"/>
  <c r="H24"/>
  <c r="G24"/>
  <c r="F24"/>
  <c r="D24"/>
  <c r="C24"/>
  <c r="B24"/>
  <c r="K23"/>
  <c r="J23"/>
  <c r="I23"/>
  <c r="H23"/>
  <c r="G23"/>
  <c r="F23"/>
  <c r="E23"/>
  <c r="D23"/>
  <c r="C23"/>
  <c r="B23"/>
  <c r="K22"/>
  <c r="J22"/>
  <c r="I22"/>
  <c r="H22"/>
  <c r="G22"/>
  <c r="F22"/>
  <c r="E22"/>
  <c r="D22"/>
  <c r="C22"/>
  <c r="B22"/>
  <c r="K21"/>
  <c r="J21"/>
  <c r="I21"/>
  <c r="H21"/>
  <c r="G21"/>
  <c r="F21"/>
  <c r="E21"/>
  <c r="D21"/>
  <c r="C21"/>
  <c r="B21"/>
  <c r="K20"/>
  <c r="J20"/>
  <c r="I20"/>
  <c r="H20"/>
  <c r="G20"/>
  <c r="F20"/>
  <c r="E20"/>
  <c r="D20"/>
  <c r="C20"/>
  <c r="B20"/>
  <c r="K19"/>
  <c r="J19"/>
  <c r="I19"/>
  <c r="H19"/>
  <c r="G19"/>
  <c r="F19"/>
  <c r="E19"/>
  <c r="D19"/>
  <c r="C19"/>
  <c r="B19"/>
  <c r="K18"/>
  <c r="J18"/>
  <c r="I18"/>
  <c r="H18"/>
  <c r="G18"/>
  <c r="F18"/>
  <c r="E18"/>
  <c r="D18"/>
  <c r="C18"/>
  <c r="B18"/>
  <c r="K17"/>
  <c r="J17"/>
  <c r="I17"/>
  <c r="H17"/>
  <c r="G17"/>
  <c r="F17"/>
  <c r="E17"/>
  <c r="D17"/>
  <c r="C17"/>
  <c r="B17"/>
  <c r="J16"/>
  <c r="I16"/>
  <c r="H16"/>
  <c r="G16"/>
  <c r="F16"/>
  <c r="D16"/>
  <c r="C16"/>
  <c r="B16"/>
  <c r="K15"/>
  <c r="I15"/>
  <c r="H15"/>
  <c r="G15"/>
  <c r="F15"/>
  <c r="E15"/>
  <c r="D15"/>
  <c r="C15"/>
  <c r="B15"/>
  <c r="I14"/>
  <c r="H14"/>
  <c r="G14"/>
  <c r="F14"/>
  <c r="E14"/>
  <c r="D14"/>
  <c r="C14"/>
  <c r="B14"/>
  <c r="K13"/>
  <c r="I13"/>
  <c r="H13"/>
  <c r="G13"/>
  <c r="F13"/>
  <c r="E13"/>
  <c r="D13"/>
  <c r="C13"/>
  <c r="B13"/>
  <c r="K12"/>
  <c r="J12"/>
  <c r="I12"/>
  <c r="H12"/>
  <c r="G12"/>
  <c r="F12"/>
  <c r="E12"/>
  <c r="D12"/>
  <c r="C12"/>
  <c r="B12"/>
  <c r="K11"/>
  <c r="I11"/>
  <c r="H11"/>
  <c r="G11"/>
  <c r="F11"/>
  <c r="E11"/>
  <c r="D11"/>
  <c r="C11"/>
  <c r="B11"/>
  <c r="K10"/>
  <c r="I10"/>
  <c r="H10"/>
  <c r="G10"/>
  <c r="F10"/>
  <c r="E10"/>
  <c r="D10"/>
  <c r="C10"/>
  <c r="B10"/>
  <c r="K9"/>
  <c r="I9"/>
  <c r="H9"/>
  <c r="G9"/>
  <c r="F9"/>
  <c r="E9"/>
  <c r="D9"/>
  <c r="C9"/>
  <c r="B9"/>
  <c r="K8"/>
  <c r="I8"/>
  <c r="H8"/>
  <c r="G8"/>
  <c r="F8"/>
  <c r="D8"/>
  <c r="C8"/>
  <c r="B8"/>
  <c r="K7"/>
  <c r="I7"/>
  <c r="H7"/>
  <c r="G7"/>
  <c r="F7"/>
  <c r="C7"/>
  <c r="B7"/>
  <c r="I6"/>
  <c r="H6"/>
  <c r="G6"/>
  <c r="F6"/>
  <c r="D6"/>
  <c r="C6"/>
  <c r="B6"/>
  <c r="I5"/>
  <c r="H5"/>
  <c r="G5"/>
  <c r="F5"/>
  <c r="D5"/>
  <c r="C5"/>
  <c r="B5"/>
  <c r="K4"/>
  <c r="I4"/>
  <c r="H4"/>
  <c r="G4"/>
  <c r="F4"/>
  <c r="C4"/>
  <c r="B4"/>
  <c r="U2"/>
  <c r="T2"/>
  <c r="S2"/>
  <c r="R2"/>
  <c r="Q2"/>
  <c r="P2"/>
  <c r="N2"/>
  <c r="L2"/>
  <c r="I2"/>
  <c r="H2"/>
  <c r="G2"/>
  <c r="F2"/>
  <c r="B2"/>
  <c r="X1"/>
  <c r="W1"/>
  <c r="U1"/>
  <c r="T1"/>
  <c r="S1"/>
  <c r="R1"/>
  <c r="Q1"/>
  <c r="P1"/>
  <c r="O1"/>
  <c r="N1"/>
  <c r="M1"/>
  <c r="L1"/>
  <c r="K1"/>
  <c r="J1"/>
  <c r="I1"/>
  <c r="H1"/>
  <c r="G1"/>
  <c r="F1"/>
  <c r="E1"/>
  <c r="D1"/>
  <c r="C1"/>
  <c r="B1"/>
  <c r="A1"/>
  <c r="P878" i="10"/>
  <c r="M878"/>
  <c r="L69" i="1"/>
  <c r="L67"/>
  <c r="L65"/>
  <c r="L63"/>
  <c r="L61"/>
  <c r="L59"/>
  <c r="L57"/>
  <c r="L12"/>
  <c r="L8" i="7" s="1"/>
  <c r="P484"/>
  <c r="O484"/>
  <c r="M484"/>
  <c r="L484"/>
  <c r="K484"/>
  <c r="J484"/>
  <c r="I484"/>
  <c r="H484"/>
  <c r="G484"/>
  <c r="F484"/>
  <c r="D484"/>
  <c r="C484"/>
  <c r="B484"/>
  <c r="P483"/>
  <c r="O483"/>
  <c r="M483"/>
  <c r="L483"/>
  <c r="K483"/>
  <c r="J483"/>
  <c r="I483"/>
  <c r="H483"/>
  <c r="G483"/>
  <c r="F483"/>
  <c r="D483"/>
  <c r="C483"/>
  <c r="B483"/>
  <c r="L482"/>
  <c r="K482"/>
  <c r="J482"/>
  <c r="I482"/>
  <c r="H482"/>
  <c r="G482"/>
  <c r="F482"/>
  <c r="D482"/>
  <c r="C482"/>
  <c r="B482"/>
  <c r="L481"/>
  <c r="J481"/>
  <c r="I481"/>
  <c r="H481"/>
  <c r="G481"/>
  <c r="F481"/>
  <c r="C481"/>
  <c r="B481"/>
  <c r="L480"/>
  <c r="J480"/>
  <c r="I480"/>
  <c r="H480"/>
  <c r="G480"/>
  <c r="F480"/>
  <c r="E480"/>
  <c r="D480"/>
  <c r="C480"/>
  <c r="B480"/>
  <c r="K479"/>
  <c r="J479"/>
  <c r="I479"/>
  <c r="H479"/>
  <c r="G479"/>
  <c r="F479"/>
  <c r="E479"/>
  <c r="D479"/>
  <c r="C479"/>
  <c r="B479"/>
  <c r="K478"/>
  <c r="J478"/>
  <c r="I478"/>
  <c r="H478"/>
  <c r="G478"/>
  <c r="F478"/>
  <c r="E478"/>
  <c r="D478"/>
  <c r="C478"/>
  <c r="B478"/>
  <c r="K477"/>
  <c r="J477"/>
  <c r="I477"/>
  <c r="H477"/>
  <c r="G477"/>
  <c r="F477"/>
  <c r="E477"/>
  <c r="D477"/>
  <c r="C477"/>
  <c r="B477"/>
  <c r="K476"/>
  <c r="J476"/>
  <c r="I476"/>
  <c r="H476"/>
  <c r="G476"/>
  <c r="F476"/>
  <c r="E476"/>
  <c r="D476"/>
  <c r="C476"/>
  <c r="B476"/>
  <c r="K475"/>
  <c r="J475"/>
  <c r="I475"/>
  <c r="H475"/>
  <c r="G475"/>
  <c r="F475"/>
  <c r="E475"/>
  <c r="D475"/>
  <c r="C475"/>
  <c r="B475"/>
  <c r="K474"/>
  <c r="J474"/>
  <c r="I474"/>
  <c r="H474"/>
  <c r="G474"/>
  <c r="F474"/>
  <c r="E474"/>
  <c r="D474"/>
  <c r="C474"/>
  <c r="B474"/>
  <c r="K473"/>
  <c r="J473"/>
  <c r="I473"/>
  <c r="H473"/>
  <c r="G473"/>
  <c r="F473"/>
  <c r="E473"/>
  <c r="D473"/>
  <c r="C473"/>
  <c r="B473"/>
  <c r="K472"/>
  <c r="J472"/>
  <c r="I472"/>
  <c r="H472"/>
  <c r="G472"/>
  <c r="F472"/>
  <c r="E472"/>
  <c r="D472"/>
  <c r="C472"/>
  <c r="B472"/>
  <c r="K471"/>
  <c r="J471"/>
  <c r="I471"/>
  <c r="H471"/>
  <c r="G471"/>
  <c r="F471"/>
  <c r="E471"/>
  <c r="D471"/>
  <c r="C471"/>
  <c r="B471"/>
  <c r="K470"/>
  <c r="J470"/>
  <c r="I470"/>
  <c r="H470"/>
  <c r="G470"/>
  <c r="F470"/>
  <c r="E470"/>
  <c r="D470"/>
  <c r="C470"/>
  <c r="B470"/>
  <c r="K469"/>
  <c r="J469"/>
  <c r="I469"/>
  <c r="H469"/>
  <c r="G469"/>
  <c r="F469"/>
  <c r="E469"/>
  <c r="D469"/>
  <c r="C469"/>
  <c r="B469"/>
  <c r="K468"/>
  <c r="J468"/>
  <c r="I468"/>
  <c r="H468"/>
  <c r="G468"/>
  <c r="F468"/>
  <c r="E468"/>
  <c r="D468"/>
  <c r="C468"/>
  <c r="B468"/>
  <c r="K467"/>
  <c r="J467"/>
  <c r="I467"/>
  <c r="H467"/>
  <c r="G467"/>
  <c r="F467"/>
  <c r="E467"/>
  <c r="D467"/>
  <c r="C467"/>
  <c r="B467"/>
  <c r="K466"/>
  <c r="J466"/>
  <c r="I466"/>
  <c r="H466"/>
  <c r="G466"/>
  <c r="F466"/>
  <c r="E466"/>
  <c r="D466"/>
  <c r="C466"/>
  <c r="B466"/>
  <c r="K465"/>
  <c r="J465"/>
  <c r="I465"/>
  <c r="H465"/>
  <c r="G465"/>
  <c r="F465"/>
  <c r="E465"/>
  <c r="D465"/>
  <c r="C465"/>
  <c r="B465"/>
  <c r="K464"/>
  <c r="J464"/>
  <c r="I464"/>
  <c r="H464"/>
  <c r="G464"/>
  <c r="F464"/>
  <c r="E464"/>
  <c r="D464"/>
  <c r="C464"/>
  <c r="B464"/>
  <c r="K463"/>
  <c r="J463"/>
  <c r="I463"/>
  <c r="H463"/>
  <c r="G463"/>
  <c r="F463"/>
  <c r="E463"/>
  <c r="D463"/>
  <c r="C463"/>
  <c r="B463"/>
  <c r="K462"/>
  <c r="J462"/>
  <c r="I462"/>
  <c r="H462"/>
  <c r="G462"/>
  <c r="F462"/>
  <c r="E462"/>
  <c r="D462"/>
  <c r="C462"/>
  <c r="B462"/>
  <c r="K461"/>
  <c r="J461"/>
  <c r="I461"/>
  <c r="H461"/>
  <c r="G461"/>
  <c r="F461"/>
  <c r="E461"/>
  <c r="D461"/>
  <c r="C461"/>
  <c r="B461"/>
  <c r="K460"/>
  <c r="J460"/>
  <c r="I460"/>
  <c r="H460"/>
  <c r="G460"/>
  <c r="F460"/>
  <c r="E460"/>
  <c r="D460"/>
  <c r="C460"/>
  <c r="B460"/>
  <c r="K459"/>
  <c r="J459"/>
  <c r="I459"/>
  <c r="H459"/>
  <c r="G459"/>
  <c r="F459"/>
  <c r="E459"/>
  <c r="D459"/>
  <c r="C459"/>
  <c r="B459"/>
  <c r="K458"/>
  <c r="J458"/>
  <c r="I458"/>
  <c r="H458"/>
  <c r="G458"/>
  <c r="F458"/>
  <c r="E458"/>
  <c r="D458"/>
  <c r="C458"/>
  <c r="B458"/>
  <c r="K457"/>
  <c r="J457"/>
  <c r="I457"/>
  <c r="H457"/>
  <c r="G457"/>
  <c r="F457"/>
  <c r="E457"/>
  <c r="D457"/>
  <c r="C457"/>
  <c r="B457"/>
  <c r="K456"/>
  <c r="J456"/>
  <c r="I456"/>
  <c r="H456"/>
  <c r="G456"/>
  <c r="F456"/>
  <c r="E456"/>
  <c r="D456"/>
  <c r="C456"/>
  <c r="B456"/>
  <c r="K455"/>
  <c r="J455"/>
  <c r="I455"/>
  <c r="H455"/>
  <c r="G455"/>
  <c r="F455"/>
  <c r="E455"/>
  <c r="D455"/>
  <c r="C455"/>
  <c r="B455"/>
  <c r="K454"/>
  <c r="J454"/>
  <c r="I454"/>
  <c r="H454"/>
  <c r="G454"/>
  <c r="F454"/>
  <c r="E454"/>
  <c r="D454"/>
  <c r="C454"/>
  <c r="B454"/>
  <c r="K453"/>
  <c r="J453"/>
  <c r="I453"/>
  <c r="H453"/>
  <c r="G453"/>
  <c r="F453"/>
  <c r="E453"/>
  <c r="D453"/>
  <c r="C453"/>
  <c r="B453"/>
  <c r="K452"/>
  <c r="J452"/>
  <c r="I452"/>
  <c r="H452"/>
  <c r="G452"/>
  <c r="F452"/>
  <c r="E452"/>
  <c r="D452"/>
  <c r="C452"/>
  <c r="B452"/>
  <c r="K451"/>
  <c r="J451"/>
  <c r="I451"/>
  <c r="H451"/>
  <c r="G451"/>
  <c r="F451"/>
  <c r="E451"/>
  <c r="D451"/>
  <c r="C451"/>
  <c r="B451"/>
  <c r="K450"/>
  <c r="J450"/>
  <c r="I450"/>
  <c r="H450"/>
  <c r="G450"/>
  <c r="F450"/>
  <c r="E450"/>
  <c r="D450"/>
  <c r="C450"/>
  <c r="B450"/>
  <c r="K449"/>
  <c r="J449"/>
  <c r="I449"/>
  <c r="H449"/>
  <c r="G449"/>
  <c r="F449"/>
  <c r="E449"/>
  <c r="D449"/>
  <c r="C449"/>
  <c r="B449"/>
  <c r="K448"/>
  <c r="J448"/>
  <c r="I448"/>
  <c r="H448"/>
  <c r="G448"/>
  <c r="F448"/>
  <c r="E448"/>
  <c r="D448"/>
  <c r="C448"/>
  <c r="B448"/>
  <c r="K447"/>
  <c r="J447"/>
  <c r="I447"/>
  <c r="H447"/>
  <c r="G447"/>
  <c r="F447"/>
  <c r="E447"/>
  <c r="D447"/>
  <c r="C447"/>
  <c r="B447"/>
  <c r="K446"/>
  <c r="J446"/>
  <c r="I446"/>
  <c r="H446"/>
  <c r="G446"/>
  <c r="F446"/>
  <c r="E446"/>
  <c r="D446"/>
  <c r="C446"/>
  <c r="B446"/>
  <c r="K445"/>
  <c r="J445"/>
  <c r="I445"/>
  <c r="H445"/>
  <c r="G445"/>
  <c r="F445"/>
  <c r="E445"/>
  <c r="D445"/>
  <c r="C445"/>
  <c r="B445"/>
  <c r="K444"/>
  <c r="J444"/>
  <c r="I444"/>
  <c r="H444"/>
  <c r="G444"/>
  <c r="F444"/>
  <c r="E444"/>
  <c r="D444"/>
  <c r="C444"/>
  <c r="B444"/>
  <c r="K443"/>
  <c r="J443"/>
  <c r="I443"/>
  <c r="H443"/>
  <c r="G443"/>
  <c r="F443"/>
  <c r="E443"/>
  <c r="D443"/>
  <c r="C443"/>
  <c r="B443"/>
  <c r="P442"/>
  <c r="O442"/>
  <c r="M442"/>
  <c r="L442"/>
  <c r="J442"/>
  <c r="I442"/>
  <c r="H442"/>
  <c r="G442"/>
  <c r="F442"/>
  <c r="D442"/>
  <c r="C442"/>
  <c r="B442"/>
  <c r="P441"/>
  <c r="O441"/>
  <c r="N441"/>
  <c r="M441"/>
  <c r="L441"/>
  <c r="K441"/>
  <c r="J441"/>
  <c r="I441"/>
  <c r="H441"/>
  <c r="G441"/>
  <c r="F441"/>
  <c r="E441"/>
  <c r="D441"/>
  <c r="C441"/>
  <c r="B441"/>
  <c r="P440"/>
  <c r="O440"/>
  <c r="N440"/>
  <c r="M440"/>
  <c r="L440"/>
  <c r="K440"/>
  <c r="J440"/>
  <c r="I440"/>
  <c r="H440"/>
  <c r="G440"/>
  <c r="F440"/>
  <c r="E440"/>
  <c r="D440"/>
  <c r="C440"/>
  <c r="B440"/>
  <c r="K439"/>
  <c r="J439"/>
  <c r="I439"/>
  <c r="H439"/>
  <c r="G439"/>
  <c r="F439"/>
  <c r="E439"/>
  <c r="D439"/>
  <c r="C439"/>
  <c r="B439"/>
  <c r="J438"/>
  <c r="I438"/>
  <c r="H438"/>
  <c r="G438"/>
  <c r="F438"/>
  <c r="D438"/>
  <c r="C438"/>
  <c r="B438"/>
  <c r="K437"/>
  <c r="J437"/>
  <c r="I437"/>
  <c r="H437"/>
  <c r="G437"/>
  <c r="F437"/>
  <c r="E437"/>
  <c r="D437"/>
  <c r="C437"/>
  <c r="B437"/>
  <c r="K436"/>
  <c r="J436"/>
  <c r="I436"/>
  <c r="H436"/>
  <c r="G436"/>
  <c r="F436"/>
  <c r="E436"/>
  <c r="D436"/>
  <c r="C436"/>
  <c r="B436"/>
  <c r="K435"/>
  <c r="J435"/>
  <c r="I435"/>
  <c r="H435"/>
  <c r="G435"/>
  <c r="F435"/>
  <c r="E435"/>
  <c r="D435"/>
  <c r="C435"/>
  <c r="B435"/>
  <c r="K434"/>
  <c r="J434"/>
  <c r="I434"/>
  <c r="H434"/>
  <c r="G434"/>
  <c r="F434"/>
  <c r="E434"/>
  <c r="D434"/>
  <c r="C434"/>
  <c r="B434"/>
  <c r="K433"/>
  <c r="J433"/>
  <c r="I433"/>
  <c r="H433"/>
  <c r="G433"/>
  <c r="F433"/>
  <c r="E433"/>
  <c r="D433"/>
  <c r="C433"/>
  <c r="B433"/>
  <c r="K432"/>
  <c r="J432"/>
  <c r="I432"/>
  <c r="H432"/>
  <c r="G432"/>
  <c r="F432"/>
  <c r="E432"/>
  <c r="D432"/>
  <c r="C432"/>
  <c r="B432"/>
  <c r="K431"/>
  <c r="J431"/>
  <c r="I431"/>
  <c r="H431"/>
  <c r="G431"/>
  <c r="F431"/>
  <c r="E431"/>
  <c r="D431"/>
  <c r="C431"/>
  <c r="B431"/>
  <c r="K430"/>
  <c r="J430"/>
  <c r="I430"/>
  <c r="H430"/>
  <c r="G430"/>
  <c r="F430"/>
  <c r="E430"/>
  <c r="D430"/>
  <c r="C430"/>
  <c r="B430"/>
  <c r="K429"/>
  <c r="J429"/>
  <c r="I429"/>
  <c r="H429"/>
  <c r="G429"/>
  <c r="F429"/>
  <c r="E429"/>
  <c r="D429"/>
  <c r="C429"/>
  <c r="B429"/>
  <c r="K428"/>
  <c r="J428"/>
  <c r="I428"/>
  <c r="H428"/>
  <c r="G428"/>
  <c r="F428"/>
  <c r="E428"/>
  <c r="D428"/>
  <c r="C428"/>
  <c r="B428"/>
  <c r="K427"/>
  <c r="J427"/>
  <c r="I427"/>
  <c r="H427"/>
  <c r="G427"/>
  <c r="F427"/>
  <c r="E427"/>
  <c r="D427"/>
  <c r="C427"/>
  <c r="B427"/>
  <c r="K426"/>
  <c r="J426"/>
  <c r="I426"/>
  <c r="H426"/>
  <c r="G426"/>
  <c r="F426"/>
  <c r="E426"/>
  <c r="D426"/>
  <c r="C426"/>
  <c r="B426"/>
  <c r="K425"/>
  <c r="J425"/>
  <c r="I425"/>
  <c r="H425"/>
  <c r="G425"/>
  <c r="F425"/>
  <c r="E425"/>
  <c r="D425"/>
  <c r="C425"/>
  <c r="B425"/>
  <c r="K424"/>
  <c r="J424"/>
  <c r="I424"/>
  <c r="H424"/>
  <c r="G424"/>
  <c r="F424"/>
  <c r="E424"/>
  <c r="D424"/>
  <c r="C424"/>
  <c r="B424"/>
  <c r="K423"/>
  <c r="J423"/>
  <c r="I423"/>
  <c r="H423"/>
  <c r="G423"/>
  <c r="F423"/>
  <c r="E423"/>
  <c r="D423"/>
  <c r="C423"/>
  <c r="B423"/>
  <c r="J422"/>
  <c r="I422"/>
  <c r="H422"/>
  <c r="G422"/>
  <c r="F422"/>
  <c r="D422"/>
  <c r="C422"/>
  <c r="B422"/>
  <c r="K421"/>
  <c r="J421"/>
  <c r="I421"/>
  <c r="H421"/>
  <c r="G421"/>
  <c r="F421"/>
  <c r="E421"/>
  <c r="D421"/>
  <c r="C421"/>
  <c r="B421"/>
  <c r="K420"/>
  <c r="J420"/>
  <c r="I420"/>
  <c r="H420"/>
  <c r="G420"/>
  <c r="F420"/>
  <c r="E420"/>
  <c r="D420"/>
  <c r="C420"/>
  <c r="B420"/>
  <c r="P419"/>
  <c r="O419"/>
  <c r="N419"/>
  <c r="M419"/>
  <c r="L419"/>
  <c r="K419"/>
  <c r="J419"/>
  <c r="I419"/>
  <c r="H419"/>
  <c r="G419"/>
  <c r="F419"/>
  <c r="E419"/>
  <c r="D419"/>
  <c r="C419"/>
  <c r="B419"/>
  <c r="P418"/>
  <c r="O418"/>
  <c r="N418"/>
  <c r="M418"/>
  <c r="L418"/>
  <c r="J418"/>
  <c r="I418"/>
  <c r="H418"/>
  <c r="G418"/>
  <c r="F418"/>
  <c r="E418"/>
  <c r="D418"/>
  <c r="C418"/>
  <c r="B418"/>
  <c r="P417"/>
  <c r="O417"/>
  <c r="N417"/>
  <c r="M417"/>
  <c r="L417"/>
  <c r="K417"/>
  <c r="J417"/>
  <c r="I417"/>
  <c r="H417"/>
  <c r="G417"/>
  <c r="F417"/>
  <c r="E417"/>
  <c r="D417"/>
  <c r="C417"/>
  <c r="B417"/>
  <c r="P416"/>
  <c r="O416"/>
  <c r="N416"/>
  <c r="M416"/>
  <c r="L416"/>
  <c r="K416"/>
  <c r="J416"/>
  <c r="I416"/>
  <c r="H416"/>
  <c r="G416"/>
  <c r="F416"/>
  <c r="E416"/>
  <c r="D416"/>
  <c r="C416"/>
  <c r="B416"/>
  <c r="P415"/>
  <c r="O415"/>
  <c r="N415"/>
  <c r="M415"/>
  <c r="L415"/>
  <c r="K415"/>
  <c r="J415"/>
  <c r="I415"/>
  <c r="H415"/>
  <c r="G415"/>
  <c r="F415"/>
  <c r="E415"/>
  <c r="D415"/>
  <c r="C415"/>
  <c r="B415"/>
  <c r="P414"/>
  <c r="O414"/>
  <c r="N414"/>
  <c r="M414"/>
  <c r="L414"/>
  <c r="K414"/>
  <c r="J414"/>
  <c r="I414"/>
  <c r="H414"/>
  <c r="G414"/>
  <c r="F414"/>
  <c r="E414"/>
  <c r="D414"/>
  <c r="C414"/>
  <c r="B414"/>
  <c r="P413"/>
  <c r="O413"/>
  <c r="N413"/>
  <c r="M413"/>
  <c r="L413"/>
  <c r="K413"/>
  <c r="J413"/>
  <c r="I413"/>
  <c r="H413"/>
  <c r="G413"/>
  <c r="F413"/>
  <c r="E413"/>
  <c r="D413"/>
  <c r="C413"/>
  <c r="B413"/>
  <c r="P412"/>
  <c r="O412"/>
  <c r="N412"/>
  <c r="M412"/>
  <c r="L412"/>
  <c r="K412"/>
  <c r="J412"/>
  <c r="I412"/>
  <c r="H412"/>
  <c r="G412"/>
  <c r="F412"/>
  <c r="E412"/>
  <c r="D412"/>
  <c r="C412"/>
  <c r="B412"/>
  <c r="P411"/>
  <c r="O411"/>
  <c r="N411"/>
  <c r="M411"/>
  <c r="L411"/>
  <c r="K411"/>
  <c r="J411"/>
  <c r="I411"/>
  <c r="H411"/>
  <c r="G411"/>
  <c r="F411"/>
  <c r="E411"/>
  <c r="D411"/>
  <c r="C411"/>
  <c r="B411"/>
  <c r="P410"/>
  <c r="O410"/>
  <c r="N410"/>
  <c r="M410"/>
  <c r="L410"/>
  <c r="K410"/>
  <c r="J410"/>
  <c r="I410"/>
  <c r="H410"/>
  <c r="G410"/>
  <c r="F410"/>
  <c r="E410"/>
  <c r="D410"/>
  <c r="C410"/>
  <c r="B410"/>
  <c r="P409"/>
  <c r="O409"/>
  <c r="N409"/>
  <c r="M409"/>
  <c r="L409"/>
  <c r="K409"/>
  <c r="J409"/>
  <c r="I409"/>
  <c r="H409"/>
  <c r="G409"/>
  <c r="F409"/>
  <c r="E409"/>
  <c r="D409"/>
  <c r="C409"/>
  <c r="B409"/>
  <c r="P408"/>
  <c r="O408"/>
  <c r="N408"/>
  <c r="M408"/>
  <c r="L408"/>
  <c r="K408"/>
  <c r="J408"/>
  <c r="I408"/>
  <c r="H408"/>
  <c r="G408"/>
  <c r="F408"/>
  <c r="E408"/>
  <c r="D408"/>
  <c r="C408"/>
  <c r="B408"/>
  <c r="P407"/>
  <c r="O407"/>
  <c r="N407"/>
  <c r="M407"/>
  <c r="L407"/>
  <c r="K407"/>
  <c r="J407"/>
  <c r="I407"/>
  <c r="H407"/>
  <c r="G407"/>
  <c r="F407"/>
  <c r="E407"/>
  <c r="D407"/>
  <c r="C407"/>
  <c r="B407"/>
  <c r="P406"/>
  <c r="O406"/>
  <c r="N406"/>
  <c r="M406"/>
  <c r="L406"/>
  <c r="K406"/>
  <c r="J406"/>
  <c r="I406"/>
  <c r="H406"/>
  <c r="G406"/>
  <c r="F406"/>
  <c r="E406"/>
  <c r="D406"/>
  <c r="C406"/>
  <c r="B406"/>
  <c r="P405"/>
  <c r="O405"/>
  <c r="N405"/>
  <c r="M405"/>
  <c r="L405"/>
  <c r="K405"/>
  <c r="J405"/>
  <c r="I405"/>
  <c r="H405"/>
  <c r="G405"/>
  <c r="F405"/>
  <c r="E405"/>
  <c r="D405"/>
  <c r="C405"/>
  <c r="B405"/>
  <c r="P404"/>
  <c r="O404"/>
  <c r="N404"/>
  <c r="M404"/>
  <c r="L404"/>
  <c r="K404"/>
  <c r="I404"/>
  <c r="H404"/>
  <c r="G404"/>
  <c r="F404"/>
  <c r="E404"/>
  <c r="D404"/>
  <c r="C404"/>
  <c r="B404"/>
  <c r="P403"/>
  <c r="O403"/>
  <c r="N403"/>
  <c r="M403"/>
  <c r="L403"/>
  <c r="K403"/>
  <c r="I403"/>
  <c r="H403"/>
  <c r="G403"/>
  <c r="F403"/>
  <c r="E403"/>
  <c r="D403"/>
  <c r="C403"/>
  <c r="B403"/>
  <c r="P402"/>
  <c r="O402"/>
  <c r="N402"/>
  <c r="M402"/>
  <c r="L402"/>
  <c r="K402"/>
  <c r="I402"/>
  <c r="H402"/>
  <c r="G402"/>
  <c r="F402"/>
  <c r="E402"/>
  <c r="D402"/>
  <c r="C402"/>
  <c r="B402"/>
  <c r="P401"/>
  <c r="O401"/>
  <c r="N401"/>
  <c r="M401"/>
  <c r="L401"/>
  <c r="K401"/>
  <c r="I401"/>
  <c r="H401"/>
  <c r="G401"/>
  <c r="F401"/>
  <c r="E401"/>
  <c r="D401"/>
  <c r="C401"/>
  <c r="B401"/>
  <c r="P400"/>
  <c r="O400"/>
  <c r="N400"/>
  <c r="M400"/>
  <c r="L400"/>
  <c r="K400"/>
  <c r="I400"/>
  <c r="H400"/>
  <c r="G400"/>
  <c r="F400"/>
  <c r="E400"/>
  <c r="D400"/>
  <c r="C400"/>
  <c r="B400"/>
  <c r="P399"/>
  <c r="O399"/>
  <c r="N399"/>
  <c r="M399"/>
  <c r="L399"/>
  <c r="K399"/>
  <c r="I399"/>
  <c r="H399"/>
  <c r="G399"/>
  <c r="F399"/>
  <c r="E399"/>
  <c r="D399"/>
  <c r="C399"/>
  <c r="B399"/>
  <c r="P398"/>
  <c r="O398"/>
  <c r="N398"/>
  <c r="M398"/>
  <c r="L398"/>
  <c r="K398"/>
  <c r="I398"/>
  <c r="H398"/>
  <c r="G398"/>
  <c r="F398"/>
  <c r="E398"/>
  <c r="D398"/>
  <c r="C398"/>
  <c r="B398"/>
  <c r="P397"/>
  <c r="O397"/>
  <c r="N397"/>
  <c r="M397"/>
  <c r="L397"/>
  <c r="I397"/>
  <c r="H397"/>
  <c r="G397"/>
  <c r="F397"/>
  <c r="E397"/>
  <c r="D397"/>
  <c r="C397"/>
  <c r="B397"/>
  <c r="P396"/>
  <c r="O396"/>
  <c r="N396"/>
  <c r="M396"/>
  <c r="L396"/>
  <c r="I396"/>
  <c r="H396"/>
  <c r="G396"/>
  <c r="F396"/>
  <c r="E396"/>
  <c r="D396"/>
  <c r="C396"/>
  <c r="B396"/>
  <c r="P395"/>
  <c r="O395"/>
  <c r="N395"/>
  <c r="M395"/>
  <c r="L395"/>
  <c r="J395"/>
  <c r="I395"/>
  <c r="H395"/>
  <c r="G395"/>
  <c r="F395"/>
  <c r="E395"/>
  <c r="D395"/>
  <c r="C395"/>
  <c r="B395"/>
  <c r="P394"/>
  <c r="O394"/>
  <c r="N394"/>
  <c r="M394"/>
  <c r="L394"/>
  <c r="K394"/>
  <c r="J394"/>
  <c r="I394"/>
  <c r="H394"/>
  <c r="G394"/>
  <c r="F394"/>
  <c r="E394"/>
  <c r="D394"/>
  <c r="C394"/>
  <c r="B394"/>
  <c r="P393"/>
  <c r="O393"/>
  <c r="N393"/>
  <c r="M393"/>
  <c r="L393"/>
  <c r="J393"/>
  <c r="I393"/>
  <c r="H393"/>
  <c r="G393"/>
  <c r="F393"/>
  <c r="E393"/>
  <c r="D393"/>
  <c r="C393"/>
  <c r="B393"/>
  <c r="P392"/>
  <c r="O392"/>
  <c r="N392"/>
  <c r="M392"/>
  <c r="L392"/>
  <c r="K392"/>
  <c r="J392"/>
  <c r="I392"/>
  <c r="H392"/>
  <c r="G392"/>
  <c r="F392"/>
  <c r="E392"/>
  <c r="D392"/>
  <c r="C392"/>
  <c r="B392"/>
  <c r="P391"/>
  <c r="O391"/>
  <c r="N391"/>
  <c r="M391"/>
  <c r="L391"/>
  <c r="K391"/>
  <c r="J391"/>
  <c r="I391"/>
  <c r="H391"/>
  <c r="G391"/>
  <c r="F391"/>
  <c r="E391"/>
  <c r="D391"/>
  <c r="C391"/>
  <c r="B391"/>
  <c r="P390"/>
  <c r="O390"/>
  <c r="N390"/>
  <c r="M390"/>
  <c r="L390"/>
  <c r="K390"/>
  <c r="J390"/>
  <c r="I390"/>
  <c r="H390"/>
  <c r="G390"/>
  <c r="F390"/>
  <c r="E390"/>
  <c r="D390"/>
  <c r="C390"/>
  <c r="B390"/>
  <c r="P389"/>
  <c r="O389"/>
  <c r="N389"/>
  <c r="M389"/>
  <c r="L389"/>
  <c r="K389"/>
  <c r="J389"/>
  <c r="I389"/>
  <c r="H389"/>
  <c r="G389"/>
  <c r="F389"/>
  <c r="E389"/>
  <c r="D389"/>
  <c r="C389"/>
  <c r="B389"/>
  <c r="P388"/>
  <c r="O388"/>
  <c r="N388"/>
  <c r="M388"/>
  <c r="L388"/>
  <c r="K388"/>
  <c r="J388"/>
  <c r="I388"/>
  <c r="H388"/>
  <c r="G388"/>
  <c r="F388"/>
  <c r="E388"/>
  <c r="D388"/>
  <c r="C388"/>
  <c r="B388"/>
  <c r="P387"/>
  <c r="O387"/>
  <c r="N387"/>
  <c r="M387"/>
  <c r="L387"/>
  <c r="K387"/>
  <c r="J387"/>
  <c r="I387"/>
  <c r="H387"/>
  <c r="G387"/>
  <c r="F387"/>
  <c r="E387"/>
  <c r="D387"/>
  <c r="C387"/>
  <c r="B387"/>
  <c r="K386"/>
  <c r="J386"/>
  <c r="I386"/>
  <c r="H386"/>
  <c r="G386"/>
  <c r="F386"/>
  <c r="E386"/>
  <c r="D386"/>
  <c r="C386"/>
  <c r="B386"/>
  <c r="P385"/>
  <c r="O385"/>
  <c r="N385"/>
  <c r="M385"/>
  <c r="L385"/>
  <c r="J385"/>
  <c r="I385"/>
  <c r="H385"/>
  <c r="G385"/>
  <c r="F385"/>
  <c r="E385"/>
  <c r="D385"/>
  <c r="C385"/>
  <c r="B385"/>
  <c r="P384"/>
  <c r="O384"/>
  <c r="N384"/>
  <c r="M384"/>
  <c r="L384"/>
  <c r="J384"/>
  <c r="I384"/>
  <c r="H384"/>
  <c r="G384"/>
  <c r="F384"/>
  <c r="E384"/>
  <c r="D384"/>
  <c r="C384"/>
  <c r="B384"/>
  <c r="P383"/>
  <c r="O383"/>
  <c r="M383"/>
  <c r="L383"/>
  <c r="K383"/>
  <c r="J383"/>
  <c r="I383"/>
  <c r="H383"/>
  <c r="G383"/>
  <c r="F383"/>
  <c r="E383"/>
  <c r="D383"/>
  <c r="C383"/>
  <c r="B383"/>
  <c r="P382"/>
  <c r="O382"/>
  <c r="N382"/>
  <c r="M382"/>
  <c r="L382"/>
  <c r="K382"/>
  <c r="J382"/>
  <c r="I382"/>
  <c r="H382"/>
  <c r="G382"/>
  <c r="F382"/>
  <c r="E382"/>
  <c r="D382"/>
  <c r="C382"/>
  <c r="B382"/>
  <c r="P381"/>
  <c r="O381"/>
  <c r="N381"/>
  <c r="M381"/>
  <c r="L381"/>
  <c r="K381"/>
  <c r="J381"/>
  <c r="I381"/>
  <c r="H381"/>
  <c r="G381"/>
  <c r="F381"/>
  <c r="E381"/>
  <c r="D381"/>
  <c r="C381"/>
  <c r="B381"/>
  <c r="P380"/>
  <c r="O380"/>
  <c r="N380"/>
  <c r="M380"/>
  <c r="L380"/>
  <c r="K380"/>
  <c r="J380"/>
  <c r="I380"/>
  <c r="H380"/>
  <c r="G380"/>
  <c r="F380"/>
  <c r="E380"/>
  <c r="D380"/>
  <c r="C380"/>
  <c r="B380"/>
  <c r="P379"/>
  <c r="O379"/>
  <c r="N379"/>
  <c r="M379"/>
  <c r="L379"/>
  <c r="K379"/>
  <c r="J379"/>
  <c r="I379"/>
  <c r="H379"/>
  <c r="G379"/>
  <c r="F379"/>
  <c r="E379"/>
  <c r="D379"/>
  <c r="C379"/>
  <c r="B379"/>
  <c r="P378"/>
  <c r="O378"/>
  <c r="N378"/>
  <c r="M378"/>
  <c r="L378"/>
  <c r="K378"/>
  <c r="J378"/>
  <c r="I378"/>
  <c r="H378"/>
  <c r="G378"/>
  <c r="F378"/>
  <c r="E378"/>
  <c r="D378"/>
  <c r="C378"/>
  <c r="B378"/>
  <c r="P377"/>
  <c r="O377"/>
  <c r="N377"/>
  <c r="M377"/>
  <c r="L377"/>
  <c r="K377"/>
  <c r="J377"/>
  <c r="I377"/>
  <c r="H377"/>
  <c r="G377"/>
  <c r="F377"/>
  <c r="E377"/>
  <c r="D377"/>
  <c r="C377"/>
  <c r="B377"/>
  <c r="P376"/>
  <c r="O376"/>
  <c r="M376"/>
  <c r="L376"/>
  <c r="J376"/>
  <c r="I376"/>
  <c r="H376"/>
  <c r="G376"/>
  <c r="F376"/>
  <c r="D376"/>
  <c r="C376"/>
  <c r="B376"/>
  <c r="P375"/>
  <c r="O375"/>
  <c r="N375"/>
  <c r="M375"/>
  <c r="L375"/>
  <c r="K375"/>
  <c r="I375"/>
  <c r="H375"/>
  <c r="G375"/>
  <c r="F375"/>
  <c r="E375"/>
  <c r="D375"/>
  <c r="C375"/>
  <c r="B375"/>
  <c r="P374"/>
  <c r="O374"/>
  <c r="N374"/>
  <c r="M374"/>
  <c r="L374"/>
  <c r="K374"/>
  <c r="J374"/>
  <c r="I374"/>
  <c r="H374"/>
  <c r="G374"/>
  <c r="F374"/>
  <c r="E374"/>
  <c r="D374"/>
  <c r="C374"/>
  <c r="B374"/>
  <c r="P373"/>
  <c r="O373"/>
  <c r="N373"/>
  <c r="M373"/>
  <c r="L373"/>
  <c r="J373"/>
  <c r="I373"/>
  <c r="H373"/>
  <c r="G373"/>
  <c r="F373"/>
  <c r="E373"/>
  <c r="D373"/>
  <c r="C373"/>
  <c r="B373"/>
  <c r="P372"/>
  <c r="O372"/>
  <c r="N372"/>
  <c r="M372"/>
  <c r="L372"/>
  <c r="K372"/>
  <c r="J372"/>
  <c r="I372"/>
  <c r="H372"/>
  <c r="G372"/>
  <c r="F372"/>
  <c r="E372"/>
  <c r="D372"/>
  <c r="C372"/>
  <c r="B372"/>
  <c r="P371"/>
  <c r="O371"/>
  <c r="N371"/>
  <c r="M371"/>
  <c r="L371"/>
  <c r="K371"/>
  <c r="J371"/>
  <c r="I371"/>
  <c r="H371"/>
  <c r="G371"/>
  <c r="F371"/>
  <c r="E371"/>
  <c r="D371"/>
  <c r="C371"/>
  <c r="B371"/>
  <c r="P370"/>
  <c r="O370"/>
  <c r="N370"/>
  <c r="M370"/>
  <c r="L370"/>
  <c r="K370"/>
  <c r="J370"/>
  <c r="I370"/>
  <c r="H370"/>
  <c r="G370"/>
  <c r="F370"/>
  <c r="E370"/>
  <c r="D370"/>
  <c r="C370"/>
  <c r="B370"/>
  <c r="P369"/>
  <c r="O369"/>
  <c r="N369"/>
  <c r="M369"/>
  <c r="L369"/>
  <c r="K369"/>
  <c r="J369"/>
  <c r="I369"/>
  <c r="H369"/>
  <c r="G369"/>
  <c r="F369"/>
  <c r="E369"/>
  <c r="D369"/>
  <c r="C369"/>
  <c r="B369"/>
  <c r="P368"/>
  <c r="O368"/>
  <c r="N368"/>
  <c r="M368"/>
  <c r="L368"/>
  <c r="K368"/>
  <c r="J368"/>
  <c r="I368"/>
  <c r="H368"/>
  <c r="G368"/>
  <c r="F368"/>
  <c r="E368"/>
  <c r="D368"/>
  <c r="C368"/>
  <c r="B368"/>
  <c r="P367"/>
  <c r="O367"/>
  <c r="N367"/>
  <c r="M367"/>
  <c r="L367"/>
  <c r="K367"/>
  <c r="J367"/>
  <c r="I367"/>
  <c r="H367"/>
  <c r="G367"/>
  <c r="F367"/>
  <c r="E367"/>
  <c r="D367"/>
  <c r="C367"/>
  <c r="B367"/>
  <c r="P366"/>
  <c r="O366"/>
  <c r="N366"/>
  <c r="M366"/>
  <c r="L366"/>
  <c r="K366"/>
  <c r="J366"/>
  <c r="I366"/>
  <c r="H366"/>
  <c r="G366"/>
  <c r="F366"/>
  <c r="E366"/>
  <c r="D366"/>
  <c r="C366"/>
  <c r="B366"/>
  <c r="P365"/>
  <c r="O365"/>
  <c r="N365"/>
  <c r="M365"/>
  <c r="L365"/>
  <c r="K365"/>
  <c r="J365"/>
  <c r="I365"/>
  <c r="H365"/>
  <c r="G365"/>
  <c r="F365"/>
  <c r="E365"/>
  <c r="D365"/>
  <c r="C365"/>
  <c r="B365"/>
  <c r="P364"/>
  <c r="O364"/>
  <c r="N364"/>
  <c r="M364"/>
  <c r="L364"/>
  <c r="K364"/>
  <c r="J364"/>
  <c r="I364"/>
  <c r="H364"/>
  <c r="G364"/>
  <c r="F364"/>
  <c r="E364"/>
  <c r="D364"/>
  <c r="C364"/>
  <c r="B364"/>
  <c r="P363"/>
  <c r="O363"/>
  <c r="N363"/>
  <c r="M363"/>
  <c r="L363"/>
  <c r="K363"/>
  <c r="J363"/>
  <c r="I363"/>
  <c r="H363"/>
  <c r="G363"/>
  <c r="F363"/>
  <c r="E363"/>
  <c r="D363"/>
  <c r="C363"/>
  <c r="B363"/>
  <c r="P362"/>
  <c r="O362"/>
  <c r="N362"/>
  <c r="M362"/>
  <c r="L362"/>
  <c r="K362"/>
  <c r="J362"/>
  <c r="I362"/>
  <c r="H362"/>
  <c r="G362"/>
  <c r="F362"/>
  <c r="E362"/>
  <c r="D362"/>
  <c r="C362"/>
  <c r="B362"/>
  <c r="P361"/>
  <c r="O361"/>
  <c r="N361"/>
  <c r="M361"/>
  <c r="L361"/>
  <c r="K361"/>
  <c r="J361"/>
  <c r="I361"/>
  <c r="H361"/>
  <c r="G361"/>
  <c r="F361"/>
  <c r="E361"/>
  <c r="D361"/>
  <c r="C361"/>
  <c r="B361"/>
  <c r="P360"/>
  <c r="O360"/>
  <c r="N360"/>
  <c r="M360"/>
  <c r="L360"/>
  <c r="K360"/>
  <c r="J360"/>
  <c r="I360"/>
  <c r="H360"/>
  <c r="G360"/>
  <c r="F360"/>
  <c r="E360"/>
  <c r="D360"/>
  <c r="C360"/>
  <c r="B360"/>
  <c r="P359"/>
  <c r="O359"/>
  <c r="N359"/>
  <c r="M359"/>
  <c r="L359"/>
  <c r="K359"/>
  <c r="J359"/>
  <c r="I359"/>
  <c r="H359"/>
  <c r="G359"/>
  <c r="F359"/>
  <c r="E359"/>
  <c r="D359"/>
  <c r="C359"/>
  <c r="B359"/>
  <c r="P358"/>
  <c r="O358"/>
  <c r="N358"/>
  <c r="M358"/>
  <c r="L358"/>
  <c r="K358"/>
  <c r="J358"/>
  <c r="I358"/>
  <c r="H358"/>
  <c r="G358"/>
  <c r="F358"/>
  <c r="E358"/>
  <c r="D358"/>
  <c r="C358"/>
  <c r="B358"/>
  <c r="P357"/>
  <c r="O357"/>
  <c r="N357"/>
  <c r="M357"/>
  <c r="L357"/>
  <c r="K357"/>
  <c r="J357"/>
  <c r="I357"/>
  <c r="H357"/>
  <c r="G357"/>
  <c r="F357"/>
  <c r="E357"/>
  <c r="D357"/>
  <c r="C357"/>
  <c r="B357"/>
  <c r="P356"/>
  <c r="O356"/>
  <c r="N356"/>
  <c r="M356"/>
  <c r="L356"/>
  <c r="K356"/>
  <c r="J356"/>
  <c r="I356"/>
  <c r="H356"/>
  <c r="G356"/>
  <c r="F356"/>
  <c r="E356"/>
  <c r="D356"/>
  <c r="C356"/>
  <c r="B356"/>
  <c r="P355"/>
  <c r="O355"/>
  <c r="N355"/>
  <c r="M355"/>
  <c r="L355"/>
  <c r="K355"/>
  <c r="J355"/>
  <c r="I355"/>
  <c r="H355"/>
  <c r="G355"/>
  <c r="F355"/>
  <c r="E355"/>
  <c r="D355"/>
  <c r="C355"/>
  <c r="B355"/>
  <c r="P354"/>
  <c r="O354"/>
  <c r="N354"/>
  <c r="M354"/>
  <c r="L354"/>
  <c r="K354"/>
  <c r="J354"/>
  <c r="I354"/>
  <c r="H354"/>
  <c r="G354"/>
  <c r="F354"/>
  <c r="E354"/>
  <c r="D354"/>
  <c r="C354"/>
  <c r="B354"/>
  <c r="P353"/>
  <c r="O353"/>
  <c r="N353"/>
  <c r="M353"/>
  <c r="L353"/>
  <c r="K353"/>
  <c r="J353"/>
  <c r="I353"/>
  <c r="H353"/>
  <c r="G353"/>
  <c r="F353"/>
  <c r="E353"/>
  <c r="D353"/>
  <c r="C353"/>
  <c r="B353"/>
  <c r="P352"/>
  <c r="O352"/>
  <c r="N352"/>
  <c r="M352"/>
  <c r="L352"/>
  <c r="K352"/>
  <c r="J352"/>
  <c r="I352"/>
  <c r="H352"/>
  <c r="G352"/>
  <c r="F352"/>
  <c r="E352"/>
  <c r="D352"/>
  <c r="C352"/>
  <c r="B352"/>
  <c r="P351"/>
  <c r="O351"/>
  <c r="N351"/>
  <c r="M351"/>
  <c r="L351"/>
  <c r="K351"/>
  <c r="J351"/>
  <c r="I351"/>
  <c r="H351"/>
  <c r="G351"/>
  <c r="F351"/>
  <c r="E351"/>
  <c r="D351"/>
  <c r="C351"/>
  <c r="B351"/>
  <c r="P350"/>
  <c r="O350"/>
  <c r="N350"/>
  <c r="M350"/>
  <c r="L350"/>
  <c r="K350"/>
  <c r="J350"/>
  <c r="I350"/>
  <c r="H350"/>
  <c r="G350"/>
  <c r="F350"/>
  <c r="E350"/>
  <c r="D350"/>
  <c r="C350"/>
  <c r="B350"/>
  <c r="P349"/>
  <c r="O349"/>
  <c r="N349"/>
  <c r="M349"/>
  <c r="L349"/>
  <c r="K349"/>
  <c r="J349"/>
  <c r="I349"/>
  <c r="H349"/>
  <c r="G349"/>
  <c r="F349"/>
  <c r="E349"/>
  <c r="D349"/>
  <c r="C349"/>
  <c r="B349"/>
  <c r="P348"/>
  <c r="O348"/>
  <c r="N348"/>
  <c r="M348"/>
  <c r="L348"/>
  <c r="K348"/>
  <c r="J348"/>
  <c r="I348"/>
  <c r="H348"/>
  <c r="G348"/>
  <c r="F348"/>
  <c r="E348"/>
  <c r="D348"/>
  <c r="C348"/>
  <c r="B348"/>
  <c r="P347"/>
  <c r="O347"/>
  <c r="N347"/>
  <c r="M347"/>
  <c r="L347"/>
  <c r="K347"/>
  <c r="J347"/>
  <c r="I347"/>
  <c r="H347"/>
  <c r="G347"/>
  <c r="F347"/>
  <c r="E347"/>
  <c r="D347"/>
  <c r="C347"/>
  <c r="B347"/>
  <c r="P346"/>
  <c r="O346"/>
  <c r="N346"/>
  <c r="M346"/>
  <c r="L346"/>
  <c r="K346"/>
  <c r="J346"/>
  <c r="I346"/>
  <c r="H346"/>
  <c r="G346"/>
  <c r="F346"/>
  <c r="E346"/>
  <c r="D346"/>
  <c r="C346"/>
  <c r="B346"/>
  <c r="P345"/>
  <c r="O345"/>
  <c r="N345"/>
  <c r="M345"/>
  <c r="L345"/>
  <c r="K345"/>
  <c r="J345"/>
  <c r="I345"/>
  <c r="H345"/>
  <c r="G345"/>
  <c r="F345"/>
  <c r="E345"/>
  <c r="D345"/>
  <c r="C345"/>
  <c r="B345"/>
  <c r="P344"/>
  <c r="O344"/>
  <c r="N344"/>
  <c r="M344"/>
  <c r="L344"/>
  <c r="K344"/>
  <c r="J344"/>
  <c r="I344"/>
  <c r="H344"/>
  <c r="G344"/>
  <c r="F344"/>
  <c r="E344"/>
  <c r="D344"/>
  <c r="C344"/>
  <c r="B344"/>
  <c r="P343"/>
  <c r="O343"/>
  <c r="N343"/>
  <c r="M343"/>
  <c r="L343"/>
  <c r="K343"/>
  <c r="J343"/>
  <c r="I343"/>
  <c r="H343"/>
  <c r="G343"/>
  <c r="F343"/>
  <c r="E343"/>
  <c r="D343"/>
  <c r="C343"/>
  <c r="B343"/>
  <c r="P342"/>
  <c r="O342"/>
  <c r="N342"/>
  <c r="M342"/>
  <c r="L342"/>
  <c r="K342"/>
  <c r="J342"/>
  <c r="I342"/>
  <c r="H342"/>
  <c r="G342"/>
  <c r="F342"/>
  <c r="E342"/>
  <c r="D342"/>
  <c r="C342"/>
  <c r="B342"/>
  <c r="P341"/>
  <c r="O341"/>
  <c r="N341"/>
  <c r="M341"/>
  <c r="L341"/>
  <c r="K341"/>
  <c r="J341"/>
  <c r="I341"/>
  <c r="H341"/>
  <c r="G341"/>
  <c r="F341"/>
  <c r="E341"/>
  <c r="D341"/>
  <c r="C341"/>
  <c r="B341"/>
  <c r="P340"/>
  <c r="O340"/>
  <c r="N340"/>
  <c r="M340"/>
  <c r="L340"/>
  <c r="K340"/>
  <c r="J340"/>
  <c r="I340"/>
  <c r="H340"/>
  <c r="G340"/>
  <c r="F340"/>
  <c r="E340"/>
  <c r="D340"/>
  <c r="C340"/>
  <c r="B340"/>
  <c r="P339"/>
  <c r="O339"/>
  <c r="N339"/>
  <c r="M339"/>
  <c r="L339"/>
  <c r="K339"/>
  <c r="J339"/>
  <c r="I339"/>
  <c r="H339"/>
  <c r="G339"/>
  <c r="F339"/>
  <c r="E339"/>
  <c r="D339"/>
  <c r="C339"/>
  <c r="B339"/>
  <c r="P338"/>
  <c r="O338"/>
  <c r="N338"/>
  <c r="M338"/>
  <c r="L338"/>
  <c r="K338"/>
  <c r="J338"/>
  <c r="I338"/>
  <c r="H338"/>
  <c r="G338"/>
  <c r="F338"/>
  <c r="E338"/>
  <c r="D338"/>
  <c r="C338"/>
  <c r="B338"/>
  <c r="P337"/>
  <c r="O337"/>
  <c r="N337"/>
  <c r="M337"/>
  <c r="L337"/>
  <c r="K337"/>
  <c r="J337"/>
  <c r="I337"/>
  <c r="H337"/>
  <c r="G337"/>
  <c r="F337"/>
  <c r="E337"/>
  <c r="D337"/>
  <c r="C337"/>
  <c r="B337"/>
  <c r="P336"/>
  <c r="O336"/>
  <c r="N336"/>
  <c r="M336"/>
  <c r="L336"/>
  <c r="K336"/>
  <c r="J336"/>
  <c r="I336"/>
  <c r="H336"/>
  <c r="G336"/>
  <c r="F336"/>
  <c r="E336"/>
  <c r="D336"/>
  <c r="C336"/>
  <c r="B336"/>
  <c r="P335"/>
  <c r="O335"/>
  <c r="N335"/>
  <c r="M335"/>
  <c r="L335"/>
  <c r="K335"/>
  <c r="J335"/>
  <c r="I335"/>
  <c r="H335"/>
  <c r="G335"/>
  <c r="F335"/>
  <c r="E335"/>
  <c r="D335"/>
  <c r="C335"/>
  <c r="B335"/>
  <c r="P334"/>
  <c r="O334"/>
  <c r="N334"/>
  <c r="M334"/>
  <c r="L334"/>
  <c r="K334"/>
  <c r="J334"/>
  <c r="I334"/>
  <c r="H334"/>
  <c r="G334"/>
  <c r="F334"/>
  <c r="E334"/>
  <c r="D334"/>
  <c r="C334"/>
  <c r="B334"/>
  <c r="P333"/>
  <c r="O333"/>
  <c r="N333"/>
  <c r="M333"/>
  <c r="L333"/>
  <c r="K333"/>
  <c r="J333"/>
  <c r="I333"/>
  <c r="H333"/>
  <c r="G333"/>
  <c r="F333"/>
  <c r="E333"/>
  <c r="D333"/>
  <c r="C333"/>
  <c r="B333"/>
  <c r="P332"/>
  <c r="O332"/>
  <c r="N332"/>
  <c r="M332"/>
  <c r="L332"/>
  <c r="K332"/>
  <c r="J332"/>
  <c r="I332"/>
  <c r="H332"/>
  <c r="G332"/>
  <c r="F332"/>
  <c r="E332"/>
  <c r="D332"/>
  <c r="C332"/>
  <c r="B332"/>
  <c r="P331"/>
  <c r="O331"/>
  <c r="N331"/>
  <c r="M331"/>
  <c r="L331"/>
  <c r="K331"/>
  <c r="J331"/>
  <c r="I331"/>
  <c r="H331"/>
  <c r="G331"/>
  <c r="F331"/>
  <c r="E331"/>
  <c r="D331"/>
  <c r="C331"/>
  <c r="B331"/>
  <c r="P330"/>
  <c r="O330"/>
  <c r="N330"/>
  <c r="M330"/>
  <c r="L330"/>
  <c r="J330"/>
  <c r="I330"/>
  <c r="H330"/>
  <c r="G330"/>
  <c r="F330"/>
  <c r="D330"/>
  <c r="C330"/>
  <c r="B330"/>
  <c r="X329"/>
  <c r="X395" i="8" s="1"/>
  <c r="K329" i="7"/>
  <c r="J329"/>
  <c r="I329"/>
  <c r="H329"/>
  <c r="G329"/>
  <c r="F329"/>
  <c r="E329"/>
  <c r="D329"/>
  <c r="C329"/>
  <c r="B329"/>
  <c r="K328"/>
  <c r="J328"/>
  <c r="I328"/>
  <c r="H328"/>
  <c r="G328"/>
  <c r="F328"/>
  <c r="E328"/>
  <c r="D328"/>
  <c r="C328"/>
  <c r="B328"/>
  <c r="K327"/>
  <c r="J327"/>
  <c r="I327"/>
  <c r="H327"/>
  <c r="G327"/>
  <c r="F327"/>
  <c r="E327"/>
  <c r="D327"/>
  <c r="C327"/>
  <c r="B327"/>
  <c r="K326"/>
  <c r="J326"/>
  <c r="I326"/>
  <c r="H326"/>
  <c r="G326"/>
  <c r="F326"/>
  <c r="E326"/>
  <c r="D326"/>
  <c r="C326"/>
  <c r="B326"/>
  <c r="K325"/>
  <c r="J325"/>
  <c r="I325"/>
  <c r="H325"/>
  <c r="G325"/>
  <c r="F325"/>
  <c r="E325"/>
  <c r="D325"/>
  <c r="C325"/>
  <c r="B325"/>
  <c r="K324"/>
  <c r="J324"/>
  <c r="I324"/>
  <c r="H324"/>
  <c r="G324"/>
  <c r="F324"/>
  <c r="E324"/>
  <c r="D324"/>
  <c r="C324"/>
  <c r="B324"/>
  <c r="K323"/>
  <c r="J323"/>
  <c r="I323"/>
  <c r="H323"/>
  <c r="G323"/>
  <c r="F323"/>
  <c r="E323"/>
  <c r="D323"/>
  <c r="C323"/>
  <c r="B323"/>
  <c r="K322"/>
  <c r="J322"/>
  <c r="I322"/>
  <c r="H322"/>
  <c r="G322"/>
  <c r="F322"/>
  <c r="E322"/>
  <c r="D322"/>
  <c r="C322"/>
  <c r="B322"/>
  <c r="K321"/>
  <c r="J321"/>
  <c r="I321"/>
  <c r="H321"/>
  <c r="G321"/>
  <c r="F321"/>
  <c r="E321"/>
  <c r="D321"/>
  <c r="C321"/>
  <c r="B321"/>
  <c r="K320"/>
  <c r="J320"/>
  <c r="I320"/>
  <c r="H320"/>
  <c r="G320"/>
  <c r="F320"/>
  <c r="E320"/>
  <c r="D320"/>
  <c r="C320"/>
  <c r="B320"/>
  <c r="K319"/>
  <c r="J319"/>
  <c r="I319"/>
  <c r="H319"/>
  <c r="G319"/>
  <c r="F319"/>
  <c r="E319"/>
  <c r="D319"/>
  <c r="C319"/>
  <c r="B319"/>
  <c r="K318"/>
  <c r="J318"/>
  <c r="I318"/>
  <c r="H318"/>
  <c r="G318"/>
  <c r="F318"/>
  <c r="E318"/>
  <c r="D318"/>
  <c r="C318"/>
  <c r="B318"/>
  <c r="K317"/>
  <c r="J317"/>
  <c r="I317"/>
  <c r="H317"/>
  <c r="G317"/>
  <c r="F317"/>
  <c r="E317"/>
  <c r="D317"/>
  <c r="C317"/>
  <c r="B317"/>
  <c r="K316"/>
  <c r="J316"/>
  <c r="I316"/>
  <c r="H316"/>
  <c r="G316"/>
  <c r="F316"/>
  <c r="E316"/>
  <c r="D316"/>
  <c r="C316"/>
  <c r="B316"/>
  <c r="K315"/>
  <c r="J315"/>
  <c r="I315"/>
  <c r="H315"/>
  <c r="G315"/>
  <c r="F315"/>
  <c r="E315"/>
  <c r="D315"/>
  <c r="C315"/>
  <c r="B315"/>
  <c r="K314"/>
  <c r="J314"/>
  <c r="I314"/>
  <c r="H314"/>
  <c r="G314"/>
  <c r="F314"/>
  <c r="E314"/>
  <c r="D314"/>
  <c r="C314"/>
  <c r="B314"/>
  <c r="K313"/>
  <c r="J313"/>
  <c r="I313"/>
  <c r="H313"/>
  <c r="G313"/>
  <c r="F313"/>
  <c r="E313"/>
  <c r="D313"/>
  <c r="C313"/>
  <c r="B313"/>
  <c r="K312"/>
  <c r="J312"/>
  <c r="I312"/>
  <c r="H312"/>
  <c r="G312"/>
  <c r="F312"/>
  <c r="E312"/>
  <c r="D312"/>
  <c r="C312"/>
  <c r="B312"/>
  <c r="K311"/>
  <c r="J311"/>
  <c r="I311"/>
  <c r="H311"/>
  <c r="G311"/>
  <c r="F311"/>
  <c r="E311"/>
  <c r="D311"/>
  <c r="C311"/>
  <c r="B311"/>
  <c r="K310"/>
  <c r="J310"/>
  <c r="I310"/>
  <c r="H310"/>
  <c r="G310"/>
  <c r="F310"/>
  <c r="E310"/>
  <c r="D310"/>
  <c r="C310"/>
  <c r="B310"/>
  <c r="K309"/>
  <c r="J309"/>
  <c r="I309"/>
  <c r="H309"/>
  <c r="G309"/>
  <c r="F309"/>
  <c r="E309"/>
  <c r="D309"/>
  <c r="C309"/>
  <c r="B309"/>
  <c r="K308"/>
  <c r="J308"/>
  <c r="I308"/>
  <c r="H308"/>
  <c r="G308"/>
  <c r="F308"/>
  <c r="E308"/>
  <c r="D308"/>
  <c r="C308"/>
  <c r="B308"/>
  <c r="K307"/>
  <c r="J307"/>
  <c r="I307"/>
  <c r="H307"/>
  <c r="G307"/>
  <c r="F307"/>
  <c r="E307"/>
  <c r="D307"/>
  <c r="C307"/>
  <c r="B307"/>
  <c r="K306"/>
  <c r="J306"/>
  <c r="I306"/>
  <c r="H306"/>
  <c r="G306"/>
  <c r="F306"/>
  <c r="E306"/>
  <c r="D306"/>
  <c r="C306"/>
  <c r="B306"/>
  <c r="K305"/>
  <c r="J305"/>
  <c r="I305"/>
  <c r="H305"/>
  <c r="G305"/>
  <c r="F305"/>
  <c r="E305"/>
  <c r="D305"/>
  <c r="C305"/>
  <c r="B305"/>
  <c r="K304"/>
  <c r="J304"/>
  <c r="I304"/>
  <c r="H304"/>
  <c r="G304"/>
  <c r="F304"/>
  <c r="E304"/>
  <c r="D304"/>
  <c r="C304"/>
  <c r="B304"/>
  <c r="K303"/>
  <c r="J303"/>
  <c r="I303"/>
  <c r="H303"/>
  <c r="G303"/>
  <c r="F303"/>
  <c r="E303"/>
  <c r="D303"/>
  <c r="C303"/>
  <c r="B303"/>
  <c r="K302"/>
  <c r="J302"/>
  <c r="I302"/>
  <c r="H302"/>
  <c r="G302"/>
  <c r="F302"/>
  <c r="E302"/>
  <c r="D302"/>
  <c r="C302"/>
  <c r="B302"/>
  <c r="K301"/>
  <c r="J301"/>
  <c r="I301"/>
  <c r="H301"/>
  <c r="G301"/>
  <c r="F301"/>
  <c r="E301"/>
  <c r="D301"/>
  <c r="C301"/>
  <c r="B301"/>
  <c r="K300"/>
  <c r="J300"/>
  <c r="I300"/>
  <c r="H300"/>
  <c r="G300"/>
  <c r="F300"/>
  <c r="E300"/>
  <c r="D300"/>
  <c r="C300"/>
  <c r="B300"/>
  <c r="K299"/>
  <c r="J299"/>
  <c r="I299"/>
  <c r="H299"/>
  <c r="G299"/>
  <c r="F299"/>
  <c r="E299"/>
  <c r="D299"/>
  <c r="C299"/>
  <c r="B299"/>
  <c r="K298"/>
  <c r="J298"/>
  <c r="I298"/>
  <c r="H298"/>
  <c r="G298"/>
  <c r="F298"/>
  <c r="E298"/>
  <c r="D298"/>
  <c r="C298"/>
  <c r="B298"/>
  <c r="K297"/>
  <c r="J297"/>
  <c r="I297"/>
  <c r="H297"/>
  <c r="G297"/>
  <c r="F297"/>
  <c r="E297"/>
  <c r="D297"/>
  <c r="C297"/>
  <c r="B297"/>
  <c r="K296"/>
  <c r="J296"/>
  <c r="I296"/>
  <c r="H296"/>
  <c r="G296"/>
  <c r="F296"/>
  <c r="E296"/>
  <c r="D296"/>
  <c r="C296"/>
  <c r="B296"/>
  <c r="K295"/>
  <c r="J295"/>
  <c r="I295"/>
  <c r="H295"/>
  <c r="G295"/>
  <c r="F295"/>
  <c r="E295"/>
  <c r="D295"/>
  <c r="C295"/>
  <c r="B295"/>
  <c r="K294"/>
  <c r="J294"/>
  <c r="I294"/>
  <c r="H294"/>
  <c r="G294"/>
  <c r="F294"/>
  <c r="E294"/>
  <c r="D294"/>
  <c r="C294"/>
  <c r="B294"/>
  <c r="K293"/>
  <c r="J293"/>
  <c r="I293"/>
  <c r="H293"/>
  <c r="G293"/>
  <c r="F293"/>
  <c r="E293"/>
  <c r="D293"/>
  <c r="C293"/>
  <c r="B293"/>
  <c r="K292"/>
  <c r="J292"/>
  <c r="I292"/>
  <c r="H292"/>
  <c r="G292"/>
  <c r="F292"/>
  <c r="E292"/>
  <c r="D292"/>
  <c r="C292"/>
  <c r="B292"/>
  <c r="K291"/>
  <c r="J291"/>
  <c r="I291"/>
  <c r="H291"/>
  <c r="G291"/>
  <c r="F291"/>
  <c r="E291"/>
  <c r="D291"/>
  <c r="C291"/>
  <c r="B291"/>
  <c r="K290"/>
  <c r="J290"/>
  <c r="I290"/>
  <c r="H290"/>
  <c r="G290"/>
  <c r="F290"/>
  <c r="E290"/>
  <c r="D290"/>
  <c r="C290"/>
  <c r="B290"/>
  <c r="K289"/>
  <c r="J289"/>
  <c r="I289"/>
  <c r="H289"/>
  <c r="G289"/>
  <c r="F289"/>
  <c r="E289"/>
  <c r="D289"/>
  <c r="C289"/>
  <c r="B289"/>
  <c r="K288"/>
  <c r="J288"/>
  <c r="I288"/>
  <c r="H288"/>
  <c r="G288"/>
  <c r="F288"/>
  <c r="E288"/>
  <c r="D288"/>
  <c r="C288"/>
  <c r="B288"/>
  <c r="K287"/>
  <c r="J287"/>
  <c r="I287"/>
  <c r="H287"/>
  <c r="G287"/>
  <c r="F287"/>
  <c r="E287"/>
  <c r="D287"/>
  <c r="C287"/>
  <c r="B287"/>
  <c r="K286"/>
  <c r="J286"/>
  <c r="I286"/>
  <c r="H286"/>
  <c r="G286"/>
  <c r="F286"/>
  <c r="E286"/>
  <c r="D286"/>
  <c r="C286"/>
  <c r="B286"/>
  <c r="K285"/>
  <c r="J285"/>
  <c r="I285"/>
  <c r="H285"/>
  <c r="G285"/>
  <c r="F285"/>
  <c r="E285"/>
  <c r="D285"/>
  <c r="C285"/>
  <c r="B285"/>
  <c r="K284"/>
  <c r="J284"/>
  <c r="I284"/>
  <c r="H284"/>
  <c r="G284"/>
  <c r="F284"/>
  <c r="E284"/>
  <c r="D284"/>
  <c r="C284"/>
  <c r="B284"/>
  <c r="K283"/>
  <c r="J283"/>
  <c r="I283"/>
  <c r="H283"/>
  <c r="G283"/>
  <c r="F283"/>
  <c r="E283"/>
  <c r="D283"/>
  <c r="C283"/>
  <c r="B283"/>
  <c r="K282"/>
  <c r="J282"/>
  <c r="I282"/>
  <c r="H282"/>
  <c r="G282"/>
  <c r="F282"/>
  <c r="E282"/>
  <c r="D282"/>
  <c r="C282"/>
  <c r="B282"/>
  <c r="K281"/>
  <c r="J281"/>
  <c r="I281"/>
  <c r="H281"/>
  <c r="G281"/>
  <c r="F281"/>
  <c r="E281"/>
  <c r="D281"/>
  <c r="C281"/>
  <c r="B281"/>
  <c r="K280"/>
  <c r="J280"/>
  <c r="I280"/>
  <c r="H280"/>
  <c r="G280"/>
  <c r="F280"/>
  <c r="E280"/>
  <c r="D280"/>
  <c r="C280"/>
  <c r="B280"/>
  <c r="K279"/>
  <c r="J279"/>
  <c r="I279"/>
  <c r="H279"/>
  <c r="G279"/>
  <c r="F279"/>
  <c r="E279"/>
  <c r="D279"/>
  <c r="C279"/>
  <c r="B279"/>
  <c r="K278"/>
  <c r="J278"/>
  <c r="I278"/>
  <c r="H278"/>
  <c r="G278"/>
  <c r="F278"/>
  <c r="E278"/>
  <c r="D278"/>
  <c r="C278"/>
  <c r="B278"/>
  <c r="K277"/>
  <c r="J277"/>
  <c r="I277"/>
  <c r="H277"/>
  <c r="G277"/>
  <c r="F277"/>
  <c r="E277"/>
  <c r="D277"/>
  <c r="C277"/>
  <c r="B277"/>
  <c r="K276"/>
  <c r="J276"/>
  <c r="I276"/>
  <c r="H276"/>
  <c r="G276"/>
  <c r="F276"/>
  <c r="E276"/>
  <c r="D276"/>
  <c r="C276"/>
  <c r="B276"/>
  <c r="K275"/>
  <c r="J275"/>
  <c r="I275"/>
  <c r="H275"/>
  <c r="G275"/>
  <c r="F275"/>
  <c r="E275"/>
  <c r="D275"/>
  <c r="C275"/>
  <c r="B275"/>
  <c r="P274"/>
  <c r="O274"/>
  <c r="N274"/>
  <c r="M274"/>
  <c r="L274"/>
  <c r="J274"/>
  <c r="I274"/>
  <c r="H274"/>
  <c r="G274"/>
  <c r="F274"/>
  <c r="D274"/>
  <c r="C274"/>
  <c r="B274"/>
  <c r="P273"/>
  <c r="O273"/>
  <c r="M273"/>
  <c r="L273"/>
  <c r="J273"/>
  <c r="I273"/>
  <c r="H273"/>
  <c r="G273"/>
  <c r="F273"/>
  <c r="C273"/>
  <c r="B273"/>
  <c r="Q338" i="8"/>
  <c r="Q337"/>
  <c r="Q336"/>
  <c r="Q335"/>
  <c r="Q334"/>
  <c r="Q333"/>
  <c r="Q332"/>
  <c r="Q331"/>
  <c r="J272" i="7"/>
  <c r="I272"/>
  <c r="H272"/>
  <c r="G272"/>
  <c r="F272"/>
  <c r="D272"/>
  <c r="C272"/>
  <c r="B272"/>
  <c r="J271"/>
  <c r="I271"/>
  <c r="H271"/>
  <c r="G271"/>
  <c r="F271"/>
  <c r="D271"/>
  <c r="C271"/>
  <c r="B271"/>
  <c r="J270"/>
  <c r="I270"/>
  <c r="H270"/>
  <c r="G270"/>
  <c r="F270"/>
  <c r="D270"/>
  <c r="C270"/>
  <c r="B270"/>
  <c r="K269"/>
  <c r="J269"/>
  <c r="I269"/>
  <c r="H269"/>
  <c r="G269"/>
  <c r="F269"/>
  <c r="C269"/>
  <c r="B269"/>
  <c r="P268"/>
  <c r="O268"/>
  <c r="N268"/>
  <c r="M268"/>
  <c r="L268"/>
  <c r="K268"/>
  <c r="J268"/>
  <c r="I268"/>
  <c r="H268"/>
  <c r="G268"/>
  <c r="F268"/>
  <c r="E268"/>
  <c r="D268"/>
  <c r="C268"/>
  <c r="B268"/>
  <c r="P267"/>
  <c r="O267"/>
  <c r="N267"/>
  <c r="M267"/>
  <c r="L267"/>
  <c r="K267"/>
  <c r="J267"/>
  <c r="I267"/>
  <c r="H267"/>
  <c r="G267"/>
  <c r="F267"/>
  <c r="E267"/>
  <c r="D267"/>
  <c r="C267"/>
  <c r="B267"/>
  <c r="P266"/>
  <c r="O266"/>
  <c r="N266"/>
  <c r="M266"/>
  <c r="L266"/>
  <c r="K266"/>
  <c r="J266"/>
  <c r="I266"/>
  <c r="H266"/>
  <c r="G266"/>
  <c r="F266"/>
  <c r="E266"/>
  <c r="D266"/>
  <c r="C266"/>
  <c r="B266"/>
  <c r="P265"/>
  <c r="O265"/>
  <c r="N265"/>
  <c r="M265"/>
  <c r="L265"/>
  <c r="K265"/>
  <c r="J265"/>
  <c r="I265"/>
  <c r="H265"/>
  <c r="G265"/>
  <c r="F265"/>
  <c r="E265"/>
  <c r="D265"/>
  <c r="C265"/>
  <c r="B265"/>
  <c r="P264"/>
  <c r="O264"/>
  <c r="N264"/>
  <c r="M264"/>
  <c r="L264"/>
  <c r="K264"/>
  <c r="J264"/>
  <c r="I264"/>
  <c r="H264"/>
  <c r="G264"/>
  <c r="F264"/>
  <c r="E264"/>
  <c r="D264"/>
  <c r="C264"/>
  <c r="B264"/>
  <c r="P263"/>
  <c r="O263"/>
  <c r="N263"/>
  <c r="M263"/>
  <c r="L263"/>
  <c r="K263"/>
  <c r="J263"/>
  <c r="I263"/>
  <c r="H263"/>
  <c r="G263"/>
  <c r="F263"/>
  <c r="E263"/>
  <c r="D263"/>
  <c r="C263"/>
  <c r="B263"/>
  <c r="P262"/>
  <c r="O262"/>
  <c r="N262"/>
  <c r="M262"/>
  <c r="L262"/>
  <c r="K262"/>
  <c r="J262"/>
  <c r="I262"/>
  <c r="H262"/>
  <c r="G262"/>
  <c r="F262"/>
  <c r="E262"/>
  <c r="D262"/>
  <c r="C262"/>
  <c r="B262"/>
  <c r="P261"/>
  <c r="O261"/>
  <c r="N261"/>
  <c r="M261"/>
  <c r="L261"/>
  <c r="K261"/>
  <c r="J261"/>
  <c r="I261"/>
  <c r="H261"/>
  <c r="G261"/>
  <c r="F261"/>
  <c r="E261"/>
  <c r="D261"/>
  <c r="C261"/>
  <c r="B261"/>
  <c r="P260"/>
  <c r="O260"/>
  <c r="N260"/>
  <c r="M260"/>
  <c r="L260"/>
  <c r="K260"/>
  <c r="J260"/>
  <c r="I260"/>
  <c r="H260"/>
  <c r="G260"/>
  <c r="F260"/>
  <c r="E260"/>
  <c r="D260"/>
  <c r="C260"/>
  <c r="B260"/>
  <c r="P259"/>
  <c r="O259"/>
  <c r="N259"/>
  <c r="M259"/>
  <c r="L259"/>
  <c r="K259"/>
  <c r="J259"/>
  <c r="I259"/>
  <c r="H259"/>
  <c r="G259"/>
  <c r="F259"/>
  <c r="E259"/>
  <c r="D259"/>
  <c r="C259"/>
  <c r="B259"/>
  <c r="P258"/>
  <c r="O258"/>
  <c r="N258"/>
  <c r="M258"/>
  <c r="L258"/>
  <c r="K258"/>
  <c r="J258"/>
  <c r="I258"/>
  <c r="H258"/>
  <c r="G258"/>
  <c r="F258"/>
  <c r="E258"/>
  <c r="D258"/>
  <c r="C258"/>
  <c r="B258"/>
  <c r="P257"/>
  <c r="O257"/>
  <c r="N257"/>
  <c r="M257"/>
  <c r="L257"/>
  <c r="K257"/>
  <c r="J257"/>
  <c r="I257"/>
  <c r="H257"/>
  <c r="G257"/>
  <c r="F257"/>
  <c r="E257"/>
  <c r="D257"/>
  <c r="C257"/>
  <c r="B257"/>
  <c r="P256"/>
  <c r="O256"/>
  <c r="N256"/>
  <c r="M256"/>
  <c r="L256"/>
  <c r="K256"/>
  <c r="J256"/>
  <c r="I256"/>
  <c r="H256"/>
  <c r="G256"/>
  <c r="F256"/>
  <c r="E256"/>
  <c r="D256"/>
  <c r="C256"/>
  <c r="B256"/>
  <c r="P255"/>
  <c r="O255"/>
  <c r="N255"/>
  <c r="M255"/>
  <c r="L255"/>
  <c r="K255"/>
  <c r="J255"/>
  <c r="I255"/>
  <c r="H255"/>
  <c r="G255"/>
  <c r="F255"/>
  <c r="E255"/>
  <c r="D255"/>
  <c r="C255"/>
  <c r="B255"/>
  <c r="P254"/>
  <c r="O254"/>
  <c r="N254"/>
  <c r="M254"/>
  <c r="L254"/>
  <c r="K254"/>
  <c r="J254"/>
  <c r="I254"/>
  <c r="H254"/>
  <c r="G254"/>
  <c r="F254"/>
  <c r="E254"/>
  <c r="D254"/>
  <c r="C254"/>
  <c r="B254"/>
  <c r="P253"/>
  <c r="O253"/>
  <c r="N253"/>
  <c r="M253"/>
  <c r="L253"/>
  <c r="J253"/>
  <c r="I253"/>
  <c r="H253"/>
  <c r="G253"/>
  <c r="F253"/>
  <c r="E253"/>
  <c r="D253"/>
  <c r="C253"/>
  <c r="B253"/>
  <c r="P252"/>
  <c r="O252"/>
  <c r="N252"/>
  <c r="M252"/>
  <c r="L252"/>
  <c r="K252"/>
  <c r="J252"/>
  <c r="I252"/>
  <c r="H252"/>
  <c r="G252"/>
  <c r="F252"/>
  <c r="E252"/>
  <c r="D252"/>
  <c r="C252"/>
  <c r="B252"/>
  <c r="P251"/>
  <c r="O251"/>
  <c r="N251"/>
  <c r="M251"/>
  <c r="L251"/>
  <c r="J251"/>
  <c r="I251"/>
  <c r="H251"/>
  <c r="G251"/>
  <c r="F251"/>
  <c r="E251"/>
  <c r="D251"/>
  <c r="C251"/>
  <c r="B251"/>
  <c r="P250"/>
  <c r="O250"/>
  <c r="N250"/>
  <c r="M250"/>
  <c r="L250"/>
  <c r="K250"/>
  <c r="J250"/>
  <c r="I250"/>
  <c r="H250"/>
  <c r="G250"/>
  <c r="F250"/>
  <c r="E250"/>
  <c r="D250"/>
  <c r="C250"/>
  <c r="B250"/>
  <c r="P249"/>
  <c r="O249"/>
  <c r="N249"/>
  <c r="M249"/>
  <c r="L249"/>
  <c r="K249"/>
  <c r="J249"/>
  <c r="I249"/>
  <c r="H249"/>
  <c r="G249"/>
  <c r="F249"/>
  <c r="E249"/>
  <c r="D249"/>
  <c r="C249"/>
  <c r="B249"/>
  <c r="P248"/>
  <c r="O248"/>
  <c r="N248"/>
  <c r="M248"/>
  <c r="L248"/>
  <c r="K248"/>
  <c r="J248"/>
  <c r="I248"/>
  <c r="H248"/>
  <c r="G248"/>
  <c r="F248"/>
  <c r="E248"/>
  <c r="D248"/>
  <c r="C248"/>
  <c r="B248"/>
  <c r="P247"/>
  <c r="O247"/>
  <c r="N247"/>
  <c r="M247"/>
  <c r="L247"/>
  <c r="K247"/>
  <c r="J247"/>
  <c r="I247"/>
  <c r="H247"/>
  <c r="G247"/>
  <c r="F247"/>
  <c r="E247"/>
  <c r="D247"/>
  <c r="C247"/>
  <c r="B247"/>
  <c r="P246"/>
  <c r="O246"/>
  <c r="N246"/>
  <c r="M246"/>
  <c r="L246"/>
  <c r="K246"/>
  <c r="J246"/>
  <c r="I246"/>
  <c r="H246"/>
  <c r="G246"/>
  <c r="F246"/>
  <c r="E246"/>
  <c r="D246"/>
  <c r="C246"/>
  <c r="B246"/>
  <c r="P245"/>
  <c r="O245"/>
  <c r="N245"/>
  <c r="M245"/>
  <c r="L245"/>
  <c r="K245"/>
  <c r="J245"/>
  <c r="I245"/>
  <c r="H245"/>
  <c r="G245"/>
  <c r="F245"/>
  <c r="E245"/>
  <c r="D245"/>
  <c r="C245"/>
  <c r="B245"/>
  <c r="P244"/>
  <c r="O244"/>
  <c r="N244"/>
  <c r="M244"/>
  <c r="L244"/>
  <c r="K244"/>
  <c r="J244"/>
  <c r="I244"/>
  <c r="H244"/>
  <c r="G244"/>
  <c r="F244"/>
  <c r="E244"/>
  <c r="D244"/>
  <c r="C244"/>
  <c r="B244"/>
  <c r="P243"/>
  <c r="O243"/>
  <c r="N243"/>
  <c r="M243"/>
  <c r="L243"/>
  <c r="J243"/>
  <c r="I243"/>
  <c r="H243"/>
  <c r="G243"/>
  <c r="F243"/>
  <c r="E243"/>
  <c r="D243"/>
  <c r="C243"/>
  <c r="B243"/>
  <c r="P242"/>
  <c r="O242"/>
  <c r="N242"/>
  <c r="M242"/>
  <c r="L242"/>
  <c r="K242"/>
  <c r="J242"/>
  <c r="I242"/>
  <c r="H242"/>
  <c r="G242"/>
  <c r="F242"/>
  <c r="E242"/>
  <c r="D242"/>
  <c r="C242"/>
  <c r="B242"/>
  <c r="P241"/>
  <c r="O241"/>
  <c r="N241"/>
  <c r="M241"/>
  <c r="L241"/>
  <c r="K241"/>
  <c r="J241"/>
  <c r="I241"/>
  <c r="H241"/>
  <c r="G241"/>
  <c r="F241"/>
  <c r="E241"/>
  <c r="D241"/>
  <c r="C241"/>
  <c r="B241"/>
  <c r="P240"/>
  <c r="O240"/>
  <c r="N240"/>
  <c r="M240"/>
  <c r="L240"/>
  <c r="K240"/>
  <c r="J240"/>
  <c r="I240"/>
  <c r="H240"/>
  <c r="G240"/>
  <c r="F240"/>
  <c r="E240"/>
  <c r="D240"/>
  <c r="C240"/>
  <c r="B240"/>
  <c r="P239"/>
  <c r="O239"/>
  <c r="N239"/>
  <c r="M239"/>
  <c r="L239"/>
  <c r="K239"/>
  <c r="J239"/>
  <c r="I239"/>
  <c r="H239"/>
  <c r="G239"/>
  <c r="F239"/>
  <c r="E239"/>
  <c r="D239"/>
  <c r="C239"/>
  <c r="B239"/>
  <c r="P238"/>
  <c r="O238"/>
  <c r="N238"/>
  <c r="M238"/>
  <c r="L238"/>
  <c r="K238"/>
  <c r="J238"/>
  <c r="I238"/>
  <c r="H238"/>
  <c r="G238"/>
  <c r="F238"/>
  <c r="E238"/>
  <c r="D238"/>
  <c r="C238"/>
  <c r="B238"/>
  <c r="P237"/>
  <c r="O237"/>
  <c r="N237"/>
  <c r="M237"/>
  <c r="L237"/>
  <c r="K237"/>
  <c r="J237"/>
  <c r="I237"/>
  <c r="H237"/>
  <c r="G237"/>
  <c r="F237"/>
  <c r="E237"/>
  <c r="D237"/>
  <c r="C237"/>
  <c r="B237"/>
  <c r="P236"/>
  <c r="O236"/>
  <c r="N236"/>
  <c r="M236"/>
  <c r="L236"/>
  <c r="K236"/>
  <c r="J236"/>
  <c r="I236"/>
  <c r="H236"/>
  <c r="G236"/>
  <c r="F236"/>
  <c r="E236"/>
  <c r="D236"/>
  <c r="C236"/>
  <c r="B236"/>
  <c r="P235"/>
  <c r="O235"/>
  <c r="N235"/>
  <c r="M235"/>
  <c r="L235"/>
  <c r="K235"/>
  <c r="J235"/>
  <c r="I235"/>
  <c r="H235"/>
  <c r="G235"/>
  <c r="F235"/>
  <c r="E235"/>
  <c r="D235"/>
  <c r="C235"/>
  <c r="B235"/>
  <c r="P234"/>
  <c r="O234"/>
  <c r="N234"/>
  <c r="M234"/>
  <c r="L234"/>
  <c r="K234"/>
  <c r="J234"/>
  <c r="I234"/>
  <c r="H234"/>
  <c r="G234"/>
  <c r="F234"/>
  <c r="E234"/>
  <c r="D234"/>
  <c r="C234"/>
  <c r="B234"/>
  <c r="P233"/>
  <c r="O233"/>
  <c r="N233"/>
  <c r="M233"/>
  <c r="L233"/>
  <c r="K233"/>
  <c r="J233"/>
  <c r="I233"/>
  <c r="H233"/>
  <c r="G233"/>
  <c r="F233"/>
  <c r="E233"/>
  <c r="D233"/>
  <c r="C233"/>
  <c r="B233"/>
  <c r="P232"/>
  <c r="O232"/>
  <c r="N232"/>
  <c r="M232"/>
  <c r="L232"/>
  <c r="K232"/>
  <c r="J232"/>
  <c r="I232"/>
  <c r="H232"/>
  <c r="G232"/>
  <c r="F232"/>
  <c r="E232"/>
  <c r="D232"/>
  <c r="C232"/>
  <c r="B232"/>
  <c r="K231"/>
  <c r="J231"/>
  <c r="I231"/>
  <c r="H231"/>
  <c r="G231"/>
  <c r="F231"/>
  <c r="E231"/>
  <c r="D231"/>
  <c r="C231"/>
  <c r="B231"/>
  <c r="P230"/>
  <c r="O230"/>
  <c r="N230"/>
  <c r="M230"/>
  <c r="L230"/>
  <c r="J230"/>
  <c r="I230"/>
  <c r="H230"/>
  <c r="G230"/>
  <c r="F230"/>
  <c r="D230"/>
  <c r="C230"/>
  <c r="B230"/>
  <c r="P229"/>
  <c r="O229"/>
  <c r="N229"/>
  <c r="M229"/>
  <c r="L229"/>
  <c r="K229"/>
  <c r="J229"/>
  <c r="I229"/>
  <c r="H229"/>
  <c r="G229"/>
  <c r="F229"/>
  <c r="E229"/>
  <c r="D229"/>
  <c r="C229"/>
  <c r="B229"/>
  <c r="K228"/>
  <c r="J228"/>
  <c r="I228"/>
  <c r="H228"/>
  <c r="G228"/>
  <c r="F228"/>
  <c r="E228"/>
  <c r="D228"/>
  <c r="C228"/>
  <c r="B228"/>
  <c r="P227"/>
  <c r="O227"/>
  <c r="N227"/>
  <c r="M227"/>
  <c r="L227"/>
  <c r="K227"/>
  <c r="J227"/>
  <c r="I227"/>
  <c r="H227"/>
  <c r="G227"/>
  <c r="F227"/>
  <c r="E227"/>
  <c r="D227"/>
  <c r="C227"/>
  <c r="B227"/>
  <c r="P226"/>
  <c r="O226"/>
  <c r="N226"/>
  <c r="M226"/>
  <c r="L226"/>
  <c r="J226"/>
  <c r="I226"/>
  <c r="H226"/>
  <c r="G226"/>
  <c r="F226"/>
  <c r="D226"/>
  <c r="C226"/>
  <c r="B226"/>
  <c r="L225"/>
  <c r="K225"/>
  <c r="J225"/>
  <c r="I225"/>
  <c r="H225"/>
  <c r="G225"/>
  <c r="F225"/>
  <c r="E225"/>
  <c r="D225"/>
  <c r="C225"/>
  <c r="B225"/>
  <c r="P224"/>
  <c r="O224"/>
  <c r="N224"/>
  <c r="M224"/>
  <c r="L224"/>
  <c r="K224"/>
  <c r="J224"/>
  <c r="I224"/>
  <c r="H224"/>
  <c r="G224"/>
  <c r="F224"/>
  <c r="E224"/>
  <c r="D224"/>
  <c r="C224"/>
  <c r="B224"/>
  <c r="P223"/>
  <c r="O223"/>
  <c r="N223"/>
  <c r="M223"/>
  <c r="L223"/>
  <c r="K223"/>
  <c r="J223"/>
  <c r="I223"/>
  <c r="H223"/>
  <c r="G223"/>
  <c r="F223"/>
  <c r="E223"/>
  <c r="D223"/>
  <c r="C223"/>
  <c r="B223"/>
  <c r="P222"/>
  <c r="O222"/>
  <c r="N222"/>
  <c r="M222"/>
  <c r="L222"/>
  <c r="K222"/>
  <c r="J222"/>
  <c r="I222"/>
  <c r="H222"/>
  <c r="G222"/>
  <c r="F222"/>
  <c r="E222"/>
  <c r="D222"/>
  <c r="C222"/>
  <c r="B222"/>
  <c r="P221"/>
  <c r="O221"/>
  <c r="N221"/>
  <c r="M221"/>
  <c r="L221"/>
  <c r="K221"/>
  <c r="J221"/>
  <c r="I221"/>
  <c r="H221"/>
  <c r="G221"/>
  <c r="F221"/>
  <c r="E221"/>
  <c r="D221"/>
  <c r="C221"/>
  <c r="B221"/>
  <c r="P220"/>
  <c r="O220"/>
  <c r="N220"/>
  <c r="M220"/>
  <c r="L220"/>
  <c r="J220"/>
  <c r="I220"/>
  <c r="H220"/>
  <c r="G220"/>
  <c r="F220"/>
  <c r="E220"/>
  <c r="D220"/>
  <c r="C220"/>
  <c r="B220"/>
  <c r="P219"/>
  <c r="O219"/>
  <c r="N219"/>
  <c r="M219"/>
  <c r="L219"/>
  <c r="K219"/>
  <c r="J219"/>
  <c r="I219"/>
  <c r="H219"/>
  <c r="G219"/>
  <c r="F219"/>
  <c r="E219"/>
  <c r="D219"/>
  <c r="C219"/>
  <c r="B219"/>
  <c r="P218"/>
  <c r="O218"/>
  <c r="N218"/>
  <c r="M218"/>
  <c r="L218"/>
  <c r="K218"/>
  <c r="J218"/>
  <c r="I218"/>
  <c r="H218"/>
  <c r="G218"/>
  <c r="F218"/>
  <c r="E218"/>
  <c r="D218"/>
  <c r="C218"/>
  <c r="B218"/>
  <c r="P217"/>
  <c r="O217"/>
  <c r="N217"/>
  <c r="M217"/>
  <c r="L217"/>
  <c r="K217"/>
  <c r="J217"/>
  <c r="I217"/>
  <c r="H217"/>
  <c r="G217"/>
  <c r="F217"/>
  <c r="E217"/>
  <c r="D217"/>
  <c r="C217"/>
  <c r="B217"/>
  <c r="P216"/>
  <c r="O216"/>
  <c r="N216"/>
  <c r="M216"/>
  <c r="L216"/>
  <c r="K216"/>
  <c r="J216"/>
  <c r="I216"/>
  <c r="H216"/>
  <c r="G216"/>
  <c r="F216"/>
  <c r="E216"/>
  <c r="D216"/>
  <c r="C216"/>
  <c r="B216"/>
  <c r="P215"/>
  <c r="O215"/>
  <c r="N215"/>
  <c r="M215"/>
  <c r="L215"/>
  <c r="K215"/>
  <c r="J215"/>
  <c r="I215"/>
  <c r="H215"/>
  <c r="G215"/>
  <c r="F215"/>
  <c r="E215"/>
  <c r="D215"/>
  <c r="C215"/>
  <c r="B215"/>
  <c r="P214"/>
  <c r="O214"/>
  <c r="N214"/>
  <c r="M214"/>
  <c r="L214"/>
  <c r="K214"/>
  <c r="J214"/>
  <c r="I214"/>
  <c r="H214"/>
  <c r="G214"/>
  <c r="F214"/>
  <c r="E214"/>
  <c r="D214"/>
  <c r="C214"/>
  <c r="B214"/>
  <c r="P213"/>
  <c r="O213"/>
  <c r="N213"/>
  <c r="M213"/>
  <c r="L213"/>
  <c r="K213"/>
  <c r="J213"/>
  <c r="I213"/>
  <c r="H213"/>
  <c r="G213"/>
  <c r="F213"/>
  <c r="E213"/>
  <c r="D213"/>
  <c r="C213"/>
  <c r="B213"/>
  <c r="P212"/>
  <c r="O212"/>
  <c r="N212"/>
  <c r="M212"/>
  <c r="L212"/>
  <c r="K212"/>
  <c r="J212"/>
  <c r="I212"/>
  <c r="H212"/>
  <c r="G212"/>
  <c r="F212"/>
  <c r="E212"/>
  <c r="D212"/>
  <c r="C212"/>
  <c r="B212"/>
  <c r="P211"/>
  <c r="O211"/>
  <c r="N211"/>
  <c r="M211"/>
  <c r="L211"/>
  <c r="K211"/>
  <c r="J211"/>
  <c r="I211"/>
  <c r="H211"/>
  <c r="G211"/>
  <c r="F211"/>
  <c r="E211"/>
  <c r="D211"/>
  <c r="C211"/>
  <c r="B211"/>
  <c r="L210"/>
  <c r="J210"/>
  <c r="I210"/>
  <c r="H210"/>
  <c r="G210"/>
  <c r="F210"/>
  <c r="D210"/>
  <c r="C210"/>
  <c r="B210"/>
  <c r="X209"/>
  <c r="X266" i="8" s="1"/>
  <c r="P209" i="7"/>
  <c r="O209"/>
  <c r="N209"/>
  <c r="K209"/>
  <c r="J209"/>
  <c r="I209"/>
  <c r="H209"/>
  <c r="G209"/>
  <c r="F209"/>
  <c r="E209"/>
  <c r="D209"/>
  <c r="C209"/>
  <c r="B209"/>
  <c r="P208"/>
  <c r="O208"/>
  <c r="N208"/>
  <c r="K208"/>
  <c r="J208"/>
  <c r="I208"/>
  <c r="H208"/>
  <c r="G208"/>
  <c r="F208"/>
  <c r="E208"/>
  <c r="D208"/>
  <c r="C208"/>
  <c r="B208"/>
  <c r="P207"/>
  <c r="O207"/>
  <c r="N207"/>
  <c r="M207"/>
  <c r="L207"/>
  <c r="K207"/>
  <c r="J207"/>
  <c r="I207"/>
  <c r="H207"/>
  <c r="G207"/>
  <c r="F207"/>
  <c r="E207"/>
  <c r="D207"/>
  <c r="C207"/>
  <c r="B207"/>
  <c r="P206"/>
  <c r="O206"/>
  <c r="N206"/>
  <c r="M206"/>
  <c r="L206"/>
  <c r="K206"/>
  <c r="J206"/>
  <c r="I206"/>
  <c r="H206"/>
  <c r="G206"/>
  <c r="F206"/>
  <c r="E206"/>
  <c r="D206"/>
  <c r="C206"/>
  <c r="B206"/>
  <c r="P205"/>
  <c r="O205"/>
  <c r="N205"/>
  <c r="M205"/>
  <c r="L205"/>
  <c r="K205"/>
  <c r="J205"/>
  <c r="I205"/>
  <c r="H205"/>
  <c r="G205"/>
  <c r="F205"/>
  <c r="E205"/>
  <c r="D205"/>
  <c r="C205"/>
  <c r="B205"/>
  <c r="P204"/>
  <c r="O204"/>
  <c r="N204"/>
  <c r="M204"/>
  <c r="L204"/>
  <c r="K204"/>
  <c r="J204"/>
  <c r="I204"/>
  <c r="H204"/>
  <c r="G204"/>
  <c r="F204"/>
  <c r="E204"/>
  <c r="D204"/>
  <c r="C204"/>
  <c r="B204"/>
  <c r="P203"/>
  <c r="O203"/>
  <c r="N203"/>
  <c r="K203"/>
  <c r="J203"/>
  <c r="I203"/>
  <c r="H203"/>
  <c r="G203"/>
  <c r="F203"/>
  <c r="E203"/>
  <c r="D203"/>
  <c r="C203"/>
  <c r="B203"/>
  <c r="P202"/>
  <c r="O202"/>
  <c r="N202"/>
  <c r="M202"/>
  <c r="L202"/>
  <c r="K202"/>
  <c r="J202"/>
  <c r="I202"/>
  <c r="H202"/>
  <c r="G202"/>
  <c r="F202"/>
  <c r="E202"/>
  <c r="D202"/>
  <c r="C202"/>
  <c r="B202"/>
  <c r="P201"/>
  <c r="O201"/>
  <c r="N201"/>
  <c r="M201"/>
  <c r="L201"/>
  <c r="K201"/>
  <c r="J201"/>
  <c r="I201"/>
  <c r="H201"/>
  <c r="G201"/>
  <c r="F201"/>
  <c r="E201"/>
  <c r="D201"/>
  <c r="C201"/>
  <c r="B201"/>
  <c r="P200"/>
  <c r="O200"/>
  <c r="N200"/>
  <c r="K200"/>
  <c r="J200"/>
  <c r="I200"/>
  <c r="H200"/>
  <c r="G200"/>
  <c r="F200"/>
  <c r="E200"/>
  <c r="D200"/>
  <c r="C200"/>
  <c r="B200"/>
  <c r="P199"/>
  <c r="O199"/>
  <c r="N199"/>
  <c r="M199"/>
  <c r="L199"/>
  <c r="K199"/>
  <c r="J199"/>
  <c r="I199"/>
  <c r="H199"/>
  <c r="G199"/>
  <c r="F199"/>
  <c r="E199"/>
  <c r="D199"/>
  <c r="C199"/>
  <c r="B199"/>
  <c r="P198"/>
  <c r="O198"/>
  <c r="N198"/>
  <c r="M198"/>
  <c r="L198"/>
  <c r="K198"/>
  <c r="J198"/>
  <c r="I198"/>
  <c r="H198"/>
  <c r="G198"/>
  <c r="F198"/>
  <c r="E198"/>
  <c r="D198"/>
  <c r="C198"/>
  <c r="B198"/>
  <c r="P197"/>
  <c r="O197"/>
  <c r="N197"/>
  <c r="M197"/>
  <c r="L197"/>
  <c r="J197"/>
  <c r="I197"/>
  <c r="H197"/>
  <c r="G197"/>
  <c r="F197"/>
  <c r="E197"/>
  <c r="D197"/>
  <c r="C197"/>
  <c r="B197"/>
  <c r="P196"/>
  <c r="O196"/>
  <c r="N196"/>
  <c r="M196"/>
  <c r="L196"/>
  <c r="K196"/>
  <c r="J196"/>
  <c r="I196"/>
  <c r="H196"/>
  <c r="G196"/>
  <c r="F196"/>
  <c r="E196"/>
  <c r="D196"/>
  <c r="C196"/>
  <c r="B196"/>
  <c r="P195"/>
  <c r="O195"/>
  <c r="N195"/>
  <c r="M195"/>
  <c r="L195"/>
  <c r="K195"/>
  <c r="J195"/>
  <c r="I195"/>
  <c r="H195"/>
  <c r="G195"/>
  <c r="F195"/>
  <c r="E195"/>
  <c r="D195"/>
  <c r="C195"/>
  <c r="B195"/>
  <c r="P194"/>
  <c r="O194"/>
  <c r="N194"/>
  <c r="M194"/>
  <c r="L194"/>
  <c r="K194"/>
  <c r="J194"/>
  <c r="I194"/>
  <c r="H194"/>
  <c r="G194"/>
  <c r="F194"/>
  <c r="E194"/>
  <c r="D194"/>
  <c r="C194"/>
  <c r="B194"/>
  <c r="P193"/>
  <c r="O193"/>
  <c r="N193"/>
  <c r="M193"/>
  <c r="L193"/>
  <c r="K193"/>
  <c r="J193"/>
  <c r="I193"/>
  <c r="H193"/>
  <c r="G193"/>
  <c r="F193"/>
  <c r="E193"/>
  <c r="D193"/>
  <c r="C193"/>
  <c r="B193"/>
  <c r="P192"/>
  <c r="O192"/>
  <c r="N192"/>
  <c r="K192"/>
  <c r="J192"/>
  <c r="I192"/>
  <c r="H192"/>
  <c r="G192"/>
  <c r="F192"/>
  <c r="E192"/>
  <c r="D192"/>
  <c r="C192"/>
  <c r="B192"/>
  <c r="P191"/>
  <c r="O191"/>
  <c r="N191"/>
  <c r="M191"/>
  <c r="L191"/>
  <c r="K191"/>
  <c r="J191"/>
  <c r="I191"/>
  <c r="H191"/>
  <c r="G191"/>
  <c r="F191"/>
  <c r="E191"/>
  <c r="D191"/>
  <c r="C191"/>
  <c r="B191"/>
  <c r="P190"/>
  <c r="O190"/>
  <c r="N190"/>
  <c r="M190"/>
  <c r="L190"/>
  <c r="K190"/>
  <c r="J190"/>
  <c r="I190"/>
  <c r="H190"/>
  <c r="G190"/>
  <c r="F190"/>
  <c r="E190"/>
  <c r="D190"/>
  <c r="C190"/>
  <c r="B190"/>
  <c r="P189"/>
  <c r="O189"/>
  <c r="N189"/>
  <c r="M189"/>
  <c r="L189"/>
  <c r="K189"/>
  <c r="J189"/>
  <c r="I189"/>
  <c r="H189"/>
  <c r="G189"/>
  <c r="F189"/>
  <c r="E189"/>
  <c r="D189"/>
  <c r="C189"/>
  <c r="B189"/>
  <c r="P188"/>
  <c r="O188"/>
  <c r="N188"/>
  <c r="K188"/>
  <c r="J188"/>
  <c r="I188"/>
  <c r="H188"/>
  <c r="G188"/>
  <c r="F188"/>
  <c r="E188"/>
  <c r="D188"/>
  <c r="C188"/>
  <c r="B188"/>
  <c r="P187"/>
  <c r="O187"/>
  <c r="N187"/>
  <c r="K187"/>
  <c r="J187"/>
  <c r="I187"/>
  <c r="H187"/>
  <c r="G187"/>
  <c r="F187"/>
  <c r="E187"/>
  <c r="D187"/>
  <c r="C187"/>
  <c r="B187"/>
  <c r="P186"/>
  <c r="O186"/>
  <c r="N186"/>
  <c r="K186"/>
  <c r="J186"/>
  <c r="I186"/>
  <c r="H186"/>
  <c r="G186"/>
  <c r="F186"/>
  <c r="E186"/>
  <c r="D186"/>
  <c r="C186"/>
  <c r="B186"/>
  <c r="P185"/>
  <c r="O185"/>
  <c r="N185"/>
  <c r="M185"/>
  <c r="L185"/>
  <c r="K185"/>
  <c r="J185"/>
  <c r="I185"/>
  <c r="H185"/>
  <c r="G185"/>
  <c r="F185"/>
  <c r="E185"/>
  <c r="D185"/>
  <c r="C185"/>
  <c r="B185"/>
  <c r="P184"/>
  <c r="O184"/>
  <c r="N184"/>
  <c r="M184"/>
  <c r="L184"/>
  <c r="K184"/>
  <c r="J184"/>
  <c r="I184"/>
  <c r="H184"/>
  <c r="G184"/>
  <c r="F184"/>
  <c r="E184"/>
  <c r="D184"/>
  <c r="C184"/>
  <c r="B184"/>
  <c r="P183"/>
  <c r="O183"/>
  <c r="N183"/>
  <c r="K183"/>
  <c r="J183"/>
  <c r="I183"/>
  <c r="H183"/>
  <c r="G183"/>
  <c r="F183"/>
  <c r="E183"/>
  <c r="D183"/>
  <c r="C183"/>
  <c r="B183"/>
  <c r="P182"/>
  <c r="O182"/>
  <c r="N182"/>
  <c r="M182"/>
  <c r="L182"/>
  <c r="K182"/>
  <c r="J182"/>
  <c r="I182"/>
  <c r="H182"/>
  <c r="G182"/>
  <c r="F182"/>
  <c r="E182"/>
  <c r="D182"/>
  <c r="C182"/>
  <c r="B182"/>
  <c r="P181"/>
  <c r="O181"/>
  <c r="N181"/>
  <c r="K181"/>
  <c r="J181"/>
  <c r="I181"/>
  <c r="H181"/>
  <c r="G181"/>
  <c r="F181"/>
  <c r="E181"/>
  <c r="D181"/>
  <c r="C181"/>
  <c r="B181"/>
  <c r="P180"/>
  <c r="O180"/>
  <c r="N180"/>
  <c r="M180"/>
  <c r="L180"/>
  <c r="K180"/>
  <c r="J180"/>
  <c r="I180"/>
  <c r="H180"/>
  <c r="G180"/>
  <c r="F180"/>
  <c r="E180"/>
  <c r="D180"/>
  <c r="C180"/>
  <c r="B180"/>
  <c r="P179"/>
  <c r="O179"/>
  <c r="N179"/>
  <c r="K179"/>
  <c r="J179"/>
  <c r="I179"/>
  <c r="H179"/>
  <c r="G179"/>
  <c r="F179"/>
  <c r="E179"/>
  <c r="D179"/>
  <c r="C179"/>
  <c r="B179"/>
  <c r="P178"/>
  <c r="O178"/>
  <c r="N178"/>
  <c r="M178"/>
  <c r="L178"/>
  <c r="K178"/>
  <c r="J178"/>
  <c r="I178"/>
  <c r="H178"/>
  <c r="G178"/>
  <c r="F178"/>
  <c r="E178"/>
  <c r="D178"/>
  <c r="C178"/>
  <c r="B178"/>
  <c r="P177"/>
  <c r="O177"/>
  <c r="N177"/>
  <c r="M177"/>
  <c r="L177"/>
  <c r="K177"/>
  <c r="J177"/>
  <c r="I177"/>
  <c r="H177"/>
  <c r="G177"/>
  <c r="F177"/>
  <c r="E177"/>
  <c r="D177"/>
  <c r="C177"/>
  <c r="B177"/>
  <c r="P176"/>
  <c r="O176"/>
  <c r="N176"/>
  <c r="M176"/>
  <c r="L176"/>
  <c r="K176"/>
  <c r="J176"/>
  <c r="I176"/>
  <c r="H176"/>
  <c r="G176"/>
  <c r="F176"/>
  <c r="E176"/>
  <c r="D176"/>
  <c r="C176"/>
  <c r="B176"/>
  <c r="P175"/>
  <c r="O175"/>
  <c r="N175"/>
  <c r="M175"/>
  <c r="L175"/>
  <c r="K175"/>
  <c r="J175"/>
  <c r="I175"/>
  <c r="H175"/>
  <c r="G175"/>
  <c r="F175"/>
  <c r="E175"/>
  <c r="D175"/>
  <c r="C175"/>
  <c r="B175"/>
  <c r="P174"/>
  <c r="O174"/>
  <c r="N174"/>
  <c r="K174"/>
  <c r="J174"/>
  <c r="I174"/>
  <c r="H174"/>
  <c r="G174"/>
  <c r="F174"/>
  <c r="E174"/>
  <c r="D174"/>
  <c r="C174"/>
  <c r="B174"/>
  <c r="P173"/>
  <c r="O173"/>
  <c r="N173"/>
  <c r="M173"/>
  <c r="L173"/>
  <c r="K173"/>
  <c r="J173"/>
  <c r="I173"/>
  <c r="H173"/>
  <c r="G173"/>
  <c r="F173"/>
  <c r="E173"/>
  <c r="D173"/>
  <c r="C173"/>
  <c r="B173"/>
  <c r="P172"/>
  <c r="O172"/>
  <c r="N172"/>
  <c r="M172"/>
  <c r="L172"/>
  <c r="K172"/>
  <c r="J172"/>
  <c r="I172"/>
  <c r="H172"/>
  <c r="G172"/>
  <c r="F172"/>
  <c r="E172"/>
  <c r="D172"/>
  <c r="C172"/>
  <c r="B172"/>
  <c r="P171"/>
  <c r="O171"/>
  <c r="N171"/>
  <c r="M171"/>
  <c r="L171"/>
  <c r="K171"/>
  <c r="J171"/>
  <c r="I171"/>
  <c r="H171"/>
  <c r="G171"/>
  <c r="F171"/>
  <c r="E171"/>
  <c r="D171"/>
  <c r="C171"/>
  <c r="B171"/>
  <c r="P170"/>
  <c r="O170"/>
  <c r="N170"/>
  <c r="M170"/>
  <c r="L170"/>
  <c r="K170"/>
  <c r="J170"/>
  <c r="I170"/>
  <c r="H170"/>
  <c r="G170"/>
  <c r="F170"/>
  <c r="E170"/>
  <c r="D170"/>
  <c r="C170"/>
  <c r="B170"/>
  <c r="P169"/>
  <c r="O169"/>
  <c r="N169"/>
  <c r="M169"/>
  <c r="L169"/>
  <c r="J169"/>
  <c r="I169"/>
  <c r="H169"/>
  <c r="G169"/>
  <c r="F169"/>
  <c r="E169"/>
  <c r="D169"/>
  <c r="C169"/>
  <c r="B169"/>
  <c r="L168"/>
  <c r="K168"/>
  <c r="J168"/>
  <c r="I168"/>
  <c r="H168"/>
  <c r="G168"/>
  <c r="F168"/>
  <c r="E168"/>
  <c r="D168"/>
  <c r="C168"/>
  <c r="B168"/>
  <c r="K167"/>
  <c r="J167"/>
  <c r="I167"/>
  <c r="H167"/>
  <c r="G167"/>
  <c r="F167"/>
  <c r="E167"/>
  <c r="D167"/>
  <c r="C167"/>
  <c r="B167"/>
  <c r="L166"/>
  <c r="K166"/>
  <c r="J166"/>
  <c r="I166"/>
  <c r="H166"/>
  <c r="G166"/>
  <c r="F166"/>
  <c r="E166"/>
  <c r="D166"/>
  <c r="C166"/>
  <c r="B166"/>
  <c r="L165"/>
  <c r="K165"/>
  <c r="J165"/>
  <c r="I165"/>
  <c r="H165"/>
  <c r="G165"/>
  <c r="F165"/>
  <c r="E165"/>
  <c r="D165"/>
  <c r="C165"/>
  <c r="B165"/>
  <c r="J164"/>
  <c r="I164"/>
  <c r="H164"/>
  <c r="G164"/>
  <c r="F164"/>
  <c r="D164"/>
  <c r="C164"/>
  <c r="B164"/>
  <c r="X163"/>
  <c r="X220" i="8" s="1"/>
  <c r="W163" i="7"/>
  <c r="W220" i="8" s="1"/>
  <c r="L163" i="7"/>
  <c r="K163"/>
  <c r="J163"/>
  <c r="I163"/>
  <c r="H163"/>
  <c r="G163"/>
  <c r="F163"/>
  <c r="E163"/>
  <c r="D163"/>
  <c r="C163"/>
  <c r="B163"/>
  <c r="L162"/>
  <c r="K162"/>
  <c r="J162"/>
  <c r="I162"/>
  <c r="H162"/>
  <c r="G162"/>
  <c r="F162"/>
  <c r="E162"/>
  <c r="D162"/>
  <c r="C162"/>
  <c r="B162"/>
  <c r="L161"/>
  <c r="K161"/>
  <c r="J161"/>
  <c r="I161"/>
  <c r="H161"/>
  <c r="G161"/>
  <c r="F161"/>
  <c r="E161"/>
  <c r="D161"/>
  <c r="C161"/>
  <c r="B161"/>
  <c r="L160"/>
  <c r="K160"/>
  <c r="J160"/>
  <c r="I160"/>
  <c r="H160"/>
  <c r="G160"/>
  <c r="F160"/>
  <c r="E160"/>
  <c r="D160"/>
  <c r="C160"/>
  <c r="B160"/>
  <c r="L159"/>
  <c r="K159"/>
  <c r="J159"/>
  <c r="I159"/>
  <c r="H159"/>
  <c r="G159"/>
  <c r="F159"/>
  <c r="E159"/>
  <c r="D159"/>
  <c r="C159"/>
  <c r="B159"/>
  <c r="L158"/>
  <c r="K158"/>
  <c r="J158"/>
  <c r="I158"/>
  <c r="H158"/>
  <c r="G158"/>
  <c r="F158"/>
  <c r="E158"/>
  <c r="D158"/>
  <c r="C158"/>
  <c r="B158"/>
  <c r="L157"/>
  <c r="K157"/>
  <c r="J157"/>
  <c r="I157"/>
  <c r="H157"/>
  <c r="G157"/>
  <c r="F157"/>
  <c r="E157"/>
  <c r="D157"/>
  <c r="C157"/>
  <c r="B157"/>
  <c r="L156"/>
  <c r="K156"/>
  <c r="J156"/>
  <c r="I156"/>
  <c r="H156"/>
  <c r="G156"/>
  <c r="F156"/>
  <c r="E156"/>
  <c r="D156"/>
  <c r="C156"/>
  <c r="B156"/>
  <c r="L155"/>
  <c r="K155"/>
  <c r="J155"/>
  <c r="I155"/>
  <c r="H155"/>
  <c r="G155"/>
  <c r="F155"/>
  <c r="E155"/>
  <c r="D155"/>
  <c r="C155"/>
  <c r="B155"/>
  <c r="L154"/>
  <c r="K154"/>
  <c r="J154"/>
  <c r="I154"/>
  <c r="H154"/>
  <c r="G154"/>
  <c r="F154"/>
  <c r="E154"/>
  <c r="D154"/>
  <c r="C154"/>
  <c r="B154"/>
  <c r="L153"/>
  <c r="K153"/>
  <c r="J153"/>
  <c r="I153"/>
  <c r="H153"/>
  <c r="G153"/>
  <c r="F153"/>
  <c r="E153"/>
  <c r="D153"/>
  <c r="C153"/>
  <c r="B153"/>
  <c r="L152"/>
  <c r="K152"/>
  <c r="J152"/>
  <c r="I152"/>
  <c r="H152"/>
  <c r="G152"/>
  <c r="F152"/>
  <c r="E152"/>
  <c r="D152"/>
  <c r="C152"/>
  <c r="B152"/>
  <c r="L151"/>
  <c r="K151"/>
  <c r="J151"/>
  <c r="I151"/>
  <c r="H151"/>
  <c r="G151"/>
  <c r="F151"/>
  <c r="E151"/>
  <c r="D151"/>
  <c r="C151"/>
  <c r="B151"/>
  <c r="L150"/>
  <c r="K150"/>
  <c r="J150"/>
  <c r="I150"/>
  <c r="H150"/>
  <c r="G150"/>
  <c r="F150"/>
  <c r="E150"/>
  <c r="D150"/>
  <c r="C150"/>
  <c r="B150"/>
  <c r="L149"/>
  <c r="K149"/>
  <c r="J149"/>
  <c r="I149"/>
  <c r="H149"/>
  <c r="G149"/>
  <c r="F149"/>
  <c r="E149"/>
  <c r="D149"/>
  <c r="C149"/>
  <c r="B149"/>
  <c r="L148"/>
  <c r="K148"/>
  <c r="J148"/>
  <c r="I148"/>
  <c r="H148"/>
  <c r="G148"/>
  <c r="F148"/>
  <c r="E148"/>
  <c r="D148"/>
  <c r="C148"/>
  <c r="B148"/>
  <c r="L147"/>
  <c r="K147"/>
  <c r="J147"/>
  <c r="I147"/>
  <c r="H147"/>
  <c r="G147"/>
  <c r="F147"/>
  <c r="E147"/>
  <c r="D147"/>
  <c r="C147"/>
  <c r="B147"/>
  <c r="L146"/>
  <c r="K146"/>
  <c r="J146"/>
  <c r="I146"/>
  <c r="H146"/>
  <c r="G146"/>
  <c r="F146"/>
  <c r="E146"/>
  <c r="D146"/>
  <c r="C146"/>
  <c r="B146"/>
  <c r="L145"/>
  <c r="K145"/>
  <c r="J145"/>
  <c r="I145"/>
  <c r="H145"/>
  <c r="G145"/>
  <c r="F145"/>
  <c r="E145"/>
  <c r="D145"/>
  <c r="C145"/>
  <c r="B145"/>
  <c r="L144"/>
  <c r="K144"/>
  <c r="J144"/>
  <c r="I144"/>
  <c r="H144"/>
  <c r="G144"/>
  <c r="F144"/>
  <c r="E144"/>
  <c r="D144"/>
  <c r="C144"/>
  <c r="B144"/>
  <c r="L143"/>
  <c r="K143"/>
  <c r="J143"/>
  <c r="I143"/>
  <c r="H143"/>
  <c r="G143"/>
  <c r="F143"/>
  <c r="E143"/>
  <c r="D143"/>
  <c r="C143"/>
  <c r="B143"/>
  <c r="L142"/>
  <c r="K142"/>
  <c r="J142"/>
  <c r="I142"/>
  <c r="H142"/>
  <c r="G142"/>
  <c r="F142"/>
  <c r="E142"/>
  <c r="D142"/>
  <c r="C142"/>
  <c r="B142"/>
  <c r="L141"/>
  <c r="K141"/>
  <c r="J141"/>
  <c r="I141"/>
  <c r="H141"/>
  <c r="G141"/>
  <c r="F141"/>
  <c r="E141"/>
  <c r="D141"/>
  <c r="C141"/>
  <c r="B141"/>
  <c r="L140"/>
  <c r="K140"/>
  <c r="J140"/>
  <c r="I140"/>
  <c r="H140"/>
  <c r="G140"/>
  <c r="F140"/>
  <c r="E140"/>
  <c r="D140"/>
  <c r="C140"/>
  <c r="B140"/>
  <c r="L139"/>
  <c r="K139"/>
  <c r="J139"/>
  <c r="I139"/>
  <c r="H139"/>
  <c r="G139"/>
  <c r="F139"/>
  <c r="E139"/>
  <c r="D139"/>
  <c r="C139"/>
  <c r="B139"/>
  <c r="L138"/>
  <c r="K138"/>
  <c r="J138"/>
  <c r="I138"/>
  <c r="H138"/>
  <c r="G138"/>
  <c r="F138"/>
  <c r="E138"/>
  <c r="D138"/>
  <c r="C138"/>
  <c r="B138"/>
  <c r="L137"/>
  <c r="K137"/>
  <c r="J137"/>
  <c r="I137"/>
  <c r="H137"/>
  <c r="G137"/>
  <c r="F137"/>
  <c r="E137"/>
  <c r="D137"/>
  <c r="C137"/>
  <c r="B137"/>
  <c r="L136"/>
  <c r="K136"/>
  <c r="J136"/>
  <c r="I136"/>
  <c r="H136"/>
  <c r="G136"/>
  <c r="F136"/>
  <c r="E136"/>
  <c r="D136"/>
  <c r="C136"/>
  <c r="B136"/>
  <c r="L135"/>
  <c r="K135"/>
  <c r="J135"/>
  <c r="I135"/>
  <c r="H135"/>
  <c r="G135"/>
  <c r="F135"/>
  <c r="E135"/>
  <c r="D135"/>
  <c r="C135"/>
  <c r="B135"/>
  <c r="L134"/>
  <c r="K134"/>
  <c r="J134"/>
  <c r="I134"/>
  <c r="H134"/>
  <c r="G134"/>
  <c r="F134"/>
  <c r="E134"/>
  <c r="D134"/>
  <c r="C134"/>
  <c r="B134"/>
  <c r="L133"/>
  <c r="K133"/>
  <c r="J133"/>
  <c r="I133"/>
  <c r="H133"/>
  <c r="G133"/>
  <c r="F133"/>
  <c r="E133"/>
  <c r="D133"/>
  <c r="C133"/>
  <c r="B133"/>
  <c r="L132"/>
  <c r="K132"/>
  <c r="J132"/>
  <c r="I132"/>
  <c r="H132"/>
  <c r="G132"/>
  <c r="F132"/>
  <c r="E132"/>
  <c r="D132"/>
  <c r="C132"/>
  <c r="B132"/>
  <c r="L131"/>
  <c r="K131"/>
  <c r="J131"/>
  <c r="I131"/>
  <c r="H131"/>
  <c r="G131"/>
  <c r="F131"/>
  <c r="E131"/>
  <c r="D131"/>
  <c r="C131"/>
  <c r="B131"/>
  <c r="L130"/>
  <c r="K130"/>
  <c r="J130"/>
  <c r="I130"/>
  <c r="H130"/>
  <c r="G130"/>
  <c r="F130"/>
  <c r="E130"/>
  <c r="D130"/>
  <c r="C130"/>
  <c r="B130"/>
  <c r="L129"/>
  <c r="K129"/>
  <c r="J129"/>
  <c r="I129"/>
  <c r="H129"/>
  <c r="G129"/>
  <c r="F129"/>
  <c r="E129"/>
  <c r="D129"/>
  <c r="C129"/>
  <c r="B129"/>
  <c r="L128"/>
  <c r="K128"/>
  <c r="J128"/>
  <c r="I128"/>
  <c r="H128"/>
  <c r="G128"/>
  <c r="F128"/>
  <c r="E128"/>
  <c r="D128"/>
  <c r="C128"/>
  <c r="B128"/>
  <c r="L127"/>
  <c r="K127"/>
  <c r="J127"/>
  <c r="I127"/>
  <c r="H127"/>
  <c r="G127"/>
  <c r="F127"/>
  <c r="E127"/>
  <c r="D127"/>
  <c r="C127"/>
  <c r="B127"/>
  <c r="L126"/>
  <c r="K126"/>
  <c r="J126"/>
  <c r="I126"/>
  <c r="H126"/>
  <c r="G126"/>
  <c r="F126"/>
  <c r="E126"/>
  <c r="D126"/>
  <c r="C126"/>
  <c r="B126"/>
  <c r="L125"/>
  <c r="K125"/>
  <c r="J125"/>
  <c r="I125"/>
  <c r="H125"/>
  <c r="G125"/>
  <c r="F125"/>
  <c r="E125"/>
  <c r="D125"/>
  <c r="C125"/>
  <c r="B125"/>
  <c r="L124"/>
  <c r="K124"/>
  <c r="J124"/>
  <c r="I124"/>
  <c r="H124"/>
  <c r="G124"/>
  <c r="F124"/>
  <c r="E124"/>
  <c r="D124"/>
  <c r="C124"/>
  <c r="B124"/>
  <c r="L123"/>
  <c r="K123"/>
  <c r="J123"/>
  <c r="I123"/>
  <c r="H123"/>
  <c r="G123"/>
  <c r="F123"/>
  <c r="E123"/>
  <c r="D123"/>
  <c r="C123"/>
  <c r="B123"/>
  <c r="L122"/>
  <c r="K122"/>
  <c r="J122"/>
  <c r="I122"/>
  <c r="H122"/>
  <c r="G122"/>
  <c r="F122"/>
  <c r="E122"/>
  <c r="D122"/>
  <c r="C122"/>
  <c r="B122"/>
  <c r="L121"/>
  <c r="K121"/>
  <c r="J121"/>
  <c r="I121"/>
  <c r="H121"/>
  <c r="G121"/>
  <c r="F121"/>
  <c r="E121"/>
  <c r="D121"/>
  <c r="C121"/>
  <c r="B121"/>
  <c r="L120"/>
  <c r="K120"/>
  <c r="J120"/>
  <c r="I120"/>
  <c r="H120"/>
  <c r="G120"/>
  <c r="F120"/>
  <c r="E120"/>
  <c r="D120"/>
  <c r="C120"/>
  <c r="B120"/>
  <c r="L119"/>
  <c r="K119"/>
  <c r="J119"/>
  <c r="I119"/>
  <c r="H119"/>
  <c r="G119"/>
  <c r="F119"/>
  <c r="E119"/>
  <c r="D119"/>
  <c r="C119"/>
  <c r="B119"/>
  <c r="L118"/>
  <c r="J118"/>
  <c r="I118"/>
  <c r="H118"/>
  <c r="G118"/>
  <c r="F118"/>
  <c r="D118"/>
  <c r="C118"/>
  <c r="B118"/>
  <c r="L117"/>
  <c r="K117"/>
  <c r="J117"/>
  <c r="I117"/>
  <c r="H117"/>
  <c r="G117"/>
  <c r="F117"/>
  <c r="E117"/>
  <c r="D117"/>
  <c r="C117"/>
  <c r="B117"/>
  <c r="L116"/>
  <c r="K116"/>
  <c r="J116"/>
  <c r="I116"/>
  <c r="H116"/>
  <c r="G116"/>
  <c r="F116"/>
  <c r="E116"/>
  <c r="D116"/>
  <c r="C116"/>
  <c r="B116"/>
  <c r="L115"/>
  <c r="K115"/>
  <c r="J115"/>
  <c r="I115"/>
  <c r="H115"/>
  <c r="G115"/>
  <c r="F115"/>
  <c r="E115"/>
  <c r="D115"/>
  <c r="C115"/>
  <c r="B115"/>
  <c r="L114"/>
  <c r="K114"/>
  <c r="J114"/>
  <c r="I114"/>
  <c r="H114"/>
  <c r="G114"/>
  <c r="F114"/>
  <c r="E114"/>
  <c r="D114"/>
  <c r="C114"/>
  <c r="B114"/>
  <c r="L113"/>
  <c r="K113"/>
  <c r="J113"/>
  <c r="I113"/>
  <c r="H113"/>
  <c r="G113"/>
  <c r="F113"/>
  <c r="E113"/>
  <c r="D113"/>
  <c r="C113"/>
  <c r="B113"/>
  <c r="L112"/>
  <c r="K112"/>
  <c r="J112"/>
  <c r="I112"/>
  <c r="H112"/>
  <c r="G112"/>
  <c r="F112"/>
  <c r="E112"/>
  <c r="D112"/>
  <c r="C112"/>
  <c r="B112"/>
  <c r="L111"/>
  <c r="K111"/>
  <c r="J111"/>
  <c r="I111"/>
  <c r="H111"/>
  <c r="G111"/>
  <c r="F111"/>
  <c r="E111"/>
  <c r="D111"/>
  <c r="C111"/>
  <c r="B111"/>
  <c r="L110"/>
  <c r="K110"/>
  <c r="J110"/>
  <c r="I110"/>
  <c r="H110"/>
  <c r="G110"/>
  <c r="F110"/>
  <c r="E110"/>
  <c r="D110"/>
  <c r="C110"/>
  <c r="B110"/>
  <c r="L109"/>
  <c r="K109"/>
  <c r="J109"/>
  <c r="I109"/>
  <c r="H109"/>
  <c r="G109"/>
  <c r="F109"/>
  <c r="E109"/>
  <c r="D109"/>
  <c r="C109"/>
  <c r="B109"/>
  <c r="L108"/>
  <c r="K108"/>
  <c r="J108"/>
  <c r="I108"/>
  <c r="H108"/>
  <c r="G108"/>
  <c r="F108"/>
  <c r="E108"/>
  <c r="D108"/>
  <c r="C108"/>
  <c r="B108"/>
  <c r="L107"/>
  <c r="K107"/>
  <c r="J107"/>
  <c r="I107"/>
  <c r="H107"/>
  <c r="G107"/>
  <c r="F107"/>
  <c r="E107"/>
  <c r="D107"/>
  <c r="C107"/>
  <c r="B107"/>
  <c r="L106"/>
  <c r="K106"/>
  <c r="J106"/>
  <c r="I106"/>
  <c r="H106"/>
  <c r="G106"/>
  <c r="F106"/>
  <c r="E106"/>
  <c r="D106"/>
  <c r="C106"/>
  <c r="B106"/>
  <c r="L105"/>
  <c r="K105"/>
  <c r="J105"/>
  <c r="I105"/>
  <c r="H105"/>
  <c r="G105"/>
  <c r="F105"/>
  <c r="E105"/>
  <c r="D105"/>
  <c r="C105"/>
  <c r="B105"/>
  <c r="L104"/>
  <c r="K104"/>
  <c r="J104"/>
  <c r="I104"/>
  <c r="H104"/>
  <c r="G104"/>
  <c r="F104"/>
  <c r="E104"/>
  <c r="D104"/>
  <c r="C104"/>
  <c r="B104"/>
  <c r="L103"/>
  <c r="K103"/>
  <c r="J103"/>
  <c r="I103"/>
  <c r="H103"/>
  <c r="G103"/>
  <c r="F103"/>
  <c r="E103"/>
  <c r="D103"/>
  <c r="C103"/>
  <c r="B103"/>
  <c r="L102"/>
  <c r="K102"/>
  <c r="J102"/>
  <c r="I102"/>
  <c r="H102"/>
  <c r="G102"/>
  <c r="F102"/>
  <c r="E102"/>
  <c r="D102"/>
  <c r="C102"/>
  <c r="B102"/>
  <c r="L101"/>
  <c r="K101"/>
  <c r="J101"/>
  <c r="I101"/>
  <c r="H101"/>
  <c r="G101"/>
  <c r="F101"/>
  <c r="E101"/>
  <c r="D101"/>
  <c r="C101"/>
  <c r="B101"/>
  <c r="L100"/>
  <c r="K100"/>
  <c r="J100"/>
  <c r="I100"/>
  <c r="H100"/>
  <c r="G100"/>
  <c r="F100"/>
  <c r="E100"/>
  <c r="D100"/>
  <c r="C100"/>
  <c r="B100"/>
  <c r="L99"/>
  <c r="K99"/>
  <c r="J99"/>
  <c r="I99"/>
  <c r="H99"/>
  <c r="G99"/>
  <c r="F99"/>
  <c r="E99"/>
  <c r="D99"/>
  <c r="C99"/>
  <c r="B99"/>
  <c r="L98"/>
  <c r="K98"/>
  <c r="J98"/>
  <c r="I98"/>
  <c r="H98"/>
  <c r="G98"/>
  <c r="F98"/>
  <c r="E98"/>
  <c r="D98"/>
  <c r="C98"/>
  <c r="B98"/>
  <c r="L97"/>
  <c r="K97"/>
  <c r="J97"/>
  <c r="I97"/>
  <c r="H97"/>
  <c r="G97"/>
  <c r="F97"/>
  <c r="E97"/>
  <c r="D97"/>
  <c r="C97"/>
  <c r="B97"/>
  <c r="L96"/>
  <c r="K96"/>
  <c r="J96"/>
  <c r="I96"/>
  <c r="H96"/>
  <c r="G96"/>
  <c r="F96"/>
  <c r="E96"/>
  <c r="D96"/>
  <c r="C96"/>
  <c r="B96"/>
  <c r="L95"/>
  <c r="K95"/>
  <c r="J95"/>
  <c r="I95"/>
  <c r="H95"/>
  <c r="G95"/>
  <c r="F95"/>
  <c r="E95"/>
  <c r="D95"/>
  <c r="C95"/>
  <c r="B95"/>
  <c r="L94"/>
  <c r="K94"/>
  <c r="J94"/>
  <c r="I94"/>
  <c r="H94"/>
  <c r="G94"/>
  <c r="F94"/>
  <c r="E94"/>
  <c r="D94"/>
  <c r="C94"/>
  <c r="B94"/>
  <c r="L93"/>
  <c r="K93"/>
  <c r="J93"/>
  <c r="I93"/>
  <c r="H93"/>
  <c r="G93"/>
  <c r="F93"/>
  <c r="E93"/>
  <c r="D93"/>
  <c r="C93"/>
  <c r="B93"/>
  <c r="L92"/>
  <c r="K92"/>
  <c r="J92"/>
  <c r="I92"/>
  <c r="H92"/>
  <c r="G92"/>
  <c r="F92"/>
  <c r="E92"/>
  <c r="D92"/>
  <c r="C92"/>
  <c r="B92"/>
  <c r="L91"/>
  <c r="K91"/>
  <c r="J91"/>
  <c r="I91"/>
  <c r="H91"/>
  <c r="G91"/>
  <c r="F91"/>
  <c r="E91"/>
  <c r="D91"/>
  <c r="C91"/>
  <c r="B91"/>
  <c r="L90"/>
  <c r="K90"/>
  <c r="J90"/>
  <c r="I90"/>
  <c r="H90"/>
  <c r="G90"/>
  <c r="F90"/>
  <c r="E90"/>
  <c r="D90"/>
  <c r="C90"/>
  <c r="B90"/>
  <c r="L89"/>
  <c r="K89"/>
  <c r="J89"/>
  <c r="I89"/>
  <c r="H89"/>
  <c r="G89"/>
  <c r="F89"/>
  <c r="E89"/>
  <c r="D89"/>
  <c r="C89"/>
  <c r="B89"/>
  <c r="L88"/>
  <c r="K88"/>
  <c r="J88"/>
  <c r="I88"/>
  <c r="H88"/>
  <c r="G88"/>
  <c r="F88"/>
  <c r="E88"/>
  <c r="D88"/>
  <c r="C88"/>
  <c r="B88"/>
  <c r="L87"/>
  <c r="K87"/>
  <c r="J87"/>
  <c r="I87"/>
  <c r="H87"/>
  <c r="G87"/>
  <c r="F87"/>
  <c r="E87"/>
  <c r="D87"/>
  <c r="C87"/>
  <c r="B87"/>
  <c r="L86"/>
  <c r="K86"/>
  <c r="J86"/>
  <c r="I86"/>
  <c r="H86"/>
  <c r="G86"/>
  <c r="F86"/>
  <c r="E86"/>
  <c r="D86"/>
  <c r="C86"/>
  <c r="B86"/>
  <c r="L85"/>
  <c r="K85"/>
  <c r="J85"/>
  <c r="I85"/>
  <c r="H85"/>
  <c r="G85"/>
  <c r="F85"/>
  <c r="E85"/>
  <c r="D85"/>
  <c r="C85"/>
  <c r="B85"/>
  <c r="L84"/>
  <c r="K84"/>
  <c r="J84"/>
  <c r="I84"/>
  <c r="H84"/>
  <c r="G84"/>
  <c r="F84"/>
  <c r="E84"/>
  <c r="D84"/>
  <c r="C84"/>
  <c r="B84"/>
  <c r="L83"/>
  <c r="K83"/>
  <c r="J83"/>
  <c r="I83"/>
  <c r="H83"/>
  <c r="G83"/>
  <c r="F83"/>
  <c r="E83"/>
  <c r="D83"/>
  <c r="C83"/>
  <c r="B83"/>
  <c r="L82"/>
  <c r="K82"/>
  <c r="J82"/>
  <c r="I82"/>
  <c r="H82"/>
  <c r="G82"/>
  <c r="F82"/>
  <c r="E82"/>
  <c r="D82"/>
  <c r="C82"/>
  <c r="B82"/>
  <c r="L81"/>
  <c r="K81"/>
  <c r="J81"/>
  <c r="I81"/>
  <c r="H81"/>
  <c r="G81"/>
  <c r="F81"/>
  <c r="E81"/>
  <c r="D81"/>
  <c r="C81"/>
  <c r="B81"/>
  <c r="L80"/>
  <c r="K80"/>
  <c r="J80"/>
  <c r="I80"/>
  <c r="H80"/>
  <c r="G80"/>
  <c r="F80"/>
  <c r="E80"/>
  <c r="D80"/>
  <c r="C80"/>
  <c r="B80"/>
  <c r="L79"/>
  <c r="K79"/>
  <c r="J79"/>
  <c r="I79"/>
  <c r="H79"/>
  <c r="G79"/>
  <c r="F79"/>
  <c r="E79"/>
  <c r="D79"/>
  <c r="C79"/>
  <c r="B79"/>
  <c r="L78"/>
  <c r="K78"/>
  <c r="J78"/>
  <c r="I78"/>
  <c r="H78"/>
  <c r="G78"/>
  <c r="F78"/>
  <c r="E78"/>
  <c r="D78"/>
  <c r="C78"/>
  <c r="B78"/>
  <c r="L77"/>
  <c r="K77"/>
  <c r="J77"/>
  <c r="I77"/>
  <c r="H77"/>
  <c r="G77"/>
  <c r="F77"/>
  <c r="E77"/>
  <c r="D77"/>
  <c r="C77"/>
  <c r="B77"/>
  <c r="L76"/>
  <c r="K76"/>
  <c r="J76"/>
  <c r="I76"/>
  <c r="H76"/>
  <c r="G76"/>
  <c r="F76"/>
  <c r="E76"/>
  <c r="D76"/>
  <c r="C76"/>
  <c r="B76"/>
  <c r="L75"/>
  <c r="K75"/>
  <c r="J75"/>
  <c r="I75"/>
  <c r="H75"/>
  <c r="G75"/>
  <c r="F75"/>
  <c r="E75"/>
  <c r="D75"/>
  <c r="C75"/>
  <c r="B75"/>
  <c r="L74"/>
  <c r="K74"/>
  <c r="J74"/>
  <c r="I74"/>
  <c r="H74"/>
  <c r="G74"/>
  <c r="F74"/>
  <c r="E74"/>
  <c r="D74"/>
  <c r="C74"/>
  <c r="B74"/>
  <c r="L73"/>
  <c r="K73"/>
  <c r="J73"/>
  <c r="I73"/>
  <c r="H73"/>
  <c r="G73"/>
  <c r="F73"/>
  <c r="E73"/>
  <c r="D73"/>
  <c r="C73"/>
  <c r="B73"/>
  <c r="L72"/>
  <c r="K72"/>
  <c r="J72"/>
  <c r="I72"/>
  <c r="H72"/>
  <c r="G72"/>
  <c r="F72"/>
  <c r="E72"/>
  <c r="D72"/>
  <c r="C72"/>
  <c r="B72"/>
  <c r="L71"/>
  <c r="K71"/>
  <c r="J71"/>
  <c r="I71"/>
  <c r="H71"/>
  <c r="G71"/>
  <c r="F71"/>
  <c r="E71"/>
  <c r="D71"/>
  <c r="C71"/>
  <c r="B71"/>
  <c r="L70"/>
  <c r="K70"/>
  <c r="J70"/>
  <c r="I70"/>
  <c r="H70"/>
  <c r="G70"/>
  <c r="F70"/>
  <c r="E70"/>
  <c r="D70"/>
  <c r="C70"/>
  <c r="B70"/>
  <c r="L69"/>
  <c r="K69"/>
  <c r="J69"/>
  <c r="I69"/>
  <c r="H69"/>
  <c r="G69"/>
  <c r="F69"/>
  <c r="E69"/>
  <c r="D69"/>
  <c r="C69"/>
  <c r="B69"/>
  <c r="L68"/>
  <c r="K68"/>
  <c r="J68"/>
  <c r="I68"/>
  <c r="H68"/>
  <c r="G68"/>
  <c r="F68"/>
  <c r="E68"/>
  <c r="D68"/>
  <c r="C68"/>
  <c r="B68"/>
  <c r="L67"/>
  <c r="K67"/>
  <c r="J67"/>
  <c r="I67"/>
  <c r="H67"/>
  <c r="G67"/>
  <c r="F67"/>
  <c r="E67"/>
  <c r="D67"/>
  <c r="C67"/>
  <c r="B67"/>
  <c r="L66"/>
  <c r="K66"/>
  <c r="J66"/>
  <c r="I66"/>
  <c r="H66"/>
  <c r="G66"/>
  <c r="F66"/>
  <c r="E66"/>
  <c r="D66"/>
  <c r="C66"/>
  <c r="B66"/>
  <c r="L65"/>
  <c r="K65"/>
  <c r="J65"/>
  <c r="I65"/>
  <c r="H65"/>
  <c r="G65"/>
  <c r="F65"/>
  <c r="E65"/>
  <c r="D65"/>
  <c r="C65"/>
  <c r="B65"/>
  <c r="L64"/>
  <c r="K64"/>
  <c r="J64"/>
  <c r="I64"/>
  <c r="H64"/>
  <c r="G64"/>
  <c r="F64"/>
  <c r="E64"/>
  <c r="D64"/>
  <c r="C64"/>
  <c r="B64"/>
  <c r="L63"/>
  <c r="K63"/>
  <c r="J63"/>
  <c r="I63"/>
  <c r="H63"/>
  <c r="G63"/>
  <c r="F63"/>
  <c r="E63"/>
  <c r="D63"/>
  <c r="C63"/>
  <c r="B63"/>
  <c r="L62"/>
  <c r="J62"/>
  <c r="I62"/>
  <c r="H62"/>
  <c r="G62"/>
  <c r="F62"/>
  <c r="D62"/>
  <c r="C62"/>
  <c r="B62"/>
  <c r="J61"/>
  <c r="I61"/>
  <c r="H61"/>
  <c r="G61"/>
  <c r="F61"/>
  <c r="C61"/>
  <c r="B61"/>
  <c r="J60"/>
  <c r="I60"/>
  <c r="H60"/>
  <c r="G60"/>
  <c r="F60"/>
  <c r="D60"/>
  <c r="C60"/>
  <c r="B60"/>
  <c r="J59"/>
  <c r="I59"/>
  <c r="H59"/>
  <c r="G59"/>
  <c r="F59"/>
  <c r="D59"/>
  <c r="C59"/>
  <c r="B59"/>
  <c r="K58"/>
  <c r="J58"/>
  <c r="I58"/>
  <c r="H58"/>
  <c r="G58"/>
  <c r="F58"/>
  <c r="D58"/>
  <c r="C58"/>
  <c r="B58"/>
  <c r="L57"/>
  <c r="K57"/>
  <c r="J57"/>
  <c r="I57"/>
  <c r="H57"/>
  <c r="G57"/>
  <c r="F57"/>
  <c r="C57"/>
  <c r="B57"/>
  <c r="K56"/>
  <c r="J56"/>
  <c r="I56"/>
  <c r="H56"/>
  <c r="G56"/>
  <c r="F56"/>
  <c r="D56"/>
  <c r="C56"/>
  <c r="B56"/>
  <c r="K55"/>
  <c r="J55"/>
  <c r="I55"/>
  <c r="H55"/>
  <c r="G55"/>
  <c r="F55"/>
  <c r="D55"/>
  <c r="C55"/>
  <c r="B55"/>
  <c r="K54"/>
  <c r="J54"/>
  <c r="I54"/>
  <c r="H54"/>
  <c r="G54"/>
  <c r="F54"/>
  <c r="D54"/>
  <c r="C54"/>
  <c r="B54"/>
  <c r="K53"/>
  <c r="J53"/>
  <c r="I53"/>
  <c r="H53"/>
  <c r="G53"/>
  <c r="F53"/>
  <c r="D53"/>
  <c r="C53"/>
  <c r="B53"/>
  <c r="K52"/>
  <c r="J52"/>
  <c r="I52"/>
  <c r="H52"/>
  <c r="G52"/>
  <c r="F52"/>
  <c r="D52"/>
  <c r="C52"/>
  <c r="B52"/>
  <c r="L51"/>
  <c r="K51"/>
  <c r="J51"/>
  <c r="I51"/>
  <c r="H51"/>
  <c r="G51"/>
  <c r="F51"/>
  <c r="D51"/>
  <c r="C51"/>
  <c r="B51"/>
  <c r="L50"/>
  <c r="K50"/>
  <c r="J50"/>
  <c r="I50"/>
  <c r="H50"/>
  <c r="G50"/>
  <c r="F50"/>
  <c r="D50"/>
  <c r="C50"/>
  <c r="B50"/>
  <c r="L49"/>
  <c r="K49"/>
  <c r="J49"/>
  <c r="I49"/>
  <c r="H49"/>
  <c r="G49"/>
  <c r="F49"/>
  <c r="D49"/>
  <c r="C49"/>
  <c r="B49"/>
  <c r="L48"/>
  <c r="K48"/>
  <c r="J48"/>
  <c r="I48"/>
  <c r="H48"/>
  <c r="G48"/>
  <c r="F48"/>
  <c r="D48"/>
  <c r="C48"/>
  <c r="B48"/>
  <c r="L47"/>
  <c r="K47"/>
  <c r="J47"/>
  <c r="I47"/>
  <c r="H47"/>
  <c r="G47"/>
  <c r="F47"/>
  <c r="D47"/>
  <c r="C47"/>
  <c r="B47"/>
  <c r="L46"/>
  <c r="K46"/>
  <c r="J46"/>
  <c r="I46"/>
  <c r="H46"/>
  <c r="G46"/>
  <c r="F46"/>
  <c r="D46"/>
  <c r="C46"/>
  <c r="B46"/>
  <c r="L45"/>
  <c r="K45"/>
  <c r="J45"/>
  <c r="I45"/>
  <c r="H45"/>
  <c r="G45"/>
  <c r="F45"/>
  <c r="C45"/>
  <c r="B45"/>
  <c r="X81" i="8"/>
  <c r="W81"/>
  <c r="X73"/>
  <c r="W73"/>
  <c r="X72"/>
  <c r="W72"/>
  <c r="L44" i="7"/>
  <c r="K44"/>
  <c r="J44"/>
  <c r="I44"/>
  <c r="H44"/>
  <c r="G44"/>
  <c r="F44"/>
  <c r="D44"/>
  <c r="C44"/>
  <c r="B44"/>
  <c r="L43"/>
  <c r="K43"/>
  <c r="J43"/>
  <c r="I43"/>
  <c r="H43"/>
  <c r="G43"/>
  <c r="F43"/>
  <c r="D43"/>
  <c r="C43"/>
  <c r="B43"/>
  <c r="X54" i="8"/>
  <c r="W54"/>
  <c r="K42" i="7"/>
  <c r="I42"/>
  <c r="H42"/>
  <c r="G42"/>
  <c r="F42"/>
  <c r="C42"/>
  <c r="B42"/>
  <c r="L41"/>
  <c r="J41"/>
  <c r="I41"/>
  <c r="H41"/>
  <c r="G41"/>
  <c r="F41"/>
  <c r="D41"/>
  <c r="C41"/>
  <c r="B41"/>
  <c r="L40"/>
  <c r="J40"/>
  <c r="I40"/>
  <c r="H40"/>
  <c r="G40"/>
  <c r="F40"/>
  <c r="D40"/>
  <c r="C40"/>
  <c r="B40"/>
  <c r="L39"/>
  <c r="K39"/>
  <c r="J39"/>
  <c r="I39"/>
  <c r="H39"/>
  <c r="G39"/>
  <c r="F39"/>
  <c r="C39"/>
  <c r="B39"/>
  <c r="L38"/>
  <c r="J38"/>
  <c r="I38"/>
  <c r="H38"/>
  <c r="G38"/>
  <c r="F38"/>
  <c r="D38"/>
  <c r="C38"/>
  <c r="B38"/>
  <c r="L37"/>
  <c r="J37"/>
  <c r="I37"/>
  <c r="H37"/>
  <c r="G37"/>
  <c r="F37"/>
  <c r="D37"/>
  <c r="C37"/>
  <c r="B37"/>
  <c r="L36"/>
  <c r="J36"/>
  <c r="I36"/>
  <c r="H36"/>
  <c r="G36"/>
  <c r="F36"/>
  <c r="D36"/>
  <c r="C36"/>
  <c r="B36"/>
  <c r="L35"/>
  <c r="J35"/>
  <c r="I35"/>
  <c r="H35"/>
  <c r="G35"/>
  <c r="F35"/>
  <c r="D35"/>
  <c r="C35"/>
  <c r="B35"/>
  <c r="K34"/>
  <c r="J34"/>
  <c r="I34"/>
  <c r="H34"/>
  <c r="G34"/>
  <c r="F34"/>
  <c r="C34"/>
  <c r="B34"/>
  <c r="X33"/>
  <c r="X45" i="8" s="1"/>
  <c r="W33" i="7"/>
  <c r="W45" i="8" s="1"/>
  <c r="L33" i="7"/>
  <c r="K33"/>
  <c r="I33"/>
  <c r="H33"/>
  <c r="G33"/>
  <c r="F33"/>
  <c r="C33"/>
  <c r="B33"/>
  <c r="K32"/>
  <c r="J32"/>
  <c r="I32"/>
  <c r="H32"/>
  <c r="G32"/>
  <c r="F32"/>
  <c r="C32"/>
  <c r="B32"/>
  <c r="L31"/>
  <c r="K31"/>
  <c r="J31"/>
  <c r="I31"/>
  <c r="H31"/>
  <c r="G31"/>
  <c r="F31"/>
  <c r="E31"/>
  <c r="D31"/>
  <c r="C31"/>
  <c r="B31"/>
  <c r="L30"/>
  <c r="K30"/>
  <c r="J30"/>
  <c r="I30"/>
  <c r="H30"/>
  <c r="G30"/>
  <c r="F30"/>
  <c r="E30"/>
  <c r="D30"/>
  <c r="C30"/>
  <c r="B30"/>
  <c r="L29"/>
  <c r="K29"/>
  <c r="J29"/>
  <c r="I29"/>
  <c r="H29"/>
  <c r="G29"/>
  <c r="F29"/>
  <c r="E29"/>
  <c r="D29"/>
  <c r="C29"/>
  <c r="B29"/>
  <c r="L28"/>
  <c r="K28"/>
  <c r="J28"/>
  <c r="I28"/>
  <c r="H28"/>
  <c r="G28"/>
  <c r="F28"/>
  <c r="E28"/>
  <c r="D28"/>
  <c r="C28"/>
  <c r="B28"/>
  <c r="L27"/>
  <c r="K27"/>
  <c r="J27"/>
  <c r="I27"/>
  <c r="H27"/>
  <c r="G27"/>
  <c r="F27"/>
  <c r="E27"/>
  <c r="D27"/>
  <c r="C27"/>
  <c r="B27"/>
  <c r="L26"/>
  <c r="K26"/>
  <c r="J26"/>
  <c r="I26"/>
  <c r="H26"/>
  <c r="G26"/>
  <c r="F26"/>
  <c r="E26"/>
  <c r="D26"/>
  <c r="C26"/>
  <c r="B26"/>
  <c r="L25"/>
  <c r="K25"/>
  <c r="J25"/>
  <c r="I25"/>
  <c r="H25"/>
  <c r="G25"/>
  <c r="F25"/>
  <c r="E25"/>
  <c r="D25"/>
  <c r="C25"/>
  <c r="B25"/>
  <c r="J24"/>
  <c r="I24"/>
  <c r="H24"/>
  <c r="G24"/>
  <c r="F24"/>
  <c r="D24"/>
  <c r="C24"/>
  <c r="B24"/>
  <c r="L23"/>
  <c r="K23"/>
  <c r="J23"/>
  <c r="I23"/>
  <c r="H23"/>
  <c r="G23"/>
  <c r="F23"/>
  <c r="E23"/>
  <c r="D23"/>
  <c r="C23"/>
  <c r="B23"/>
  <c r="L22"/>
  <c r="K22"/>
  <c r="J22"/>
  <c r="I22"/>
  <c r="H22"/>
  <c r="G22"/>
  <c r="F22"/>
  <c r="E22"/>
  <c r="D22"/>
  <c r="C22"/>
  <c r="B22"/>
  <c r="L21"/>
  <c r="K21"/>
  <c r="J21"/>
  <c r="I21"/>
  <c r="H21"/>
  <c r="G21"/>
  <c r="F21"/>
  <c r="E21"/>
  <c r="D21"/>
  <c r="C21"/>
  <c r="B21"/>
  <c r="L20"/>
  <c r="K20"/>
  <c r="J20"/>
  <c r="I20"/>
  <c r="H20"/>
  <c r="G20"/>
  <c r="F20"/>
  <c r="E20"/>
  <c r="D20"/>
  <c r="C20"/>
  <c r="B20"/>
  <c r="L19"/>
  <c r="K19"/>
  <c r="J19"/>
  <c r="I19"/>
  <c r="H19"/>
  <c r="G19"/>
  <c r="F19"/>
  <c r="E19"/>
  <c r="D19"/>
  <c r="C19"/>
  <c r="B19"/>
  <c r="L18"/>
  <c r="K18"/>
  <c r="J18"/>
  <c r="I18"/>
  <c r="H18"/>
  <c r="G18"/>
  <c r="F18"/>
  <c r="E18"/>
  <c r="D18"/>
  <c r="C18"/>
  <c r="B18"/>
  <c r="L17"/>
  <c r="K17"/>
  <c r="J17"/>
  <c r="I17"/>
  <c r="H17"/>
  <c r="G17"/>
  <c r="F17"/>
  <c r="E17"/>
  <c r="D17"/>
  <c r="C17"/>
  <c r="B17"/>
  <c r="L16"/>
  <c r="J16"/>
  <c r="I16"/>
  <c r="H16"/>
  <c r="G16"/>
  <c r="F16"/>
  <c r="D16"/>
  <c r="C16"/>
  <c r="B16"/>
  <c r="P15"/>
  <c r="O15"/>
  <c r="N15"/>
  <c r="M15"/>
  <c r="L15"/>
  <c r="K15"/>
  <c r="I15"/>
  <c r="H15"/>
  <c r="G15"/>
  <c r="F15"/>
  <c r="E15"/>
  <c r="D15"/>
  <c r="C15"/>
  <c r="B15"/>
  <c r="P14"/>
  <c r="O14"/>
  <c r="N14"/>
  <c r="M14"/>
  <c r="L14"/>
  <c r="I14"/>
  <c r="H14"/>
  <c r="G14"/>
  <c r="F14"/>
  <c r="E14"/>
  <c r="D14"/>
  <c r="C14"/>
  <c r="B14"/>
  <c r="P13"/>
  <c r="O13"/>
  <c r="N13"/>
  <c r="M13"/>
  <c r="L13"/>
  <c r="K13"/>
  <c r="I13"/>
  <c r="H13"/>
  <c r="G13"/>
  <c r="F13"/>
  <c r="E13"/>
  <c r="D13"/>
  <c r="C13"/>
  <c r="B13"/>
  <c r="P12"/>
  <c r="O12"/>
  <c r="N12"/>
  <c r="M12"/>
  <c r="L12"/>
  <c r="K12"/>
  <c r="J12"/>
  <c r="I12"/>
  <c r="H12"/>
  <c r="G12"/>
  <c r="F12"/>
  <c r="E12"/>
  <c r="D12"/>
  <c r="C12"/>
  <c r="B12"/>
  <c r="P11"/>
  <c r="O11"/>
  <c r="N11"/>
  <c r="M11"/>
  <c r="L11"/>
  <c r="K11"/>
  <c r="I11"/>
  <c r="H11"/>
  <c r="G11"/>
  <c r="F11"/>
  <c r="E11"/>
  <c r="D11"/>
  <c r="C11"/>
  <c r="B11"/>
  <c r="P10"/>
  <c r="O10"/>
  <c r="N10"/>
  <c r="M10"/>
  <c r="L10"/>
  <c r="K10"/>
  <c r="I10"/>
  <c r="H10"/>
  <c r="G10"/>
  <c r="F10"/>
  <c r="E10"/>
  <c r="D10"/>
  <c r="C10"/>
  <c r="B10"/>
  <c r="P9"/>
  <c r="O9"/>
  <c r="N9"/>
  <c r="M9"/>
  <c r="L9"/>
  <c r="K9"/>
  <c r="I9"/>
  <c r="H9"/>
  <c r="G9"/>
  <c r="F9"/>
  <c r="E9"/>
  <c r="D9"/>
  <c r="C9"/>
  <c r="B9"/>
  <c r="K8"/>
  <c r="I8"/>
  <c r="H8"/>
  <c r="G8"/>
  <c r="F8"/>
  <c r="D8"/>
  <c r="C8"/>
  <c r="B8"/>
  <c r="K7"/>
  <c r="I7"/>
  <c r="H7"/>
  <c r="G7"/>
  <c r="F7"/>
  <c r="C7"/>
  <c r="B7"/>
  <c r="P6"/>
  <c r="O6"/>
  <c r="N6"/>
  <c r="M6"/>
  <c r="L6"/>
  <c r="I6"/>
  <c r="H6"/>
  <c r="G6"/>
  <c r="F6"/>
  <c r="D6"/>
  <c r="C6"/>
  <c r="B6"/>
  <c r="P5"/>
  <c r="O5"/>
  <c r="N5"/>
  <c r="M5"/>
  <c r="L5"/>
  <c r="I5"/>
  <c r="H5"/>
  <c r="G5"/>
  <c r="F5"/>
  <c r="D5"/>
  <c r="C5"/>
  <c r="B5"/>
  <c r="K4"/>
  <c r="I4"/>
  <c r="H4"/>
  <c r="G4"/>
  <c r="F4"/>
  <c r="C4"/>
  <c r="B4"/>
  <c r="I2"/>
  <c r="H2"/>
  <c r="G2"/>
  <c r="F2"/>
  <c r="B2"/>
  <c r="X1"/>
  <c r="W1"/>
  <c r="U1"/>
  <c r="T1"/>
  <c r="S1"/>
  <c r="R1"/>
  <c r="Q1"/>
  <c r="P1"/>
  <c r="O1"/>
  <c r="N1"/>
  <c r="M1"/>
  <c r="L1"/>
  <c r="K1"/>
  <c r="J1"/>
  <c r="I1"/>
  <c r="H1"/>
  <c r="G1"/>
  <c r="F1"/>
  <c r="E1"/>
  <c r="D1"/>
  <c r="C1"/>
  <c r="B1"/>
  <c r="A1"/>
  <c r="B9" i="6"/>
  <c r="B8"/>
  <c r="B7"/>
  <c r="B6"/>
  <c r="B3"/>
  <c r="J955" i="10"/>
  <c r="J953"/>
  <c r="J403" i="7"/>
  <c r="J951" i="10"/>
  <c r="J949"/>
  <c r="J401" i="7"/>
  <c r="J947" i="10"/>
  <c r="J945"/>
  <c r="J399" i="7"/>
  <c r="J943" i="10"/>
  <c r="J941"/>
  <c r="J397" i="7"/>
  <c r="J939" i="10"/>
  <c r="J27"/>
  <c r="J15" i="7"/>
  <c r="J25" i="10"/>
  <c r="J11" i="7"/>
  <c r="J17" i="10"/>
  <c r="J16"/>
  <c r="J15"/>
  <c r="J14"/>
  <c r="J13"/>
  <c r="J12"/>
  <c r="J9"/>
  <c r="J7"/>
  <c r="J5" i="7"/>
  <c r="J5" i="10"/>
  <c r="J4" i="8"/>
  <c r="J375" i="7"/>
  <c r="A1030" i="1"/>
  <c r="A1028"/>
  <c r="A1026"/>
  <c r="A1024"/>
  <c r="A1020"/>
  <c r="A1018"/>
  <c r="A1016"/>
  <c r="A1014"/>
  <c r="A1012"/>
  <c r="A1010"/>
  <c r="A1008"/>
  <c r="A1006"/>
  <c r="A1004"/>
  <c r="A1002"/>
  <c r="A1000"/>
  <c r="A998"/>
  <c r="A996"/>
  <c r="A994"/>
  <c r="A992"/>
  <c r="A990"/>
  <c r="A988"/>
  <c r="A986"/>
  <c r="A984"/>
  <c r="A982"/>
  <c r="A980"/>
  <c r="A978"/>
  <c r="A976"/>
  <c r="A974"/>
  <c r="A972"/>
  <c r="A970"/>
  <c r="A968"/>
  <c r="A966"/>
  <c r="A964"/>
  <c r="A962"/>
  <c r="A960"/>
  <c r="A958"/>
  <c r="A956"/>
  <c r="A954"/>
  <c r="A952"/>
  <c r="A950"/>
  <c r="A948"/>
  <c r="A946"/>
  <c r="A944"/>
  <c r="A942"/>
  <c r="A940"/>
  <c r="A938"/>
  <c r="A936"/>
  <c r="A934"/>
  <c r="A932"/>
  <c r="A930"/>
  <c r="A928"/>
  <c r="A926"/>
  <c r="A924"/>
  <c r="A922"/>
  <c r="A920"/>
  <c r="A918"/>
  <c r="A916"/>
  <c r="A914"/>
  <c r="A912"/>
  <c r="A910"/>
  <c r="A908"/>
  <c r="A906"/>
  <c r="A904"/>
  <c r="A902"/>
  <c r="A900"/>
  <c r="A898"/>
  <c r="A896"/>
  <c r="A894"/>
  <c r="A892"/>
  <c r="A890"/>
  <c r="A888"/>
  <c r="A886"/>
  <c r="A884"/>
  <c r="A882"/>
  <c r="A880"/>
  <c r="A878"/>
  <c r="A876"/>
  <c r="A874"/>
  <c r="A872"/>
  <c r="A870"/>
  <c r="A868"/>
  <c r="A866"/>
  <c r="A864"/>
  <c r="A862"/>
  <c r="A860"/>
  <c r="A858"/>
  <c r="A856"/>
  <c r="A854"/>
  <c r="A852"/>
  <c r="A850"/>
  <c r="A848"/>
  <c r="A846"/>
  <c r="A844"/>
  <c r="A842"/>
  <c r="A840"/>
  <c r="A838"/>
  <c r="A836"/>
  <c r="A834"/>
  <c r="A832"/>
  <c r="A830"/>
  <c r="A828"/>
  <c r="A826"/>
  <c r="A824"/>
  <c r="A822"/>
  <c r="A820"/>
  <c r="A818"/>
  <c r="A816"/>
  <c r="A814"/>
  <c r="A812"/>
  <c r="A810"/>
  <c r="A808"/>
  <c r="A806"/>
  <c r="A804"/>
  <c r="A802"/>
  <c r="A800"/>
  <c r="A798"/>
  <c r="A796"/>
  <c r="A794"/>
  <c r="A792"/>
  <c r="A790"/>
  <c r="A788"/>
  <c r="A786"/>
  <c r="A784"/>
  <c r="A782"/>
  <c r="A780"/>
  <c r="A778"/>
  <c r="A776"/>
  <c r="A774"/>
  <c r="A772"/>
  <c r="A770"/>
  <c r="A768"/>
  <c r="A766"/>
  <c r="A764"/>
  <c r="A762"/>
  <c r="A760"/>
  <c r="A758"/>
  <c r="A756"/>
  <c r="A754"/>
  <c r="A752"/>
  <c r="A750"/>
  <c r="A748"/>
  <c r="A746"/>
  <c r="A744"/>
  <c r="A742"/>
  <c r="A740"/>
  <c r="A738"/>
  <c r="A736"/>
  <c r="A734"/>
  <c r="A732"/>
  <c r="A730"/>
  <c r="A728"/>
  <c r="A726"/>
  <c r="A724"/>
  <c r="A722"/>
  <c r="A720"/>
  <c r="A718"/>
  <c r="A716"/>
  <c r="A714"/>
  <c r="A712"/>
  <c r="A710"/>
  <c r="A708"/>
  <c r="A706"/>
  <c r="A704"/>
  <c r="A702"/>
  <c r="A700"/>
  <c r="A698"/>
  <c r="A696"/>
  <c r="A694"/>
  <c r="A692"/>
  <c r="A690"/>
  <c r="A688"/>
  <c r="A686"/>
  <c r="A684"/>
  <c r="A682"/>
  <c r="A680"/>
  <c r="A678"/>
  <c r="A676"/>
  <c r="A674"/>
  <c r="A672"/>
  <c r="A670"/>
  <c r="A668"/>
  <c r="A666"/>
  <c r="A664"/>
  <c r="A662"/>
  <c r="A660"/>
  <c r="A658"/>
  <c r="A656"/>
  <c r="A654"/>
  <c r="A652"/>
  <c r="A650"/>
  <c r="A648"/>
  <c r="A646"/>
  <c r="A644"/>
  <c r="A642"/>
  <c r="A640"/>
  <c r="A638"/>
  <c r="A636"/>
  <c r="A634"/>
  <c r="A632"/>
  <c r="A630"/>
  <c r="A628"/>
  <c r="A626"/>
  <c r="A624"/>
  <c r="A622"/>
  <c r="A620"/>
  <c r="A618"/>
  <c r="A616"/>
  <c r="A614"/>
  <c r="A612"/>
  <c r="A610"/>
  <c r="A608"/>
  <c r="A606"/>
  <c r="A599"/>
  <c r="A597"/>
  <c r="A595"/>
  <c r="A593"/>
  <c r="A591"/>
  <c r="A589"/>
  <c r="A587"/>
  <c r="A585"/>
  <c r="A583"/>
  <c r="A581"/>
  <c r="A579"/>
  <c r="A577"/>
  <c r="A575"/>
  <c r="A573"/>
  <c r="A571"/>
  <c r="A569"/>
  <c r="A567"/>
  <c r="A565"/>
  <c r="A563"/>
  <c r="A561"/>
  <c r="A559"/>
  <c r="A557"/>
  <c r="A555"/>
  <c r="A553"/>
  <c r="A551"/>
  <c r="A549"/>
  <c r="A547"/>
  <c r="A545"/>
  <c r="A543"/>
  <c r="A541"/>
  <c r="A539"/>
  <c r="A537"/>
  <c r="A535"/>
  <c r="A533"/>
  <c r="A531"/>
  <c r="A529"/>
  <c r="A527"/>
  <c r="A525"/>
  <c r="A523"/>
  <c r="A521"/>
  <c r="A519"/>
  <c r="A517"/>
  <c r="A515"/>
  <c r="A513"/>
  <c r="A511"/>
  <c r="A509"/>
  <c r="A507"/>
  <c r="A505"/>
  <c r="A503"/>
  <c r="A501"/>
  <c r="A499"/>
  <c r="A497"/>
  <c r="A495"/>
  <c r="A493"/>
  <c r="A491"/>
  <c r="A489"/>
  <c r="A487"/>
  <c r="A485"/>
  <c r="A483"/>
  <c r="A481"/>
  <c r="A479"/>
  <c r="A477"/>
  <c r="A475"/>
  <c r="A473"/>
  <c r="A471"/>
  <c r="A469"/>
  <c r="A467"/>
  <c r="A465"/>
  <c r="A463"/>
  <c r="A461"/>
  <c r="A459"/>
  <c r="A457"/>
  <c r="A455"/>
  <c r="A453"/>
  <c r="A451"/>
  <c r="A449"/>
  <c r="A447"/>
  <c r="A445"/>
  <c r="A443"/>
  <c r="A441"/>
  <c r="A439"/>
  <c r="A437"/>
  <c r="A435"/>
  <c r="A433"/>
  <c r="A431"/>
  <c r="A429"/>
  <c r="A427"/>
  <c r="A425"/>
  <c r="A423"/>
  <c r="A421"/>
  <c r="A419"/>
  <c r="A417"/>
  <c r="A415"/>
  <c r="A413"/>
  <c r="A411"/>
  <c r="A409"/>
  <c r="A407"/>
  <c r="A405"/>
  <c r="A403"/>
  <c r="A401"/>
  <c r="A399"/>
  <c r="A397"/>
  <c r="A395"/>
  <c r="A393"/>
  <c r="A391"/>
  <c r="A389"/>
  <c r="A387"/>
  <c r="A385"/>
  <c r="A383"/>
  <c r="A381"/>
  <c r="A379"/>
  <c r="A377"/>
  <c r="A375"/>
  <c r="A373"/>
  <c r="A371"/>
  <c r="A369"/>
  <c r="A367"/>
  <c r="A365"/>
  <c r="A363"/>
  <c r="A361"/>
  <c r="A359"/>
  <c r="A357"/>
  <c r="A355"/>
  <c r="A353"/>
  <c r="A351"/>
  <c r="A349"/>
  <c r="A347"/>
  <c r="A345"/>
  <c r="A343"/>
  <c r="A341"/>
  <c r="A339"/>
  <c r="A337"/>
  <c r="A335"/>
  <c r="A333"/>
  <c r="A331"/>
  <c r="A329"/>
  <c r="A327"/>
  <c r="A325"/>
  <c r="A323"/>
  <c r="A321"/>
  <c r="A319"/>
  <c r="A317"/>
  <c r="A315"/>
  <c r="A313"/>
  <c r="A311"/>
  <c r="A309"/>
  <c r="A307"/>
  <c r="A305"/>
  <c r="A303"/>
  <c r="A301"/>
  <c r="A299"/>
  <c r="A297"/>
  <c r="A295"/>
  <c r="A293"/>
  <c r="A291"/>
  <c r="A289"/>
  <c r="A287"/>
  <c r="A285"/>
  <c r="A283"/>
  <c r="A281"/>
  <c r="A279"/>
  <c r="A277"/>
  <c r="A275"/>
  <c r="A273"/>
  <c r="A271"/>
  <c r="A269"/>
  <c r="A267"/>
  <c r="A265"/>
  <c r="A263"/>
  <c r="A261"/>
  <c r="A259"/>
  <c r="A257"/>
  <c r="A255"/>
  <c r="A253"/>
  <c r="A251"/>
  <c r="A249"/>
  <c r="A247"/>
  <c r="A245"/>
  <c r="A243"/>
  <c r="A241"/>
  <c r="A239"/>
  <c r="A237"/>
  <c r="A235"/>
  <c r="A233"/>
  <c r="A231"/>
  <c r="A229"/>
  <c r="A227"/>
  <c r="A225"/>
  <c r="A223"/>
  <c r="A221"/>
  <c r="A219"/>
  <c r="A217"/>
  <c r="A215"/>
  <c r="A213"/>
  <c r="A211"/>
  <c r="A209"/>
  <c r="A207"/>
  <c r="A205"/>
  <c r="A203"/>
  <c r="A201"/>
  <c r="A199"/>
  <c r="A197"/>
  <c r="A195"/>
  <c r="A193"/>
  <c r="A191"/>
  <c r="A189"/>
  <c r="A187"/>
  <c r="A185"/>
  <c r="A183"/>
  <c r="A181"/>
  <c r="A179"/>
  <c r="A177"/>
  <c r="A118" i="8" s="1"/>
  <c r="A116"/>
  <c r="A114"/>
  <c r="A112"/>
  <c r="A110"/>
  <c r="A108"/>
  <c r="A106"/>
  <c r="A104"/>
  <c r="A102"/>
  <c r="A100"/>
  <c r="A98"/>
  <c r="A170" i="1"/>
  <c r="A168"/>
  <c r="A96" i="8" s="1"/>
  <c r="A166" i="1"/>
  <c r="A164"/>
  <c r="A141"/>
  <c r="A139"/>
  <c r="A137"/>
  <c r="A135"/>
  <c r="A133"/>
  <c r="A131"/>
  <c r="A129"/>
  <c r="A127"/>
  <c r="A125"/>
  <c r="A123"/>
  <c r="A121"/>
  <c r="A119"/>
  <c r="A117"/>
  <c r="A115"/>
  <c r="A113"/>
  <c r="A111"/>
  <c r="A109"/>
  <c r="A107"/>
  <c r="A98"/>
  <c r="A96"/>
  <c r="A94"/>
  <c r="A92"/>
  <c r="A90"/>
  <c r="A88"/>
  <c r="A86"/>
  <c r="A84"/>
  <c r="A82"/>
  <c r="A80"/>
  <c r="A78"/>
  <c r="A76"/>
  <c r="A74"/>
  <c r="A72"/>
  <c r="A70"/>
  <c r="A55"/>
  <c r="A53"/>
  <c r="A51"/>
  <c r="A49"/>
  <c r="A47"/>
  <c r="A45"/>
  <c r="A43"/>
  <c r="A41"/>
  <c r="A26"/>
  <c r="A24"/>
  <c r="A22"/>
  <c r="A20"/>
  <c r="A18"/>
  <c r="A16"/>
  <c r="A14"/>
  <c r="A12"/>
  <c r="A10"/>
  <c r="A8"/>
  <c r="A6"/>
  <c r="A4"/>
  <c r="A2"/>
  <c r="X7" i="8"/>
  <c r="W489" i="10"/>
  <c r="Q944" i="1" l="1"/>
  <c r="Q1058" i="10" s="1"/>
  <c r="Q608" i="1"/>
  <c r="Q654" i="10" s="1"/>
  <c r="Q275" i="7"/>
  <c r="Q720" i="1"/>
  <c r="Q778" i="10" s="1"/>
  <c r="Q330" i="7" s="1"/>
  <c r="Q396" i="8" s="1"/>
  <c r="Q331" i="7"/>
  <c r="Q904" i="1"/>
  <c r="Q990" i="10" s="1"/>
  <c r="Q423" i="7"/>
  <c r="W610" i="1"/>
  <c r="W275" i="7" s="1"/>
  <c r="W341" i="8" s="1"/>
  <c r="X610" i="1"/>
  <c r="W614"/>
  <c r="W277" i="7" s="1"/>
  <c r="W343" i="8" s="1"/>
  <c r="X614" i="1"/>
  <c r="W618"/>
  <c r="W279" i="7" s="1"/>
  <c r="W345" i="8" s="1"/>
  <c r="X618" i="1"/>
  <c r="W622"/>
  <c r="W281" i="7" s="1"/>
  <c r="W347" i="8" s="1"/>
  <c r="X622" i="1"/>
  <c r="X628"/>
  <c r="X284" i="7" s="1"/>
  <c r="X350" i="8" s="1"/>
  <c r="W628" i="1"/>
  <c r="X632"/>
  <c r="X286" i="7" s="1"/>
  <c r="X352" i="8" s="1"/>
  <c r="W632" i="1"/>
  <c r="X636"/>
  <c r="X288" i="7" s="1"/>
  <c r="X354" i="8" s="1"/>
  <c r="W636" i="1"/>
  <c r="X640"/>
  <c r="W640"/>
  <c r="X644"/>
  <c r="X292" i="7" s="1"/>
  <c r="X358" i="8" s="1"/>
  <c r="W644" i="1"/>
  <c r="X648"/>
  <c r="X294" i="7" s="1"/>
  <c r="X360" i="8" s="1"/>
  <c r="W648" i="1"/>
  <c r="X652"/>
  <c r="X296" i="7" s="1"/>
  <c r="X362" i="8" s="1"/>
  <c r="W652" i="1"/>
  <c r="X656"/>
  <c r="X298" i="7" s="1"/>
  <c r="X364" i="8" s="1"/>
  <c r="W656" i="1"/>
  <c r="X660"/>
  <c r="X300" i="7" s="1"/>
  <c r="X366" i="8" s="1"/>
  <c r="W660" i="1"/>
  <c r="X664"/>
  <c r="X302" i="7" s="1"/>
  <c r="X368" i="8" s="1"/>
  <c r="W664" i="1"/>
  <c r="X668"/>
  <c r="X304" i="7" s="1"/>
  <c r="X370" i="8" s="1"/>
  <c r="W668" i="1"/>
  <c r="X672"/>
  <c r="X306" i="7" s="1"/>
  <c r="X372" i="8" s="1"/>
  <c r="W672" i="1"/>
  <c r="X676"/>
  <c r="W676"/>
  <c r="X680"/>
  <c r="X310" i="7" s="1"/>
  <c r="X376" i="8" s="1"/>
  <c r="W680" i="1"/>
  <c r="X684"/>
  <c r="X312" i="7" s="1"/>
  <c r="X378" i="8" s="1"/>
  <c r="W684" i="1"/>
  <c r="X688"/>
  <c r="X314" i="7" s="1"/>
  <c r="X380" i="8" s="1"/>
  <c r="W688" i="1"/>
  <c r="X692"/>
  <c r="X316" i="7" s="1"/>
  <c r="X382" i="8" s="1"/>
  <c r="W692" i="1"/>
  <c r="X696"/>
  <c r="W696"/>
  <c r="X700"/>
  <c r="X758" i="10" s="1"/>
  <c r="W700" i="1"/>
  <c r="X704"/>
  <c r="X762" i="10" s="1"/>
  <c r="W704" i="1"/>
  <c r="X708"/>
  <c r="X766" i="10" s="1"/>
  <c r="W708" i="1"/>
  <c r="X712"/>
  <c r="X770" i="10" s="1"/>
  <c r="W712" i="1"/>
  <c r="X716"/>
  <c r="X774" i="10" s="1"/>
  <c r="W716" i="1"/>
  <c r="X722"/>
  <c r="X331" i="7" s="1"/>
  <c r="X397" i="8" s="1"/>
  <c r="W722" i="1"/>
  <c r="X726"/>
  <c r="X798" i="10" s="1"/>
  <c r="W726" i="1"/>
  <c r="X730"/>
  <c r="X802" i="10" s="1"/>
  <c r="W730" i="1"/>
  <c r="X734"/>
  <c r="X806" i="10" s="1"/>
  <c r="W734" i="1"/>
  <c r="X738"/>
  <c r="W738"/>
  <c r="X742"/>
  <c r="X814" i="10" s="1"/>
  <c r="W742" i="1"/>
  <c r="X746"/>
  <c r="X818" i="10" s="1"/>
  <c r="W746" i="1"/>
  <c r="X750"/>
  <c r="W750"/>
  <c r="X754"/>
  <c r="W754"/>
  <c r="X758"/>
  <c r="X830" i="10" s="1"/>
  <c r="W758" i="1"/>
  <c r="X762"/>
  <c r="W762"/>
  <c r="X766"/>
  <c r="X353" i="7" s="1"/>
  <c r="X419" i="8" s="1"/>
  <c r="W766" i="1"/>
  <c r="X770"/>
  <c r="X842" i="10" s="1"/>
  <c r="W770" i="1"/>
  <c r="X774"/>
  <c r="X846" i="10" s="1"/>
  <c r="W774" i="1"/>
  <c r="X778"/>
  <c r="W778"/>
  <c r="X782"/>
  <c r="X361" i="7" s="1"/>
  <c r="X427" i="8" s="1"/>
  <c r="W782" i="1"/>
  <c r="X786"/>
  <c r="W786"/>
  <c r="X790"/>
  <c r="W790"/>
  <c r="X794"/>
  <c r="X866" i="10" s="1"/>
  <c r="W794" i="1"/>
  <c r="X798"/>
  <c r="W798"/>
  <c r="X802"/>
  <c r="X371" i="7" s="1"/>
  <c r="X437" i="8" s="1"/>
  <c r="W802" i="1"/>
  <c r="X806"/>
  <c r="X373" i="7" s="1"/>
  <c r="X439" i="8" s="1"/>
  <c r="W806" i="1"/>
  <c r="X810"/>
  <c r="W810"/>
  <c r="W816"/>
  <c r="X816"/>
  <c r="W820"/>
  <c r="X820"/>
  <c r="W824"/>
  <c r="X824"/>
  <c r="W828"/>
  <c r="X828"/>
  <c r="W832"/>
  <c r="X832"/>
  <c r="W836"/>
  <c r="W922" i="10" s="1"/>
  <c r="X836" i="1"/>
  <c r="W840"/>
  <c r="X840"/>
  <c r="W844"/>
  <c r="X844"/>
  <c r="W848"/>
  <c r="X848"/>
  <c r="W852"/>
  <c r="X852"/>
  <c r="W856"/>
  <c r="X856"/>
  <c r="W860"/>
  <c r="X860"/>
  <c r="W864"/>
  <c r="X864"/>
  <c r="W868"/>
  <c r="X868"/>
  <c r="W872"/>
  <c r="X872"/>
  <c r="W876"/>
  <c r="X876"/>
  <c r="W880"/>
  <c r="X880"/>
  <c r="W884"/>
  <c r="X884"/>
  <c r="W888"/>
  <c r="X888"/>
  <c r="W892"/>
  <c r="X892"/>
  <c r="W896"/>
  <c r="X896"/>
  <c r="W900"/>
  <c r="X900"/>
  <c r="X906"/>
  <c r="X423" i="7" s="1"/>
  <c r="X489" i="8" s="1"/>
  <c r="W906" i="1"/>
  <c r="X910"/>
  <c r="X425" i="7" s="1"/>
  <c r="X491" i="8" s="1"/>
  <c r="W910" i="1"/>
  <c r="X914"/>
  <c r="W914"/>
  <c r="X918"/>
  <c r="X429" i="7" s="1"/>
  <c r="X495" i="8" s="1"/>
  <c r="W918" i="1"/>
  <c r="X922"/>
  <c r="X431" i="7" s="1"/>
  <c r="X497" i="8" s="1"/>
  <c r="W922" i="1"/>
  <c r="X926"/>
  <c r="X433" i="7" s="1"/>
  <c r="X499" i="8" s="1"/>
  <c r="W926" i="1"/>
  <c r="X930"/>
  <c r="X435" i="7" s="1"/>
  <c r="X501" i="8" s="1"/>
  <c r="W930" i="1"/>
  <c r="X934"/>
  <c r="W934"/>
  <c r="W940"/>
  <c r="X940"/>
  <c r="X946"/>
  <c r="X1074" i="10" s="1"/>
  <c r="W946" i="1"/>
  <c r="X950"/>
  <c r="X445" i="7" s="1"/>
  <c r="X511" i="8" s="1"/>
  <c r="W950" i="1"/>
  <c r="X954"/>
  <c r="X447" i="7" s="1"/>
  <c r="X513" i="8" s="1"/>
  <c r="W954" i="1"/>
  <c r="X958"/>
  <c r="W958"/>
  <c r="X962"/>
  <c r="W962"/>
  <c r="X966"/>
  <c r="X453" i="7" s="1"/>
  <c r="X519" i="8" s="1"/>
  <c r="W966" i="1"/>
  <c r="X970"/>
  <c r="X1098" i="10" s="1"/>
  <c r="W970" i="1"/>
  <c r="X974"/>
  <c r="X457" i="7" s="1"/>
  <c r="X523" i="8" s="1"/>
  <c r="W974" i="1"/>
  <c r="X978"/>
  <c r="X459" i="7" s="1"/>
  <c r="X525" i="8" s="1"/>
  <c r="W978" i="1"/>
  <c r="X982"/>
  <c r="X461" i="7" s="1"/>
  <c r="X527" i="8" s="1"/>
  <c r="W982" i="1"/>
  <c r="X986"/>
  <c r="X463" i="7" s="1"/>
  <c r="X529" i="8" s="1"/>
  <c r="W986" i="1"/>
  <c r="X990"/>
  <c r="X1118" i="10" s="1"/>
  <c r="W990" i="1"/>
  <c r="X994"/>
  <c r="X1122" i="10" s="1"/>
  <c r="W994" i="1"/>
  <c r="X998"/>
  <c r="X1126" i="10" s="1"/>
  <c r="W998" i="1"/>
  <c r="X1002"/>
  <c r="X471" i="7" s="1"/>
  <c r="X537" i="8" s="1"/>
  <c r="W1002" i="1"/>
  <c r="X1006"/>
  <c r="X473" i="7" s="1"/>
  <c r="X539" i="8" s="1"/>
  <c r="W1006" i="1"/>
  <c r="X1010"/>
  <c r="X475" i="7" s="1"/>
  <c r="X541" i="8" s="1"/>
  <c r="W1010" i="1"/>
  <c r="X1014"/>
  <c r="X477" i="7" s="1"/>
  <c r="X543" i="8" s="1"/>
  <c r="W1014" i="1"/>
  <c r="X1018"/>
  <c r="X1146" i="10" s="1"/>
  <c r="W1018" i="1"/>
  <c r="X612"/>
  <c r="X276" i="7" s="1"/>
  <c r="X342" i="8" s="1"/>
  <c r="W612" i="1"/>
  <c r="X616"/>
  <c r="X278" i="7" s="1"/>
  <c r="X344" i="8" s="1"/>
  <c r="W616" i="1"/>
  <c r="X620"/>
  <c r="X280" i="7" s="1"/>
  <c r="X346" i="8" s="1"/>
  <c r="W620" i="1"/>
  <c r="W626"/>
  <c r="X626"/>
  <c r="W630"/>
  <c r="X630"/>
  <c r="W634"/>
  <c r="X634"/>
  <c r="W638"/>
  <c r="X638"/>
  <c r="W642"/>
  <c r="X642"/>
  <c r="W646"/>
  <c r="X646"/>
  <c r="W650"/>
  <c r="X650"/>
  <c r="W654"/>
  <c r="X654"/>
  <c r="W658"/>
  <c r="X658"/>
  <c r="W662"/>
  <c r="X662"/>
  <c r="W666"/>
  <c r="X666"/>
  <c r="W670"/>
  <c r="X670"/>
  <c r="W674"/>
  <c r="X674"/>
  <c r="W678"/>
  <c r="X678"/>
  <c r="W682"/>
  <c r="X682"/>
  <c r="X740" i="10" s="1"/>
  <c r="W686" i="1"/>
  <c r="X686"/>
  <c r="W690"/>
  <c r="X690"/>
  <c r="W694"/>
  <c r="X694"/>
  <c r="W698"/>
  <c r="X698"/>
  <c r="W702"/>
  <c r="X702"/>
  <c r="W706"/>
  <c r="X706"/>
  <c r="W710"/>
  <c r="X710"/>
  <c r="W714"/>
  <c r="X714"/>
  <c r="W724"/>
  <c r="X724"/>
  <c r="W728"/>
  <c r="W800" i="10" s="1"/>
  <c r="X728" i="1"/>
  <c r="W732"/>
  <c r="W804" i="10" s="1"/>
  <c r="X732" i="1"/>
  <c r="W736"/>
  <c r="X736"/>
  <c r="W740"/>
  <c r="W812" i="10" s="1"/>
  <c r="X740" i="1"/>
  <c r="W744"/>
  <c r="W816" i="10" s="1"/>
  <c r="X744" i="1"/>
  <c r="W748"/>
  <c r="W820" i="10" s="1"/>
  <c r="X748" i="1"/>
  <c r="W752"/>
  <c r="W824" i="10" s="1"/>
  <c r="X752" i="1"/>
  <c r="W756"/>
  <c r="W828" i="10" s="1"/>
  <c r="X756" i="1"/>
  <c r="W760"/>
  <c r="W832" i="10" s="1"/>
  <c r="X760" i="1"/>
  <c r="W764"/>
  <c r="X764"/>
  <c r="W768"/>
  <c r="W840" i="10" s="1"/>
  <c r="X768" i="1"/>
  <c r="W772"/>
  <c r="W844" i="10" s="1"/>
  <c r="X772" i="1"/>
  <c r="W776"/>
  <c r="W848" i="10" s="1"/>
  <c r="X776" i="1"/>
  <c r="W780"/>
  <c r="W852" i="10" s="1"/>
  <c r="X780" i="1"/>
  <c r="W784"/>
  <c r="X784"/>
  <c r="W788"/>
  <c r="W860" i="10" s="1"/>
  <c r="X788" i="1"/>
  <c r="W792"/>
  <c r="W864" i="10" s="1"/>
  <c r="X792" i="1"/>
  <c r="W796"/>
  <c r="W868" i="10" s="1"/>
  <c r="X796" i="1"/>
  <c r="W800"/>
  <c r="W872" i="10" s="1"/>
  <c r="X800" i="1"/>
  <c r="W804"/>
  <c r="W876" i="10" s="1"/>
  <c r="X804" i="1"/>
  <c r="W808"/>
  <c r="X808"/>
  <c r="X814"/>
  <c r="W814"/>
  <c r="X818"/>
  <c r="W818"/>
  <c r="X822"/>
  <c r="W822"/>
  <c r="X826"/>
  <c r="W826"/>
  <c r="X830"/>
  <c r="W830"/>
  <c r="X834"/>
  <c r="W834"/>
  <c r="X838"/>
  <c r="X924" i="10" s="1"/>
  <c r="W838" i="1"/>
  <c r="X842"/>
  <c r="W842"/>
  <c r="X846"/>
  <c r="W846"/>
  <c r="X850"/>
  <c r="X936" i="10" s="1"/>
  <c r="W850" i="1"/>
  <c r="X854"/>
  <c r="W854"/>
  <c r="X858"/>
  <c r="X944" i="10" s="1"/>
  <c r="W858" i="1"/>
  <c r="X862"/>
  <c r="X948" i="10" s="1"/>
  <c r="W862" i="1"/>
  <c r="X866"/>
  <c r="X403" i="7" s="1"/>
  <c r="X469" i="8" s="1"/>
  <c r="W866" i="1"/>
  <c r="X870"/>
  <c r="X956" i="10" s="1"/>
  <c r="W870" i="1"/>
  <c r="X874"/>
  <c r="X960" i="10" s="1"/>
  <c r="W874" i="1"/>
  <c r="X878"/>
  <c r="X964" i="10" s="1"/>
  <c r="W878" i="1"/>
  <c r="X882"/>
  <c r="X411" i="7" s="1"/>
  <c r="X477" i="8" s="1"/>
  <c r="W882" i="1"/>
  <c r="X886"/>
  <c r="X413" i="7" s="1"/>
  <c r="X479" i="8" s="1"/>
  <c r="W886" i="1"/>
  <c r="X890"/>
  <c r="X976" i="10" s="1"/>
  <c r="W890" i="1"/>
  <c r="X894"/>
  <c r="X417" i="7" s="1"/>
  <c r="X483" i="8" s="1"/>
  <c r="W894" i="1"/>
  <c r="X898"/>
  <c r="X984" i="10" s="1"/>
  <c r="W898" i="1"/>
  <c r="X902"/>
  <c r="W902"/>
  <c r="W908"/>
  <c r="W1008" i="10" s="1"/>
  <c r="X908" i="1"/>
  <c r="W912"/>
  <c r="X912"/>
  <c r="W916"/>
  <c r="W1016" i="10" s="1"/>
  <c r="X916" i="1"/>
  <c r="W920"/>
  <c r="W1020" i="10" s="1"/>
  <c r="X920" i="1"/>
  <c r="W924"/>
  <c r="W1024" i="10" s="1"/>
  <c r="X924" i="1"/>
  <c r="W928"/>
  <c r="W1028" i="10" s="1"/>
  <c r="X928" i="1"/>
  <c r="W932"/>
  <c r="W1032" i="10" s="1"/>
  <c r="X932" i="1"/>
  <c r="X938"/>
  <c r="W938"/>
  <c r="X942"/>
  <c r="X441" i="7" s="1"/>
  <c r="X507" i="8" s="1"/>
  <c r="W942" i="1"/>
  <c r="W948"/>
  <c r="X948"/>
  <c r="W952"/>
  <c r="W1080" i="10" s="1"/>
  <c r="X952" i="1"/>
  <c r="W956"/>
  <c r="W1084" i="10" s="1"/>
  <c r="X956" i="1"/>
  <c r="W960"/>
  <c r="W1088" i="10" s="1"/>
  <c r="X960" i="1"/>
  <c r="W964"/>
  <c r="W1092" i="10" s="1"/>
  <c r="X964" i="1"/>
  <c r="W968"/>
  <c r="X968"/>
  <c r="W972"/>
  <c r="W1100" i="10" s="1"/>
  <c r="X972" i="1"/>
  <c r="W976"/>
  <c r="W1104" i="10" s="1"/>
  <c r="X976" i="1"/>
  <c r="W980"/>
  <c r="W1108" i="10" s="1"/>
  <c r="X980" i="1"/>
  <c r="W984"/>
  <c r="W1112" i="10" s="1"/>
  <c r="X984" i="1"/>
  <c r="W988"/>
  <c r="X988"/>
  <c r="W992"/>
  <c r="W1120" i="10" s="1"/>
  <c r="X992" i="1"/>
  <c r="W996"/>
  <c r="W1124" i="10" s="1"/>
  <c r="X996" i="1"/>
  <c r="W1000"/>
  <c r="X1000"/>
  <c r="W1004"/>
  <c r="W1132" i="10" s="1"/>
  <c r="X1004" i="1"/>
  <c r="W1008"/>
  <c r="W1136" i="10" s="1"/>
  <c r="X1008" i="1"/>
  <c r="W1012"/>
  <c r="W1140" i="10" s="1"/>
  <c r="X1012" i="1"/>
  <c r="W1016"/>
  <c r="W1144" i="10" s="1"/>
  <c r="X1016" i="1"/>
  <c r="W1020"/>
  <c r="X1020"/>
  <c r="Q274" i="7"/>
  <c r="Q340" i="8" s="1"/>
  <c r="Q230" i="7"/>
  <c r="Q287" i="8" s="1"/>
  <c r="J22" i="10"/>
  <c r="J13" i="8"/>
  <c r="J24" i="10"/>
  <c r="J14" i="8"/>
  <c r="M2"/>
  <c r="O2"/>
  <c r="O878" i="10"/>
  <c r="J8" i="7"/>
  <c r="J9"/>
  <c r="J13"/>
  <c r="W209"/>
  <c r="W266" i="8" s="1"/>
  <c r="J8"/>
  <c r="J9"/>
  <c r="J10"/>
  <c r="J882" i="10"/>
  <c r="J441" i="8"/>
  <c r="J58"/>
  <c r="J23" i="10"/>
  <c r="J100" i="8"/>
  <c r="J4" i="10"/>
  <c r="J102" i="8"/>
  <c r="J5"/>
  <c r="J6" i="10"/>
  <c r="J104" i="8"/>
  <c r="J8" i="10"/>
  <c r="J6" i="8"/>
  <c r="J18" i="10"/>
  <c r="J11" i="8"/>
  <c r="J26" i="10"/>
  <c r="J15" i="8"/>
  <c r="J63"/>
  <c r="J938" i="10"/>
  <c r="J462" i="8"/>
  <c r="J65"/>
  <c r="J940" i="10"/>
  <c r="J463" i="8"/>
  <c r="J67"/>
  <c r="J942" i="10"/>
  <c r="J464" i="8"/>
  <c r="J69"/>
  <c r="J944" i="10"/>
  <c r="J465" i="8"/>
  <c r="J71"/>
  <c r="J946" i="10"/>
  <c r="J466" i="8"/>
  <c r="J948" i="10"/>
  <c r="J467" i="8"/>
  <c r="J950" i="10"/>
  <c r="J468" i="8"/>
  <c r="J952" i="10"/>
  <c r="J469" i="8"/>
  <c r="J954" i="10"/>
  <c r="J470" i="8"/>
  <c r="J4" i="7"/>
  <c r="J6"/>
  <c r="J10"/>
  <c r="J14"/>
  <c r="J396"/>
  <c r="J398"/>
  <c r="J400"/>
  <c r="J402"/>
  <c r="J404"/>
  <c r="N878" i="10"/>
  <c r="B11" i="6"/>
  <c r="B12"/>
  <c r="N227" i="8"/>
  <c r="P227"/>
  <c r="N229"/>
  <c r="P229"/>
  <c r="P231"/>
  <c r="N233"/>
  <c r="P233"/>
  <c r="N235"/>
  <c r="P235"/>
  <c r="N237"/>
  <c r="P237"/>
  <c r="N239"/>
  <c r="P239"/>
  <c r="N241"/>
  <c r="P241"/>
  <c r="P243"/>
  <c r="P245"/>
  <c r="N247"/>
  <c r="P247"/>
  <c r="P249"/>
  <c r="N251"/>
  <c r="P251"/>
  <c r="N253"/>
  <c r="P253"/>
  <c r="N255"/>
  <c r="P255"/>
  <c r="P257"/>
  <c r="N259"/>
  <c r="P259"/>
  <c r="N261"/>
  <c r="P261"/>
  <c r="N263"/>
  <c r="P263"/>
  <c r="P265"/>
  <c r="B14" i="6"/>
  <c r="N269" i="8"/>
  <c r="P269"/>
  <c r="N271"/>
  <c r="P271"/>
  <c r="N273"/>
  <c r="P273"/>
  <c r="N275"/>
  <c r="P275"/>
  <c r="N277"/>
  <c r="P277"/>
  <c r="N279"/>
  <c r="P279"/>
  <c r="N281"/>
  <c r="P281"/>
  <c r="B15" i="6"/>
  <c r="D15"/>
  <c r="F15"/>
  <c r="N285" i="8"/>
  <c r="P285"/>
  <c r="B16" i="6"/>
  <c r="D16"/>
  <c r="F16"/>
  <c r="N289" i="8"/>
  <c r="P289"/>
  <c r="N291"/>
  <c r="P291"/>
  <c r="N293"/>
  <c r="P293"/>
  <c r="N295"/>
  <c r="P295"/>
  <c r="N297"/>
  <c r="P297"/>
  <c r="N299"/>
  <c r="P299"/>
  <c r="N301"/>
  <c r="P301"/>
  <c r="N303"/>
  <c r="P303"/>
  <c r="N305"/>
  <c r="P305"/>
  <c r="N307"/>
  <c r="P307"/>
  <c r="N309"/>
  <c r="P309"/>
  <c r="N311"/>
  <c r="P311"/>
  <c r="N313"/>
  <c r="P313"/>
  <c r="N315"/>
  <c r="P315"/>
  <c r="N317"/>
  <c r="P317"/>
  <c r="N319"/>
  <c r="P319"/>
  <c r="N321"/>
  <c r="P321"/>
  <c r="N323"/>
  <c r="P323"/>
  <c r="N325"/>
  <c r="P325"/>
  <c r="M331"/>
  <c r="O331"/>
  <c r="N354"/>
  <c r="B2" i="6"/>
  <c r="M332" i="8"/>
  <c r="O332"/>
  <c r="M333"/>
  <c r="O333"/>
  <c r="M334"/>
  <c r="O334"/>
  <c r="M335"/>
  <c r="O335"/>
  <c r="M336"/>
  <c r="O336"/>
  <c r="M337"/>
  <c r="O337"/>
  <c r="M338"/>
  <c r="O338"/>
  <c r="C20" i="6"/>
  <c r="E20"/>
  <c r="N341" i="8"/>
  <c r="P341"/>
  <c r="N343"/>
  <c r="P343"/>
  <c r="N345"/>
  <c r="P345"/>
  <c r="N347"/>
  <c r="P347"/>
  <c r="N349"/>
  <c r="P349"/>
  <c r="N351"/>
  <c r="P351"/>
  <c r="N353"/>
  <c r="P353"/>
  <c r="A4" i="7"/>
  <c r="A4" i="10"/>
  <c r="A4" i="8"/>
  <c r="A8" i="7"/>
  <c r="A12" i="10"/>
  <c r="A8" i="8"/>
  <c r="A12" i="7"/>
  <c r="A20" i="10"/>
  <c r="A12" i="8"/>
  <c r="A16" i="7"/>
  <c r="A28" i="10"/>
  <c r="A16" i="8"/>
  <c r="A20" i="7"/>
  <c r="A36" i="10"/>
  <c r="A20" i="8"/>
  <c r="A24" i="7"/>
  <c r="A44" i="10"/>
  <c r="A24" i="8"/>
  <c r="A28" i="7"/>
  <c r="A52" i="10"/>
  <c r="A28" i="8"/>
  <c r="A32" i="7"/>
  <c r="A60" i="10"/>
  <c r="A32" i="8"/>
  <c r="A36"/>
  <c r="A40"/>
  <c r="A44"/>
  <c r="A36" i="7"/>
  <c r="A68" i="10"/>
  <c r="A48" i="8"/>
  <c r="A40" i="7"/>
  <c r="A83" i="10"/>
  <c r="A52" i="8"/>
  <c r="A44" i="7"/>
  <c r="A103" i="10"/>
  <c r="A56" i="8"/>
  <c r="A60"/>
  <c r="A64"/>
  <c r="A68"/>
  <c r="A72"/>
  <c r="A78"/>
  <c r="A51" i="7"/>
  <c r="A117" i="10"/>
  <c r="A88" i="8"/>
  <c r="A57" i="7"/>
  <c r="A150" i="10"/>
  <c r="A94" i="8"/>
  <c r="A6" i="7"/>
  <c r="A8" i="10"/>
  <c r="A6" i="8"/>
  <c r="A10" i="7"/>
  <c r="A16" i="10"/>
  <c r="A10" i="8"/>
  <c r="A14" i="7"/>
  <c r="A24" i="10"/>
  <c r="A14" i="8"/>
  <c r="A18" i="7"/>
  <c r="A32" i="10"/>
  <c r="A18" i="8"/>
  <c r="A22" i="7"/>
  <c r="A40" i="10"/>
  <c r="A22" i="8"/>
  <c r="A26" i="7"/>
  <c r="A48" i="10"/>
  <c r="A26" i="8"/>
  <c r="A30" i="7"/>
  <c r="A56" i="10"/>
  <c r="A30" i="8"/>
  <c r="A34"/>
  <c r="A38"/>
  <c r="A42"/>
  <c r="A34" i="7"/>
  <c r="A64" i="10"/>
  <c r="A46" i="8"/>
  <c r="A38" i="7"/>
  <c r="A72" i="10"/>
  <c r="A50" i="8"/>
  <c r="A42" i="7"/>
  <c r="A99" i="10"/>
  <c r="A54" i="8"/>
  <c r="A58"/>
  <c r="A62"/>
  <c r="A66"/>
  <c r="A70"/>
  <c r="A74"/>
  <c r="A76"/>
  <c r="A80"/>
  <c r="A45" i="7"/>
  <c r="A105" i="10"/>
  <c r="A82" i="8"/>
  <c r="A47" i="7"/>
  <c r="A109" i="10"/>
  <c r="A84" i="8"/>
  <c r="A49" i="7"/>
  <c r="A113" i="10"/>
  <c r="A86" i="8"/>
  <c r="A53" i="7"/>
  <c r="A121" i="10"/>
  <c r="A90" i="8"/>
  <c r="A55" i="7"/>
  <c r="A125" i="10"/>
  <c r="A92" i="8"/>
  <c r="A2" i="7"/>
  <c r="A2" i="10"/>
  <c r="A2" i="8"/>
  <c r="A5" i="7"/>
  <c r="A6" i="10"/>
  <c r="A5" i="8"/>
  <c r="A7" i="7"/>
  <c r="A10" i="10"/>
  <c r="A7" i="8"/>
  <c r="A9" i="7"/>
  <c r="A14" i="10"/>
  <c r="A9" i="8"/>
  <c r="A11" i="7"/>
  <c r="A18" i="10"/>
  <c r="A11" i="8"/>
  <c r="A13" i="7"/>
  <c r="A22" i="10"/>
  <c r="A13" i="8"/>
  <c r="A15" i="7"/>
  <c r="A26" i="10"/>
  <c r="A15" i="8"/>
  <c r="A17" i="7"/>
  <c r="A30" i="10"/>
  <c r="A17" i="8"/>
  <c r="A19" i="7"/>
  <c r="A34" i="10"/>
  <c r="A19" i="8"/>
  <c r="A21" i="7"/>
  <c r="A38" i="10"/>
  <c r="A21" i="8"/>
  <c r="A23" i="7"/>
  <c r="A42" i="10"/>
  <c r="A23" i="8"/>
  <c r="A25" i="7"/>
  <c r="A46" i="10"/>
  <c r="A25" i="8"/>
  <c r="A27" i="7"/>
  <c r="A50" i="10"/>
  <c r="A27" i="8"/>
  <c r="A29" i="7"/>
  <c r="A54" i="10"/>
  <c r="A29" i="8"/>
  <c r="A31" i="7"/>
  <c r="A58" i="10"/>
  <c r="A31" i="8"/>
  <c r="A33"/>
  <c r="A35"/>
  <c r="A37"/>
  <c r="A39"/>
  <c r="A41"/>
  <c r="A43"/>
  <c r="A33" i="7"/>
  <c r="A62" i="10"/>
  <c r="A45" i="8"/>
  <c r="A35" i="7"/>
  <c r="A66" i="10"/>
  <c r="A47" i="8"/>
  <c r="A37" i="7"/>
  <c r="A70" i="10"/>
  <c r="A49" i="8"/>
  <c r="A39" i="7"/>
  <c r="A81" i="10"/>
  <c r="A51" i="8"/>
  <c r="A41" i="7"/>
  <c r="A97" i="10"/>
  <c r="A53" i="8"/>
  <c r="A43" i="7"/>
  <c r="A101" i="10"/>
  <c r="A55" i="8"/>
  <c r="A57"/>
  <c r="A59"/>
  <c r="A61"/>
  <c r="A63"/>
  <c r="A65"/>
  <c r="A67"/>
  <c r="A69"/>
  <c r="A71"/>
  <c r="A73"/>
  <c r="A75"/>
  <c r="A77"/>
  <c r="A79"/>
  <c r="A81"/>
  <c r="A46" i="7"/>
  <c r="A107" i="10"/>
  <c r="A83" i="8"/>
  <c r="A48" i="7"/>
  <c r="A111" i="10"/>
  <c r="A85" i="8"/>
  <c r="A50" i="7"/>
  <c r="A115" i="10"/>
  <c r="A87" i="8"/>
  <c r="A52" i="7"/>
  <c r="A119" i="10"/>
  <c r="A89" i="8"/>
  <c r="A54" i="7"/>
  <c r="A123" i="10"/>
  <c r="A91" i="8"/>
  <c r="A56" i="7"/>
  <c r="A127" i="10"/>
  <c r="A93" i="8"/>
  <c r="A58" i="7"/>
  <c r="A152" i="10"/>
  <c r="A95" i="8"/>
  <c r="A60" i="7"/>
  <c r="A156" i="10"/>
  <c r="A62" i="7"/>
  <c r="A165" i="10"/>
  <c r="A64" i="7"/>
  <c r="A179" i="10"/>
  <c r="A66" i="7"/>
  <c r="A183" i="10"/>
  <c r="A68" i="7"/>
  <c r="A187" i="10"/>
  <c r="A70" i="7"/>
  <c r="A191" i="10"/>
  <c r="A72" i="7"/>
  <c r="A195" i="10"/>
  <c r="A74" i="7"/>
  <c r="A199" i="10"/>
  <c r="A76" i="7"/>
  <c r="A203" i="10"/>
  <c r="A78" i="7"/>
  <c r="A207" i="10"/>
  <c r="A80" i="7"/>
  <c r="A211" i="10"/>
  <c r="A82" i="7"/>
  <c r="A215" i="10"/>
  <c r="A84" i="7"/>
  <c r="A219" i="10"/>
  <c r="A86" i="7"/>
  <c r="A223" i="10"/>
  <c r="A88" i="7"/>
  <c r="A227" i="10"/>
  <c r="A90" i="7"/>
  <c r="A231" i="10"/>
  <c r="A92" i="7"/>
  <c r="A235" i="10"/>
  <c r="A94" i="7"/>
  <c r="A239" i="10"/>
  <c r="A96" i="7"/>
  <c r="A243" i="10"/>
  <c r="A98" i="7"/>
  <c r="A247" i="10"/>
  <c r="A100" i="7"/>
  <c r="A251" i="10"/>
  <c r="A102" i="7"/>
  <c r="A255" i="10"/>
  <c r="A104" i="7"/>
  <c r="A259" i="10"/>
  <c r="A106" i="7"/>
  <c r="A263" i="10"/>
  <c r="A108" i="7"/>
  <c r="A267" i="10"/>
  <c r="A110" i="7"/>
  <c r="A271" i="10"/>
  <c r="A112" i="7"/>
  <c r="A275" i="10"/>
  <c r="A114" i="7"/>
  <c r="A279" i="10"/>
  <c r="A116" i="7"/>
  <c r="A283" i="10"/>
  <c r="A118" i="7"/>
  <c r="A287" i="10"/>
  <c r="A120" i="7"/>
  <c r="A301" i="10"/>
  <c r="A122" i="7"/>
  <c r="A305" i="10"/>
  <c r="A124" i="7"/>
  <c r="A309" i="10"/>
  <c r="A126" i="7"/>
  <c r="A313" i="10"/>
  <c r="A128" i="7"/>
  <c r="A317" i="10"/>
  <c r="A130" i="7"/>
  <c r="A321" i="10"/>
  <c r="A132" i="7"/>
  <c r="A325" i="10"/>
  <c r="A134" i="7"/>
  <c r="A329" i="10"/>
  <c r="A136" i="7"/>
  <c r="A333" i="10"/>
  <c r="A138" i="7"/>
  <c r="A337" i="10"/>
  <c r="A140" i="7"/>
  <c r="A341" i="10"/>
  <c r="A142" i="7"/>
  <c r="A345" i="10"/>
  <c r="A144" i="7"/>
  <c r="A349" i="10"/>
  <c r="A146" i="7"/>
  <c r="A353" i="10"/>
  <c r="A148" i="7"/>
  <c r="A357" i="10"/>
  <c r="A150" i="7"/>
  <c r="A361" i="10"/>
  <c r="A152" i="7"/>
  <c r="A365" i="10"/>
  <c r="A154" i="7"/>
  <c r="A369" i="10"/>
  <c r="A156" i="7"/>
  <c r="A373" i="10"/>
  <c r="A158" i="7"/>
  <c r="A377" i="10"/>
  <c r="A160" i="7"/>
  <c r="A381" i="10"/>
  <c r="A217" i="8"/>
  <c r="A162" i="7"/>
  <c r="A385" i="10"/>
  <c r="A219" i="8"/>
  <c r="A164" i="7"/>
  <c r="A389" i="10"/>
  <c r="A221" i="8"/>
  <c r="A166" i="7"/>
  <c r="A403" i="10"/>
  <c r="A223" i="8"/>
  <c r="A168" i="7"/>
  <c r="A407" i="10"/>
  <c r="A225" i="8"/>
  <c r="A170" i="7"/>
  <c r="A411" i="10"/>
  <c r="A227" i="8"/>
  <c r="A172" i="7"/>
  <c r="A415" i="10"/>
  <c r="A229" i="8"/>
  <c r="A174" i="7"/>
  <c r="A419" i="10"/>
  <c r="A231" i="8"/>
  <c r="A176" i="7"/>
  <c r="A423" i="10"/>
  <c r="A233" i="8"/>
  <c r="A178" i="7"/>
  <c r="A427" i="10"/>
  <c r="A235" i="8"/>
  <c r="A180" i="7"/>
  <c r="A431" i="10"/>
  <c r="A237" i="8"/>
  <c r="A182" i="7"/>
  <c r="A435" i="10"/>
  <c r="A239" i="8"/>
  <c r="A184" i="7"/>
  <c r="A439" i="10"/>
  <c r="A241" i="8"/>
  <c r="A186" i="7"/>
  <c r="A443" i="10"/>
  <c r="A243" i="8"/>
  <c r="A188" i="7"/>
  <c r="A447" i="10"/>
  <c r="A245" i="8"/>
  <c r="A190" i="7"/>
  <c r="A451" i="10"/>
  <c r="A247" i="8"/>
  <c r="A192" i="7"/>
  <c r="A455" i="10"/>
  <c r="A249" i="8"/>
  <c r="A194" i="7"/>
  <c r="A459" i="10"/>
  <c r="A251" i="8"/>
  <c r="A196" i="7"/>
  <c r="A463" i="10"/>
  <c r="A253" i="8"/>
  <c r="A198" i="7"/>
  <c r="A467" i="10"/>
  <c r="A255" i="8"/>
  <c r="A200" i="7"/>
  <c r="A471" i="10"/>
  <c r="A257" i="8"/>
  <c r="A202" i="7"/>
  <c r="A475" i="10"/>
  <c r="A259" i="8"/>
  <c r="A204" i="7"/>
  <c r="A479" i="10"/>
  <c r="A261" i="8"/>
  <c r="A206" i="7"/>
  <c r="A483" i="10"/>
  <c r="A263" i="8"/>
  <c r="A208" i="7"/>
  <c r="A487" i="10"/>
  <c r="A265" i="8"/>
  <c r="A210" i="7"/>
  <c r="A491" i="10"/>
  <c r="A267" i="8"/>
  <c r="A212" i="7"/>
  <c r="A505" i="10"/>
  <c r="A269" i="8"/>
  <c r="A214" i="7"/>
  <c r="A509" i="10"/>
  <c r="A271" i="8"/>
  <c r="A216" i="7"/>
  <c r="A513" i="10"/>
  <c r="A273" i="8"/>
  <c r="A218" i="7"/>
  <c r="A517" i="10"/>
  <c r="A275" i="8"/>
  <c r="A220" i="7"/>
  <c r="A521" i="10"/>
  <c r="A277" i="8"/>
  <c r="A222" i="7"/>
  <c r="A525" i="10"/>
  <c r="A279" i="8"/>
  <c r="A224" i="7"/>
  <c r="A529" i="10"/>
  <c r="A281" i="8"/>
  <c r="A226" i="7"/>
  <c r="A533" i="10"/>
  <c r="A283" i="8"/>
  <c r="A228" i="7"/>
  <c r="A547" i="10"/>
  <c r="A285" i="8"/>
  <c r="A230" i="7"/>
  <c r="A551" i="10"/>
  <c r="A287" i="8"/>
  <c r="A232" i="7"/>
  <c r="A565" i="10"/>
  <c r="A289" i="8"/>
  <c r="A234" i="7"/>
  <c r="A569" i="10"/>
  <c r="A291" i="8"/>
  <c r="A236" i="7"/>
  <c r="A573" i="10"/>
  <c r="A293" i="8"/>
  <c r="A238" i="7"/>
  <c r="A577" i="10"/>
  <c r="A295" i="8"/>
  <c r="A240" i="7"/>
  <c r="A581" i="10"/>
  <c r="A297" i="8"/>
  <c r="A242" i="7"/>
  <c r="A585" i="10"/>
  <c r="A299" i="8"/>
  <c r="A244" i="7"/>
  <c r="A589" i="10"/>
  <c r="A301" i="8"/>
  <c r="A246" i="7"/>
  <c r="A593" i="10"/>
  <c r="A303" i="8"/>
  <c r="A248" i="7"/>
  <c r="A597" i="10"/>
  <c r="A305" i="8"/>
  <c r="A250" i="7"/>
  <c r="A601" i="10"/>
  <c r="A307" i="8"/>
  <c r="A252" i="7"/>
  <c r="A605" i="10"/>
  <c r="A309" i="8"/>
  <c r="A254" i="7"/>
  <c r="A609" i="10"/>
  <c r="A311" i="8"/>
  <c r="A256" i="7"/>
  <c r="A613" i="10"/>
  <c r="A313" i="8"/>
  <c r="A258" i="7"/>
  <c r="A617" i="10"/>
  <c r="A315" i="8"/>
  <c r="A260" i="7"/>
  <c r="A621" i="10"/>
  <c r="A317" i="8"/>
  <c r="A262" i="7"/>
  <c r="A625" i="10"/>
  <c r="A319" i="8"/>
  <c r="A264" i="7"/>
  <c r="A629" i="10"/>
  <c r="A321" i="8"/>
  <c r="A266" i="7"/>
  <c r="A633" i="10"/>
  <c r="A323" i="8"/>
  <c r="A268" i="7"/>
  <c r="A637" i="10"/>
  <c r="A325" i="8"/>
  <c r="A270" i="7"/>
  <c r="A641" i="10"/>
  <c r="A327" i="8"/>
  <c r="A272" i="7"/>
  <c r="A645" i="10"/>
  <c r="A329" i="8"/>
  <c r="A331"/>
  <c r="A333"/>
  <c r="A335"/>
  <c r="A337"/>
  <c r="A273" i="7"/>
  <c r="A652" i="10"/>
  <c r="A339" i="8"/>
  <c r="A275" i="7"/>
  <c r="A668" i="10"/>
  <c r="A341" i="8"/>
  <c r="A277" i="7"/>
  <c r="A672" i="10"/>
  <c r="A343" i="8"/>
  <c r="A279" i="7"/>
  <c r="A676" i="10"/>
  <c r="A345" i="8"/>
  <c r="A281" i="7"/>
  <c r="A680" i="10"/>
  <c r="A347" i="8"/>
  <c r="A283" i="7"/>
  <c r="A684" i="10"/>
  <c r="A349" i="8"/>
  <c r="A285" i="7"/>
  <c r="A688" i="10"/>
  <c r="A351" i="8"/>
  <c r="A287" i="7"/>
  <c r="A692" i="10"/>
  <c r="A353" i="8"/>
  <c r="A289" i="7"/>
  <c r="A696" i="10"/>
  <c r="A355" i="8"/>
  <c r="A291" i="7"/>
  <c r="A700" i="10"/>
  <c r="A357" i="8"/>
  <c r="A293" i="7"/>
  <c r="A704" i="10"/>
  <c r="A359" i="8"/>
  <c r="A295" i="7"/>
  <c r="A708" i="10"/>
  <c r="A361" i="8"/>
  <c r="A297" i="7"/>
  <c r="A712" i="10"/>
  <c r="A363" i="8"/>
  <c r="A299" i="7"/>
  <c r="A716" i="10"/>
  <c r="A365" i="8"/>
  <c r="A301" i="7"/>
  <c r="A720" i="10"/>
  <c r="A367" i="8"/>
  <c r="A303" i="7"/>
  <c r="A724" i="10"/>
  <c r="A369" i="8"/>
  <c r="A305" i="7"/>
  <c r="A728" i="10"/>
  <c r="A371" i="8"/>
  <c r="A307" i="7"/>
  <c r="A732" i="10"/>
  <c r="A373" i="8"/>
  <c r="A309" i="7"/>
  <c r="A736" i="10"/>
  <c r="A375" i="8"/>
  <c r="A311" i="7"/>
  <c r="A740" i="10"/>
  <c r="A377" i="8"/>
  <c r="A313" i="7"/>
  <c r="A744" i="10"/>
  <c r="A379" i="8"/>
  <c r="A315" i="7"/>
  <c r="A748" i="10"/>
  <c r="A381" i="8"/>
  <c r="A317" i="7"/>
  <c r="A752" i="10"/>
  <c r="A383" i="8"/>
  <c r="A319" i="7"/>
  <c r="A756" i="10"/>
  <c r="A385" i="8"/>
  <c r="A321" i="7"/>
  <c r="A760" i="10"/>
  <c r="A387" i="8"/>
  <c r="A323" i="7"/>
  <c r="A764" i="10"/>
  <c r="A389" i="8"/>
  <c r="A325" i="7"/>
  <c r="A768" i="10"/>
  <c r="A391" i="8"/>
  <c r="A327" i="7"/>
  <c r="A772" i="10"/>
  <c r="A393" i="8"/>
  <c r="A329" i="7"/>
  <c r="A776" i="10"/>
  <c r="A395" i="8"/>
  <c r="A331" i="7"/>
  <c r="A794" i="10"/>
  <c r="A397" i="8"/>
  <c r="A333" i="7"/>
  <c r="A798" i="10"/>
  <c r="A399" i="8"/>
  <c r="A335" i="7"/>
  <c r="A802" i="10"/>
  <c r="A401" i="8"/>
  <c r="A337" i="7"/>
  <c r="A806" i="10"/>
  <c r="A403" i="8"/>
  <c r="A339" i="7"/>
  <c r="A810" i="10"/>
  <c r="A405" i="8"/>
  <c r="A341" i="7"/>
  <c r="A814" i="10"/>
  <c r="A407" i="8"/>
  <c r="A343" i="7"/>
  <c r="A818" i="10"/>
  <c r="A409" i="8"/>
  <c r="A345" i="7"/>
  <c r="A822" i="10"/>
  <c r="A411" i="8"/>
  <c r="A347" i="7"/>
  <c r="A826" i="10"/>
  <c r="A413" i="8"/>
  <c r="A349" i="7"/>
  <c r="A830" i="10"/>
  <c r="A415" i="8"/>
  <c r="A351" i="7"/>
  <c r="A834" i="10"/>
  <c r="A417" i="8"/>
  <c r="A353" i="7"/>
  <c r="A838" i="10"/>
  <c r="A419" i="8"/>
  <c r="A355" i="7"/>
  <c r="A842" i="10"/>
  <c r="A421" i="8"/>
  <c r="A357" i="7"/>
  <c r="A846" i="10"/>
  <c r="A423" i="8"/>
  <c r="A359" i="7"/>
  <c r="A850" i="10"/>
  <c r="A425" i="8"/>
  <c r="A361" i="7"/>
  <c r="A854" i="10"/>
  <c r="A427" i="8"/>
  <c r="A363" i="7"/>
  <c r="A858" i="10"/>
  <c r="A429" i="8"/>
  <c r="A365" i="7"/>
  <c r="A862" i="10"/>
  <c r="A431" i="8"/>
  <c r="A367" i="7"/>
  <c r="A866" i="10"/>
  <c r="A433" i="8"/>
  <c r="A369" i="7"/>
  <c r="A870" i="10"/>
  <c r="A435" i="8"/>
  <c r="A371" i="7"/>
  <c r="A874" i="10"/>
  <c r="A437" i="8"/>
  <c r="A373" i="7"/>
  <c r="A878" i="10"/>
  <c r="A439" i="8"/>
  <c r="A375" i="7"/>
  <c r="A882" i="10"/>
  <c r="A441" i="8"/>
  <c r="A377" i="7"/>
  <c r="A900" i="10"/>
  <c r="A443" i="8"/>
  <c r="A379" i="7"/>
  <c r="A904" i="10"/>
  <c r="A445" i="8"/>
  <c r="A381" i="7"/>
  <c r="A908" i="10"/>
  <c r="A447" i="8"/>
  <c r="A383" i="7"/>
  <c r="A912" i="10"/>
  <c r="A449" i="8"/>
  <c r="A385" i="7"/>
  <c r="A916" i="10"/>
  <c r="A451" i="8"/>
  <c r="A387" i="7"/>
  <c r="A920" i="10"/>
  <c r="A453" i="8"/>
  <c r="A389" i="7"/>
  <c r="A924" i="10"/>
  <c r="A455" i="8"/>
  <c r="A391" i="7"/>
  <c r="A928" i="10"/>
  <c r="A457" i="8"/>
  <c r="A393" i="7"/>
  <c r="A932" i="10"/>
  <c r="A459" i="8"/>
  <c r="A395" i="7"/>
  <c r="A936" i="10"/>
  <c r="A461" i="8"/>
  <c r="A397" i="7"/>
  <c r="A940" i="10"/>
  <c r="A463" i="8"/>
  <c r="A399" i="7"/>
  <c r="A944" i="10"/>
  <c r="A465" i="8"/>
  <c r="A401" i="7"/>
  <c r="A948" i="10"/>
  <c r="A467" i="8"/>
  <c r="A403" i="7"/>
  <c r="A952" i="10"/>
  <c r="A469" i="8"/>
  <c r="A405" i="7"/>
  <c r="A956" i="10"/>
  <c r="A471" i="8"/>
  <c r="A407" i="7"/>
  <c r="A960" i="10"/>
  <c r="A473" i="8"/>
  <c r="A409" i="7"/>
  <c r="A964" i="10"/>
  <c r="A475" i="8"/>
  <c r="A411" i="7"/>
  <c r="A968" i="10"/>
  <c r="A477" i="8"/>
  <c r="A413" i="7"/>
  <c r="A972" i="10"/>
  <c r="A479" i="8"/>
  <c r="A415" i="7"/>
  <c r="A976" i="10"/>
  <c r="A481" i="8"/>
  <c r="A417" i="7"/>
  <c r="A980" i="10"/>
  <c r="A483" i="8"/>
  <c r="A419" i="7"/>
  <c r="A984" i="10"/>
  <c r="A485" i="8"/>
  <c r="A421" i="7"/>
  <c r="A988" i="10"/>
  <c r="A487" i="8"/>
  <c r="A423" i="7"/>
  <c r="A1006" i="10"/>
  <c r="A489" i="8"/>
  <c r="A425" i="7"/>
  <c r="A1010" i="10"/>
  <c r="A491" i="8"/>
  <c r="A427" i="7"/>
  <c r="A1014" i="10"/>
  <c r="A493" i="8"/>
  <c r="A429" i="7"/>
  <c r="A1018" i="10"/>
  <c r="A495" i="8"/>
  <c r="A431" i="7"/>
  <c r="A1022" i="10"/>
  <c r="A497" i="8"/>
  <c r="A433" i="7"/>
  <c r="A1026" i="10"/>
  <c r="A499" i="8"/>
  <c r="A435" i="7"/>
  <c r="A1030" i="10"/>
  <c r="A501" i="8"/>
  <c r="A437" i="7"/>
  <c r="A1034" i="10"/>
  <c r="A503" i="8"/>
  <c r="A439" i="7"/>
  <c r="A1052" i="10"/>
  <c r="A505" i="8"/>
  <c r="A441" i="7"/>
  <c r="A1056" i="10"/>
  <c r="A507" i="8"/>
  <c r="A443" i="7"/>
  <c r="A1074" i="10"/>
  <c r="A509" i="8"/>
  <c r="A445" i="7"/>
  <c r="A1078" i="10"/>
  <c r="A511" i="8"/>
  <c r="A447" i="7"/>
  <c r="A1082" i="10"/>
  <c r="A513" i="8"/>
  <c r="A449" i="7"/>
  <c r="A1086" i="10"/>
  <c r="A515" i="8"/>
  <c r="A451" i="7"/>
  <c r="A1090" i="10"/>
  <c r="A517" i="8"/>
  <c r="A453" i="7"/>
  <c r="A1094" i="10"/>
  <c r="A519" i="8"/>
  <c r="A455" i="7"/>
  <c r="A1098" i="10"/>
  <c r="A521" i="8"/>
  <c r="A457" i="7"/>
  <c r="A1102" i="10"/>
  <c r="A523" i="8"/>
  <c r="A459" i="7"/>
  <c r="A1106" i="10"/>
  <c r="A525" i="8"/>
  <c r="A461" i="7"/>
  <c r="A1110" i="10"/>
  <c r="A527" i="8"/>
  <c r="A463" i="7"/>
  <c r="A1114" i="10"/>
  <c r="A529" i="8"/>
  <c r="A465" i="7"/>
  <c r="A1118" i="10"/>
  <c r="A531" i="8"/>
  <c r="A467" i="7"/>
  <c r="A1122" i="10"/>
  <c r="A533" i="8"/>
  <c r="A469" i="7"/>
  <c r="A1126" i="10"/>
  <c r="A535" i="8"/>
  <c r="A471" i="7"/>
  <c r="A1130" i="10"/>
  <c r="A537" i="8"/>
  <c r="A473" i="7"/>
  <c r="A1134" i="10"/>
  <c r="A539" i="8"/>
  <c r="A475" i="7"/>
  <c r="A1138" i="10"/>
  <c r="A541" i="8"/>
  <c r="A477" i="7"/>
  <c r="A1142" i="10"/>
  <c r="A543" i="8"/>
  <c r="A479" i="7"/>
  <c r="A1146" i="10"/>
  <c r="A545" i="8"/>
  <c r="A481" i="7"/>
  <c r="A1152" i="10"/>
  <c r="A547" i="8"/>
  <c r="A483" i="7"/>
  <c r="A1156" i="10"/>
  <c r="A549" i="8"/>
  <c r="A551"/>
  <c r="A553"/>
  <c r="A555"/>
  <c r="A557"/>
  <c r="A559"/>
  <c r="J331"/>
  <c r="J333"/>
  <c r="J335"/>
  <c r="J337"/>
  <c r="J551"/>
  <c r="J553"/>
  <c r="J555"/>
  <c r="J557"/>
  <c r="J559"/>
  <c r="N226"/>
  <c r="P226"/>
  <c r="N228"/>
  <c r="P228"/>
  <c r="N230"/>
  <c r="P230"/>
  <c r="N232"/>
  <c r="P232"/>
  <c r="N234"/>
  <c r="P234"/>
  <c r="P236"/>
  <c r="P238"/>
  <c r="P240"/>
  <c r="N242"/>
  <c r="P242"/>
  <c r="P244"/>
  <c r="N246"/>
  <c r="P246"/>
  <c r="N248"/>
  <c r="P248"/>
  <c r="N250"/>
  <c r="P250"/>
  <c r="N252"/>
  <c r="P252"/>
  <c r="N254"/>
  <c r="P254"/>
  <c r="N256"/>
  <c r="P256"/>
  <c r="N258"/>
  <c r="P258"/>
  <c r="P260"/>
  <c r="N262"/>
  <c r="P262"/>
  <c r="N264"/>
  <c r="P264"/>
  <c r="P266"/>
  <c r="N268"/>
  <c r="P268"/>
  <c r="N270"/>
  <c r="P270"/>
  <c r="N272"/>
  <c r="P272"/>
  <c r="N274"/>
  <c r="P274"/>
  <c r="N276"/>
  <c r="P276"/>
  <c r="N278"/>
  <c r="P278"/>
  <c r="N280"/>
  <c r="P280"/>
  <c r="C15" i="6"/>
  <c r="E15"/>
  <c r="N284" i="8"/>
  <c r="P284"/>
  <c r="N286"/>
  <c r="P286"/>
  <c r="C16" i="6"/>
  <c r="E16"/>
  <c r="N288" i="8"/>
  <c r="P288"/>
  <c r="N290"/>
  <c r="P290"/>
  <c r="N292"/>
  <c r="P292"/>
  <c r="N294"/>
  <c r="P294"/>
  <c r="N296"/>
  <c r="P296"/>
  <c r="N298"/>
  <c r="P298"/>
  <c r="N300"/>
  <c r="P300"/>
  <c r="N302"/>
  <c r="P302"/>
  <c r="N304"/>
  <c r="P304"/>
  <c r="N306"/>
  <c r="P306"/>
  <c r="N308"/>
  <c r="P308"/>
  <c r="N310"/>
  <c r="P310"/>
  <c r="N312"/>
  <c r="P312"/>
  <c r="N314"/>
  <c r="P314"/>
  <c r="N316"/>
  <c r="P316"/>
  <c r="N318"/>
  <c r="P318"/>
  <c r="N320"/>
  <c r="P320"/>
  <c r="N322"/>
  <c r="P322"/>
  <c r="N324"/>
  <c r="P324"/>
  <c r="B20" i="6"/>
  <c r="D20"/>
  <c r="F20"/>
  <c r="N342" i="8"/>
  <c r="P342"/>
  <c r="N344"/>
  <c r="P344"/>
  <c r="N346"/>
  <c r="P346"/>
  <c r="N348"/>
  <c r="P348"/>
  <c r="N350"/>
  <c r="P350"/>
  <c r="N352"/>
  <c r="P352"/>
  <c r="P354"/>
  <c r="B21" i="6"/>
  <c r="J57" i="8"/>
  <c r="J59"/>
  <c r="J64"/>
  <c r="A99"/>
  <c r="J99"/>
  <c r="A101"/>
  <c r="J101"/>
  <c r="A103"/>
  <c r="J103"/>
  <c r="A105"/>
  <c r="J105"/>
  <c r="A107"/>
  <c r="A109"/>
  <c r="A111"/>
  <c r="A113"/>
  <c r="A115"/>
  <c r="A117"/>
  <c r="A119"/>
  <c r="A121"/>
  <c r="A123"/>
  <c r="A125"/>
  <c r="A127"/>
  <c r="A129"/>
  <c r="A131"/>
  <c r="A133"/>
  <c r="A135"/>
  <c r="A137"/>
  <c r="A139"/>
  <c r="A141"/>
  <c r="A143"/>
  <c r="A145"/>
  <c r="A147"/>
  <c r="A149"/>
  <c r="A151"/>
  <c r="A153"/>
  <c r="A155"/>
  <c r="A157"/>
  <c r="A159"/>
  <c r="A161"/>
  <c r="A163"/>
  <c r="A165"/>
  <c r="A167"/>
  <c r="A169"/>
  <c r="A171"/>
  <c r="A173"/>
  <c r="A175"/>
  <c r="A177"/>
  <c r="A179"/>
  <c r="A181"/>
  <c r="A183"/>
  <c r="A185"/>
  <c r="A187"/>
  <c r="A189"/>
  <c r="A191"/>
  <c r="A193"/>
  <c r="A195"/>
  <c r="A197"/>
  <c r="A199"/>
  <c r="A201"/>
  <c r="A203"/>
  <c r="A205"/>
  <c r="A207"/>
  <c r="A211"/>
  <c r="A215"/>
  <c r="A59" i="7"/>
  <c r="A154" i="10"/>
  <c r="A61" i="7"/>
  <c r="A163" i="10"/>
  <c r="A63" i="7"/>
  <c r="A177" i="10"/>
  <c r="A65" i="7"/>
  <c r="A181" i="10"/>
  <c r="A67" i="7"/>
  <c r="A185" i="10"/>
  <c r="A69" i="7"/>
  <c r="A189" i="10"/>
  <c r="A71" i="7"/>
  <c r="A193" i="10"/>
  <c r="A73" i="7"/>
  <c r="A197" i="10"/>
  <c r="A75" i="7"/>
  <c r="A201" i="10"/>
  <c r="A77" i="7"/>
  <c r="A205" i="10"/>
  <c r="A79" i="7"/>
  <c r="A209" i="10"/>
  <c r="A81" i="7"/>
  <c r="A213" i="10"/>
  <c r="A83" i="7"/>
  <c r="A217" i="10"/>
  <c r="A85" i="7"/>
  <c r="A221" i="10"/>
  <c r="A87" i="7"/>
  <c r="A225" i="10"/>
  <c r="A89" i="7"/>
  <c r="A229" i="10"/>
  <c r="A91" i="7"/>
  <c r="A233" i="10"/>
  <c r="A93" i="7"/>
  <c r="A237" i="10"/>
  <c r="A95" i="7"/>
  <c r="A241" i="10"/>
  <c r="A97" i="7"/>
  <c r="A245" i="10"/>
  <c r="A99" i="7"/>
  <c r="A249" i="10"/>
  <c r="A101" i="7"/>
  <c r="A253" i="10"/>
  <c r="A103" i="7"/>
  <c r="A257" i="10"/>
  <c r="A105" i="7"/>
  <c r="A261" i="10"/>
  <c r="A107" i="7"/>
  <c r="A265" i="10"/>
  <c r="A109" i="7"/>
  <c r="A269" i="10"/>
  <c r="A111" i="7"/>
  <c r="A273" i="10"/>
  <c r="A113" i="7"/>
  <c r="A277" i="10"/>
  <c r="A115" i="7"/>
  <c r="A281" i="10"/>
  <c r="A117" i="7"/>
  <c r="A285" i="10"/>
  <c r="A119" i="7"/>
  <c r="A299" i="10"/>
  <c r="A121" i="7"/>
  <c r="A303" i="10"/>
  <c r="A123" i="7"/>
  <c r="A307" i="10"/>
  <c r="A125" i="7"/>
  <c r="A311" i="10"/>
  <c r="A127" i="7"/>
  <c r="A315" i="10"/>
  <c r="A129" i="7"/>
  <c r="A319" i="10"/>
  <c r="A131" i="7"/>
  <c r="A323" i="10"/>
  <c r="A133" i="7"/>
  <c r="A327" i="10"/>
  <c r="A135" i="7"/>
  <c r="A331" i="10"/>
  <c r="A137" i="7"/>
  <c r="A335" i="10"/>
  <c r="A139" i="7"/>
  <c r="A339" i="10"/>
  <c r="A141" i="7"/>
  <c r="A343" i="10"/>
  <c r="A143" i="7"/>
  <c r="A347" i="10"/>
  <c r="A145" i="7"/>
  <c r="A351" i="10"/>
  <c r="A147" i="7"/>
  <c r="A355" i="10"/>
  <c r="A149" i="7"/>
  <c r="A359" i="10"/>
  <c r="A151" i="7"/>
  <c r="A363" i="10"/>
  <c r="A208" i="8"/>
  <c r="A153" i="7"/>
  <c r="A367" i="10"/>
  <c r="A210" i="8"/>
  <c r="A155" i="7"/>
  <c r="A371" i="10"/>
  <c r="A212" i="8"/>
  <c r="A157" i="7"/>
  <c r="A375" i="10"/>
  <c r="A214" i="8"/>
  <c r="A159" i="7"/>
  <c r="A379" i="10"/>
  <c r="A216" i="8"/>
  <c r="A161" i="7"/>
  <c r="A383" i="10"/>
  <c r="A218" i="8"/>
  <c r="A163" i="7"/>
  <c r="A387" i="10"/>
  <c r="A220" i="8"/>
  <c r="A165" i="7"/>
  <c r="A401" i="10"/>
  <c r="A222" i="8"/>
  <c r="A167" i="7"/>
  <c r="A405" i="10"/>
  <c r="A224" i="8"/>
  <c r="A169" i="7"/>
  <c r="A409" i="10"/>
  <c r="A226" i="8"/>
  <c r="A171" i="7"/>
  <c r="A413" i="10"/>
  <c r="A228" i="8"/>
  <c r="A173" i="7"/>
  <c r="A417" i="10"/>
  <c r="A230" i="8"/>
  <c r="A175" i="7"/>
  <c r="A421" i="10"/>
  <c r="A232" i="8"/>
  <c r="A177" i="7"/>
  <c r="A425" i="10"/>
  <c r="A234" i="8"/>
  <c r="A179" i="7"/>
  <c r="A429" i="10"/>
  <c r="A236" i="8"/>
  <c r="A181" i="7"/>
  <c r="A433" i="10"/>
  <c r="A238" i="8"/>
  <c r="A183" i="7"/>
  <c r="A437" i="10"/>
  <c r="A240" i="8"/>
  <c r="A185" i="7"/>
  <c r="A441" i="10"/>
  <c r="A242" i="8"/>
  <c r="A187" i="7"/>
  <c r="A445" i="10"/>
  <c r="A244" i="8"/>
  <c r="A189" i="7"/>
  <c r="A449" i="10"/>
  <c r="A246" i="8"/>
  <c r="A191" i="7"/>
  <c r="A453" i="10"/>
  <c r="A248" i="8"/>
  <c r="A193" i="7"/>
  <c r="A457" i="10"/>
  <c r="A250" i="8"/>
  <c r="A195" i="7"/>
  <c r="A461" i="10"/>
  <c r="A252" i="8"/>
  <c r="A197" i="7"/>
  <c r="A465" i="10"/>
  <c r="A254" i="8"/>
  <c r="A199" i="7"/>
  <c r="A469" i="10"/>
  <c r="A256" i="8"/>
  <c r="A201" i="7"/>
  <c r="A473" i="10"/>
  <c r="A258" i="8"/>
  <c r="A203" i="7"/>
  <c r="A477" i="10"/>
  <c r="A260" i="8"/>
  <c r="A205" i="7"/>
  <c r="A481" i="10"/>
  <c r="A262" i="8"/>
  <c r="A207" i="7"/>
  <c r="A485" i="10"/>
  <c r="A264" i="8"/>
  <c r="A209" i="7"/>
  <c r="A489" i="10"/>
  <c r="A266" i="8"/>
  <c r="A211" i="7"/>
  <c r="A503" i="10"/>
  <c r="A268" i="8"/>
  <c r="A213" i="7"/>
  <c r="A507" i="10"/>
  <c r="A270" i="8"/>
  <c r="A215" i="7"/>
  <c r="A511" i="10"/>
  <c r="A272" i="8"/>
  <c r="A217" i="7"/>
  <c r="A515" i="10"/>
  <c r="A274" i="8"/>
  <c r="A219" i="7"/>
  <c r="A519" i="10"/>
  <c r="A276" i="8"/>
  <c r="A221" i="7"/>
  <c r="A523" i="10"/>
  <c r="A278" i="8"/>
  <c r="A223" i="7"/>
  <c r="A527" i="10"/>
  <c r="A280" i="8"/>
  <c r="A225" i="7"/>
  <c r="A531" i="10"/>
  <c r="A282" i="8"/>
  <c r="A227" i="7"/>
  <c r="A545" i="10"/>
  <c r="A284" i="8"/>
  <c r="A229" i="7"/>
  <c r="A549" i="10"/>
  <c r="A286" i="8"/>
  <c r="A231" i="7"/>
  <c r="A563" i="10"/>
  <c r="A288" i="8"/>
  <c r="A233" i="7"/>
  <c r="A567" i="10"/>
  <c r="A290" i="8"/>
  <c r="A235" i="7"/>
  <c r="A571" i="10"/>
  <c r="A292" i="8"/>
  <c r="A237" i="7"/>
  <c r="A575" i="10"/>
  <c r="A294" i="8"/>
  <c r="A239" i="7"/>
  <c r="A579" i="10"/>
  <c r="A296" i="8"/>
  <c r="A241" i="7"/>
  <c r="A583" i="10"/>
  <c r="A298" i="8"/>
  <c r="A243" i="7"/>
  <c r="A587" i="10"/>
  <c r="A300" i="8"/>
  <c r="A245" i="7"/>
  <c r="A591" i="10"/>
  <c r="A302" i="8"/>
  <c r="A247" i="7"/>
  <c r="A595" i="10"/>
  <c r="A304" i="8"/>
  <c r="A249" i="7"/>
  <c r="A599" i="10"/>
  <c r="A306" i="8"/>
  <c r="A251" i="7"/>
  <c r="A603" i="10"/>
  <c r="A308" i="8"/>
  <c r="A253" i="7"/>
  <c r="A607" i="10"/>
  <c r="A310" i="8"/>
  <c r="A255" i="7"/>
  <c r="A611" i="10"/>
  <c r="A312" i="8"/>
  <c r="A257" i="7"/>
  <c r="A615" i="10"/>
  <c r="A314" i="8"/>
  <c r="A259" i="7"/>
  <c r="A619" i="10"/>
  <c r="A316" i="8"/>
  <c r="A261" i="7"/>
  <c r="A623" i="10"/>
  <c r="A318" i="8"/>
  <c r="A263" i="7"/>
  <c r="A627" i="10"/>
  <c r="A320" i="8"/>
  <c r="A265" i="7"/>
  <c r="A631" i="10"/>
  <c r="A322" i="8"/>
  <c r="A267" i="7"/>
  <c r="A635" i="10"/>
  <c r="A324" i="8"/>
  <c r="A269" i="7"/>
  <c r="A639" i="10"/>
  <c r="A326" i="8"/>
  <c r="A271" i="7"/>
  <c r="A643" i="10"/>
  <c r="A328" i="8"/>
  <c r="A330"/>
  <c r="A332"/>
  <c r="A334"/>
  <c r="A336"/>
  <c r="A338"/>
  <c r="A274" i="7"/>
  <c r="A654" i="10"/>
  <c r="A340" i="8"/>
  <c r="A276" i="7"/>
  <c r="A670" i="10"/>
  <c r="A342" i="8"/>
  <c r="A278" i="7"/>
  <c r="A674" i="10"/>
  <c r="A344" i="8"/>
  <c r="A280" i="7"/>
  <c r="A678" i="10"/>
  <c r="A346" i="8"/>
  <c r="A282" i="7"/>
  <c r="A682" i="10"/>
  <c r="A348" i="8"/>
  <c r="A284" i="7"/>
  <c r="A686" i="10"/>
  <c r="A350" i="8"/>
  <c r="A286" i="7"/>
  <c r="A690" i="10"/>
  <c r="A352" i="8"/>
  <c r="A288" i="7"/>
  <c r="A694" i="10"/>
  <c r="A354" i="8"/>
  <c r="A290" i="7"/>
  <c r="A698" i="10"/>
  <c r="A356" i="8"/>
  <c r="A292" i="7"/>
  <c r="A702" i="10"/>
  <c r="A358" i="8"/>
  <c r="A294" i="7"/>
  <c r="A706" i="10"/>
  <c r="A360" i="8"/>
  <c r="A296" i="7"/>
  <c r="A710" i="10"/>
  <c r="A362" i="8"/>
  <c r="A298" i="7"/>
  <c r="A714" i="10"/>
  <c r="A364" i="8"/>
  <c r="A300" i="7"/>
  <c r="A718" i="10"/>
  <c r="A366" i="8"/>
  <c r="A302" i="7"/>
  <c r="A722" i="10"/>
  <c r="A368" i="8"/>
  <c r="A304" i="7"/>
  <c r="A726" i="10"/>
  <c r="A370" i="8"/>
  <c r="A306" i="7"/>
  <c r="A730" i="10"/>
  <c r="A372" i="8"/>
  <c r="A308" i="7"/>
  <c r="A734" i="10"/>
  <c r="A374" i="8"/>
  <c r="A310" i="7"/>
  <c r="A738" i="10"/>
  <c r="A376" i="8"/>
  <c r="A312" i="7"/>
  <c r="A742" i="10"/>
  <c r="A378" i="8"/>
  <c r="A314" i="7"/>
  <c r="A746" i="10"/>
  <c r="A380" i="8"/>
  <c r="A316" i="7"/>
  <c r="A750" i="10"/>
  <c r="A382" i="8"/>
  <c r="A318" i="7"/>
  <c r="A754" i="10"/>
  <c r="A384" i="8"/>
  <c r="A320" i="7"/>
  <c r="A758" i="10"/>
  <c r="A386" i="8"/>
  <c r="A322" i="7"/>
  <c r="A762" i="10"/>
  <c r="A388" i="8"/>
  <c r="A324" i="7"/>
  <c r="A766" i="10"/>
  <c r="A390" i="8"/>
  <c r="A326" i="7"/>
  <c r="A770" i="10"/>
  <c r="A392" i="8"/>
  <c r="A328" i="7"/>
  <c r="A774" i="10"/>
  <c r="A394" i="8"/>
  <c r="A330" i="7"/>
  <c r="A778" i="10"/>
  <c r="A396" i="8"/>
  <c r="A332" i="7"/>
  <c r="A796" i="10"/>
  <c r="A398" i="8"/>
  <c r="A334" i="7"/>
  <c r="A800" i="10"/>
  <c r="A400" i="8"/>
  <c r="A336" i="7"/>
  <c r="A804" i="10"/>
  <c r="A402" i="8"/>
  <c r="A338" i="7"/>
  <c r="A808" i="10"/>
  <c r="A404" i="8"/>
  <c r="A340" i="7"/>
  <c r="A812" i="10"/>
  <c r="A406" i="8"/>
  <c r="A342" i="7"/>
  <c r="A816" i="10"/>
  <c r="A408" i="8"/>
  <c r="A344" i="7"/>
  <c r="A820" i="10"/>
  <c r="A410" i="8"/>
  <c r="A346" i="7"/>
  <c r="A824" i="10"/>
  <c r="A412" i="8"/>
  <c r="A348" i="7"/>
  <c r="A828" i="10"/>
  <c r="A414" i="8"/>
  <c r="A350" i="7"/>
  <c r="A832" i="10"/>
  <c r="A416" i="8"/>
  <c r="A352" i="7"/>
  <c r="A836" i="10"/>
  <c r="A418" i="8"/>
  <c r="A354" i="7"/>
  <c r="A840" i="10"/>
  <c r="A420" i="8"/>
  <c r="A356" i="7"/>
  <c r="A844" i="10"/>
  <c r="A422" i="8"/>
  <c r="A358" i="7"/>
  <c r="A848" i="10"/>
  <c r="A424" i="8"/>
  <c r="A360" i="7"/>
  <c r="A852" i="10"/>
  <c r="A426" i="8"/>
  <c r="A362" i="7"/>
  <c r="A856" i="10"/>
  <c r="A428" i="8"/>
  <c r="A364" i="7"/>
  <c r="A860" i="10"/>
  <c r="A430" i="8"/>
  <c r="A366" i="7"/>
  <c r="A864" i="10"/>
  <c r="A432" i="8"/>
  <c r="A368" i="7"/>
  <c r="A868" i="10"/>
  <c r="A434" i="8"/>
  <c r="A370" i="7"/>
  <c r="A872" i="10"/>
  <c r="A436" i="8"/>
  <c r="A372" i="7"/>
  <c r="A876" i="10"/>
  <c r="A438" i="8"/>
  <c r="A374" i="7"/>
  <c r="A880" i="10"/>
  <c r="A440" i="8"/>
  <c r="A376" i="7"/>
  <c r="A884" i="10"/>
  <c r="A442" i="8"/>
  <c r="A378" i="7"/>
  <c r="A902" i="10"/>
  <c r="A444" i="8"/>
  <c r="A380" i="7"/>
  <c r="A906" i="10"/>
  <c r="A446" i="8"/>
  <c r="A382" i="7"/>
  <c r="A910" i="10"/>
  <c r="A448" i="8"/>
  <c r="A384" i="7"/>
  <c r="A914" i="10"/>
  <c r="A450" i="8"/>
  <c r="A386" i="7"/>
  <c r="A918" i="10"/>
  <c r="A452" i="8"/>
  <c r="A388" i="7"/>
  <c r="A922" i="10"/>
  <c r="A454" i="8"/>
  <c r="A390" i="7"/>
  <c r="A926" i="10"/>
  <c r="A456" i="8"/>
  <c r="A392" i="7"/>
  <c r="A930" i="10"/>
  <c r="A458" i="8"/>
  <c r="A394" i="7"/>
  <c r="A934" i="10"/>
  <c r="A460" i="8"/>
  <c r="A396" i="7"/>
  <c r="A938" i="10"/>
  <c r="A462" i="8"/>
  <c r="A398" i="7"/>
  <c r="A942" i="10"/>
  <c r="A464" i="8"/>
  <c r="A400" i="7"/>
  <c r="A946" i="10"/>
  <c r="A466" i="8"/>
  <c r="A402" i="7"/>
  <c r="A950" i="10"/>
  <c r="A468" i="8"/>
  <c r="A404" i="7"/>
  <c r="A954" i="10"/>
  <c r="A470" i="8"/>
  <c r="A406" i="7"/>
  <c r="A958" i="10"/>
  <c r="A472" i="8"/>
  <c r="A408" i="7"/>
  <c r="A962" i="10"/>
  <c r="A474" i="8"/>
  <c r="A410" i="7"/>
  <c r="A966" i="10"/>
  <c r="A476" i="8"/>
  <c r="A412" i="7"/>
  <c r="A970" i="10"/>
  <c r="A478" i="8"/>
  <c r="A414" i="7"/>
  <c r="A974" i="10"/>
  <c r="A480" i="8"/>
  <c r="A416" i="7"/>
  <c r="A978" i="10"/>
  <c r="A482" i="8"/>
  <c r="A418" i="7"/>
  <c r="A982" i="10"/>
  <c r="A484" i="8"/>
  <c r="A420" i="7"/>
  <c r="A986" i="10"/>
  <c r="A486" i="8"/>
  <c r="A422" i="7"/>
  <c r="A990" i="10"/>
  <c r="A488" i="8"/>
  <c r="A424" i="7"/>
  <c r="A1008" i="10"/>
  <c r="A490" i="8"/>
  <c r="A426" i="7"/>
  <c r="A1012" i="10"/>
  <c r="A492" i="8"/>
  <c r="A428" i="7"/>
  <c r="A1016" i="10"/>
  <c r="A494" i="8"/>
  <c r="A430" i="7"/>
  <c r="A1020" i="10"/>
  <c r="A496" i="8"/>
  <c r="A432" i="7"/>
  <c r="A1024" i="10"/>
  <c r="A498" i="8"/>
  <c r="A434" i="7"/>
  <c r="A1028" i="10"/>
  <c r="A500" i="8"/>
  <c r="A436" i="7"/>
  <c r="A1032" i="10"/>
  <c r="A502" i="8"/>
  <c r="A438" i="7"/>
  <c r="A1036" i="10"/>
  <c r="A504" i="8"/>
  <c r="A440" i="7"/>
  <c r="A1054" i="10"/>
  <c r="A506" i="8"/>
  <c r="A442" i="7"/>
  <c r="A1058" i="10"/>
  <c r="A508" i="8"/>
  <c r="A444" i="7"/>
  <c r="A1076" i="10"/>
  <c r="A510" i="8"/>
  <c r="A446" i="7"/>
  <c r="A1080" i="10"/>
  <c r="A512" i="8"/>
  <c r="A448" i="7"/>
  <c r="A1084" i="10"/>
  <c r="A514" i="8"/>
  <c r="A450" i="7"/>
  <c r="A1088" i="10"/>
  <c r="A516" i="8"/>
  <c r="A452" i="7"/>
  <c r="A1092" i="10"/>
  <c r="A518" i="8"/>
  <c r="A454" i="7"/>
  <c r="A1096" i="10"/>
  <c r="A520" i="8"/>
  <c r="A456" i="7"/>
  <c r="A1100" i="10"/>
  <c r="A522" i="8"/>
  <c r="A458" i="7"/>
  <c r="A1104" i="10"/>
  <c r="A524" i="8"/>
  <c r="A460" i="7"/>
  <c r="A1108" i="10"/>
  <c r="A526" i="8"/>
  <c r="A462" i="7"/>
  <c r="A1112" i="10"/>
  <c r="A528" i="8"/>
  <c r="A464" i="7"/>
  <c r="A1116" i="10"/>
  <c r="A530" i="8"/>
  <c r="A466" i="7"/>
  <c r="A1120" i="10"/>
  <c r="A532" i="8"/>
  <c r="A468" i="7"/>
  <c r="A1124" i="10"/>
  <c r="A534" i="8"/>
  <c r="A470" i="7"/>
  <c r="A1128" i="10"/>
  <c r="A536" i="8"/>
  <c r="A472" i="7"/>
  <c r="A1132" i="10"/>
  <c r="A538" i="8"/>
  <c r="A474" i="7"/>
  <c r="A1136" i="10"/>
  <c r="A540" i="8"/>
  <c r="A476" i="7"/>
  <c r="A1140" i="10"/>
  <c r="A542" i="8"/>
  <c r="A478" i="7"/>
  <c r="A1144" i="10"/>
  <c r="A544" i="8"/>
  <c r="A480" i="7"/>
  <c r="A1148" i="10"/>
  <c r="A546" i="8"/>
  <c r="A482" i="7"/>
  <c r="A1154" i="10"/>
  <c r="A548" i="8"/>
  <c r="A484" i="7"/>
  <c r="A1158" i="10"/>
  <c r="A550" i="8"/>
  <c r="A552"/>
  <c r="A554"/>
  <c r="A556"/>
  <c r="A558"/>
  <c r="J33" i="7"/>
  <c r="J330" i="8"/>
  <c r="J332"/>
  <c r="J334"/>
  <c r="J336"/>
  <c r="J338"/>
  <c r="J552"/>
  <c r="J554"/>
  <c r="J556"/>
  <c r="J558"/>
  <c r="J45"/>
  <c r="J66"/>
  <c r="J68"/>
  <c r="J70"/>
  <c r="J72"/>
  <c r="J73"/>
  <c r="J74"/>
  <c r="J75"/>
  <c r="J76"/>
  <c r="J77"/>
  <c r="J78"/>
  <c r="J79"/>
  <c r="J80"/>
  <c r="A97"/>
  <c r="J98"/>
  <c r="A120"/>
  <c r="A122"/>
  <c r="A124"/>
  <c r="A126"/>
  <c r="A128"/>
  <c r="A130"/>
  <c r="A132"/>
  <c r="A134"/>
  <c r="A136"/>
  <c r="A138"/>
  <c r="A140"/>
  <c r="A142"/>
  <c r="A144"/>
  <c r="A146"/>
  <c r="A148"/>
  <c r="A150"/>
  <c r="A152"/>
  <c r="A154"/>
  <c r="A156"/>
  <c r="A158"/>
  <c r="A160"/>
  <c r="A162"/>
  <c r="A164"/>
  <c r="A166"/>
  <c r="A168"/>
  <c r="A170"/>
  <c r="A172"/>
  <c r="A174"/>
  <c r="A176"/>
  <c r="A178"/>
  <c r="A180"/>
  <c r="A182"/>
  <c r="A184"/>
  <c r="A186"/>
  <c r="A188"/>
  <c r="A190"/>
  <c r="A192"/>
  <c r="A194"/>
  <c r="A196"/>
  <c r="A198"/>
  <c r="A200"/>
  <c r="A202"/>
  <c r="A204"/>
  <c r="A206"/>
  <c r="A209"/>
  <c r="A213"/>
  <c r="R13" i="1"/>
  <c r="R13" i="10" s="1"/>
  <c r="T13" i="1"/>
  <c r="T13" i="10" s="1"/>
  <c r="S13" i="1"/>
  <c r="S13" i="10" s="1"/>
  <c r="U13" i="1"/>
  <c r="U13" i="10" s="1"/>
  <c r="M484" i="8"/>
  <c r="O484"/>
  <c r="Q484"/>
  <c r="S484"/>
  <c r="U484"/>
  <c r="M485"/>
  <c r="O485"/>
  <c r="Q485"/>
  <c r="S485"/>
  <c r="U485"/>
  <c r="S486"/>
  <c r="U486"/>
  <c r="S487"/>
  <c r="U487"/>
  <c r="S489"/>
  <c r="U489"/>
  <c r="S490"/>
  <c r="U490"/>
  <c r="S491"/>
  <c r="U491"/>
  <c r="S492"/>
  <c r="U492"/>
  <c r="M493"/>
  <c r="O493"/>
  <c r="Q493"/>
  <c r="S493"/>
  <c r="U493"/>
  <c r="M494"/>
  <c r="O494"/>
  <c r="Q494"/>
  <c r="S494"/>
  <c r="U494"/>
  <c r="M495"/>
  <c r="O495"/>
  <c r="Q495"/>
  <c r="S495"/>
  <c r="U495"/>
  <c r="M496"/>
  <c r="O496"/>
  <c r="Q496"/>
  <c r="S496"/>
  <c r="U496"/>
  <c r="M497"/>
  <c r="O497"/>
  <c r="Q497"/>
  <c r="S497"/>
  <c r="U497"/>
  <c r="M498"/>
  <c r="O498"/>
  <c r="Q498"/>
  <c r="S498"/>
  <c r="U498"/>
  <c r="S499"/>
  <c r="U499"/>
  <c r="S500"/>
  <c r="U500"/>
  <c r="S501"/>
  <c r="U501"/>
  <c r="S502"/>
  <c r="U502"/>
  <c r="S503"/>
  <c r="U503"/>
  <c r="R4"/>
  <c r="T4"/>
  <c r="N5"/>
  <c r="P5"/>
  <c r="R5"/>
  <c r="T5"/>
  <c r="N6"/>
  <c r="P6"/>
  <c r="R6"/>
  <c r="T6"/>
  <c r="M7"/>
  <c r="O7"/>
  <c r="Q7"/>
  <c r="S7"/>
  <c r="U7"/>
  <c r="M9"/>
  <c r="O9"/>
  <c r="Q9"/>
  <c r="S9"/>
  <c r="U9"/>
  <c r="M10"/>
  <c r="O10"/>
  <c r="Q10"/>
  <c r="S10"/>
  <c r="U10"/>
  <c r="M11"/>
  <c r="O11"/>
  <c r="Q11"/>
  <c r="S11"/>
  <c r="U11"/>
  <c r="M12"/>
  <c r="O12"/>
  <c r="Q12"/>
  <c r="S12"/>
  <c r="U12"/>
  <c r="M13"/>
  <c r="O13"/>
  <c r="Q13"/>
  <c r="S13"/>
  <c r="U13"/>
  <c r="M14"/>
  <c r="O14"/>
  <c r="Q14"/>
  <c r="S14"/>
  <c r="U14"/>
  <c r="M15"/>
  <c r="O15"/>
  <c r="Q15"/>
  <c r="S15"/>
  <c r="U15"/>
  <c r="R23"/>
  <c r="T23"/>
  <c r="S25"/>
  <c r="U25"/>
  <c r="S26"/>
  <c r="U26"/>
  <c r="S27"/>
  <c r="U27"/>
  <c r="S28"/>
  <c r="U28"/>
  <c r="S42"/>
  <c r="U42"/>
  <c r="R43"/>
  <c r="T43"/>
  <c r="S44"/>
  <c r="U44"/>
  <c r="S54"/>
  <c r="U54"/>
  <c r="R58"/>
  <c r="S59"/>
  <c r="U59"/>
  <c r="S60"/>
  <c r="U60"/>
  <c r="S61"/>
  <c r="U61"/>
  <c r="S62"/>
  <c r="U62"/>
  <c r="R81"/>
  <c r="T81"/>
  <c r="N355"/>
  <c r="P355"/>
  <c r="N356"/>
  <c r="P356"/>
  <c r="N357"/>
  <c r="P357"/>
  <c r="N358"/>
  <c r="P358"/>
  <c r="N359"/>
  <c r="P359"/>
  <c r="N360"/>
  <c r="P360"/>
  <c r="N361"/>
  <c r="P361"/>
  <c r="N362"/>
  <c r="P362"/>
  <c r="N363"/>
  <c r="P363"/>
  <c r="N364"/>
  <c r="P364"/>
  <c r="N365"/>
  <c r="P365"/>
  <c r="N366"/>
  <c r="P366"/>
  <c r="N367"/>
  <c r="P367"/>
  <c r="N368"/>
  <c r="P368"/>
  <c r="N369"/>
  <c r="P369"/>
  <c r="N370"/>
  <c r="P370"/>
  <c r="N371"/>
  <c r="P371"/>
  <c r="N372"/>
  <c r="P372"/>
  <c r="N373"/>
  <c r="P373"/>
  <c r="N374"/>
  <c r="P374"/>
  <c r="N375"/>
  <c r="P375"/>
  <c r="N376"/>
  <c r="P376"/>
  <c r="N377"/>
  <c r="P377"/>
  <c r="N378"/>
  <c r="P378"/>
  <c r="N379"/>
  <c r="P379"/>
  <c r="N380"/>
  <c r="P380"/>
  <c r="N381"/>
  <c r="P381"/>
  <c r="N382"/>
  <c r="P382"/>
  <c r="N383"/>
  <c r="P383"/>
  <c r="N384"/>
  <c r="P384"/>
  <c r="N385"/>
  <c r="P385"/>
  <c r="N386"/>
  <c r="P386"/>
  <c r="N387"/>
  <c r="P387"/>
  <c r="N388"/>
  <c r="P388"/>
  <c r="N389"/>
  <c r="P389"/>
  <c r="N390"/>
  <c r="P390"/>
  <c r="N391"/>
  <c r="P391"/>
  <c r="N392"/>
  <c r="P392"/>
  <c r="N393"/>
  <c r="P393"/>
  <c r="N394"/>
  <c r="P394"/>
  <c r="N395"/>
  <c r="P395"/>
  <c r="N397"/>
  <c r="P397"/>
  <c r="N398"/>
  <c r="P398"/>
  <c r="N399"/>
  <c r="P399"/>
  <c r="N400"/>
  <c r="P400"/>
  <c r="N401"/>
  <c r="P401"/>
  <c r="N402"/>
  <c r="P402"/>
  <c r="N403"/>
  <c r="P403"/>
  <c r="N404"/>
  <c r="P404"/>
  <c r="N405"/>
  <c r="P405"/>
  <c r="N406"/>
  <c r="P406"/>
  <c r="N407"/>
  <c r="P407"/>
  <c r="N408"/>
  <c r="P408"/>
  <c r="N409"/>
  <c r="P409"/>
  <c r="N410"/>
  <c r="P410"/>
  <c r="N411"/>
  <c r="P411"/>
  <c r="N412"/>
  <c r="P412"/>
  <c r="N413"/>
  <c r="P413"/>
  <c r="N414"/>
  <c r="P414"/>
  <c r="N415"/>
  <c r="P415"/>
  <c r="N416"/>
  <c r="P416"/>
  <c r="N417"/>
  <c r="P417"/>
  <c r="N418"/>
  <c r="P418"/>
  <c r="N419"/>
  <c r="P419"/>
  <c r="N420"/>
  <c r="P420"/>
  <c r="N421"/>
  <c r="P421"/>
  <c r="N422"/>
  <c r="P422"/>
  <c r="N423"/>
  <c r="P423"/>
  <c r="N424"/>
  <c r="P424"/>
  <c r="N425"/>
  <c r="P425"/>
  <c r="N426"/>
  <c r="P426"/>
  <c r="N427"/>
  <c r="P427"/>
  <c r="N428"/>
  <c r="P428"/>
  <c r="N429"/>
  <c r="P429"/>
  <c r="N430"/>
  <c r="P430"/>
  <c r="N431"/>
  <c r="P431"/>
  <c r="N432"/>
  <c r="P432"/>
  <c r="N433"/>
  <c r="P433"/>
  <c r="N434"/>
  <c r="P434"/>
  <c r="N435"/>
  <c r="P435"/>
  <c r="N436"/>
  <c r="P436"/>
  <c r="N437"/>
  <c r="P437"/>
  <c r="N438"/>
  <c r="P438"/>
  <c r="N439"/>
  <c r="P439"/>
  <c r="N440"/>
  <c r="P440"/>
  <c r="N441"/>
  <c r="P441"/>
  <c r="N443"/>
  <c r="P443"/>
  <c r="N444"/>
  <c r="P444"/>
  <c r="N445"/>
  <c r="S505"/>
  <c r="U505"/>
  <c r="M506"/>
  <c r="O506"/>
  <c r="Q506"/>
  <c r="S506"/>
  <c r="U506"/>
  <c r="M507"/>
  <c r="O507"/>
  <c r="Q507"/>
  <c r="S507"/>
  <c r="U507"/>
  <c r="M509"/>
  <c r="O509"/>
  <c r="Q509"/>
  <c r="S509"/>
  <c r="U509"/>
  <c r="M510"/>
  <c r="O510"/>
  <c r="Q510"/>
  <c r="S510"/>
  <c r="U510"/>
  <c r="M511"/>
  <c r="O511"/>
  <c r="Q511"/>
  <c r="S511"/>
  <c r="U511"/>
  <c r="M512"/>
  <c r="O512"/>
  <c r="Q512"/>
  <c r="S512"/>
  <c r="U512"/>
  <c r="M513"/>
  <c r="O513"/>
  <c r="Q513"/>
  <c r="S513"/>
  <c r="U513"/>
  <c r="M514"/>
  <c r="O514"/>
  <c r="Q514"/>
  <c r="S514"/>
  <c r="U514"/>
  <c r="M515"/>
  <c r="O515"/>
  <c r="Q515"/>
  <c r="S515"/>
  <c r="U515"/>
  <c r="M516"/>
  <c r="O516"/>
  <c r="Q516"/>
  <c r="S516"/>
  <c r="U516"/>
  <c r="S517"/>
  <c r="U517"/>
  <c r="S518"/>
  <c r="U518"/>
  <c r="S519"/>
  <c r="U519"/>
  <c r="S520"/>
  <c r="U520"/>
  <c r="M521"/>
  <c r="O521"/>
  <c r="Q521"/>
  <c r="S521"/>
  <c r="U521"/>
  <c r="M522"/>
  <c r="O522"/>
  <c r="Q522"/>
  <c r="S522"/>
  <c r="U522"/>
  <c r="M523"/>
  <c r="O523"/>
  <c r="Q523"/>
  <c r="S523"/>
  <c r="U523"/>
  <c r="M524"/>
  <c r="O524"/>
  <c r="Q524"/>
  <c r="S524"/>
  <c r="U524"/>
  <c r="M525"/>
  <c r="O525"/>
  <c r="Q525"/>
  <c r="S525"/>
  <c r="U525"/>
  <c r="M526"/>
  <c r="O526"/>
  <c r="Q526"/>
  <c r="S526"/>
  <c r="U526"/>
  <c r="M527"/>
  <c r="O527"/>
  <c r="Q527"/>
  <c r="S527"/>
  <c r="U527"/>
  <c r="M528"/>
  <c r="O528"/>
  <c r="Q528"/>
  <c r="S528"/>
  <c r="U528"/>
  <c r="S529"/>
  <c r="U529"/>
  <c r="S530"/>
  <c r="U530"/>
  <c r="S531"/>
  <c r="U531"/>
  <c r="S532"/>
  <c r="U532"/>
  <c r="S533"/>
  <c r="U533"/>
  <c r="S534"/>
  <c r="U534"/>
  <c r="S535"/>
  <c r="U535"/>
  <c r="S536"/>
  <c r="U536"/>
  <c r="S537"/>
  <c r="U537"/>
  <c r="S538"/>
  <c r="U538"/>
  <c r="S539"/>
  <c r="U539"/>
  <c r="M540"/>
  <c r="O540"/>
  <c r="Q540"/>
  <c r="S540"/>
  <c r="U540"/>
  <c r="M541"/>
  <c r="O541"/>
  <c r="Q541"/>
  <c r="S541"/>
  <c r="U541"/>
  <c r="S542"/>
  <c r="U542"/>
  <c r="S543"/>
  <c r="U543"/>
  <c r="S544"/>
  <c r="U544"/>
  <c r="S545"/>
  <c r="U545"/>
  <c r="M549"/>
  <c r="P550"/>
  <c r="S552"/>
  <c r="U552"/>
  <c r="S553"/>
  <c r="U553"/>
  <c r="S554"/>
  <c r="U554"/>
  <c r="S555"/>
  <c r="U555"/>
  <c r="S556"/>
  <c r="U556"/>
  <c r="M557"/>
  <c r="O557"/>
  <c r="Q557"/>
  <c r="S557"/>
  <c r="U557"/>
  <c r="M558"/>
  <c r="O558"/>
  <c r="Q558"/>
  <c r="S558"/>
  <c r="U558"/>
  <c r="U559"/>
  <c r="R105"/>
  <c r="S106"/>
  <c r="U106"/>
  <c r="R107"/>
  <c r="T107"/>
  <c r="S108"/>
  <c r="U108"/>
  <c r="R109"/>
  <c r="T109"/>
  <c r="S110"/>
  <c r="U110"/>
  <c r="R111"/>
  <c r="T111"/>
  <c r="S112"/>
  <c r="U112"/>
  <c r="R113"/>
  <c r="T113"/>
  <c r="S114"/>
  <c r="U114"/>
  <c r="R115"/>
  <c r="T115"/>
  <c r="S116"/>
  <c r="U116"/>
  <c r="R117"/>
  <c r="T117"/>
  <c r="S120"/>
  <c r="U120"/>
  <c r="S121"/>
  <c r="U121"/>
  <c r="S122"/>
  <c r="U122"/>
  <c r="S123"/>
  <c r="U123"/>
  <c r="S124"/>
  <c r="U124"/>
  <c r="S125"/>
  <c r="U125"/>
  <c r="S126"/>
  <c r="U126"/>
  <c r="S127"/>
  <c r="U127"/>
  <c r="P445"/>
  <c r="N446"/>
  <c r="P446"/>
  <c r="N447"/>
  <c r="P447"/>
  <c r="N448"/>
  <c r="P448"/>
  <c r="N449"/>
  <c r="P449"/>
  <c r="N450"/>
  <c r="P450"/>
  <c r="N451"/>
  <c r="P451"/>
  <c r="N453"/>
  <c r="P453"/>
  <c r="N454"/>
  <c r="P454"/>
  <c r="N455"/>
  <c r="P455"/>
  <c r="N456"/>
  <c r="P456"/>
  <c r="N457"/>
  <c r="P457"/>
  <c r="N458"/>
  <c r="P458"/>
  <c r="N459"/>
  <c r="P459"/>
  <c r="N460"/>
  <c r="P460"/>
  <c r="N461"/>
  <c r="P461"/>
  <c r="N462"/>
  <c r="P462"/>
  <c r="N463"/>
  <c r="P463"/>
  <c r="N464"/>
  <c r="P464"/>
  <c r="N465"/>
  <c r="P465"/>
  <c r="N466"/>
  <c r="P466"/>
  <c r="N467"/>
  <c r="P467"/>
  <c r="N468"/>
  <c r="P468"/>
  <c r="N469"/>
  <c r="P469"/>
  <c r="N470"/>
  <c r="P470"/>
  <c r="N471"/>
  <c r="P471"/>
  <c r="N472"/>
  <c r="P472"/>
  <c r="N473"/>
  <c r="P473"/>
  <c r="N474"/>
  <c r="P474"/>
  <c r="N475"/>
  <c r="P475"/>
  <c r="N476"/>
  <c r="P476"/>
  <c r="N477"/>
  <c r="P477"/>
  <c r="N478"/>
  <c r="P478"/>
  <c r="N479"/>
  <c r="P479"/>
  <c r="N480"/>
  <c r="P480"/>
  <c r="N481"/>
  <c r="P481"/>
  <c r="N482"/>
  <c r="P482"/>
  <c r="N483"/>
  <c r="P483"/>
  <c r="M226"/>
  <c r="O226"/>
  <c r="M227"/>
  <c r="O227"/>
  <c r="M228"/>
  <c r="O228"/>
  <c r="M229"/>
  <c r="O229"/>
  <c r="M230"/>
  <c r="O230"/>
  <c r="O231"/>
  <c r="M232"/>
  <c r="O232"/>
  <c r="M233"/>
  <c r="O233"/>
  <c r="M234"/>
  <c r="O234"/>
  <c r="M235"/>
  <c r="O235"/>
  <c r="O236"/>
  <c r="M237"/>
  <c r="O237"/>
  <c r="O238"/>
  <c r="M239"/>
  <c r="O239"/>
  <c r="O240"/>
  <c r="M241"/>
  <c r="O241"/>
  <c r="M242"/>
  <c r="O242"/>
  <c r="O243"/>
  <c r="O244"/>
  <c r="O245"/>
  <c r="M246"/>
  <c r="O246"/>
  <c r="M247"/>
  <c r="O247"/>
  <c r="M248"/>
  <c r="O248"/>
  <c r="O249"/>
  <c r="M250"/>
  <c r="O250"/>
  <c r="M251"/>
  <c r="O251"/>
  <c r="M252"/>
  <c r="O252"/>
  <c r="M253"/>
  <c r="O253"/>
  <c r="M254"/>
  <c r="O254"/>
  <c r="M255"/>
  <c r="O255"/>
  <c r="M256"/>
  <c r="O256"/>
  <c r="O257"/>
  <c r="M258"/>
  <c r="O258"/>
  <c r="M259"/>
  <c r="O259"/>
  <c r="O260"/>
  <c r="M261"/>
  <c r="O261"/>
  <c r="M262"/>
  <c r="O262"/>
  <c r="M263"/>
  <c r="O263"/>
  <c r="M264"/>
  <c r="O264"/>
  <c r="O265"/>
  <c r="O266"/>
  <c r="M268"/>
  <c r="O268"/>
  <c r="M269"/>
  <c r="O269"/>
  <c r="M270"/>
  <c r="O270"/>
  <c r="M271"/>
  <c r="O271"/>
  <c r="M272"/>
  <c r="O272"/>
  <c r="M273"/>
  <c r="O273"/>
  <c r="M274"/>
  <c r="O274"/>
  <c r="M275"/>
  <c r="O275"/>
  <c r="M276"/>
  <c r="O276"/>
  <c r="M277"/>
  <c r="O277"/>
  <c r="M278"/>
  <c r="O278"/>
  <c r="M279"/>
  <c r="O279"/>
  <c r="M280"/>
  <c r="O280"/>
  <c r="M281"/>
  <c r="O281"/>
  <c r="M284"/>
  <c r="O284"/>
  <c r="M285"/>
  <c r="O285"/>
  <c r="M286"/>
  <c r="O286"/>
  <c r="M288"/>
  <c r="O288"/>
  <c r="M289"/>
  <c r="O289"/>
  <c r="M290"/>
  <c r="O290"/>
  <c r="M291"/>
  <c r="O291"/>
  <c r="M292"/>
  <c r="O292"/>
  <c r="M293"/>
  <c r="O293"/>
  <c r="M294"/>
  <c r="O294"/>
  <c r="M295"/>
  <c r="O295"/>
  <c r="M296"/>
  <c r="O296"/>
  <c r="M297"/>
  <c r="O297"/>
  <c r="M298"/>
  <c r="O298"/>
  <c r="M299"/>
  <c r="O299"/>
  <c r="M300"/>
  <c r="O300"/>
  <c r="M301"/>
  <c r="O301"/>
  <c r="M302"/>
  <c r="O302"/>
  <c r="M303"/>
  <c r="O303"/>
  <c r="M304"/>
  <c r="O304"/>
  <c r="M305"/>
  <c r="O305"/>
  <c r="M306"/>
  <c r="O306"/>
  <c r="M307"/>
  <c r="O307"/>
  <c r="M308"/>
  <c r="O308"/>
  <c r="M309"/>
  <c r="O309"/>
  <c r="M310"/>
  <c r="O310"/>
  <c r="M311"/>
  <c r="O311"/>
  <c r="M312"/>
  <c r="O312"/>
  <c r="M313"/>
  <c r="O313"/>
  <c r="M314"/>
  <c r="O314"/>
  <c r="M315"/>
  <c r="O315"/>
  <c r="M316"/>
  <c r="O316"/>
  <c r="M317"/>
  <c r="O317"/>
  <c r="M318"/>
  <c r="O318"/>
  <c r="M319"/>
  <c r="O319"/>
  <c r="M320"/>
  <c r="O320"/>
  <c r="M321"/>
  <c r="O321"/>
  <c r="M322"/>
  <c r="O322"/>
  <c r="M323"/>
  <c r="O323"/>
  <c r="M324"/>
  <c r="O324"/>
  <c r="M325"/>
  <c r="O325"/>
  <c r="N331"/>
  <c r="P331"/>
  <c r="N332"/>
  <c r="P332"/>
  <c r="N333"/>
  <c r="P333"/>
  <c r="N334"/>
  <c r="P334"/>
  <c r="N335"/>
  <c r="P335"/>
  <c r="N336"/>
  <c r="P336"/>
  <c r="N337"/>
  <c r="P337"/>
  <c r="N338"/>
  <c r="P338"/>
  <c r="M341"/>
  <c r="W559"/>
  <c r="W558"/>
  <c r="W557"/>
  <c r="W556"/>
  <c r="W555"/>
  <c r="W554"/>
  <c r="W553"/>
  <c r="W552"/>
  <c r="W551"/>
  <c r="W479" i="7"/>
  <c r="W545" i="8" s="1"/>
  <c r="W1146" i="10"/>
  <c r="W478" i="7"/>
  <c r="W544" i="8" s="1"/>
  <c r="W477" i="7"/>
  <c r="W543" i="8" s="1"/>
  <c r="W1142" i="10"/>
  <c r="W476" i="7"/>
  <c r="W542" i="8" s="1"/>
  <c r="W475" i="7"/>
  <c r="W541" i="8" s="1"/>
  <c r="W1138" i="10"/>
  <c r="W474" i="7"/>
  <c r="W540" i="8" s="1"/>
  <c r="W473" i="7"/>
  <c r="W539" i="8" s="1"/>
  <c r="W1134" i="10"/>
  <c r="W472" i="7"/>
  <c r="W538" i="8" s="1"/>
  <c r="W471" i="7"/>
  <c r="W537" i="8" s="1"/>
  <c r="W1130" i="10"/>
  <c r="W469" i="7"/>
  <c r="W535" i="8" s="1"/>
  <c r="W1126" i="10"/>
  <c r="W468" i="7"/>
  <c r="W534" i="8" s="1"/>
  <c r="W467" i="7"/>
  <c r="W533" i="8" s="1"/>
  <c r="W1122" i="10"/>
  <c r="W466" i="7"/>
  <c r="W532" i="8" s="1"/>
  <c r="W465" i="7"/>
  <c r="W531" i="8" s="1"/>
  <c r="W1118" i="10"/>
  <c r="W463" i="7"/>
  <c r="W529" i="8" s="1"/>
  <c r="W1114" i="10"/>
  <c r="W462" i="7"/>
  <c r="W528" i="8" s="1"/>
  <c r="W461" i="7"/>
  <c r="W527" i="8" s="1"/>
  <c r="W1110" i="10"/>
  <c r="W460" i="7"/>
  <c r="W526" i="8" s="1"/>
  <c r="W459" i="7"/>
  <c r="W525" i="8" s="1"/>
  <c r="W1106" i="10"/>
  <c r="W458" i="7"/>
  <c r="W524" i="8" s="1"/>
  <c r="W457" i="7"/>
  <c r="W523" i="8" s="1"/>
  <c r="W1102" i="10"/>
  <c r="W456" i="7"/>
  <c r="W522" i="8" s="1"/>
  <c r="W455" i="7"/>
  <c r="W521" i="8" s="1"/>
  <c r="W1098" i="10"/>
  <c r="W453" i="7"/>
  <c r="W519" i="8" s="1"/>
  <c r="W1094" i="10"/>
  <c r="W452" i="7"/>
  <c r="W518" i="8" s="1"/>
  <c r="W450" i="7"/>
  <c r="W516" i="8" s="1"/>
  <c r="W448" i="7"/>
  <c r="W514" i="8" s="1"/>
  <c r="W447" i="7"/>
  <c r="W513" i="8" s="1"/>
  <c r="W1082" i="10"/>
  <c r="W446" i="7"/>
  <c r="W512" i="8" s="1"/>
  <c r="W445" i="7"/>
  <c r="W511" i="8" s="1"/>
  <c r="W1078" i="10"/>
  <c r="W443" i="7"/>
  <c r="W509" i="8" s="1"/>
  <c r="W1074" i="10"/>
  <c r="W441" i="7"/>
  <c r="W507" i="8" s="1"/>
  <c r="W1056" i="10"/>
  <c r="W436" i="7"/>
  <c r="W502" i="8" s="1"/>
  <c r="W435" i="7"/>
  <c r="W501" i="8" s="1"/>
  <c r="W1030" i="10"/>
  <c r="W434" i="7"/>
  <c r="W500" i="8" s="1"/>
  <c r="W433" i="7"/>
  <c r="W499" i="8" s="1"/>
  <c r="W1026" i="10"/>
  <c r="W432" i="7"/>
  <c r="W498" i="8" s="1"/>
  <c r="W431" i="7"/>
  <c r="W497" i="8" s="1"/>
  <c r="W1022" i="10"/>
  <c r="W430" i="7"/>
  <c r="W496" i="8" s="1"/>
  <c r="W429" i="7"/>
  <c r="W495" i="8" s="1"/>
  <c r="W1018" i="10"/>
  <c r="W428" i="7"/>
  <c r="W494" i="8" s="1"/>
  <c r="W425" i="7"/>
  <c r="W491" i="8" s="1"/>
  <c r="W1010" i="10"/>
  <c r="W424" i="7"/>
  <c r="W490" i="8" s="1"/>
  <c r="W423" i="7"/>
  <c r="W489" i="8" s="1"/>
  <c r="W1006" i="10"/>
  <c r="W419" i="7"/>
  <c r="W485" i="8" s="1"/>
  <c r="W984" i="10"/>
  <c r="W405" i="7"/>
  <c r="W471" i="8" s="1"/>
  <c r="W956" i="10"/>
  <c r="W401" i="7"/>
  <c r="W467" i="8" s="1"/>
  <c r="W948" i="10"/>
  <c r="W372" i="7"/>
  <c r="W438" i="8" s="1"/>
  <c r="W371" i="7"/>
  <c r="W437" i="8" s="1"/>
  <c r="W874" i="10"/>
  <c r="W370" i="7"/>
  <c r="W436" i="8" s="1"/>
  <c r="W368" i="7"/>
  <c r="W434" i="8" s="1"/>
  <c r="W367" i="7"/>
  <c r="W433" i="8" s="1"/>
  <c r="W866" i="10"/>
  <c r="W366" i="7"/>
  <c r="W432" i="8" s="1"/>
  <c r="W364" i="7"/>
  <c r="W430" i="8" s="1"/>
  <c r="W361" i="7"/>
  <c r="W427" i="8" s="1"/>
  <c r="W854" i="10"/>
  <c r="W360" i="7"/>
  <c r="W426" i="8" s="1"/>
  <c r="W356" i="7"/>
  <c r="W422" i="8" s="1"/>
  <c r="W355" i="7"/>
  <c r="W421" i="8" s="1"/>
  <c r="W842" i="10"/>
  <c r="W354" i="7"/>
  <c r="W420" i="8" s="1"/>
  <c r="W353" i="7"/>
  <c r="W419" i="8" s="1"/>
  <c r="W838" i="10"/>
  <c r="W350" i="7"/>
  <c r="W416" i="8" s="1"/>
  <c r="W349" i="7"/>
  <c r="W415" i="8" s="1"/>
  <c r="W830" i="10"/>
  <c r="W348" i="7"/>
  <c r="W414" i="8" s="1"/>
  <c r="W344" i="7"/>
  <c r="W410" i="8" s="1"/>
  <c r="W343" i="7"/>
  <c r="W409" i="8" s="1"/>
  <c r="W818" i="10"/>
  <c r="W342" i="7"/>
  <c r="W408" i="8" s="1"/>
  <c r="W341" i="7"/>
  <c r="W407" i="8" s="1"/>
  <c r="W814" i="10"/>
  <c r="W340" i="7"/>
  <c r="W406" i="8" s="1"/>
  <c r="W337" i="7"/>
  <c r="W403" i="8" s="1"/>
  <c r="W806" i="10"/>
  <c r="W336" i="7"/>
  <c r="W402" i="8" s="1"/>
  <c r="W335" i="7"/>
  <c r="W401" i="8" s="1"/>
  <c r="W802" i="10"/>
  <c r="W334" i="7"/>
  <c r="W400" i="8" s="1"/>
  <c r="W333" i="7"/>
  <c r="W399" i="8" s="1"/>
  <c r="W798" i="10"/>
  <c r="W327" i="7"/>
  <c r="W393" i="8" s="1"/>
  <c r="W772" i="10"/>
  <c r="W325" i="7"/>
  <c r="W391" i="8" s="1"/>
  <c r="W768" i="10"/>
  <c r="W324" i="7"/>
  <c r="W390" i="8" s="1"/>
  <c r="W766" i="10"/>
  <c r="W323" i="7"/>
  <c r="W389" i="8" s="1"/>
  <c r="W764" i="10"/>
  <c r="W321" i="7"/>
  <c r="W387" i="8" s="1"/>
  <c r="W760" i="10"/>
  <c r="W320" i="7"/>
  <c r="W386" i="8" s="1"/>
  <c r="W758" i="10"/>
  <c r="W319" i="7"/>
  <c r="W385" i="8" s="1"/>
  <c r="W756" i="10"/>
  <c r="W316" i="7"/>
  <c r="W382" i="8" s="1"/>
  <c r="W750" i="10"/>
  <c r="W313" i="7"/>
  <c r="W379" i="8" s="1"/>
  <c r="W744" i="10"/>
  <c r="W311" i="7"/>
  <c r="W377" i="8" s="1"/>
  <c r="W740" i="10"/>
  <c r="W310" i="7"/>
  <c r="W376" i="8" s="1"/>
  <c r="W738" i="10"/>
  <c r="W309" i="7"/>
  <c r="W375" i="8" s="1"/>
  <c r="W736" i="10"/>
  <c r="W307" i="7"/>
  <c r="W373" i="8" s="1"/>
  <c r="W732" i="10"/>
  <c r="W304" i="7"/>
  <c r="W370" i="8" s="1"/>
  <c r="W726" i="10"/>
  <c r="W303" i="7"/>
  <c r="W369" i="8" s="1"/>
  <c r="W724" i="10"/>
  <c r="W301" i="7"/>
  <c r="W367" i="8" s="1"/>
  <c r="W720" i="10"/>
  <c r="W300" i="7"/>
  <c r="W366" i="8" s="1"/>
  <c r="W718" i="10"/>
  <c r="W299" i="7"/>
  <c r="W365" i="8" s="1"/>
  <c r="W716" i="10"/>
  <c r="W298" i="7"/>
  <c r="W364" i="8" s="1"/>
  <c r="W714" i="10"/>
  <c r="W297" i="7"/>
  <c r="W363" i="8" s="1"/>
  <c r="W712" i="10"/>
  <c r="W296" i="7"/>
  <c r="W362" i="8" s="1"/>
  <c r="W710" i="10"/>
  <c r="W295" i="7"/>
  <c r="W361" i="8" s="1"/>
  <c r="W708" i="10"/>
  <c r="W294" i="7"/>
  <c r="W360" i="8" s="1"/>
  <c r="W706" i="10"/>
  <c r="W293" i="7"/>
  <c r="W359" i="8" s="1"/>
  <c r="W704" i="10"/>
  <c r="W292" i="7"/>
  <c r="W358" i="8" s="1"/>
  <c r="W702" i="10"/>
  <c r="W291" i="7"/>
  <c r="W357" i="8" s="1"/>
  <c r="W700" i="10"/>
  <c r="W289" i="7"/>
  <c r="W355" i="8" s="1"/>
  <c r="W696" i="10"/>
  <c r="W288" i="7"/>
  <c r="W354" i="8" s="1"/>
  <c r="W694" i="10"/>
  <c r="W287" i="7"/>
  <c r="W353" i="8" s="1"/>
  <c r="W692" i="10"/>
  <c r="W286" i="7"/>
  <c r="W352" i="8" s="1"/>
  <c r="W690" i="10"/>
  <c r="W285" i="7"/>
  <c r="W351" i="8" s="1"/>
  <c r="W688" i="10"/>
  <c r="W284" i="7"/>
  <c r="W350" i="8" s="1"/>
  <c r="W686" i="10"/>
  <c r="W283" i="7"/>
  <c r="W349" i="8" s="1"/>
  <c r="W684" i="10"/>
  <c r="W282" i="7"/>
  <c r="W348" i="8" s="1"/>
  <c r="W682" i="10"/>
  <c r="W680"/>
  <c r="W280" i="7"/>
  <c r="W346" i="8" s="1"/>
  <c r="W678" i="10"/>
  <c r="W676"/>
  <c r="W278" i="7"/>
  <c r="W344" i="8" s="1"/>
  <c r="W674" i="10"/>
  <c r="W672"/>
  <c r="W276" i="7"/>
  <c r="W342" i="8" s="1"/>
  <c r="W670" i="10"/>
  <c r="W668"/>
  <c r="W268" i="7"/>
  <c r="W325" i="8" s="1"/>
  <c r="W637" i="10"/>
  <c r="W265" i="7"/>
  <c r="W322" i="8" s="1"/>
  <c r="W631" i="10"/>
  <c r="W261" i="7"/>
  <c r="W318" i="8" s="1"/>
  <c r="W623" i="10"/>
  <c r="W255" i="7"/>
  <c r="W312" i="8" s="1"/>
  <c r="W611" i="10"/>
  <c r="W254" i="7"/>
  <c r="W311" i="8" s="1"/>
  <c r="W609" i="10"/>
  <c r="W253" i="7"/>
  <c r="W310" i="8" s="1"/>
  <c r="W607" i="10"/>
  <c r="W249" i="7"/>
  <c r="W306" i="8" s="1"/>
  <c r="W599" i="10"/>
  <c r="W247" i="7"/>
  <c r="W304" i="8" s="1"/>
  <c r="W595" i="10"/>
  <c r="W246" i="7"/>
  <c r="W303" i="8" s="1"/>
  <c r="W593" i="10"/>
  <c r="W236" i="7"/>
  <c r="W293" i="8" s="1"/>
  <c r="W573" i="10"/>
  <c r="W232" i="7"/>
  <c r="W289" i="8" s="1"/>
  <c r="W565" i="10"/>
  <c r="W230" i="7"/>
  <c r="W287" i="8" s="1"/>
  <c r="W551" i="10"/>
  <c r="W229" i="7"/>
  <c r="W286" i="8" s="1"/>
  <c r="W549" i="10"/>
  <c r="W224" i="7"/>
  <c r="W281" i="8" s="1"/>
  <c r="W529" i="10"/>
  <c r="W223" i="7"/>
  <c r="W280" i="8" s="1"/>
  <c r="W527" i="10"/>
  <c r="W222" i="7"/>
  <c r="W279" i="8" s="1"/>
  <c r="W525" i="10"/>
  <c r="W212" i="7"/>
  <c r="W269" i="8" s="1"/>
  <c r="W505" i="10"/>
  <c r="W211" i="7"/>
  <c r="W268" i="8" s="1"/>
  <c r="W503" i="10"/>
  <c r="W207" i="7"/>
  <c r="W264" i="8" s="1"/>
  <c r="W485" i="10"/>
  <c r="W205" i="7"/>
  <c r="W262" i="8" s="1"/>
  <c r="W481" i="10"/>
  <c r="W199" i="7"/>
  <c r="W256" i="8" s="1"/>
  <c r="W469" i="10"/>
  <c r="W197" i="7"/>
  <c r="W254" i="8" s="1"/>
  <c r="W465" i="10"/>
  <c r="W168" i="7"/>
  <c r="W225" i="8" s="1"/>
  <c r="W407" i="10"/>
  <c r="W166" i="7"/>
  <c r="W223" i="8" s="1"/>
  <c r="W403" i="10"/>
  <c r="W149" i="7"/>
  <c r="W206" i="8" s="1"/>
  <c r="W359" i="10"/>
  <c r="W148" i="7"/>
  <c r="W205" i="8" s="1"/>
  <c r="W357" i="10"/>
  <c r="W146" i="7"/>
  <c r="W203" i="8" s="1"/>
  <c r="W353" i="10"/>
  <c r="W145" i="7"/>
  <c r="W202" i="8" s="1"/>
  <c r="W351" i="10"/>
  <c r="W144" i="7"/>
  <c r="W201" i="8" s="1"/>
  <c r="W349" i="10"/>
  <c r="W143" i="7"/>
  <c r="W200" i="8" s="1"/>
  <c r="W347" i="10"/>
  <c r="W142" i="7"/>
  <c r="W199" i="8" s="1"/>
  <c r="W345" i="10"/>
  <c r="W141" i="7"/>
  <c r="W198" i="8" s="1"/>
  <c r="W343" i="10"/>
  <c r="W140" i="7"/>
  <c r="W197" i="8" s="1"/>
  <c r="W341" i="10"/>
  <c r="W139" i="7"/>
  <c r="W196" i="8" s="1"/>
  <c r="W339" i="10"/>
  <c r="W138" i="7"/>
  <c r="W195" i="8" s="1"/>
  <c r="W337" i="10"/>
  <c r="W137" i="7"/>
  <c r="W194" i="8" s="1"/>
  <c r="W335" i="10"/>
  <c r="W136" i="7"/>
  <c r="W193" i="8" s="1"/>
  <c r="W333" i="10"/>
  <c r="W134" i="7"/>
  <c r="W191" i="8" s="1"/>
  <c r="W329" i="10"/>
  <c r="W132" i="7"/>
  <c r="W189" i="8" s="1"/>
  <c r="W325" i="10"/>
  <c r="W131" i="7"/>
  <c r="W188" i="8" s="1"/>
  <c r="W323" i="10"/>
  <c r="W130" i="7"/>
  <c r="W187" i="8" s="1"/>
  <c r="W321" i="10"/>
  <c r="W129" i="7"/>
  <c r="W186" i="8" s="1"/>
  <c r="W319" i="10"/>
  <c r="W128" i="7"/>
  <c r="W185" i="8" s="1"/>
  <c r="W317" i="10"/>
  <c r="W125" i="7"/>
  <c r="W182" i="8" s="1"/>
  <c r="W311" i="10"/>
  <c r="W124" i="7"/>
  <c r="W181" i="8" s="1"/>
  <c r="W309" i="10"/>
  <c r="W123" i="7"/>
  <c r="W180" i="8" s="1"/>
  <c r="W307" i="10"/>
  <c r="W122" i="7"/>
  <c r="W179" i="8" s="1"/>
  <c r="W305" i="10"/>
  <c r="W121" i="7"/>
  <c r="W178" i="8" s="1"/>
  <c r="W303" i="10"/>
  <c r="W119" i="7"/>
  <c r="W176" i="8" s="1"/>
  <c r="W299" i="10"/>
  <c r="W117" i="7"/>
  <c r="W174" i="8" s="1"/>
  <c r="W285" i="10"/>
  <c r="S4" i="8"/>
  <c r="U4"/>
  <c r="M5"/>
  <c r="O5"/>
  <c r="Q5"/>
  <c r="S5"/>
  <c r="U5"/>
  <c r="M6"/>
  <c r="O6"/>
  <c r="Q6"/>
  <c r="S6"/>
  <c r="U6"/>
  <c r="N7"/>
  <c r="P7"/>
  <c r="R7"/>
  <c r="T7"/>
  <c r="N9"/>
  <c r="P9"/>
  <c r="N10"/>
  <c r="P10"/>
  <c r="N11"/>
  <c r="P11"/>
  <c r="N12"/>
  <c r="P12"/>
  <c r="N13"/>
  <c r="P13"/>
  <c r="N14"/>
  <c r="P14"/>
  <c r="N15"/>
  <c r="P15"/>
  <c r="S17"/>
  <c r="U17"/>
  <c r="S18"/>
  <c r="U18"/>
  <c r="S19"/>
  <c r="U19"/>
  <c r="S20"/>
  <c r="U20"/>
  <c r="D21" i="6"/>
  <c r="N396" i="8"/>
  <c r="F21" i="6"/>
  <c r="P396" i="8"/>
  <c r="P442"/>
  <c r="P508"/>
  <c r="L36" i="1"/>
  <c r="L12" i="10"/>
  <c r="S21" i="8"/>
  <c r="U21"/>
  <c r="S22"/>
  <c r="U22"/>
  <c r="R29"/>
  <c r="T29"/>
  <c r="R30"/>
  <c r="T30"/>
  <c r="R31"/>
  <c r="T31"/>
  <c r="S33"/>
  <c r="U33"/>
  <c r="R34"/>
  <c r="T34"/>
  <c r="S35"/>
  <c r="U35"/>
  <c r="R36"/>
  <c r="T36"/>
  <c r="S37"/>
  <c r="U37"/>
  <c r="R38"/>
  <c r="T38"/>
  <c r="S39"/>
  <c r="U39"/>
  <c r="R40"/>
  <c r="T40"/>
  <c r="S41"/>
  <c r="U41"/>
  <c r="S57"/>
  <c r="U57"/>
  <c r="R63"/>
  <c r="T63"/>
  <c r="S64"/>
  <c r="U64"/>
  <c r="T65"/>
  <c r="S66"/>
  <c r="U66"/>
  <c r="R67"/>
  <c r="T67"/>
  <c r="S68"/>
  <c r="U68"/>
  <c r="R69"/>
  <c r="T69"/>
  <c r="S70"/>
  <c r="U70"/>
  <c r="R71"/>
  <c r="T71"/>
  <c r="S72"/>
  <c r="U72"/>
  <c r="S73"/>
  <c r="U73"/>
  <c r="S74"/>
  <c r="U74"/>
  <c r="S75"/>
  <c r="U75"/>
  <c r="S76"/>
  <c r="U76"/>
  <c r="S77"/>
  <c r="U77"/>
  <c r="S78"/>
  <c r="U78"/>
  <c r="S79"/>
  <c r="U79"/>
  <c r="S80"/>
  <c r="U80"/>
  <c r="S98"/>
  <c r="U98"/>
  <c r="S99"/>
  <c r="U99"/>
  <c r="S100"/>
  <c r="U100"/>
  <c r="S101"/>
  <c r="U101"/>
  <c r="S102"/>
  <c r="U102"/>
  <c r="S103"/>
  <c r="U103"/>
  <c r="S104"/>
  <c r="U104"/>
  <c r="N484"/>
  <c r="P484"/>
  <c r="N485"/>
  <c r="P485"/>
  <c r="N493"/>
  <c r="P493"/>
  <c r="N494"/>
  <c r="P494"/>
  <c r="N495"/>
  <c r="P495"/>
  <c r="N496"/>
  <c r="P496"/>
  <c r="N497"/>
  <c r="P497"/>
  <c r="N498"/>
  <c r="P498"/>
  <c r="N506"/>
  <c r="P506"/>
  <c r="N507"/>
  <c r="P507"/>
  <c r="N509"/>
  <c r="P509"/>
  <c r="N510"/>
  <c r="P510"/>
  <c r="N511"/>
  <c r="P511"/>
  <c r="N512"/>
  <c r="P512"/>
  <c r="N513"/>
  <c r="P513"/>
  <c r="N514"/>
  <c r="P514"/>
  <c r="N515"/>
  <c r="P515"/>
  <c r="N516"/>
  <c r="P516"/>
  <c r="N521"/>
  <c r="P521"/>
  <c r="N522"/>
  <c r="P522"/>
  <c r="N523"/>
  <c r="P523"/>
  <c r="N524"/>
  <c r="P524"/>
  <c r="N525"/>
  <c r="P525"/>
  <c r="N526"/>
  <c r="P526"/>
  <c r="N527"/>
  <c r="P527"/>
  <c r="N528"/>
  <c r="P528"/>
  <c r="N540"/>
  <c r="P540"/>
  <c r="N541"/>
  <c r="P541"/>
  <c r="P549"/>
  <c r="M550"/>
  <c r="N557"/>
  <c r="P557"/>
  <c r="N558"/>
  <c r="P558"/>
  <c r="N283"/>
  <c r="P283"/>
  <c r="N287"/>
  <c r="P287"/>
  <c r="N330"/>
  <c r="P330"/>
  <c r="P339"/>
  <c r="N340"/>
  <c r="P340"/>
  <c r="C21" i="6"/>
  <c r="M396" i="8"/>
  <c r="E21" i="6"/>
  <c r="O396" i="8"/>
  <c r="M442"/>
  <c r="M508"/>
  <c r="S128"/>
  <c r="U128"/>
  <c r="S129"/>
  <c r="U129"/>
  <c r="S130"/>
  <c r="U130"/>
  <c r="S131"/>
  <c r="U131"/>
  <c r="S132"/>
  <c r="U132"/>
  <c r="S133"/>
  <c r="U133"/>
  <c r="S134"/>
  <c r="U134"/>
  <c r="S135"/>
  <c r="U135"/>
  <c r="S136"/>
  <c r="U136"/>
  <c r="S137"/>
  <c r="U137"/>
  <c r="S138"/>
  <c r="U138"/>
  <c r="S139"/>
  <c r="U139"/>
  <c r="S140"/>
  <c r="U140"/>
  <c r="S141"/>
  <c r="U141"/>
  <c r="S142"/>
  <c r="U142"/>
  <c r="S143"/>
  <c r="U143"/>
  <c r="S144"/>
  <c r="U144"/>
  <c r="S145"/>
  <c r="U145"/>
  <c r="S146"/>
  <c r="U146"/>
  <c r="S147"/>
  <c r="U147"/>
  <c r="S148"/>
  <c r="U148"/>
  <c r="S149"/>
  <c r="U149"/>
  <c r="S150"/>
  <c r="U150"/>
  <c r="S151"/>
  <c r="U151"/>
  <c r="S152"/>
  <c r="U152"/>
  <c r="S153"/>
  <c r="U153"/>
  <c r="S154"/>
  <c r="U154"/>
  <c r="S155"/>
  <c r="U155"/>
  <c r="S156"/>
  <c r="U156"/>
  <c r="S157"/>
  <c r="U157"/>
  <c r="S158"/>
  <c r="U158"/>
  <c r="S159"/>
  <c r="U159"/>
  <c r="S160"/>
  <c r="U160"/>
  <c r="S161"/>
  <c r="U161"/>
  <c r="S162"/>
  <c r="U162"/>
  <c r="S163"/>
  <c r="U163"/>
  <c r="S164"/>
  <c r="U164"/>
  <c r="S165"/>
  <c r="U165"/>
  <c r="S166"/>
  <c r="U166"/>
  <c r="S167"/>
  <c r="U167"/>
  <c r="S168"/>
  <c r="U168"/>
  <c r="S169"/>
  <c r="U169"/>
  <c r="S170"/>
  <c r="U170"/>
  <c r="S171"/>
  <c r="U171"/>
  <c r="S172"/>
  <c r="U172"/>
  <c r="S173"/>
  <c r="U173"/>
  <c r="S174"/>
  <c r="U174"/>
  <c r="S176"/>
  <c r="U176"/>
  <c r="S177"/>
  <c r="U177"/>
  <c r="S178"/>
  <c r="U178"/>
  <c r="S179"/>
  <c r="U179"/>
  <c r="S180"/>
  <c r="U180"/>
  <c r="S181"/>
  <c r="U181"/>
  <c r="S182"/>
  <c r="U182"/>
  <c r="S183"/>
  <c r="U183"/>
  <c r="S184"/>
  <c r="U184"/>
  <c r="S185"/>
  <c r="U185"/>
  <c r="S186"/>
  <c r="U186"/>
  <c r="S187"/>
  <c r="U187"/>
  <c r="S188"/>
  <c r="U188"/>
  <c r="S189"/>
  <c r="U189"/>
  <c r="S190"/>
  <c r="U190"/>
  <c r="S191"/>
  <c r="U191"/>
  <c r="S192"/>
  <c r="U192"/>
  <c r="S193"/>
  <c r="U193"/>
  <c r="S194"/>
  <c r="U194"/>
  <c r="S195"/>
  <c r="U195"/>
  <c r="S196"/>
  <c r="U196"/>
  <c r="S197"/>
  <c r="U197"/>
  <c r="S198"/>
  <c r="U198"/>
  <c r="S199"/>
  <c r="U199"/>
  <c r="S200"/>
  <c r="U200"/>
  <c r="S201"/>
  <c r="U201"/>
  <c r="S202"/>
  <c r="U202"/>
  <c r="S203"/>
  <c r="U203"/>
  <c r="S204"/>
  <c r="U204"/>
  <c r="S205"/>
  <c r="U205"/>
  <c r="S206"/>
  <c r="U206"/>
  <c r="S207"/>
  <c r="U207"/>
  <c r="S208"/>
  <c r="U208"/>
  <c r="S209"/>
  <c r="U209"/>
  <c r="S210"/>
  <c r="U210"/>
  <c r="S211"/>
  <c r="U211"/>
  <c r="S212"/>
  <c r="U212"/>
  <c r="S213"/>
  <c r="U213"/>
  <c r="S214"/>
  <c r="U214"/>
  <c r="S215"/>
  <c r="U215"/>
  <c r="S216"/>
  <c r="U216"/>
  <c r="S217"/>
  <c r="U217"/>
  <c r="S218"/>
  <c r="U218"/>
  <c r="S219"/>
  <c r="U219"/>
  <c r="S220"/>
  <c r="U220"/>
  <c r="S222"/>
  <c r="U222"/>
  <c r="S223"/>
  <c r="U223"/>
  <c r="S224"/>
  <c r="U224"/>
  <c r="S225"/>
  <c r="U225"/>
  <c r="Q226"/>
  <c r="S226"/>
  <c r="U226"/>
  <c r="Q227"/>
  <c r="S227"/>
  <c r="U227"/>
  <c r="Q228"/>
  <c r="S228"/>
  <c r="U228"/>
  <c r="Q229"/>
  <c r="S229"/>
  <c r="U229"/>
  <c r="Q230"/>
  <c r="S230"/>
  <c r="U230"/>
  <c r="Q231"/>
  <c r="S231"/>
  <c r="U231"/>
  <c r="Q232"/>
  <c r="S232"/>
  <c r="U232"/>
  <c r="Q233"/>
  <c r="S233"/>
  <c r="U233"/>
  <c r="Q234"/>
  <c r="S234"/>
  <c r="U234"/>
  <c r="Q235"/>
  <c r="S235"/>
  <c r="U235"/>
  <c r="Q236"/>
  <c r="S236"/>
  <c r="U236"/>
  <c r="Q237"/>
  <c r="S237"/>
  <c r="U237"/>
  <c r="Q238"/>
  <c r="S238"/>
  <c r="U238"/>
  <c r="Q239"/>
  <c r="S239"/>
  <c r="U239"/>
  <c r="Q240"/>
  <c r="S240"/>
  <c r="U240"/>
  <c r="Q241"/>
  <c r="S241"/>
  <c r="U241"/>
  <c r="Q242"/>
  <c r="S242"/>
  <c r="U242"/>
  <c r="Q243"/>
  <c r="S243"/>
  <c r="U243"/>
  <c r="Q244"/>
  <c r="S244"/>
  <c r="U244"/>
  <c r="Q245"/>
  <c r="S245"/>
  <c r="U245"/>
  <c r="Q246"/>
  <c r="S246"/>
  <c r="U246"/>
  <c r="Q247"/>
  <c r="S247"/>
  <c r="U247"/>
  <c r="Q248"/>
  <c r="S248"/>
  <c r="U248"/>
  <c r="Q249"/>
  <c r="S249"/>
  <c r="U249"/>
  <c r="Q250"/>
  <c r="S250"/>
  <c r="U250"/>
  <c r="Q251"/>
  <c r="S251"/>
  <c r="U251"/>
  <c r="Q252"/>
  <c r="S252"/>
  <c r="U252"/>
  <c r="Q253"/>
  <c r="S253"/>
  <c r="U253"/>
  <c r="Q254"/>
  <c r="S254"/>
  <c r="U254"/>
  <c r="Q255"/>
  <c r="S255"/>
  <c r="U255"/>
  <c r="Q256"/>
  <c r="S256"/>
  <c r="U256"/>
  <c r="Q257"/>
  <c r="S257"/>
  <c r="U257"/>
  <c r="Q258"/>
  <c r="S258"/>
  <c r="U258"/>
  <c r="Q259"/>
  <c r="S259"/>
  <c r="U259"/>
  <c r="Q260"/>
  <c r="S260"/>
  <c r="U260"/>
  <c r="Q261"/>
  <c r="S261"/>
  <c r="U261"/>
  <c r="Q262"/>
  <c r="S262"/>
  <c r="U262"/>
  <c r="Q263"/>
  <c r="S263"/>
  <c r="U263"/>
  <c r="Q264"/>
  <c r="S264"/>
  <c r="U264"/>
  <c r="Q265"/>
  <c r="S265"/>
  <c r="U265"/>
  <c r="Q266"/>
  <c r="S266"/>
  <c r="U266"/>
  <c r="Q268"/>
  <c r="S268"/>
  <c r="U268"/>
  <c r="Q269"/>
  <c r="S269"/>
  <c r="U269"/>
  <c r="Q270"/>
  <c r="S270"/>
  <c r="U270"/>
  <c r="Q271"/>
  <c r="S271"/>
  <c r="U271"/>
  <c r="Q272"/>
  <c r="S272"/>
  <c r="U272"/>
  <c r="Q273"/>
  <c r="S273"/>
  <c r="U273"/>
  <c r="Q274"/>
  <c r="S274"/>
  <c r="U274"/>
  <c r="Q275"/>
  <c r="S275"/>
  <c r="U275"/>
  <c r="Q276"/>
  <c r="S276"/>
  <c r="U276"/>
  <c r="Q277"/>
  <c r="S277"/>
  <c r="U277"/>
  <c r="Q278"/>
  <c r="S278"/>
  <c r="U278"/>
  <c r="Q279"/>
  <c r="S279"/>
  <c r="U279"/>
  <c r="Q280"/>
  <c r="S280"/>
  <c r="U280"/>
  <c r="Q281"/>
  <c r="S281"/>
  <c r="U281"/>
  <c r="S282"/>
  <c r="U282"/>
  <c r="Q284"/>
  <c r="S284"/>
  <c r="U284"/>
  <c r="Q285"/>
  <c r="S285"/>
  <c r="U285"/>
  <c r="Q286"/>
  <c r="S286"/>
  <c r="U286"/>
  <c r="Q288"/>
  <c r="S288"/>
  <c r="U288"/>
  <c r="Q289"/>
  <c r="S289"/>
  <c r="U289"/>
  <c r="Q290"/>
  <c r="S290"/>
  <c r="U290"/>
  <c r="Q291"/>
  <c r="S291"/>
  <c r="U291"/>
  <c r="Q292"/>
  <c r="S292"/>
  <c r="U292"/>
  <c r="Q293"/>
  <c r="S293"/>
  <c r="U293"/>
  <c r="Q294"/>
  <c r="S294"/>
  <c r="U294"/>
  <c r="Q295"/>
  <c r="S295"/>
  <c r="U295"/>
  <c r="Q296"/>
  <c r="S296"/>
  <c r="U296"/>
  <c r="Q297"/>
  <c r="S297"/>
  <c r="U297"/>
  <c r="Q298"/>
  <c r="S298"/>
  <c r="U298"/>
  <c r="Q299"/>
  <c r="S299"/>
  <c r="U299"/>
  <c r="Q300"/>
  <c r="S300"/>
  <c r="U300"/>
  <c r="Q301"/>
  <c r="S301"/>
  <c r="U301"/>
  <c r="Q302"/>
  <c r="S302"/>
  <c r="U302"/>
  <c r="Q303"/>
  <c r="S303"/>
  <c r="U303"/>
  <c r="Q304"/>
  <c r="S304"/>
  <c r="U304"/>
  <c r="Q305"/>
  <c r="S305"/>
  <c r="U305"/>
  <c r="Q306"/>
  <c r="S306"/>
  <c r="U306"/>
  <c r="Q307"/>
  <c r="S307"/>
  <c r="U307"/>
  <c r="Q308"/>
  <c r="S308"/>
  <c r="U308"/>
  <c r="Q309"/>
  <c r="S309"/>
  <c r="U309"/>
  <c r="Q310"/>
  <c r="S310"/>
  <c r="U310"/>
  <c r="Q311"/>
  <c r="S311"/>
  <c r="U311"/>
  <c r="Q312"/>
  <c r="S312"/>
  <c r="U312"/>
  <c r="Q313"/>
  <c r="S313"/>
  <c r="U313"/>
  <c r="Q314"/>
  <c r="S314"/>
  <c r="U314"/>
  <c r="Q315"/>
  <c r="S315"/>
  <c r="U315"/>
  <c r="Q316"/>
  <c r="S316"/>
  <c r="U316"/>
  <c r="Q317"/>
  <c r="S317"/>
  <c r="U317"/>
  <c r="Q318"/>
  <c r="S318"/>
  <c r="U318"/>
  <c r="Q319"/>
  <c r="S319"/>
  <c r="U319"/>
  <c r="Q320"/>
  <c r="S320"/>
  <c r="U320"/>
  <c r="Q321"/>
  <c r="S321"/>
  <c r="U321"/>
  <c r="Q322"/>
  <c r="S322"/>
  <c r="U322"/>
  <c r="Q323"/>
  <c r="S323"/>
  <c r="U323"/>
  <c r="Q324"/>
  <c r="S324"/>
  <c r="U324"/>
  <c r="Q325"/>
  <c r="S325"/>
  <c r="U325"/>
  <c r="R331"/>
  <c r="T331"/>
  <c r="R332"/>
  <c r="T332"/>
  <c r="R333"/>
  <c r="T333"/>
  <c r="R334"/>
  <c r="T334"/>
  <c r="R335"/>
  <c r="T335"/>
  <c r="R336"/>
  <c r="T336"/>
  <c r="R337"/>
  <c r="T337"/>
  <c r="R338"/>
  <c r="T338"/>
  <c r="O341"/>
  <c r="Q341"/>
  <c r="S341"/>
  <c r="U341"/>
  <c r="M342"/>
  <c r="O342"/>
  <c r="Q342"/>
  <c r="S342"/>
  <c r="U342"/>
  <c r="M343"/>
  <c r="O343"/>
  <c r="Q343"/>
  <c r="S343"/>
  <c r="U343"/>
  <c r="M344"/>
  <c r="O344"/>
  <c r="Q344"/>
  <c r="S344"/>
  <c r="U344"/>
  <c r="M345"/>
  <c r="O345"/>
  <c r="Q345"/>
  <c r="S345"/>
  <c r="U345"/>
  <c r="M346"/>
  <c r="O346"/>
  <c r="Q346"/>
  <c r="S346"/>
  <c r="U346"/>
  <c r="M347"/>
  <c r="O347"/>
  <c r="Q347"/>
  <c r="S347"/>
  <c r="U347"/>
  <c r="M348"/>
  <c r="O348"/>
  <c r="Q348"/>
  <c r="S348"/>
  <c r="U348"/>
  <c r="M349"/>
  <c r="O349"/>
  <c r="Q349"/>
  <c r="S349"/>
  <c r="U349"/>
  <c r="M350"/>
  <c r="O350"/>
  <c r="Q350"/>
  <c r="S350"/>
  <c r="U350"/>
  <c r="M351"/>
  <c r="O351"/>
  <c r="Q351"/>
  <c r="S351"/>
  <c r="U351"/>
  <c r="M352"/>
  <c r="O352"/>
  <c r="Q352"/>
  <c r="S352"/>
  <c r="U352"/>
  <c r="M353"/>
  <c r="O353"/>
  <c r="Q353"/>
  <c r="S353"/>
  <c r="U353"/>
  <c r="M354"/>
  <c r="O354"/>
  <c r="Q354"/>
  <c r="S354"/>
  <c r="U354"/>
  <c r="M355"/>
  <c r="O355"/>
  <c r="Q355"/>
  <c r="S355"/>
  <c r="U355"/>
  <c r="M356"/>
  <c r="O356"/>
  <c r="Q356"/>
  <c r="S356"/>
  <c r="U356"/>
  <c r="M357"/>
  <c r="O357"/>
  <c r="Q357"/>
  <c r="S357"/>
  <c r="U357"/>
  <c r="M358"/>
  <c r="O358"/>
  <c r="Q358"/>
  <c r="S358"/>
  <c r="U358"/>
  <c r="M359"/>
  <c r="O359"/>
  <c r="Q359"/>
  <c r="S359"/>
  <c r="U359"/>
  <c r="M360"/>
  <c r="O360"/>
  <c r="Q360"/>
  <c r="S360"/>
  <c r="U360"/>
  <c r="M361"/>
  <c r="O361"/>
  <c r="Q361"/>
  <c r="S361"/>
  <c r="U361"/>
  <c r="M362"/>
  <c r="O362"/>
  <c r="Q362"/>
  <c r="S362"/>
  <c r="U362"/>
  <c r="M363"/>
  <c r="O363"/>
  <c r="Q363"/>
  <c r="S363"/>
  <c r="U363"/>
  <c r="M364"/>
  <c r="O364"/>
  <c r="Q364"/>
  <c r="S364"/>
  <c r="U364"/>
  <c r="M365"/>
  <c r="O365"/>
  <c r="Q365"/>
  <c r="S365"/>
  <c r="U365"/>
  <c r="M366"/>
  <c r="O366"/>
  <c r="Q366"/>
  <c r="S366"/>
  <c r="U366"/>
  <c r="M367"/>
  <c r="O367"/>
  <c r="Q367"/>
  <c r="S367"/>
  <c r="U367"/>
  <c r="M368"/>
  <c r="O368"/>
  <c r="Q368"/>
  <c r="S368"/>
  <c r="U368"/>
  <c r="M369"/>
  <c r="O369"/>
  <c r="Q369"/>
  <c r="S369"/>
  <c r="U369"/>
  <c r="M370"/>
  <c r="O370"/>
  <c r="Q370"/>
  <c r="S370"/>
  <c r="U370"/>
  <c r="M371"/>
  <c r="O371"/>
  <c r="Q371"/>
  <c r="S371"/>
  <c r="U371"/>
  <c r="M372"/>
  <c r="O372"/>
  <c r="Q372"/>
  <c r="S372"/>
  <c r="U372"/>
  <c r="M373"/>
  <c r="O373"/>
  <c r="Q373"/>
  <c r="S373"/>
  <c r="U373"/>
  <c r="M374"/>
  <c r="O374"/>
  <c r="Q374"/>
  <c r="S374"/>
  <c r="U374"/>
  <c r="M375"/>
  <c r="O375"/>
  <c r="Q375"/>
  <c r="S375"/>
  <c r="U375"/>
  <c r="M376"/>
  <c r="O376"/>
  <c r="Q376"/>
  <c r="S376"/>
  <c r="U376"/>
  <c r="M377"/>
  <c r="O377"/>
  <c r="Q377"/>
  <c r="S377"/>
  <c r="U377"/>
  <c r="M378"/>
  <c r="O378"/>
  <c r="Q378"/>
  <c r="S378"/>
  <c r="U378"/>
  <c r="M379"/>
  <c r="O379"/>
  <c r="Q379"/>
  <c r="S379"/>
  <c r="U379"/>
  <c r="M380"/>
  <c r="O380"/>
  <c r="Q380"/>
  <c r="S380"/>
  <c r="U380"/>
  <c r="M381"/>
  <c r="O381"/>
  <c r="Q381"/>
  <c r="S381"/>
  <c r="U381"/>
  <c r="M382"/>
  <c r="O382"/>
  <c r="Q382"/>
  <c r="S382"/>
  <c r="U382"/>
  <c r="M383"/>
  <c r="O383"/>
  <c r="Q383"/>
  <c r="S383"/>
  <c r="U383"/>
  <c r="M384"/>
  <c r="O384"/>
  <c r="Q384"/>
  <c r="S384"/>
  <c r="U384"/>
  <c r="M385"/>
  <c r="O385"/>
  <c r="Q385"/>
  <c r="S385"/>
  <c r="U385"/>
  <c r="M386"/>
  <c r="O386"/>
  <c r="Q386"/>
  <c r="S386"/>
  <c r="U386"/>
  <c r="M387"/>
  <c r="O387"/>
  <c r="Q387"/>
  <c r="S387"/>
  <c r="U387"/>
  <c r="M388"/>
  <c r="O388"/>
  <c r="Q388"/>
  <c r="S388"/>
  <c r="U388"/>
  <c r="M389"/>
  <c r="O389"/>
  <c r="Q389"/>
  <c r="S389"/>
  <c r="U389"/>
  <c r="M390"/>
  <c r="O390"/>
  <c r="Q390"/>
  <c r="S390"/>
  <c r="U390"/>
  <c r="M391"/>
  <c r="O391"/>
  <c r="Q391"/>
  <c r="S391"/>
  <c r="U391"/>
  <c r="M392"/>
  <c r="O392"/>
  <c r="Q392"/>
  <c r="S392"/>
  <c r="U392"/>
  <c r="M393"/>
  <c r="O393"/>
  <c r="Q393"/>
  <c r="S393"/>
  <c r="U393"/>
  <c r="M394"/>
  <c r="O394"/>
  <c r="Q394"/>
  <c r="S394"/>
  <c r="U394"/>
  <c r="M395"/>
  <c r="O395"/>
  <c r="Q395"/>
  <c r="S395"/>
  <c r="U395"/>
  <c r="M397"/>
  <c r="O397"/>
  <c r="Q397"/>
  <c r="S397"/>
  <c r="U397"/>
  <c r="M398"/>
  <c r="O398"/>
  <c r="Q398"/>
  <c r="S398"/>
  <c r="U398"/>
  <c r="M399"/>
  <c r="O399"/>
  <c r="Q399"/>
  <c r="S399"/>
  <c r="U399"/>
  <c r="M400"/>
  <c r="O400"/>
  <c r="Q400"/>
  <c r="S400"/>
  <c r="U400"/>
  <c r="M401"/>
  <c r="O401"/>
  <c r="Q401"/>
  <c r="S401"/>
  <c r="U401"/>
  <c r="M402"/>
  <c r="O402"/>
  <c r="Q402"/>
  <c r="S402"/>
  <c r="U402"/>
  <c r="M403"/>
  <c r="O403"/>
  <c r="Q403"/>
  <c r="S403"/>
  <c r="U403"/>
  <c r="M404"/>
  <c r="O404"/>
  <c r="Q404"/>
  <c r="S404"/>
  <c r="U404"/>
  <c r="M405"/>
  <c r="O405"/>
  <c r="Q405"/>
  <c r="S405"/>
  <c r="U405"/>
  <c r="M406"/>
  <c r="O406"/>
  <c r="Q406"/>
  <c r="S406"/>
  <c r="U406"/>
  <c r="M407"/>
  <c r="O407"/>
  <c r="Q407"/>
  <c r="S407"/>
  <c r="U407"/>
  <c r="M408"/>
  <c r="O408"/>
  <c r="Q408"/>
  <c r="S408"/>
  <c r="U408"/>
  <c r="M409"/>
  <c r="O409"/>
  <c r="Q409"/>
  <c r="S409"/>
  <c r="U409"/>
  <c r="M410"/>
  <c r="O410"/>
  <c r="Q410"/>
  <c r="S410"/>
  <c r="U410"/>
  <c r="M411"/>
  <c r="O411"/>
  <c r="Q411"/>
  <c r="S411"/>
  <c r="U411"/>
  <c r="M412"/>
  <c r="O412"/>
  <c r="Q412"/>
  <c r="S412"/>
  <c r="U412"/>
  <c r="M413"/>
  <c r="O413"/>
  <c r="Q413"/>
  <c r="S413"/>
  <c r="U413"/>
  <c r="M414"/>
  <c r="O414"/>
  <c r="Q414"/>
  <c r="S414"/>
  <c r="U414"/>
  <c r="M415"/>
  <c r="O415"/>
  <c r="Q415"/>
  <c r="S415"/>
  <c r="U415"/>
  <c r="M416"/>
  <c r="O416"/>
  <c r="Q416"/>
  <c r="S416"/>
  <c r="U416"/>
  <c r="M417"/>
  <c r="O417"/>
  <c r="Q417"/>
  <c r="S417"/>
  <c r="U417"/>
  <c r="M418"/>
  <c r="O418"/>
  <c r="Q418"/>
  <c r="S418"/>
  <c r="U418"/>
  <c r="M419"/>
  <c r="O419"/>
  <c r="Q419"/>
  <c r="S419"/>
  <c r="U419"/>
  <c r="M420"/>
  <c r="O420"/>
  <c r="Q420"/>
  <c r="S420"/>
  <c r="U420"/>
  <c r="M421"/>
  <c r="O421"/>
  <c r="Q421"/>
  <c r="S421"/>
  <c r="U421"/>
  <c r="M422"/>
  <c r="O422"/>
  <c r="Q422"/>
  <c r="S422"/>
  <c r="U422"/>
  <c r="M423"/>
  <c r="O423"/>
  <c r="Q423"/>
  <c r="S423"/>
  <c r="U423"/>
  <c r="M424"/>
  <c r="O424"/>
  <c r="Q424"/>
  <c r="S424"/>
  <c r="U424"/>
  <c r="M425"/>
  <c r="O425"/>
  <c r="Q425"/>
  <c r="S425"/>
  <c r="U425"/>
  <c r="M426"/>
  <c r="O426"/>
  <c r="Q426"/>
  <c r="S426"/>
  <c r="U426"/>
  <c r="M427"/>
  <c r="O427"/>
  <c r="Q427"/>
  <c r="S427"/>
  <c r="U427"/>
  <c r="M428"/>
  <c r="O428"/>
  <c r="Q428"/>
  <c r="S428"/>
  <c r="U428"/>
  <c r="M429"/>
  <c r="O429"/>
  <c r="Q429"/>
  <c r="S429"/>
  <c r="U429"/>
  <c r="M430"/>
  <c r="O430"/>
  <c r="Q430"/>
  <c r="S430"/>
  <c r="U430"/>
  <c r="M431"/>
  <c r="O431"/>
  <c r="Q431"/>
  <c r="S431"/>
  <c r="U431"/>
  <c r="M432"/>
  <c r="O432"/>
  <c r="Q432"/>
  <c r="S432"/>
  <c r="U432"/>
  <c r="M433"/>
  <c r="O433"/>
  <c r="Q433"/>
  <c r="S433"/>
  <c r="U433"/>
  <c r="M434"/>
  <c r="O434"/>
  <c r="Q434"/>
  <c r="S434"/>
  <c r="U434"/>
  <c r="M435"/>
  <c r="O435"/>
  <c r="Q435"/>
  <c r="S435"/>
  <c r="U435"/>
  <c r="M436"/>
  <c r="O436"/>
  <c r="Q436"/>
  <c r="S436"/>
  <c r="U436"/>
  <c r="M437"/>
  <c r="O437"/>
  <c r="Q437"/>
  <c r="S437"/>
  <c r="U437"/>
  <c r="M438"/>
  <c r="O438"/>
  <c r="Q438"/>
  <c r="S438"/>
  <c r="U438"/>
  <c r="M439"/>
  <c r="O439"/>
  <c r="Q439"/>
  <c r="S439"/>
  <c r="U439"/>
  <c r="M440"/>
  <c r="O440"/>
  <c r="Q440"/>
  <c r="S440"/>
  <c r="U440"/>
  <c r="M441"/>
  <c r="O441"/>
  <c r="Q441"/>
  <c r="S441"/>
  <c r="U441"/>
  <c r="M443"/>
  <c r="O443"/>
  <c r="Q443"/>
  <c r="S443"/>
  <c r="U443"/>
  <c r="M444"/>
  <c r="O444"/>
  <c r="Q444"/>
  <c r="S444"/>
  <c r="U444"/>
  <c r="M445"/>
  <c r="O445"/>
  <c r="Q445"/>
  <c r="S445"/>
  <c r="U445"/>
  <c r="M446"/>
  <c r="O446"/>
  <c r="Q446"/>
  <c r="S446"/>
  <c r="U446"/>
  <c r="M447"/>
  <c r="O447"/>
  <c r="Q447"/>
  <c r="S447"/>
  <c r="U447"/>
  <c r="M448"/>
  <c r="O448"/>
  <c r="Q448"/>
  <c r="S448"/>
  <c r="U448"/>
  <c r="M449"/>
  <c r="O449"/>
  <c r="Q449"/>
  <c r="S449"/>
  <c r="U449"/>
  <c r="M450"/>
  <c r="O450"/>
  <c r="Q450"/>
  <c r="S450"/>
  <c r="U450"/>
  <c r="M451"/>
  <c r="O451"/>
  <c r="Q451"/>
  <c r="S451"/>
  <c r="U451"/>
  <c r="S452"/>
  <c r="U452"/>
  <c r="M453"/>
  <c r="O453"/>
  <c r="Q453"/>
  <c r="S453"/>
  <c r="U453"/>
  <c r="M454"/>
  <c r="O454"/>
  <c r="Q454"/>
  <c r="S454"/>
  <c r="U454"/>
  <c r="M455"/>
  <c r="O455"/>
  <c r="Q455"/>
  <c r="S455"/>
  <c r="U455"/>
  <c r="M456"/>
  <c r="O456"/>
  <c r="Q456"/>
  <c r="S456"/>
  <c r="U456"/>
  <c r="M457"/>
  <c r="O457"/>
  <c r="Q457"/>
  <c r="S457"/>
  <c r="U457"/>
  <c r="M458"/>
  <c r="O458"/>
  <c r="Q458"/>
  <c r="S458"/>
  <c r="U458"/>
  <c r="M459"/>
  <c r="O459"/>
  <c r="Q459"/>
  <c r="S459"/>
  <c r="U459"/>
  <c r="M460"/>
  <c r="O460"/>
  <c r="Q460"/>
  <c r="S460"/>
  <c r="U460"/>
  <c r="M461"/>
  <c r="O461"/>
  <c r="Q461"/>
  <c r="S461"/>
  <c r="U461"/>
  <c r="M462"/>
  <c r="O462"/>
  <c r="Q462"/>
  <c r="S462"/>
  <c r="U462"/>
  <c r="M463"/>
  <c r="O463"/>
  <c r="Q463"/>
  <c r="S463"/>
  <c r="U463"/>
  <c r="M464"/>
  <c r="O464"/>
  <c r="Q464"/>
  <c r="S464"/>
  <c r="U464"/>
  <c r="M465"/>
  <c r="O465"/>
  <c r="Q465"/>
  <c r="S465"/>
  <c r="U465"/>
  <c r="M466"/>
  <c r="O466"/>
  <c r="Q466"/>
  <c r="S466"/>
  <c r="U466"/>
  <c r="M467"/>
  <c r="O467"/>
  <c r="Q467"/>
  <c r="S467"/>
  <c r="U467"/>
  <c r="M468"/>
  <c r="O468"/>
  <c r="Q468"/>
  <c r="S468"/>
  <c r="U468"/>
  <c r="M469"/>
  <c r="O469"/>
  <c r="Q469"/>
  <c r="S469"/>
  <c r="U469"/>
  <c r="M470"/>
  <c r="O470"/>
  <c r="Q470"/>
  <c r="S470"/>
  <c r="U470"/>
  <c r="M471"/>
  <c r="O471"/>
  <c r="Q471"/>
  <c r="S471"/>
  <c r="U471"/>
  <c r="M472"/>
  <c r="O472"/>
  <c r="Q472"/>
  <c r="S472"/>
  <c r="U472"/>
  <c r="M473"/>
  <c r="O473"/>
  <c r="Q473"/>
  <c r="S473"/>
  <c r="U473"/>
  <c r="M474"/>
  <c r="O474"/>
  <c r="Q474"/>
  <c r="S474"/>
  <c r="U474"/>
  <c r="M475"/>
  <c r="O475"/>
  <c r="Q475"/>
  <c r="S475"/>
  <c r="U475"/>
  <c r="M476"/>
  <c r="O476"/>
  <c r="Q476"/>
  <c r="S476"/>
  <c r="U476"/>
  <c r="M477"/>
  <c r="O477"/>
  <c r="Q477"/>
  <c r="S477"/>
  <c r="U477"/>
  <c r="M478"/>
  <c r="O478"/>
  <c r="Q478"/>
  <c r="S478"/>
  <c r="U478"/>
  <c r="M479"/>
  <c r="O479"/>
  <c r="Q479"/>
  <c r="S479"/>
  <c r="U479"/>
  <c r="M480"/>
  <c r="O480"/>
  <c r="Q480"/>
  <c r="S480"/>
  <c r="U480"/>
  <c r="M481"/>
  <c r="O481"/>
  <c r="Q481"/>
  <c r="S481"/>
  <c r="U481"/>
  <c r="M482"/>
  <c r="O482"/>
  <c r="Q482"/>
  <c r="S482"/>
  <c r="U482"/>
  <c r="M483"/>
  <c r="O483"/>
  <c r="Q483"/>
  <c r="S483"/>
  <c r="U483"/>
  <c r="M283"/>
  <c r="O283"/>
  <c r="M287"/>
  <c r="O287"/>
  <c r="M330"/>
  <c r="O330"/>
  <c r="M339"/>
  <c r="M340"/>
  <c r="O340"/>
  <c r="X558"/>
  <c r="X556"/>
  <c r="X554"/>
  <c r="X551"/>
  <c r="X478" i="7"/>
  <c r="X544" i="8" s="1"/>
  <c r="X1144" i="10"/>
  <c r="X1142"/>
  <c r="X1138"/>
  <c r="X1134"/>
  <c r="X1130"/>
  <c r="X468" i="7"/>
  <c r="X534" i="8" s="1"/>
  <c r="X1124" i="10"/>
  <c r="X466" i="7"/>
  <c r="X532" i="8" s="1"/>
  <c r="X1120" i="10"/>
  <c r="X1114"/>
  <c r="X1110"/>
  <c r="X1106"/>
  <c r="X1102"/>
  <c r="X1094"/>
  <c r="X450" i="7"/>
  <c r="X516" i="8" s="1"/>
  <c r="X1088" i="10"/>
  <c r="X1082"/>
  <c r="X1078"/>
  <c r="X1056"/>
  <c r="X1030"/>
  <c r="X1026"/>
  <c r="X1022"/>
  <c r="X1018"/>
  <c r="X1010"/>
  <c r="X1006"/>
  <c r="X980"/>
  <c r="X972"/>
  <c r="X968"/>
  <c r="X408" i="7"/>
  <c r="X474" i="8" s="1"/>
  <c r="X962" i="10"/>
  <c r="X406" i="7"/>
  <c r="X472" i="8" s="1"/>
  <c r="X958" i="10"/>
  <c r="X952"/>
  <c r="X402" i="7"/>
  <c r="X468" i="8" s="1"/>
  <c r="X950" i="10"/>
  <c r="X400" i="7"/>
  <c r="X466" i="8" s="1"/>
  <c r="X946" i="10"/>
  <c r="X396" i="7"/>
  <c r="X462" i="8" s="1"/>
  <c r="X938" i="10"/>
  <c r="X392" i="7"/>
  <c r="X458" i="8" s="1"/>
  <c r="X930" i="10"/>
  <c r="X388" i="7"/>
  <c r="X454" i="8" s="1"/>
  <c r="X922" i="10"/>
  <c r="X878"/>
  <c r="X874"/>
  <c r="X368" i="7"/>
  <c r="X434" i="8" s="1"/>
  <c r="X868" i="10"/>
  <c r="X366" i="7"/>
  <c r="X432" i="8" s="1"/>
  <c r="X864" i="10"/>
  <c r="X854"/>
  <c r="X358" i="7"/>
  <c r="X424" i="8" s="1"/>
  <c r="X848" i="10"/>
  <c r="X356" i="7"/>
  <c r="X422" i="8" s="1"/>
  <c r="X844" i="10"/>
  <c r="X838"/>
  <c r="X350" i="7"/>
  <c r="X416" i="8" s="1"/>
  <c r="X832" i="10"/>
  <c r="X348" i="7"/>
  <c r="X414" i="8" s="1"/>
  <c r="X828" i="10"/>
  <c r="X344" i="7"/>
  <c r="X410" i="8" s="1"/>
  <c r="X820" i="10"/>
  <c r="X342" i="7"/>
  <c r="X408" i="8" s="1"/>
  <c r="X816" i="10"/>
  <c r="X340" i="7"/>
  <c r="X406" i="8" s="1"/>
  <c r="X812" i="10"/>
  <c r="X336" i="7"/>
  <c r="X402" i="8" s="1"/>
  <c r="X804" i="10"/>
  <c r="X334" i="7"/>
  <c r="X400" i="8" s="1"/>
  <c r="X800" i="10"/>
  <c r="X794"/>
  <c r="X327" i="7"/>
  <c r="X393" i="8" s="1"/>
  <c r="X772" i="10"/>
  <c r="X325" i="7"/>
  <c r="X391" i="8" s="1"/>
  <c r="X768" i="10"/>
  <c r="X323" i="7"/>
  <c r="X389" i="8" s="1"/>
  <c r="X764" i="10"/>
  <c r="X321" i="7"/>
  <c r="X387" i="8" s="1"/>
  <c r="X760" i="10"/>
  <c r="X319" i="7"/>
  <c r="X385" i="8" s="1"/>
  <c r="X756" i="10"/>
  <c r="X750"/>
  <c r="X746"/>
  <c r="X742"/>
  <c r="X738"/>
  <c r="X307" i="7"/>
  <c r="X373" i="8" s="1"/>
  <c r="X732" i="10"/>
  <c r="X305" i="7"/>
  <c r="X371" i="8" s="1"/>
  <c r="X728" i="10"/>
  <c r="X303" i="7"/>
  <c r="X369" i="8" s="1"/>
  <c r="X724" i="10"/>
  <c r="X301" i="7"/>
  <c r="X367" i="8" s="1"/>
  <c r="X720" i="10"/>
  <c r="X299" i="7"/>
  <c r="X365" i="8" s="1"/>
  <c r="X716" i="10"/>
  <c r="X297" i="7"/>
  <c r="X363" i="8" s="1"/>
  <c r="X712" i="10"/>
  <c r="X295" i="7"/>
  <c r="X361" i="8" s="1"/>
  <c r="X708" i="10"/>
  <c r="X702"/>
  <c r="X289" i="7"/>
  <c r="X355" i="8" s="1"/>
  <c r="X696" i="10"/>
  <c r="X287" i="7"/>
  <c r="X353" i="8" s="1"/>
  <c r="X692" i="10"/>
  <c r="X690"/>
  <c r="X283" i="7"/>
  <c r="X349" i="8" s="1"/>
  <c r="X684" i="10"/>
  <c r="X281" i="7"/>
  <c r="X347" i="8" s="1"/>
  <c r="X680" i="10"/>
  <c r="X279" i="7"/>
  <c r="X345" i="8" s="1"/>
  <c r="X676" i="10"/>
  <c r="X277" i="7"/>
  <c r="X343" i="8" s="1"/>
  <c r="X672" i="10"/>
  <c r="X275" i="7"/>
  <c r="X341" i="8" s="1"/>
  <c r="X668" i="10"/>
  <c r="X268" i="7"/>
  <c r="X325" i="8" s="1"/>
  <c r="X637" i="10"/>
  <c r="X265" i="7"/>
  <c r="X322" i="8" s="1"/>
  <c r="X631" i="10"/>
  <c r="X262" i="7"/>
  <c r="X319" i="8" s="1"/>
  <c r="X625" i="10"/>
  <c r="X260" i="7"/>
  <c r="X317" i="8" s="1"/>
  <c r="X621" i="10"/>
  <c r="X257" i="7"/>
  <c r="X314" i="8" s="1"/>
  <c r="X615" i="10"/>
  <c r="X254" i="7"/>
  <c r="X311" i="8" s="1"/>
  <c r="X609" i="10"/>
  <c r="X249" i="7"/>
  <c r="X306" i="8" s="1"/>
  <c r="X599" i="10"/>
  <c r="X247" i="7"/>
  <c r="X304" i="8" s="1"/>
  <c r="X595" i="10"/>
  <c r="X241" i="7"/>
  <c r="X298" i="8" s="1"/>
  <c r="X583" i="10"/>
  <c r="X235" i="7"/>
  <c r="X292" i="8" s="1"/>
  <c r="X571" i="10"/>
  <c r="X232" i="7"/>
  <c r="X289" i="8" s="1"/>
  <c r="X565" i="10"/>
  <c r="X229" i="7"/>
  <c r="X286" i="8" s="1"/>
  <c r="X549" i="10"/>
  <c r="X223" i="7"/>
  <c r="X280" i="8" s="1"/>
  <c r="X527" i="10"/>
  <c r="X216" i="7"/>
  <c r="X273" i="8" s="1"/>
  <c r="X513" i="10"/>
  <c r="R17" i="8"/>
  <c r="T17"/>
  <c r="R18"/>
  <c r="T18"/>
  <c r="R19"/>
  <c r="T19"/>
  <c r="R20"/>
  <c r="T20"/>
  <c r="R21"/>
  <c r="T21"/>
  <c r="R22"/>
  <c r="T22"/>
  <c r="S29"/>
  <c r="U29"/>
  <c r="S30"/>
  <c r="U30"/>
  <c r="S31"/>
  <c r="U31"/>
  <c r="R33"/>
  <c r="T33"/>
  <c r="S34"/>
  <c r="U34"/>
  <c r="R35"/>
  <c r="T35"/>
  <c r="S36"/>
  <c r="U36"/>
  <c r="R37"/>
  <c r="T37"/>
  <c r="S38"/>
  <c r="U38"/>
  <c r="R39"/>
  <c r="T39"/>
  <c r="S40"/>
  <c r="U40"/>
  <c r="R41"/>
  <c r="T41"/>
  <c r="R57"/>
  <c r="T57"/>
  <c r="T58"/>
  <c r="S63"/>
  <c r="U63"/>
  <c r="R64"/>
  <c r="T64"/>
  <c r="S65"/>
  <c r="U65"/>
  <c r="R66"/>
  <c r="T66"/>
  <c r="S67"/>
  <c r="U67"/>
  <c r="R68"/>
  <c r="T68"/>
  <c r="S69"/>
  <c r="U69"/>
  <c r="R70"/>
  <c r="T70"/>
  <c r="S71"/>
  <c r="U71"/>
  <c r="R72"/>
  <c r="T72"/>
  <c r="R73"/>
  <c r="T73"/>
  <c r="R74"/>
  <c r="T74"/>
  <c r="R75"/>
  <c r="T75"/>
  <c r="R76"/>
  <c r="T76"/>
  <c r="R77"/>
  <c r="T77"/>
  <c r="R78"/>
  <c r="T78"/>
  <c r="R79"/>
  <c r="T79"/>
  <c r="R80"/>
  <c r="T80"/>
  <c r="R98"/>
  <c r="T98"/>
  <c r="R99"/>
  <c r="T99"/>
  <c r="R100"/>
  <c r="T100"/>
  <c r="R101"/>
  <c r="T101"/>
  <c r="R102"/>
  <c r="T102"/>
  <c r="R103"/>
  <c r="T103"/>
  <c r="R104"/>
  <c r="T104"/>
  <c r="T105"/>
  <c r="X559"/>
  <c r="X557"/>
  <c r="X555"/>
  <c r="X553"/>
  <c r="X552"/>
  <c r="X479" i="7"/>
  <c r="X545" i="8" s="1"/>
  <c r="X476" i="7"/>
  <c r="X542" i="8" s="1"/>
  <c r="X1140" i="10"/>
  <c r="X474" i="7"/>
  <c r="X540" i="8" s="1"/>
  <c r="X1136" i="10"/>
  <c r="X472" i="7"/>
  <c r="X538" i="8" s="1"/>
  <c r="X1132" i="10"/>
  <c r="X469" i="7"/>
  <c r="X535" i="8" s="1"/>
  <c r="X467" i="7"/>
  <c r="X533" i="8" s="1"/>
  <c r="X465" i="7"/>
  <c r="X531" i="8" s="1"/>
  <c r="X462" i="7"/>
  <c r="X528" i="8" s="1"/>
  <c r="X1112" i="10"/>
  <c r="X460" i="7"/>
  <c r="X526" i="8" s="1"/>
  <c r="X1108" i="10"/>
  <c r="X458" i="7"/>
  <c r="X524" i="8" s="1"/>
  <c r="X1104" i="10"/>
  <c r="X456" i="7"/>
  <c r="X522" i="8" s="1"/>
  <c r="X1100" i="10"/>
  <c r="X455" i="7"/>
  <c r="X521" i="8" s="1"/>
  <c r="X452" i="7"/>
  <c r="X518" i="8" s="1"/>
  <c r="X1092" i="10"/>
  <c r="X448" i="7"/>
  <c r="X514" i="8" s="1"/>
  <c r="X1084" i="10"/>
  <c r="X446" i="7"/>
  <c r="X512" i="8" s="1"/>
  <c r="X1080" i="10"/>
  <c r="X443" i="7"/>
  <c r="X509" i="8" s="1"/>
  <c r="X436" i="7"/>
  <c r="X502" i="8" s="1"/>
  <c r="X1032" i="10"/>
  <c r="X434" i="7"/>
  <c r="X500" i="8" s="1"/>
  <c r="X1028" i="10"/>
  <c r="X432" i="7"/>
  <c r="X498" i="8" s="1"/>
  <c r="X1024" i="10"/>
  <c r="X430" i="7"/>
  <c r="X496" i="8" s="1"/>
  <c r="X1020" i="10"/>
  <c r="X428" i="7"/>
  <c r="X494" i="8" s="1"/>
  <c r="X1016" i="10"/>
  <c r="X424" i="7"/>
  <c r="X490" i="8" s="1"/>
  <c r="X1008" i="10"/>
  <c r="X419" i="7"/>
  <c r="X485" i="8" s="1"/>
  <c r="X415" i="7"/>
  <c r="X481" i="8" s="1"/>
  <c r="X412" i="7"/>
  <c r="X478" i="8" s="1"/>
  <c r="X970" i="10"/>
  <c r="X409" i="7"/>
  <c r="X475" i="8" s="1"/>
  <c r="X407" i="7"/>
  <c r="X473" i="8" s="1"/>
  <c r="X405" i="7"/>
  <c r="X471" i="8" s="1"/>
  <c r="X401" i="7"/>
  <c r="X467" i="8" s="1"/>
  <c r="X399" i="7"/>
  <c r="X465" i="8" s="1"/>
  <c r="X395" i="7"/>
  <c r="X461" i="8" s="1"/>
  <c r="X390" i="7"/>
  <c r="X456" i="8" s="1"/>
  <c r="X926" i="10"/>
  <c r="X389" i="7"/>
  <c r="X455" i="8" s="1"/>
  <c r="X372" i="7"/>
  <c r="X438" i="8" s="1"/>
  <c r="X876" i="10"/>
  <c r="X370" i="7"/>
  <c r="X436" i="8" s="1"/>
  <c r="X872" i="10"/>
  <c r="X367" i="7"/>
  <c r="X433" i="8" s="1"/>
  <c r="X364" i="7"/>
  <c r="X430" i="8" s="1"/>
  <c r="X860" i="10"/>
  <c r="X360" i="7"/>
  <c r="X426" i="8" s="1"/>
  <c r="X852" i="10"/>
  <c r="X357" i="7"/>
  <c r="X423" i="8" s="1"/>
  <c r="X355" i="7"/>
  <c r="X421" i="8" s="1"/>
  <c r="X354" i="7"/>
  <c r="X420" i="8" s="1"/>
  <c r="X840" i="10"/>
  <c r="X352" i="7"/>
  <c r="X418" i="8" s="1"/>
  <c r="X836" i="10"/>
  <c r="X349" i="7"/>
  <c r="X415" i="8" s="1"/>
  <c r="X346" i="7"/>
  <c r="X412" i="8" s="1"/>
  <c r="X824" i="10"/>
  <c r="X343" i="7"/>
  <c r="X409" i="8" s="1"/>
  <c r="X341" i="7"/>
  <c r="X407" i="8" s="1"/>
  <c r="X337" i="7"/>
  <c r="X403" i="8" s="1"/>
  <c r="X335" i="7"/>
  <c r="X401" i="8" s="1"/>
  <c r="X333" i="7"/>
  <c r="X399" i="8" s="1"/>
  <c r="X328" i="7"/>
  <c r="X394" i="8" s="1"/>
  <c r="X326" i="7"/>
  <c r="X392" i="8" s="1"/>
  <c r="X324" i="7"/>
  <c r="X390" i="8" s="1"/>
  <c r="X322" i="7"/>
  <c r="X388" i="8" s="1"/>
  <c r="X320" i="7"/>
  <c r="X386" i="8" s="1"/>
  <c r="X317" i="7"/>
  <c r="X383" i="8" s="1"/>
  <c r="X752" i="10"/>
  <c r="X315" i="7"/>
  <c r="X381" i="8" s="1"/>
  <c r="X748" i="10"/>
  <c r="X313" i="7"/>
  <c r="X379" i="8" s="1"/>
  <c r="X744" i="10"/>
  <c r="X311" i="7"/>
  <c r="X377" i="8" s="1"/>
  <c r="X309" i="7"/>
  <c r="X375" i="8" s="1"/>
  <c r="X736" i="10"/>
  <c r="X730"/>
  <c r="X726"/>
  <c r="X722"/>
  <c r="X718"/>
  <c r="X714"/>
  <c r="X710"/>
  <c r="X706"/>
  <c r="X293" i="7"/>
  <c r="X359" i="8" s="1"/>
  <c r="X704" i="10"/>
  <c r="X291" i="7"/>
  <c r="X357" i="8" s="1"/>
  <c r="X700" i="10"/>
  <c r="X694"/>
  <c r="X285" i="7"/>
  <c r="X351" i="8" s="1"/>
  <c r="X688" i="10"/>
  <c r="X686"/>
  <c r="X282" i="7"/>
  <c r="X348" i="8" s="1"/>
  <c r="X682" i="10"/>
  <c r="X678"/>
  <c r="X674"/>
  <c r="X670"/>
  <c r="X266" i="7"/>
  <c r="X323" i="8" s="1"/>
  <c r="X633" i="10"/>
  <c r="X263" i="7"/>
  <c r="X320" i="8" s="1"/>
  <c r="X627" i="10"/>
  <c r="X261" i="7"/>
  <c r="X318" i="8" s="1"/>
  <c r="X623" i="10"/>
  <c r="X259" i="7"/>
  <c r="X316" i="8" s="1"/>
  <c r="X619" i="10"/>
  <c r="X255" i="7"/>
  <c r="X312" i="8" s="1"/>
  <c r="X611" i="10"/>
  <c r="X253" i="7"/>
  <c r="X310" i="8" s="1"/>
  <c r="X607" i="10"/>
  <c r="X246" i="7"/>
  <c r="X303" i="8" s="1"/>
  <c r="X593" i="10"/>
  <c r="X245" i="7"/>
  <c r="X302" i="8" s="1"/>
  <c r="X591" i="10"/>
  <c r="X236" i="7"/>
  <c r="X293" i="8" s="1"/>
  <c r="X573" i="10"/>
  <c r="X234" i="7"/>
  <c r="X291" i="8" s="1"/>
  <c r="X569" i="10"/>
  <c r="X224" i="7"/>
  <c r="X281" i="8" s="1"/>
  <c r="X529" i="10"/>
  <c r="X222" i="7"/>
  <c r="X279" i="8" s="1"/>
  <c r="X525" i="10"/>
  <c r="X220" i="7"/>
  <c r="X277" i="8" s="1"/>
  <c r="X521" i="10"/>
  <c r="X219" i="7"/>
  <c r="X276" i="8" s="1"/>
  <c r="X519" i="10"/>
  <c r="X218" i="7"/>
  <c r="X275" i="8" s="1"/>
  <c r="X517" i="10"/>
  <c r="X217" i="7"/>
  <c r="X274" i="8" s="1"/>
  <c r="X515" i="10"/>
  <c r="X215" i="7"/>
  <c r="X272" i="8" s="1"/>
  <c r="X511" i="10"/>
  <c r="X213" i="7"/>
  <c r="X270" i="8" s="1"/>
  <c r="X507" i="10"/>
  <c r="X212" i="7"/>
  <c r="X269" i="8" s="1"/>
  <c r="X505" i="10"/>
  <c r="X211" i="7"/>
  <c r="X268" i="8" s="1"/>
  <c r="X503" i="10"/>
  <c r="X207" i="7"/>
  <c r="X264" i="8" s="1"/>
  <c r="X485" i="10"/>
  <c r="X205" i="7"/>
  <c r="X262" i="8" s="1"/>
  <c r="X481" i="10"/>
  <c r="X201" i="7"/>
  <c r="X258" i="8" s="1"/>
  <c r="X473" i="10"/>
  <c r="X200" i="7"/>
  <c r="X257" i="8" s="1"/>
  <c r="X471" i="10"/>
  <c r="X199" i="7"/>
  <c r="X256" i="8" s="1"/>
  <c r="X469" i="10"/>
  <c r="X197" i="7"/>
  <c r="X254" i="8" s="1"/>
  <c r="X465" i="10"/>
  <c r="X196" i="7"/>
  <c r="X253" i="8" s="1"/>
  <c r="X463" i="10"/>
  <c r="X191" i="7"/>
  <c r="X248" i="8" s="1"/>
  <c r="X453" i="10"/>
  <c r="X190" i="7"/>
  <c r="X247" i="8" s="1"/>
  <c r="X451" i="10"/>
  <c r="X189" i="7"/>
  <c r="X246" i="8" s="1"/>
  <c r="X449" i="10"/>
  <c r="X188" i="7"/>
  <c r="X245" i="8" s="1"/>
  <c r="X447" i="10"/>
  <c r="X187" i="7"/>
  <c r="X244" i="8" s="1"/>
  <c r="X445" i="10"/>
  <c r="X184" i="7"/>
  <c r="X241" i="8" s="1"/>
  <c r="X439" i="10"/>
  <c r="X183" i="7"/>
  <c r="X240" i="8" s="1"/>
  <c r="X437" i="10"/>
  <c r="X182" i="7"/>
  <c r="X239" i="8" s="1"/>
  <c r="X435" i="10"/>
  <c r="X180" i="7"/>
  <c r="X237" i="8" s="1"/>
  <c r="X431" i="10"/>
  <c r="X177" i="7"/>
  <c r="X234" i="8" s="1"/>
  <c r="X425" i="10"/>
  <c r="X175" i="7"/>
  <c r="X232" i="8" s="1"/>
  <c r="X421" i="10"/>
  <c r="X174" i="7"/>
  <c r="X231" i="8" s="1"/>
  <c r="X419" i="10"/>
  <c r="X173" i="7"/>
  <c r="X230" i="8" s="1"/>
  <c r="X417" i="10"/>
  <c r="X172" i="7"/>
  <c r="X229" i="8" s="1"/>
  <c r="X415" i="10"/>
  <c r="X171" i="7"/>
  <c r="X228" i="8" s="1"/>
  <c r="X413" i="10"/>
  <c r="X170" i="7"/>
  <c r="X227" i="8" s="1"/>
  <c r="X411" i="10"/>
  <c r="X168" i="7"/>
  <c r="X225" i="8" s="1"/>
  <c r="X407" i="10"/>
  <c r="X166" i="7"/>
  <c r="X223" i="8" s="1"/>
  <c r="X403" i="10"/>
  <c r="X149" i="7"/>
  <c r="X206" i="8" s="1"/>
  <c r="X359" i="10"/>
  <c r="X148" i="7"/>
  <c r="X205" i="8" s="1"/>
  <c r="X357" i="10"/>
  <c r="X146" i="7"/>
  <c r="X203" i="8" s="1"/>
  <c r="X353" i="10"/>
  <c r="X145" i="7"/>
  <c r="X202" i="8" s="1"/>
  <c r="X351" i="10"/>
  <c r="X144" i="7"/>
  <c r="X201" i="8" s="1"/>
  <c r="X349" i="10"/>
  <c r="X143" i="7"/>
  <c r="X200" i="8" s="1"/>
  <c r="X347" i="10"/>
  <c r="X142" i="7"/>
  <c r="X199" i="8" s="1"/>
  <c r="X345" i="10"/>
  <c r="X141" i="7"/>
  <c r="X198" i="8" s="1"/>
  <c r="X343" i="10"/>
  <c r="X140" i="7"/>
  <c r="X197" i="8" s="1"/>
  <c r="X341" i="10"/>
  <c r="X139" i="7"/>
  <c r="X196" i="8" s="1"/>
  <c r="X339" i="10"/>
  <c r="X138" i="7"/>
  <c r="X195" i="8" s="1"/>
  <c r="X337" i="10"/>
  <c r="X137" i="7"/>
  <c r="X194" i="8" s="1"/>
  <c r="X335" i="10"/>
  <c r="X136" i="7"/>
  <c r="X193" i="8" s="1"/>
  <c r="X333" i="10"/>
  <c r="X134" i="7"/>
  <c r="X191" i="8" s="1"/>
  <c r="X329" i="10"/>
  <c r="X132" i="7"/>
  <c r="X189" i="8" s="1"/>
  <c r="X325" i="10"/>
  <c r="X131" i="7"/>
  <c r="X188" i="8" s="1"/>
  <c r="X323" i="10"/>
  <c r="X130" i="7"/>
  <c r="X187" i="8" s="1"/>
  <c r="X321" i="10"/>
  <c r="X129" i="7"/>
  <c r="X186" i="8" s="1"/>
  <c r="X319" i="10"/>
  <c r="X128" i="7"/>
  <c r="X185" i="8" s="1"/>
  <c r="X317" i="10"/>
  <c r="X125" i="7"/>
  <c r="X182" i="8" s="1"/>
  <c r="X311" i="10"/>
  <c r="X124" i="7"/>
  <c r="X181" i="8" s="1"/>
  <c r="X309" i="10"/>
  <c r="X123" i="7"/>
  <c r="X180" i="8" s="1"/>
  <c r="X307" i="10"/>
  <c r="X122" i="7"/>
  <c r="X179" i="8" s="1"/>
  <c r="X305" i="10"/>
  <c r="X121" i="7"/>
  <c r="X178" i="8" s="1"/>
  <c r="X303" i="10"/>
  <c r="X119" i="7"/>
  <c r="X176" i="8" s="1"/>
  <c r="X299" i="10"/>
  <c r="X117" i="7"/>
  <c r="X174" i="8" s="1"/>
  <c r="X285" i="10"/>
  <c r="R9" i="8"/>
  <c r="T9"/>
  <c r="R10"/>
  <c r="T10"/>
  <c r="R11"/>
  <c r="T11"/>
  <c r="R12"/>
  <c r="T12"/>
  <c r="R13"/>
  <c r="T13"/>
  <c r="R14"/>
  <c r="T14"/>
  <c r="R15"/>
  <c r="T15"/>
  <c r="S23"/>
  <c r="U23"/>
  <c r="R25"/>
  <c r="T25"/>
  <c r="R26"/>
  <c r="T26"/>
  <c r="R27"/>
  <c r="T27"/>
  <c r="R28"/>
  <c r="T28"/>
  <c r="R42"/>
  <c r="T42"/>
  <c r="S43"/>
  <c r="U43"/>
  <c r="R44"/>
  <c r="T44"/>
  <c r="R54"/>
  <c r="T54"/>
  <c r="S58"/>
  <c r="U58"/>
  <c r="R59"/>
  <c r="T59"/>
  <c r="R60"/>
  <c r="T60"/>
  <c r="R61"/>
  <c r="T61"/>
  <c r="R62"/>
  <c r="T62"/>
  <c r="R65"/>
  <c r="S81"/>
  <c r="U81"/>
  <c r="S105"/>
  <c r="U105"/>
  <c r="R106"/>
  <c r="T106"/>
  <c r="S107"/>
  <c r="U107"/>
  <c r="R108"/>
  <c r="T108"/>
  <c r="S109"/>
  <c r="U109"/>
  <c r="R110"/>
  <c r="T110"/>
  <c r="S111"/>
  <c r="U111"/>
  <c r="R112"/>
  <c r="T112"/>
  <c r="S113"/>
  <c r="U113"/>
  <c r="R114"/>
  <c r="T114"/>
  <c r="S115"/>
  <c r="U115"/>
  <c r="R116"/>
  <c r="T116"/>
  <c r="S117"/>
  <c r="U117"/>
  <c r="R120"/>
  <c r="T120"/>
  <c r="R121"/>
  <c r="T121"/>
  <c r="R122"/>
  <c r="T122"/>
  <c r="R123"/>
  <c r="T123"/>
  <c r="R124"/>
  <c r="T124"/>
  <c r="R125"/>
  <c r="T125"/>
  <c r="R126"/>
  <c r="T126"/>
  <c r="R127"/>
  <c r="T127"/>
  <c r="R128"/>
  <c r="T128"/>
  <c r="R129"/>
  <c r="T129"/>
  <c r="R130"/>
  <c r="T130"/>
  <c r="R131"/>
  <c r="T131"/>
  <c r="R132"/>
  <c r="T132"/>
  <c r="R133"/>
  <c r="T133"/>
  <c r="R134"/>
  <c r="T134"/>
  <c r="R135"/>
  <c r="T135"/>
  <c r="R136"/>
  <c r="T136"/>
  <c r="R137"/>
  <c r="T137"/>
  <c r="R138"/>
  <c r="T138"/>
  <c r="R139"/>
  <c r="T139"/>
  <c r="R140"/>
  <c r="T140"/>
  <c r="R141"/>
  <c r="T141"/>
  <c r="R142"/>
  <c r="T142"/>
  <c r="R143"/>
  <c r="T143"/>
  <c r="R144"/>
  <c r="T144"/>
  <c r="R145"/>
  <c r="T145"/>
  <c r="R146"/>
  <c r="T146"/>
  <c r="R147"/>
  <c r="T147"/>
  <c r="R148"/>
  <c r="T148"/>
  <c r="R149"/>
  <c r="T149"/>
  <c r="R150"/>
  <c r="T150"/>
  <c r="R151"/>
  <c r="T151"/>
  <c r="R152"/>
  <c r="T152"/>
  <c r="R153"/>
  <c r="T153"/>
  <c r="R154"/>
  <c r="T154"/>
  <c r="R155"/>
  <c r="T155"/>
  <c r="R156"/>
  <c r="T156"/>
  <c r="R157"/>
  <c r="T157"/>
  <c r="R158"/>
  <c r="T158"/>
  <c r="R159"/>
  <c r="T159"/>
  <c r="R160"/>
  <c r="T160"/>
  <c r="R161"/>
  <c r="T161"/>
  <c r="R162"/>
  <c r="T162"/>
  <c r="R163"/>
  <c r="T163"/>
  <c r="R164"/>
  <c r="T164"/>
  <c r="R165"/>
  <c r="T165"/>
  <c r="R166"/>
  <c r="T166"/>
  <c r="R167"/>
  <c r="T167"/>
  <c r="R168"/>
  <c r="T168"/>
  <c r="R169"/>
  <c r="T169"/>
  <c r="R170"/>
  <c r="T170"/>
  <c r="R171"/>
  <c r="T171"/>
  <c r="R172"/>
  <c r="T172"/>
  <c r="R173"/>
  <c r="T173"/>
  <c r="R174"/>
  <c r="T174"/>
  <c r="R176"/>
  <c r="T176"/>
  <c r="R177"/>
  <c r="T177"/>
  <c r="R178"/>
  <c r="T178"/>
  <c r="R179"/>
  <c r="T179"/>
  <c r="R180"/>
  <c r="T180"/>
  <c r="R181"/>
  <c r="T181"/>
  <c r="R182"/>
  <c r="T182"/>
  <c r="R183"/>
  <c r="T183"/>
  <c r="R184"/>
  <c r="T184"/>
  <c r="R185"/>
  <c r="T185"/>
  <c r="R186"/>
  <c r="T186"/>
  <c r="R187"/>
  <c r="T187"/>
  <c r="R188"/>
  <c r="T188"/>
  <c r="R189"/>
  <c r="T189"/>
  <c r="R190"/>
  <c r="T190"/>
  <c r="R191"/>
  <c r="T191"/>
  <c r="R192"/>
  <c r="T192"/>
  <c r="R193"/>
  <c r="T193"/>
  <c r="R194"/>
  <c r="T194"/>
  <c r="R195"/>
  <c r="T195"/>
  <c r="R196"/>
  <c r="T196"/>
  <c r="R197"/>
  <c r="T197"/>
  <c r="R198"/>
  <c r="T198"/>
  <c r="R199"/>
  <c r="T199"/>
  <c r="R200"/>
  <c r="T200"/>
  <c r="R201"/>
  <c r="T201"/>
  <c r="R202"/>
  <c r="T202"/>
  <c r="R203"/>
  <c r="T203"/>
  <c r="R204"/>
  <c r="T204"/>
  <c r="R205"/>
  <c r="T205"/>
  <c r="R206"/>
  <c r="T206"/>
  <c r="R207"/>
  <c r="T207"/>
  <c r="R208"/>
  <c r="T208"/>
  <c r="R209"/>
  <c r="T209"/>
  <c r="R210"/>
  <c r="T210"/>
  <c r="R211"/>
  <c r="T211"/>
  <c r="R212"/>
  <c r="T212"/>
  <c r="R213"/>
  <c r="T213"/>
  <c r="R214"/>
  <c r="T214"/>
  <c r="R215"/>
  <c r="T215"/>
  <c r="R216"/>
  <c r="T216"/>
  <c r="R217"/>
  <c r="T217"/>
  <c r="R218"/>
  <c r="T218"/>
  <c r="R219"/>
  <c r="T219"/>
  <c r="R220"/>
  <c r="T220"/>
  <c r="R222"/>
  <c r="T222"/>
  <c r="R223"/>
  <c r="T223"/>
  <c r="R224"/>
  <c r="T224"/>
  <c r="R225"/>
  <c r="T225"/>
  <c r="R226"/>
  <c r="T226"/>
  <c r="R227"/>
  <c r="T227"/>
  <c r="R228"/>
  <c r="T228"/>
  <c r="R229"/>
  <c r="T229"/>
  <c r="R230"/>
  <c r="T230"/>
  <c r="R231"/>
  <c r="T231"/>
  <c r="R232"/>
  <c r="T232"/>
  <c r="R233"/>
  <c r="T233"/>
  <c r="R234"/>
  <c r="T234"/>
  <c r="R235"/>
  <c r="T235"/>
  <c r="R236"/>
  <c r="T236"/>
  <c r="R237"/>
  <c r="T237"/>
  <c r="R238"/>
  <c r="T238"/>
  <c r="R239"/>
  <c r="T239"/>
  <c r="R240"/>
  <c r="T240"/>
  <c r="R241"/>
  <c r="T241"/>
  <c r="R242"/>
  <c r="T242"/>
  <c r="R243"/>
  <c r="T243"/>
  <c r="R244"/>
  <c r="T244"/>
  <c r="R245"/>
  <c r="T245"/>
  <c r="R246"/>
  <c r="T246"/>
  <c r="R247"/>
  <c r="T247"/>
  <c r="R248"/>
  <c r="T248"/>
  <c r="R249"/>
  <c r="T249"/>
  <c r="R250"/>
  <c r="T250"/>
  <c r="R251"/>
  <c r="T251"/>
  <c r="R252"/>
  <c r="T252"/>
  <c r="R253"/>
  <c r="T253"/>
  <c r="R254"/>
  <c r="T254"/>
  <c r="R255"/>
  <c r="T255"/>
  <c r="R256"/>
  <c r="T256"/>
  <c r="R257"/>
  <c r="T257"/>
  <c r="R258"/>
  <c r="T258"/>
  <c r="R259"/>
  <c r="T259"/>
  <c r="R260"/>
  <c r="T260"/>
  <c r="R261"/>
  <c r="T261"/>
  <c r="R262"/>
  <c r="T262"/>
  <c r="R263"/>
  <c r="T263"/>
  <c r="R264"/>
  <c r="T264"/>
  <c r="R265"/>
  <c r="T265"/>
  <c r="R266"/>
  <c r="T266"/>
  <c r="R268"/>
  <c r="T268"/>
  <c r="R269"/>
  <c r="T269"/>
  <c r="R270"/>
  <c r="T270"/>
  <c r="R271"/>
  <c r="T271"/>
  <c r="R272"/>
  <c r="T272"/>
  <c r="R273"/>
  <c r="T273"/>
  <c r="R274"/>
  <c r="T274"/>
  <c r="R275"/>
  <c r="T275"/>
  <c r="R276"/>
  <c r="T276"/>
  <c r="R277"/>
  <c r="T277"/>
  <c r="R278"/>
  <c r="T278"/>
  <c r="R279"/>
  <c r="T279"/>
  <c r="R280"/>
  <c r="T280"/>
  <c r="R281"/>
  <c r="T281"/>
  <c r="R282"/>
  <c r="T282"/>
  <c r="R284"/>
  <c r="T284"/>
  <c r="R285"/>
  <c r="T285"/>
  <c r="R286"/>
  <c r="T286"/>
  <c r="R288"/>
  <c r="T288"/>
  <c r="R289"/>
  <c r="T289"/>
  <c r="R290"/>
  <c r="T290"/>
  <c r="R291"/>
  <c r="T291"/>
  <c r="R292"/>
  <c r="T292"/>
  <c r="R293"/>
  <c r="T293"/>
  <c r="R294"/>
  <c r="T294"/>
  <c r="R295"/>
  <c r="T295"/>
  <c r="R296"/>
  <c r="T296"/>
  <c r="R297"/>
  <c r="T297"/>
  <c r="R298"/>
  <c r="T298"/>
  <c r="R299"/>
  <c r="T299"/>
  <c r="R300"/>
  <c r="T300"/>
  <c r="R301"/>
  <c r="T301"/>
  <c r="R302"/>
  <c r="T302"/>
  <c r="R303"/>
  <c r="T303"/>
  <c r="R304"/>
  <c r="T304"/>
  <c r="R305"/>
  <c r="T305"/>
  <c r="R306"/>
  <c r="T306"/>
  <c r="R307"/>
  <c r="T307"/>
  <c r="R308"/>
  <c r="T308"/>
  <c r="R309"/>
  <c r="T309"/>
  <c r="R310"/>
  <c r="T310"/>
  <c r="R311"/>
  <c r="T311"/>
  <c r="R312"/>
  <c r="T312"/>
  <c r="R313"/>
  <c r="T313"/>
  <c r="R314"/>
  <c r="T314"/>
  <c r="R315"/>
  <c r="T315"/>
  <c r="R316"/>
  <c r="T316"/>
  <c r="R317"/>
  <c r="T317"/>
  <c r="R318"/>
  <c r="T318"/>
  <c r="R319"/>
  <c r="T319"/>
  <c r="R320"/>
  <c r="T320"/>
  <c r="R321"/>
  <c r="T321"/>
  <c r="R322"/>
  <c r="T322"/>
  <c r="R323"/>
  <c r="T323"/>
  <c r="R324"/>
  <c r="T324"/>
  <c r="R325"/>
  <c r="T325"/>
  <c r="R330"/>
  <c r="T330"/>
  <c r="S551"/>
  <c r="U551"/>
  <c r="R546"/>
  <c r="T546"/>
  <c r="S559"/>
  <c r="Q330"/>
  <c r="S330"/>
  <c r="U330"/>
  <c r="R551"/>
  <c r="T551"/>
  <c r="S331"/>
  <c r="U331"/>
  <c r="S332"/>
  <c r="U332"/>
  <c r="S333"/>
  <c r="U333"/>
  <c r="S334"/>
  <c r="U334"/>
  <c r="S335"/>
  <c r="U335"/>
  <c r="S336"/>
  <c r="U336"/>
  <c r="S337"/>
  <c r="U337"/>
  <c r="S338"/>
  <c r="U338"/>
  <c r="R341"/>
  <c r="T341"/>
  <c r="R342"/>
  <c r="T342"/>
  <c r="R343"/>
  <c r="T343"/>
  <c r="R344"/>
  <c r="T344"/>
  <c r="R345"/>
  <c r="T345"/>
  <c r="R346"/>
  <c r="T346"/>
  <c r="R347"/>
  <c r="T347"/>
  <c r="R348"/>
  <c r="T348"/>
  <c r="R349"/>
  <c r="T349"/>
  <c r="R350"/>
  <c r="T350"/>
  <c r="R351"/>
  <c r="T351"/>
  <c r="R352"/>
  <c r="T352"/>
  <c r="R353"/>
  <c r="T353"/>
  <c r="R354"/>
  <c r="T354"/>
  <c r="R355"/>
  <c r="T355"/>
  <c r="R356"/>
  <c r="T356"/>
  <c r="R357"/>
  <c r="T357"/>
  <c r="R358"/>
  <c r="T358"/>
  <c r="R359"/>
  <c r="T359"/>
  <c r="R360"/>
  <c r="T360"/>
  <c r="R361"/>
  <c r="T361"/>
  <c r="R362"/>
  <c r="T362"/>
  <c r="R363"/>
  <c r="T363"/>
  <c r="R364"/>
  <c r="T364"/>
  <c r="R365"/>
  <c r="T365"/>
  <c r="R366"/>
  <c r="T366"/>
  <c r="R367"/>
  <c r="T367"/>
  <c r="R368"/>
  <c r="T368"/>
  <c r="R369"/>
  <c r="T369"/>
  <c r="R370"/>
  <c r="T370"/>
  <c r="R371"/>
  <c r="T371"/>
  <c r="R372"/>
  <c r="T372"/>
  <c r="R373"/>
  <c r="T373"/>
  <c r="R374"/>
  <c r="T374"/>
  <c r="R375"/>
  <c r="T375"/>
  <c r="R376"/>
  <c r="T376"/>
  <c r="R377"/>
  <c r="T377"/>
  <c r="R378"/>
  <c r="T378"/>
  <c r="R379"/>
  <c r="T379"/>
  <c r="R380"/>
  <c r="T380"/>
  <c r="R381"/>
  <c r="T381"/>
  <c r="R382"/>
  <c r="T382"/>
  <c r="R383"/>
  <c r="T383"/>
  <c r="R384"/>
  <c r="T384"/>
  <c r="R385"/>
  <c r="T385"/>
  <c r="R386"/>
  <c r="T386"/>
  <c r="R387"/>
  <c r="T387"/>
  <c r="R388"/>
  <c r="T388"/>
  <c r="R389"/>
  <c r="T389"/>
  <c r="R390"/>
  <c r="T390"/>
  <c r="R391"/>
  <c r="T391"/>
  <c r="R392"/>
  <c r="T392"/>
  <c r="R393"/>
  <c r="T393"/>
  <c r="R394"/>
  <c r="T394"/>
  <c r="R395"/>
  <c r="T395"/>
  <c r="R397"/>
  <c r="T397"/>
  <c r="R398"/>
  <c r="T398"/>
  <c r="R399"/>
  <c r="T399"/>
  <c r="R400"/>
  <c r="T400"/>
  <c r="R401"/>
  <c r="T401"/>
  <c r="R402"/>
  <c r="T402"/>
  <c r="R403"/>
  <c r="T403"/>
  <c r="R404"/>
  <c r="T404"/>
  <c r="R405"/>
  <c r="T405"/>
  <c r="R406"/>
  <c r="T406"/>
  <c r="R407"/>
  <c r="T407"/>
  <c r="R408"/>
  <c r="T408"/>
  <c r="R409"/>
  <c r="T409"/>
  <c r="R410"/>
  <c r="T410"/>
  <c r="R411"/>
  <c r="T411"/>
  <c r="R412"/>
  <c r="T412"/>
  <c r="R413"/>
  <c r="T413"/>
  <c r="R414"/>
  <c r="T414"/>
  <c r="R415"/>
  <c r="T415"/>
  <c r="R416"/>
  <c r="T416"/>
  <c r="R417"/>
  <c r="T417"/>
  <c r="R418"/>
  <c r="T418"/>
  <c r="R419"/>
  <c r="T419"/>
  <c r="R420"/>
  <c r="T420"/>
  <c r="R421"/>
  <c r="T421"/>
  <c r="R422"/>
  <c r="T422"/>
  <c r="R423"/>
  <c r="T423"/>
  <c r="R424"/>
  <c r="T424"/>
  <c r="R425"/>
  <c r="T425"/>
  <c r="R426"/>
  <c r="T426"/>
  <c r="R427"/>
  <c r="T427"/>
  <c r="R428"/>
  <c r="T428"/>
  <c r="R429"/>
  <c r="T429"/>
  <c r="R430"/>
  <c r="T430"/>
  <c r="R431"/>
  <c r="T431"/>
  <c r="R432"/>
  <c r="T432"/>
  <c r="R433"/>
  <c r="T433"/>
  <c r="R434"/>
  <c r="T434"/>
  <c r="R435"/>
  <c r="T435"/>
  <c r="R436"/>
  <c r="T436"/>
  <c r="R437"/>
  <c r="T437"/>
  <c r="R438"/>
  <c r="T438"/>
  <c r="R439"/>
  <c r="T439"/>
  <c r="R440"/>
  <c r="T440"/>
  <c r="R441"/>
  <c r="T441"/>
  <c r="R443"/>
  <c r="T443"/>
  <c r="R444"/>
  <c r="T444"/>
  <c r="R445"/>
  <c r="T445"/>
  <c r="R446"/>
  <c r="T446"/>
  <c r="R447"/>
  <c r="T447"/>
  <c r="R448"/>
  <c r="T448"/>
  <c r="R449"/>
  <c r="T449"/>
  <c r="R450"/>
  <c r="T450"/>
  <c r="R451"/>
  <c r="T451"/>
  <c r="R452"/>
  <c r="T452"/>
  <c r="R453"/>
  <c r="T453"/>
  <c r="R454"/>
  <c r="T454"/>
  <c r="R455"/>
  <c r="T455"/>
  <c r="R456"/>
  <c r="T456"/>
  <c r="R457"/>
  <c r="T457"/>
  <c r="R458"/>
  <c r="T458"/>
  <c r="R459"/>
  <c r="T459"/>
  <c r="R460"/>
  <c r="T460"/>
  <c r="R461"/>
  <c r="T461"/>
  <c r="R462"/>
  <c r="T462"/>
  <c r="R463"/>
  <c r="T463"/>
  <c r="R464"/>
  <c r="T464"/>
  <c r="R465"/>
  <c r="T465"/>
  <c r="R466"/>
  <c r="T466"/>
  <c r="R467"/>
  <c r="T467"/>
  <c r="R468"/>
  <c r="T468"/>
  <c r="R469"/>
  <c r="T469"/>
  <c r="R470"/>
  <c r="T470"/>
  <c r="R471"/>
  <c r="T471"/>
  <c r="R472"/>
  <c r="T472"/>
  <c r="R473"/>
  <c r="T473"/>
  <c r="R474"/>
  <c r="T474"/>
  <c r="R475"/>
  <c r="T475"/>
  <c r="R476"/>
  <c r="T476"/>
  <c r="R477"/>
  <c r="T477"/>
  <c r="R478"/>
  <c r="T478"/>
  <c r="R479"/>
  <c r="T479"/>
  <c r="R480"/>
  <c r="T480"/>
  <c r="R481"/>
  <c r="T481"/>
  <c r="R482"/>
  <c r="T482"/>
  <c r="R483"/>
  <c r="T483"/>
  <c r="R484"/>
  <c r="T484"/>
  <c r="R485"/>
  <c r="T485"/>
  <c r="R486"/>
  <c r="T486"/>
  <c r="R487"/>
  <c r="T487"/>
  <c r="R489"/>
  <c r="T489"/>
  <c r="R490"/>
  <c r="T490"/>
  <c r="R491"/>
  <c r="T491"/>
  <c r="R492"/>
  <c r="T492"/>
  <c r="R493"/>
  <c r="T493"/>
  <c r="R494"/>
  <c r="T494"/>
  <c r="R495"/>
  <c r="T495"/>
  <c r="R496"/>
  <c r="T496"/>
  <c r="R497"/>
  <c r="T497"/>
  <c r="R498"/>
  <c r="T498"/>
  <c r="R499"/>
  <c r="T499"/>
  <c r="R500"/>
  <c r="T500"/>
  <c r="R501"/>
  <c r="T501"/>
  <c r="R502"/>
  <c r="T502"/>
  <c r="R503"/>
  <c r="T503"/>
  <c r="R505"/>
  <c r="T505"/>
  <c r="R506"/>
  <c r="T506"/>
  <c r="R507"/>
  <c r="T507"/>
  <c r="R509"/>
  <c r="T509"/>
  <c r="R510"/>
  <c r="T510"/>
  <c r="R511"/>
  <c r="T511"/>
  <c r="R512"/>
  <c r="T512"/>
  <c r="R513"/>
  <c r="T513"/>
  <c r="R514"/>
  <c r="T514"/>
  <c r="R515"/>
  <c r="T515"/>
  <c r="R516"/>
  <c r="T516"/>
  <c r="R517"/>
  <c r="T517"/>
  <c r="R518"/>
  <c r="T518"/>
  <c r="R519"/>
  <c r="T519"/>
  <c r="R520"/>
  <c r="T520"/>
  <c r="R521"/>
  <c r="T521"/>
  <c r="R522"/>
  <c r="T522"/>
  <c r="R523"/>
  <c r="T523"/>
  <c r="R524"/>
  <c r="T524"/>
  <c r="R525"/>
  <c r="T525"/>
  <c r="R526"/>
  <c r="T526"/>
  <c r="R527"/>
  <c r="T527"/>
  <c r="R528"/>
  <c r="T528"/>
  <c r="R529"/>
  <c r="T529"/>
  <c r="R530"/>
  <c r="T530"/>
  <c r="R531"/>
  <c r="T531"/>
  <c r="R532"/>
  <c r="T532"/>
  <c r="R533"/>
  <c r="T533"/>
  <c r="R534"/>
  <c r="T534"/>
  <c r="R535"/>
  <c r="T535"/>
  <c r="R536"/>
  <c r="T536"/>
  <c r="R537"/>
  <c r="T537"/>
  <c r="R538"/>
  <c r="T538"/>
  <c r="R539"/>
  <c r="T539"/>
  <c r="R540"/>
  <c r="T540"/>
  <c r="R541"/>
  <c r="T541"/>
  <c r="R542"/>
  <c r="T542"/>
  <c r="R543"/>
  <c r="T543"/>
  <c r="R544"/>
  <c r="T544"/>
  <c r="R545"/>
  <c r="T545"/>
  <c r="S546"/>
  <c r="U546"/>
  <c r="R552"/>
  <c r="T552"/>
  <c r="R553"/>
  <c r="T553"/>
  <c r="R554"/>
  <c r="T554"/>
  <c r="R555"/>
  <c r="T555"/>
  <c r="R556"/>
  <c r="T556"/>
  <c r="R557"/>
  <c r="T557"/>
  <c r="R558"/>
  <c r="T558"/>
  <c r="R559"/>
  <c r="T559"/>
  <c r="L40" i="1"/>
  <c r="L38"/>
  <c r="L28"/>
  <c r="L30"/>
  <c r="L32"/>
  <c r="L34"/>
  <c r="B27" i="6"/>
  <c r="B26"/>
  <c r="P70" i="1"/>
  <c r="O70"/>
  <c r="N70"/>
  <c r="M70"/>
  <c r="W70" s="1"/>
  <c r="L70"/>
  <c r="L44" i="10" s="1"/>
  <c r="M41" i="1"/>
  <c r="W41" s="1"/>
  <c r="P41"/>
  <c r="O41"/>
  <c r="O12" s="1"/>
  <c r="N41"/>
  <c r="P12"/>
  <c r="N12"/>
  <c r="N6" i="4"/>
  <c r="O6"/>
  <c r="Q6"/>
  <c r="W6"/>
  <c r="X6"/>
  <c r="Z6"/>
  <c r="N8"/>
  <c r="O8"/>
  <c r="Q8"/>
  <c r="W8"/>
  <c r="X8"/>
  <c r="Z8"/>
  <c r="N10"/>
  <c r="O10"/>
  <c r="Q10"/>
  <c r="W10"/>
  <c r="X10"/>
  <c r="Z10"/>
  <c r="N12"/>
  <c r="O12"/>
  <c r="Q12"/>
  <c r="W12"/>
  <c r="X12"/>
  <c r="Z12"/>
  <c r="N14"/>
  <c r="O14"/>
  <c r="Q14"/>
  <c r="W14"/>
  <c r="X14"/>
  <c r="Z14"/>
  <c r="N16"/>
  <c r="O16"/>
  <c r="Q16"/>
  <c r="W16"/>
  <c r="X16"/>
  <c r="Z16"/>
  <c r="N18"/>
  <c r="O18"/>
  <c r="Q18"/>
  <c r="W18"/>
  <c r="X18"/>
  <c r="Z18"/>
  <c r="N20"/>
  <c r="O20"/>
  <c r="Q20"/>
  <c r="W20"/>
  <c r="X20"/>
  <c r="Z20"/>
  <c r="N22"/>
  <c r="O22"/>
  <c r="Q22"/>
  <c r="W22"/>
  <c r="X22"/>
  <c r="Z22"/>
  <c r="N24"/>
  <c r="O24"/>
  <c r="Q24"/>
  <c r="W24"/>
  <c r="X24"/>
  <c r="Z24"/>
  <c r="N26"/>
  <c r="O26"/>
  <c r="Q26"/>
  <c r="W26"/>
  <c r="X26"/>
  <c r="Z26"/>
  <c r="N28"/>
  <c r="O28"/>
  <c r="Q28"/>
  <c r="W28"/>
  <c r="X28"/>
  <c r="Z28"/>
  <c r="N30"/>
  <c r="O30"/>
  <c r="Q30"/>
  <c r="W30"/>
  <c r="X30"/>
  <c r="Z30"/>
  <c r="N32"/>
  <c r="O32"/>
  <c r="Q32"/>
  <c r="W32"/>
  <c r="X32"/>
  <c r="Z32"/>
  <c r="N34"/>
  <c r="O34"/>
  <c r="Q34"/>
  <c r="W34"/>
  <c r="X34"/>
  <c r="Z34"/>
  <c r="N36"/>
  <c r="O36"/>
  <c r="Q36"/>
  <c r="W36"/>
  <c r="X36"/>
  <c r="Z36"/>
  <c r="N38"/>
  <c r="O38"/>
  <c r="Q38"/>
  <c r="W38"/>
  <c r="X38"/>
  <c r="Z38"/>
  <c r="N40"/>
  <c r="O40"/>
  <c r="Q40"/>
  <c r="W40"/>
  <c r="X40"/>
  <c r="Z40"/>
  <c r="N42"/>
  <c r="O42"/>
  <c r="Q42"/>
  <c r="W42"/>
  <c r="X42"/>
  <c r="Z42"/>
  <c r="N44"/>
  <c r="O44"/>
  <c r="Q44"/>
  <c r="W44"/>
  <c r="X44"/>
  <c r="Z44"/>
  <c r="B50"/>
  <c r="C50"/>
  <c r="D50"/>
  <c r="E50"/>
  <c r="B51"/>
  <c r="C51"/>
  <c r="D51"/>
  <c r="E51"/>
  <c r="B52"/>
  <c r="C52"/>
  <c r="D52"/>
  <c r="E52"/>
  <c r="B53"/>
  <c r="C53"/>
  <c r="D53"/>
  <c r="E53"/>
  <c r="B54"/>
  <c r="C54"/>
  <c r="D54"/>
  <c r="E54"/>
  <c r="B55"/>
  <c r="C55"/>
  <c r="D55"/>
  <c r="E55"/>
  <c r="B56"/>
  <c r="C56"/>
  <c r="D56"/>
  <c r="E56"/>
  <c r="B57"/>
  <c r="C57"/>
  <c r="D57"/>
  <c r="E57"/>
  <c r="B58"/>
  <c r="C58"/>
  <c r="D58"/>
  <c r="E58"/>
  <c r="B59"/>
  <c r="C59"/>
  <c r="D59"/>
  <c r="E59"/>
  <c r="B60"/>
  <c r="C60"/>
  <c r="D60"/>
  <c r="E60"/>
  <c r="B61"/>
  <c r="C61"/>
  <c r="D61"/>
  <c r="E61"/>
  <c r="K1024" i="1"/>
  <c r="W846" i="10"/>
  <c r="K944" i="1"/>
  <c r="K839" i="10" s="1"/>
  <c r="K936" i="1"/>
  <c r="K835" i="10" s="1"/>
  <c r="K904" i="1"/>
  <c r="K819" i="10" s="1"/>
  <c r="W794"/>
  <c r="W770"/>
  <c r="K812" i="1"/>
  <c r="K759" i="10" s="1"/>
  <c r="K720" i="1"/>
  <c r="K713" i="10" s="1"/>
  <c r="K608" i="1"/>
  <c r="W621" i="10"/>
  <c r="K515" i="1"/>
  <c r="K507"/>
  <c r="W591" i="10"/>
  <c r="K475" i="1"/>
  <c r="W583" i="10"/>
  <c r="W533"/>
  <c r="K383" i="1"/>
  <c r="W519" i="10"/>
  <c r="W517"/>
  <c r="W515"/>
  <c r="W513"/>
  <c r="W511"/>
  <c r="W507"/>
  <c r="K291" i="1"/>
  <c r="W463" i="10"/>
  <c r="W453"/>
  <c r="W451"/>
  <c r="W449"/>
  <c r="W439"/>
  <c r="W435"/>
  <c r="W431"/>
  <c r="W425"/>
  <c r="W421"/>
  <c r="W417"/>
  <c r="W415"/>
  <c r="W413"/>
  <c r="W411"/>
  <c r="K179" i="1"/>
  <c r="K2" i="10"/>
  <c r="W910"/>
  <c r="W908"/>
  <c r="W906"/>
  <c r="W902"/>
  <c r="W900"/>
  <c r="W912"/>
  <c r="W952"/>
  <c r="W950"/>
  <c r="K939"/>
  <c r="X62" i="8"/>
  <c r="W62"/>
  <c r="K937" i="10"/>
  <c r="X61" i="8"/>
  <c r="W61"/>
  <c r="X60"/>
  <c r="W60"/>
  <c r="K111" i="1"/>
  <c r="K933" i="10" s="1"/>
  <c r="K109" i="1"/>
  <c r="K98"/>
  <c r="K96"/>
  <c r="K915" i="10" s="1"/>
  <c r="K94" i="1"/>
  <c r="K92"/>
  <c r="K913" i="10" s="1"/>
  <c r="W930"/>
  <c r="W926"/>
  <c r="W924"/>
  <c r="W918"/>
  <c r="W980"/>
  <c r="W976"/>
  <c r="K70" i="1"/>
  <c r="K973" i="10" s="1"/>
  <c r="W972"/>
  <c r="W970"/>
  <c r="W968"/>
  <c r="K41" i="1"/>
  <c r="K965" i="10" s="1"/>
  <c r="W964"/>
  <c r="W962"/>
  <c r="W960"/>
  <c r="W958"/>
  <c r="X6" i="8"/>
  <c r="K8" i="1"/>
  <c r="K983" i="10" s="1"/>
  <c r="X5" i="8"/>
  <c r="K6" i="1"/>
  <c r="X4" i="8"/>
  <c r="W720" i="1" l="1"/>
  <c r="X421" i="7"/>
  <c r="X487" i="8" s="1"/>
  <c r="X988" i="10"/>
  <c r="X437" i="7"/>
  <c r="X503" i="8" s="1"/>
  <c r="X1034" i="10"/>
  <c r="X882"/>
  <c r="X375" i="7"/>
  <c r="X441" i="8" s="1"/>
  <c r="W608" i="1"/>
  <c r="W988" i="10"/>
  <c r="W421" i="7"/>
  <c r="W487" i="8" s="1"/>
  <c r="W1034" i="10"/>
  <c r="W437" i="7"/>
  <c r="W503" i="8" s="1"/>
  <c r="W882" i="10"/>
  <c r="W375" i="7"/>
  <c r="W441" i="8" s="1"/>
  <c r="Y16" i="4"/>
  <c r="AA16" s="1"/>
  <c r="Y14"/>
  <c r="AA14" s="1"/>
  <c r="Y12"/>
  <c r="AA12" s="1"/>
  <c r="Y10"/>
  <c r="AA10" s="1"/>
  <c r="Y6"/>
  <c r="AA6" s="1"/>
  <c r="P36"/>
  <c r="P34"/>
  <c r="R34" s="1"/>
  <c r="P30"/>
  <c r="R30" s="1"/>
  <c r="P28"/>
  <c r="P26"/>
  <c r="R26" s="1"/>
  <c r="P24"/>
  <c r="R24" s="1"/>
  <c r="P22"/>
  <c r="R22" s="1"/>
  <c r="P20"/>
  <c r="R20" s="1"/>
  <c r="P18"/>
  <c r="R18" s="1"/>
  <c r="P16"/>
  <c r="R16" s="1"/>
  <c r="P14"/>
  <c r="R14" s="1"/>
  <c r="P12"/>
  <c r="R12" s="1"/>
  <c r="P10"/>
  <c r="R10" s="1"/>
  <c r="P8"/>
  <c r="R8" s="1"/>
  <c r="P6"/>
  <c r="R6" s="1"/>
  <c r="Q42" i="1"/>
  <c r="Q29" i="10" s="1"/>
  <c r="Q71" i="1"/>
  <c r="Q45" i="10" s="1"/>
  <c r="Y40" i="4"/>
  <c r="AA40" s="1"/>
  <c r="Y38"/>
  <c r="AA38" s="1"/>
  <c r="Y36"/>
  <c r="AA36" s="1"/>
  <c r="P44"/>
  <c r="R44" s="1"/>
  <c r="P42"/>
  <c r="R42" s="1"/>
  <c r="P40"/>
  <c r="R40" s="1"/>
  <c r="P38"/>
  <c r="R38" s="1"/>
  <c r="Y34"/>
  <c r="AA34" s="1"/>
  <c r="Y32"/>
  <c r="AA32" s="1"/>
  <c r="Y30"/>
  <c r="AA30" s="1"/>
  <c r="Y28"/>
  <c r="AA28" s="1"/>
  <c r="X106" i="8"/>
  <c r="K484"/>
  <c r="K982" i="10"/>
  <c r="K418" i="7"/>
  <c r="K461" i="8"/>
  <c r="K936" i="10"/>
  <c r="K395" i="7"/>
  <c r="K462" i="8"/>
  <c r="K938" i="10"/>
  <c r="K396" i="7"/>
  <c r="K463" i="8"/>
  <c r="K940" i="10"/>
  <c r="K397" i="7"/>
  <c r="K226" i="8"/>
  <c r="K409" i="10"/>
  <c r="K169" i="7"/>
  <c r="K308" i="8"/>
  <c r="K603" i="10"/>
  <c r="K251" i="7"/>
  <c r="M918" i="10"/>
  <c r="M386" i="7"/>
  <c r="O918" i="10"/>
  <c r="O386" i="7"/>
  <c r="L60" i="10"/>
  <c r="L918"/>
  <c r="L386" i="7"/>
  <c r="L1006" i="10"/>
  <c r="L988"/>
  <c r="L421" i="7"/>
  <c r="L1010" i="10"/>
  <c r="W170" i="7"/>
  <c r="W227" i="8" s="1"/>
  <c r="W171" i="7"/>
  <c r="W228" i="8" s="1"/>
  <c r="W172" i="7"/>
  <c r="W229" i="8" s="1"/>
  <c r="W173" i="7"/>
  <c r="W230" i="8" s="1"/>
  <c r="W175" i="7"/>
  <c r="W232" i="8" s="1"/>
  <c r="W177" i="7"/>
  <c r="W234" i="8" s="1"/>
  <c r="W180" i="7"/>
  <c r="W237" i="8" s="1"/>
  <c r="W182" i="7"/>
  <c r="W239" i="8" s="1"/>
  <c r="W184" i="7"/>
  <c r="W241" i="8" s="1"/>
  <c r="W189" i="7"/>
  <c r="W246" i="8" s="1"/>
  <c r="W190" i="7"/>
  <c r="W247" i="8" s="1"/>
  <c r="W191" i="7"/>
  <c r="W248" i="8" s="1"/>
  <c r="W196" i="7"/>
  <c r="W253" i="8" s="1"/>
  <c r="W213" i="7"/>
  <c r="W270" i="8" s="1"/>
  <c r="W215" i="7"/>
  <c r="W272" i="8" s="1"/>
  <c r="W216" i="7"/>
  <c r="W273" i="8" s="1"/>
  <c r="W217" i="7"/>
  <c r="W274" i="8" s="1"/>
  <c r="W218" i="7"/>
  <c r="W275" i="8" s="1"/>
  <c r="W219" i="7"/>
  <c r="W276" i="8" s="1"/>
  <c r="W226" i="7"/>
  <c r="W283" i="8" s="1"/>
  <c r="W234" i="7"/>
  <c r="W291" i="8" s="1"/>
  <c r="W241" i="7"/>
  <c r="W298" i="8" s="1"/>
  <c r="W245" i="7"/>
  <c r="W302" i="8" s="1"/>
  <c r="W260" i="7"/>
  <c r="W317" i="8" s="1"/>
  <c r="W326" i="7"/>
  <c r="W392" i="8" s="1"/>
  <c r="W331" i="7"/>
  <c r="W397" i="8" s="1"/>
  <c r="W346" i="7"/>
  <c r="W412" i="8" s="1"/>
  <c r="W357" i="7"/>
  <c r="W423" i="8" s="1"/>
  <c r="W358" i="7"/>
  <c r="W424" i="8" s="1"/>
  <c r="W377" i="7"/>
  <c r="W443" i="8" s="1"/>
  <c r="W378" i="7"/>
  <c r="W444" i="8" s="1"/>
  <c r="W380" i="7"/>
  <c r="W446" i="8" s="1"/>
  <c r="W381" i="7"/>
  <c r="W447" i="8" s="1"/>
  <c r="W382" i="7"/>
  <c r="W448" i="8" s="1"/>
  <c r="W383" i="7"/>
  <c r="W449" i="8" s="1"/>
  <c r="W386" i="7"/>
  <c r="W452" i="8" s="1"/>
  <c r="W388" i="7"/>
  <c r="W454" i="8" s="1"/>
  <c r="W389" i="7"/>
  <c r="W455" i="8" s="1"/>
  <c r="W390" i="7"/>
  <c r="W456" i="8" s="1"/>
  <c r="W392" i="7"/>
  <c r="W458" i="8" s="1"/>
  <c r="W395" i="7"/>
  <c r="W461" i="8" s="1"/>
  <c r="W402" i="7"/>
  <c r="W468" i="8" s="1"/>
  <c r="W403" i="7"/>
  <c r="W469" i="8" s="1"/>
  <c r="W406" i="7"/>
  <c r="W472" i="8" s="1"/>
  <c r="W407" i="7"/>
  <c r="W473" i="8" s="1"/>
  <c r="W408" i="7"/>
  <c r="W474" i="8" s="1"/>
  <c r="W409" i="7"/>
  <c r="W475" i="8" s="1"/>
  <c r="W411" i="7"/>
  <c r="W477" i="8" s="1"/>
  <c r="W412" i="7"/>
  <c r="W478" i="8" s="1"/>
  <c r="W413" i="7"/>
  <c r="W479" i="8" s="1"/>
  <c r="W415" i="7"/>
  <c r="W481" i="8" s="1"/>
  <c r="W417" i="7"/>
  <c r="W483" i="8" s="1"/>
  <c r="K450"/>
  <c r="K914" i="10"/>
  <c r="K384" i="7"/>
  <c r="K451" i="8"/>
  <c r="K916" i="10"/>
  <c r="K385" i="7"/>
  <c r="K459" i="8"/>
  <c r="K932" i="10"/>
  <c r="K393" i="7"/>
  <c r="K24" i="10"/>
  <c r="K14" i="8"/>
  <c r="K14" i="7"/>
  <c r="K254" i="8"/>
  <c r="K465" i="10"/>
  <c r="K197" i="7"/>
  <c r="K277" i="8"/>
  <c r="K521" i="10"/>
  <c r="K220" i="7"/>
  <c r="K300" i="8"/>
  <c r="K587" i="10"/>
  <c r="K243" i="7"/>
  <c r="K310" i="8"/>
  <c r="K607" i="10"/>
  <c r="K253" i="7"/>
  <c r="W776" i="10"/>
  <c r="W329" i="7"/>
  <c r="W395" i="8" s="1"/>
  <c r="K439"/>
  <c r="K878" i="10"/>
  <c r="K373" i="7"/>
  <c r="N918" i="10"/>
  <c r="N386" i="7"/>
  <c r="P918" i="10"/>
  <c r="P386" i="7"/>
  <c r="L990" i="10"/>
  <c r="L422" i="7"/>
  <c r="B19" i="6" s="1"/>
  <c r="L986" i="10"/>
  <c r="L420" i="7"/>
  <c r="L1012" i="10"/>
  <c r="L1008"/>
  <c r="M12" i="1"/>
  <c r="W936" i="10"/>
  <c r="R28" i="4"/>
  <c r="Y44"/>
  <c r="AA44" s="1"/>
  <c r="Y42"/>
  <c r="AA42" s="1"/>
  <c r="R36"/>
  <c r="P32"/>
  <c r="R32" s="1"/>
  <c r="Y26"/>
  <c r="AA26" s="1"/>
  <c r="Y24"/>
  <c r="AA24" s="1"/>
  <c r="Y22"/>
  <c r="AA22" s="1"/>
  <c r="Y20"/>
  <c r="AA20" s="1"/>
  <c r="Y18"/>
  <c r="AA18" s="1"/>
  <c r="Y8"/>
  <c r="AA8" s="1"/>
  <c r="K6" i="7"/>
  <c r="K8" i="10"/>
  <c r="K6" i="8"/>
  <c r="K16" i="7"/>
  <c r="K28" i="10"/>
  <c r="K16" i="8"/>
  <c r="K35" i="7"/>
  <c r="K66" i="10"/>
  <c r="K47" i="8"/>
  <c r="K37" i="7"/>
  <c r="K70" i="10"/>
  <c r="K49" i="8"/>
  <c r="K41" i="7"/>
  <c r="K97" i="10"/>
  <c r="K53" i="8"/>
  <c r="K61"/>
  <c r="K63"/>
  <c r="K5" i="7"/>
  <c r="K6" i="10"/>
  <c r="K5" i="8"/>
  <c r="K24" i="7"/>
  <c r="K44" i="10"/>
  <c r="K24" i="8"/>
  <c r="K36" i="7"/>
  <c r="K68" i="10"/>
  <c r="K48" i="8"/>
  <c r="K38" i="7"/>
  <c r="K72" i="10"/>
  <c r="K50" i="8"/>
  <c r="K40" i="7"/>
  <c r="K83" i="10"/>
  <c r="K52" i="8"/>
  <c r="K59"/>
  <c r="K62"/>
  <c r="K64"/>
  <c r="K65"/>
  <c r="N12" i="10"/>
  <c r="N13" i="1"/>
  <c r="P12" i="10"/>
  <c r="P13" i="1"/>
  <c r="Q13"/>
  <c r="Q13" i="10" s="1"/>
  <c r="O12"/>
  <c r="O13" i="1"/>
  <c r="O15" s="1"/>
  <c r="O15" i="10" s="1"/>
  <c r="W17" i="7"/>
  <c r="W17" i="8" s="1"/>
  <c r="W30" i="10"/>
  <c r="W18" i="7"/>
  <c r="W18" i="8" s="1"/>
  <c r="W32" i="10"/>
  <c r="W19" i="7"/>
  <c r="W19" i="8" s="1"/>
  <c r="W34" i="10"/>
  <c r="W20" i="7"/>
  <c r="W20" i="8" s="1"/>
  <c r="W36" i="10"/>
  <c r="W21" i="7"/>
  <c r="W21" i="8" s="1"/>
  <c r="W38" i="10"/>
  <c r="W22" i="7"/>
  <c r="W22" i="8" s="1"/>
  <c r="W40" i="10"/>
  <c r="W23" i="7"/>
  <c r="W23" i="8" s="1"/>
  <c r="W42" i="10"/>
  <c r="W70" i="8"/>
  <c r="W52" i="7"/>
  <c r="W89" i="8" s="1"/>
  <c r="W119" i="10"/>
  <c r="W53" i="7"/>
  <c r="W90" i="8" s="1"/>
  <c r="W121" i="10"/>
  <c r="W54" i="7"/>
  <c r="W91" i="8" s="1"/>
  <c r="W123" i="10"/>
  <c r="W55" i="7"/>
  <c r="W92" i="8" s="1"/>
  <c r="W125" i="10"/>
  <c r="W56" i="7"/>
  <c r="W93" i="8" s="1"/>
  <c r="W127" i="10"/>
  <c r="W5" i="8"/>
  <c r="W6" i="10"/>
  <c r="W11" i="7"/>
  <c r="W11" i="8" s="1"/>
  <c r="W18" i="10"/>
  <c r="W12" i="7"/>
  <c r="W12" i="8" s="1"/>
  <c r="W20" i="10"/>
  <c r="W13" i="7"/>
  <c r="W13" i="8" s="1"/>
  <c r="W22" i="10"/>
  <c r="W15" i="7"/>
  <c r="W15" i="8" s="1"/>
  <c r="W26" i="10"/>
  <c r="W25" i="7"/>
  <c r="W25" i="8" s="1"/>
  <c r="W46" i="10"/>
  <c r="W26" i="7"/>
  <c r="W26" i="8" s="1"/>
  <c r="W48" i="10"/>
  <c r="W27" i="7"/>
  <c r="W27" i="8" s="1"/>
  <c r="W50" i="10"/>
  <c r="W28" i="7"/>
  <c r="W28" i="8" s="1"/>
  <c r="W52" i="10"/>
  <c r="W29" i="7"/>
  <c r="W29" i="8" s="1"/>
  <c r="W54" i="10"/>
  <c r="W30" i="7"/>
  <c r="W30" i="8" s="1"/>
  <c r="W31" i="7"/>
  <c r="W31" i="8" s="1"/>
  <c r="W58" i="10"/>
  <c r="W32" i="7"/>
  <c r="W32" i="8" s="1"/>
  <c r="W60" i="10"/>
  <c r="W33" i="8"/>
  <c r="W34"/>
  <c r="W35"/>
  <c r="W36"/>
  <c r="W37"/>
  <c r="W38"/>
  <c r="W39"/>
  <c r="W40"/>
  <c r="W41"/>
  <c r="W42"/>
  <c r="W43"/>
  <c r="W44"/>
  <c r="W57"/>
  <c r="W58"/>
  <c r="W74"/>
  <c r="W75"/>
  <c r="W76"/>
  <c r="W77"/>
  <c r="W78"/>
  <c r="W79"/>
  <c r="W80"/>
  <c r="W99"/>
  <c r="W100"/>
  <c r="W101"/>
  <c r="W102"/>
  <c r="W103"/>
  <c r="W104"/>
  <c r="W105"/>
  <c r="W111"/>
  <c r="K165" i="10"/>
  <c r="K119" i="8"/>
  <c r="W107" i="7"/>
  <c r="W164" i="8" s="1"/>
  <c r="W265" i="10"/>
  <c r="W108" i="7"/>
  <c r="W165" i="8" s="1"/>
  <c r="W267" i="10"/>
  <c r="W109" i="7"/>
  <c r="W166" i="8" s="1"/>
  <c r="W269" i="10"/>
  <c r="W110" i="7"/>
  <c r="W167" i="8" s="1"/>
  <c r="W271" i="10"/>
  <c r="W111" i="7"/>
  <c r="W168" i="8" s="1"/>
  <c r="W273" i="10"/>
  <c r="W112" i="7"/>
  <c r="W169" i="8" s="1"/>
  <c r="W275" i="10"/>
  <c r="W113" i="7"/>
  <c r="W170" i="8" s="1"/>
  <c r="W277" i="10"/>
  <c r="W114" i="7"/>
  <c r="W171" i="8" s="1"/>
  <c r="W279" i="10"/>
  <c r="W115" i="7"/>
  <c r="W172" i="8" s="1"/>
  <c r="W281" i="10"/>
  <c r="W116" i="7"/>
  <c r="W173" i="8" s="1"/>
  <c r="W283" i="10"/>
  <c r="K118" i="7"/>
  <c r="K287" i="10"/>
  <c r="K175" i="8"/>
  <c r="W152" i="7"/>
  <c r="W209" i="8" s="1"/>
  <c r="W365" i="10"/>
  <c r="W154" i="7"/>
  <c r="W211" i="8" s="1"/>
  <c r="W369" i="10"/>
  <c r="W155" i="7"/>
  <c r="W212" i="8" s="1"/>
  <c r="W371" i="10"/>
  <c r="W156" i="7"/>
  <c r="W213" i="8" s="1"/>
  <c r="W373" i="10"/>
  <c r="W157" i="7"/>
  <c r="W214" i="8" s="1"/>
  <c r="W375" i="10"/>
  <c r="W158" i="7"/>
  <c r="W215" i="8" s="1"/>
  <c r="W377" i="10"/>
  <c r="W159" i="7"/>
  <c r="W216" i="8" s="1"/>
  <c r="W379" i="10"/>
  <c r="W160" i="7"/>
  <c r="W217" i="8" s="1"/>
  <c r="W381" i="10"/>
  <c r="W161" i="7"/>
  <c r="W218" i="8" s="1"/>
  <c r="W383" i="10"/>
  <c r="W162" i="7"/>
  <c r="W219" i="8" s="1"/>
  <c r="W385" i="10"/>
  <c r="K164" i="7"/>
  <c r="K389" i="10"/>
  <c r="K221" i="8"/>
  <c r="W178" i="7"/>
  <c r="W235" i="8" s="1"/>
  <c r="W427" i="10"/>
  <c r="W185" i="7"/>
  <c r="W242" i="8" s="1"/>
  <c r="W441" i="10"/>
  <c r="W195" i="7"/>
  <c r="W252" i="8" s="1"/>
  <c r="W461" i="10"/>
  <c r="W202" i="7"/>
  <c r="W259" i="8" s="1"/>
  <c r="W475" i="10"/>
  <c r="W204" i="7"/>
  <c r="W261" i="8" s="1"/>
  <c r="W479" i="10"/>
  <c r="W214" i="7"/>
  <c r="W271" i="8" s="1"/>
  <c r="W509" i="10"/>
  <c r="K226" i="7"/>
  <c r="K533" i="10"/>
  <c r="K283" i="8"/>
  <c r="W228" i="7"/>
  <c r="W285" i="8" s="1"/>
  <c r="W547" i="10"/>
  <c r="W233" i="7"/>
  <c r="W290" i="8" s="1"/>
  <c r="W567" i="10"/>
  <c r="W252" i="7"/>
  <c r="W309" i="8" s="1"/>
  <c r="W605" i="10"/>
  <c r="K654"/>
  <c r="K340" i="8"/>
  <c r="W338" i="7"/>
  <c r="W404" i="8" s="1"/>
  <c r="W808" i="10"/>
  <c r="W387" i="7"/>
  <c r="W453" i="8" s="1"/>
  <c r="W920" i="10"/>
  <c r="W394" i="7"/>
  <c r="W460" i="8" s="1"/>
  <c r="W934" i="10"/>
  <c r="W410" i="7"/>
  <c r="W476" i="8" s="1"/>
  <c r="W966" i="10"/>
  <c r="W416" i="7"/>
  <c r="W482" i="8" s="1"/>
  <c r="W978" i="10"/>
  <c r="W420" i="7"/>
  <c r="W486" i="8" s="1"/>
  <c r="W986" i="10"/>
  <c r="W427" i="7"/>
  <c r="W493" i="8" s="1"/>
  <c r="W1014" i="10"/>
  <c r="K438" i="7"/>
  <c r="K1036" i="10"/>
  <c r="K504" i="8"/>
  <c r="W449" i="7"/>
  <c r="W515" i="8" s="1"/>
  <c r="W1086" i="10"/>
  <c r="W470" i="7"/>
  <c r="W536" i="8" s="1"/>
  <c r="W1128" i="10"/>
  <c r="W480" i="7"/>
  <c r="W546" i="8" s="1"/>
  <c r="W1148" i="10"/>
  <c r="K481" i="7"/>
  <c r="K1152" i="10"/>
  <c r="K547" i="8"/>
  <c r="M4" i="7"/>
  <c r="M4" i="10"/>
  <c r="O4" i="7"/>
  <c r="O4" i="10"/>
  <c r="K98" i="8"/>
  <c r="W63" i="7"/>
  <c r="W120" i="8" s="1"/>
  <c r="W177" i="10"/>
  <c r="W64" i="7"/>
  <c r="W121" i="8" s="1"/>
  <c r="W179" i="10"/>
  <c r="W65" i="7"/>
  <c r="W122" i="8" s="1"/>
  <c r="W181" i="10"/>
  <c r="W66" i="7"/>
  <c r="W123" i="8" s="1"/>
  <c r="W183" i="10"/>
  <c r="W67" i="7"/>
  <c r="W124" i="8" s="1"/>
  <c r="W185" i="10"/>
  <c r="W68" i="7"/>
  <c r="W125" i="8" s="1"/>
  <c r="W187" i="10"/>
  <c r="W69" i="7"/>
  <c r="W126" i="8" s="1"/>
  <c r="W189" i="10"/>
  <c r="W70" i="7"/>
  <c r="W127" i="8" s="1"/>
  <c r="W191" i="10"/>
  <c r="W71" i="7"/>
  <c r="W128" i="8" s="1"/>
  <c r="W193" i="10"/>
  <c r="W72" i="7"/>
  <c r="W129" i="8" s="1"/>
  <c r="W195" i="10"/>
  <c r="W73" i="7"/>
  <c r="W130" i="8" s="1"/>
  <c r="W197" i="10"/>
  <c r="W74" i="7"/>
  <c r="W131" i="8" s="1"/>
  <c r="W199" i="10"/>
  <c r="W75" i="7"/>
  <c r="W132" i="8" s="1"/>
  <c r="W201" i="10"/>
  <c r="W76" i="7"/>
  <c r="W133" i="8" s="1"/>
  <c r="W203" i="10"/>
  <c r="W77" i="7"/>
  <c r="W134" i="8" s="1"/>
  <c r="W205" i="10"/>
  <c r="W78" i="7"/>
  <c r="W135" i="8" s="1"/>
  <c r="W207" i="10"/>
  <c r="W79" i="7"/>
  <c r="W136" i="8" s="1"/>
  <c r="W209" i="10"/>
  <c r="W80" i="7"/>
  <c r="W137" i="8" s="1"/>
  <c r="W211" i="10"/>
  <c r="W81" i="7"/>
  <c r="W138" i="8" s="1"/>
  <c r="W213" i="10"/>
  <c r="W82" i="7"/>
  <c r="W139" i="8" s="1"/>
  <c r="W215" i="10"/>
  <c r="W83" i="7"/>
  <c r="W140" i="8" s="1"/>
  <c r="W217" i="10"/>
  <c r="W84" i="7"/>
  <c r="W141" i="8" s="1"/>
  <c r="W219" i="10"/>
  <c r="W85" i="7"/>
  <c r="W142" i="8" s="1"/>
  <c r="W221" i="10"/>
  <c r="W86" i="7"/>
  <c r="W143" i="8" s="1"/>
  <c r="W223" i="10"/>
  <c r="W87" i="7"/>
  <c r="W144" i="8" s="1"/>
  <c r="W225" i="10"/>
  <c r="W88" i="7"/>
  <c r="W145" i="8" s="1"/>
  <c r="W227" i="10"/>
  <c r="W89" i="7"/>
  <c r="W146" i="8" s="1"/>
  <c r="W229" i="10"/>
  <c r="W90" i="7"/>
  <c r="W147" i="8" s="1"/>
  <c r="W231" i="10"/>
  <c r="W91" i="7"/>
  <c r="W148" i="8" s="1"/>
  <c r="W233" i="10"/>
  <c r="W92" i="7"/>
  <c r="W149" i="8" s="1"/>
  <c r="W235" i="10"/>
  <c r="W93" i="7"/>
  <c r="W150" i="8" s="1"/>
  <c r="W237" i="10"/>
  <c r="W94" i="7"/>
  <c r="W151" i="8" s="1"/>
  <c r="W239" i="10"/>
  <c r="W95" i="7"/>
  <c r="W152" i="8" s="1"/>
  <c r="W241" i="10"/>
  <c r="W96" i="7"/>
  <c r="W153" i="8" s="1"/>
  <c r="W243" i="10"/>
  <c r="W97" i="7"/>
  <c r="W154" i="8" s="1"/>
  <c r="W245" i="10"/>
  <c r="W98" i="7"/>
  <c r="W155" i="8" s="1"/>
  <c r="W247" i="10"/>
  <c r="W99" i="7"/>
  <c r="W156" i="8" s="1"/>
  <c r="W249" i="10"/>
  <c r="W100" i="7"/>
  <c r="W157" i="8" s="1"/>
  <c r="W251" i="10"/>
  <c r="W101" i="7"/>
  <c r="W158" i="8" s="1"/>
  <c r="W253" i="10"/>
  <c r="W102" i="7"/>
  <c r="W159" i="8" s="1"/>
  <c r="W255" i="10"/>
  <c r="W103" i="7"/>
  <c r="W160" i="8" s="1"/>
  <c r="W257" i="10"/>
  <c r="W104" i="7"/>
  <c r="W161" i="8" s="1"/>
  <c r="W259" i="10"/>
  <c r="W105" i="7"/>
  <c r="W162" i="8" s="1"/>
  <c r="W261" i="10"/>
  <c r="W106" i="7"/>
  <c r="W163" i="8" s="1"/>
  <c r="W263" i="10"/>
  <c r="W150" i="7"/>
  <c r="W207" i="8" s="1"/>
  <c r="W361" i="10"/>
  <c r="W165" i="7"/>
  <c r="W222" i="8" s="1"/>
  <c r="W401" i="10"/>
  <c r="W176" i="7"/>
  <c r="W233" i="8" s="1"/>
  <c r="W423" i="10"/>
  <c r="W193" i="7"/>
  <c r="W250" i="8" s="1"/>
  <c r="W457" i="10"/>
  <c r="W206" i="7"/>
  <c r="W263" i="8" s="1"/>
  <c r="W483" i="10"/>
  <c r="K210" i="7"/>
  <c r="K491" i="10"/>
  <c r="K267" i="8"/>
  <c r="W221" i="7"/>
  <c r="W278" i="8" s="1"/>
  <c r="W523" i="10"/>
  <c r="W227" i="7"/>
  <c r="W284" i="8" s="1"/>
  <c r="W545" i="10"/>
  <c r="K230" i="7"/>
  <c r="K551" i="10"/>
  <c r="K287" i="8"/>
  <c r="W244" i="7"/>
  <c r="W301" i="8" s="1"/>
  <c r="W589" i="10"/>
  <c r="W337" i="8"/>
  <c r="W338"/>
  <c r="K330" i="7"/>
  <c r="K778" i="10"/>
  <c r="K396" i="8"/>
  <c r="W362" i="7"/>
  <c r="W428" i="8" s="1"/>
  <c r="W856" i="10"/>
  <c r="W404" i="7"/>
  <c r="W470" i="8" s="1"/>
  <c r="W954" i="10"/>
  <c r="W414" i="7"/>
  <c r="W480" i="8" s="1"/>
  <c r="W974" i="10"/>
  <c r="W418" i="7"/>
  <c r="W484" i="8" s="1"/>
  <c r="W982" i="10"/>
  <c r="K422" i="7"/>
  <c r="K990" i="10"/>
  <c r="K488" i="8"/>
  <c r="K442" i="7"/>
  <c r="K1058" i="10"/>
  <c r="K508" i="8"/>
  <c r="W451" i="7"/>
  <c r="W517" i="8" s="1"/>
  <c r="W1090" i="10"/>
  <c r="L4" i="7"/>
  <c r="L4" i="10"/>
  <c r="N4" i="7"/>
  <c r="N4" i="10"/>
  <c r="P4" i="7"/>
  <c r="P4" i="10"/>
  <c r="W106" i="8"/>
  <c r="X10" i="7"/>
  <c r="X10" i="8" s="1"/>
  <c r="X16" i="10"/>
  <c r="X17" i="7"/>
  <c r="X17" i="8" s="1"/>
  <c r="X30" i="10"/>
  <c r="X18" i="7"/>
  <c r="X18" i="8" s="1"/>
  <c r="X32" i="10"/>
  <c r="X19" i="7"/>
  <c r="X19" i="8" s="1"/>
  <c r="X34" i="10"/>
  <c r="X20" i="7"/>
  <c r="X20" i="8" s="1"/>
  <c r="X36" i="10"/>
  <c r="X21" i="7"/>
  <c r="X21" i="8" s="1"/>
  <c r="X38" i="10"/>
  <c r="X22" i="7"/>
  <c r="X22" i="8" s="1"/>
  <c r="X40" i="10"/>
  <c r="X23" i="7"/>
  <c r="X23" i="8" s="1"/>
  <c r="X42" i="10"/>
  <c r="X107" i="8"/>
  <c r="X109"/>
  <c r="X113"/>
  <c r="X115"/>
  <c r="X63" i="7"/>
  <c r="X120" i="8" s="1"/>
  <c r="X177" i="10"/>
  <c r="X64" i="7"/>
  <c r="X121" i="8" s="1"/>
  <c r="X179" i="10"/>
  <c r="X65" i="7"/>
  <c r="X122" i="8" s="1"/>
  <c r="X181" i="10"/>
  <c r="X66" i="7"/>
  <c r="X123" i="8" s="1"/>
  <c r="X183" i="10"/>
  <c r="X67" i="7"/>
  <c r="X124" i="8" s="1"/>
  <c r="X185" i="10"/>
  <c r="X68" i="7"/>
  <c r="X125" i="8" s="1"/>
  <c r="X187" i="10"/>
  <c r="X69" i="7"/>
  <c r="X126" i="8" s="1"/>
  <c r="X189" i="10"/>
  <c r="X70" i="7"/>
  <c r="X127" i="8" s="1"/>
  <c r="X191" i="10"/>
  <c r="X71" i="7"/>
  <c r="X128" i="8" s="1"/>
  <c r="X193" i="10"/>
  <c r="X72" i="7"/>
  <c r="X129" i="8" s="1"/>
  <c r="X195" i="10"/>
  <c r="X73" i="7"/>
  <c r="X130" i="8" s="1"/>
  <c r="X197" i="10"/>
  <c r="X74" i="7"/>
  <c r="X131" i="8" s="1"/>
  <c r="X199" i="10"/>
  <c r="X75" i="7"/>
  <c r="X132" i="8" s="1"/>
  <c r="X201" i="10"/>
  <c r="X76" i="7"/>
  <c r="X133" i="8" s="1"/>
  <c r="X203" i="10"/>
  <c r="X77" i="7"/>
  <c r="X134" i="8" s="1"/>
  <c r="X205" i="10"/>
  <c r="X78" i="7"/>
  <c r="X135" i="8" s="1"/>
  <c r="X207" i="10"/>
  <c r="X79" i="7"/>
  <c r="X136" i="8" s="1"/>
  <c r="X209" i="10"/>
  <c r="X80" i="7"/>
  <c r="X137" i="8" s="1"/>
  <c r="X211" i="10"/>
  <c r="X81" i="7"/>
  <c r="X138" i="8" s="1"/>
  <c r="X213" i="10"/>
  <c r="X82" i="7"/>
  <c r="X139" i="8" s="1"/>
  <c r="X215" i="10"/>
  <c r="X83" i="7"/>
  <c r="X140" i="8" s="1"/>
  <c r="X217" i="10"/>
  <c r="X84" i="7"/>
  <c r="X141" i="8" s="1"/>
  <c r="X219" i="10"/>
  <c r="X85" i="7"/>
  <c r="X142" i="8" s="1"/>
  <c r="X221" i="10"/>
  <c r="X86" i="7"/>
  <c r="X143" i="8" s="1"/>
  <c r="X223" i="10"/>
  <c r="X87" i="7"/>
  <c r="X144" i="8" s="1"/>
  <c r="X225" i="10"/>
  <c r="X88" i="7"/>
  <c r="X145" i="8" s="1"/>
  <c r="X227" i="10"/>
  <c r="X89" i="7"/>
  <c r="X146" i="8" s="1"/>
  <c r="X229" i="10"/>
  <c r="X90" i="7"/>
  <c r="X147" i="8" s="1"/>
  <c r="X231" i="10"/>
  <c r="X91" i="7"/>
  <c r="X148" i="8" s="1"/>
  <c r="X233" i="10"/>
  <c r="X92" i="7"/>
  <c r="X149" i="8" s="1"/>
  <c r="X235" i="10"/>
  <c r="X93" i="7"/>
  <c r="X150" i="8" s="1"/>
  <c r="X237" i="10"/>
  <c r="X94" i="7"/>
  <c r="X151" i="8" s="1"/>
  <c r="X239" i="10"/>
  <c r="X95" i="7"/>
  <c r="X152" i="8" s="1"/>
  <c r="X241" i="10"/>
  <c r="X96" i="7"/>
  <c r="X153" i="8" s="1"/>
  <c r="X243" i="10"/>
  <c r="X97" i="7"/>
  <c r="X154" i="8" s="1"/>
  <c r="X245" i="10"/>
  <c r="X98" i="7"/>
  <c r="X155" i="8" s="1"/>
  <c r="X247" i="10"/>
  <c r="X99" i="7"/>
  <c r="X156" i="8" s="1"/>
  <c r="X249" i="10"/>
  <c r="X100" i="7"/>
  <c r="X157" i="8" s="1"/>
  <c r="X251" i="10"/>
  <c r="X101" i="7"/>
  <c r="X158" i="8" s="1"/>
  <c r="X253" i="10"/>
  <c r="X102" i="7"/>
  <c r="X159" i="8" s="1"/>
  <c r="X255" i="10"/>
  <c r="X103" i="7"/>
  <c r="X160" i="8" s="1"/>
  <c r="X257" i="10"/>
  <c r="X104" i="7"/>
  <c r="X161" i="8" s="1"/>
  <c r="X259" i="10"/>
  <c r="X105" i="7"/>
  <c r="X162" i="8" s="1"/>
  <c r="X261" i="10"/>
  <c r="X165" i="7"/>
  <c r="X222" i="8" s="1"/>
  <c r="X401" i="10"/>
  <c r="X9" i="7"/>
  <c r="X9" i="8" s="1"/>
  <c r="X14" i="10"/>
  <c r="X11" i="7"/>
  <c r="X11" i="8" s="1"/>
  <c r="X18" i="10"/>
  <c r="X12" i="7"/>
  <c r="X12" i="8" s="1"/>
  <c r="X20" i="10"/>
  <c r="X13" i="7"/>
  <c r="X13" i="8" s="1"/>
  <c r="X22" i="10"/>
  <c r="X14" i="7"/>
  <c r="X14" i="8" s="1"/>
  <c r="X24" i="10"/>
  <c r="X15" i="7"/>
  <c r="X15" i="8" s="1"/>
  <c r="X26" i="10"/>
  <c r="X25" i="7"/>
  <c r="X25" i="8" s="1"/>
  <c r="X46" i="10"/>
  <c r="X26" i="7"/>
  <c r="X26" i="8" s="1"/>
  <c r="X48" i="10"/>
  <c r="X27" i="7"/>
  <c r="X27" i="8" s="1"/>
  <c r="X50" i="10"/>
  <c r="X28" i="7"/>
  <c r="X28" i="8" s="1"/>
  <c r="X52" i="10"/>
  <c r="X29" i="7"/>
  <c r="X29" i="8" s="1"/>
  <c r="X54" i="10"/>
  <c r="X30" i="7"/>
  <c r="X30" i="8" s="1"/>
  <c r="X56" i="10"/>
  <c r="X31" i="7"/>
  <c r="X31" i="8" s="1"/>
  <c r="X32" i="7"/>
  <c r="X32" i="8" s="1"/>
  <c r="X60" i="10"/>
  <c r="X33" i="8"/>
  <c r="X34"/>
  <c r="X35"/>
  <c r="X36"/>
  <c r="X37"/>
  <c r="X38"/>
  <c r="X39"/>
  <c r="X40"/>
  <c r="X41"/>
  <c r="X42"/>
  <c r="X43"/>
  <c r="X44"/>
  <c r="X57"/>
  <c r="X58"/>
  <c r="X64"/>
  <c r="X74"/>
  <c r="X75"/>
  <c r="X76"/>
  <c r="X77"/>
  <c r="X78"/>
  <c r="X79"/>
  <c r="X80"/>
  <c r="X99"/>
  <c r="X100"/>
  <c r="X101"/>
  <c r="X102"/>
  <c r="X103"/>
  <c r="X104"/>
  <c r="X105"/>
  <c r="X108"/>
  <c r="X110"/>
  <c r="X112"/>
  <c r="X114"/>
  <c r="X116"/>
  <c r="X107" i="7"/>
  <c r="X164" i="8" s="1"/>
  <c r="X265" i="10"/>
  <c r="X108" i="7"/>
  <c r="X165" i="8" s="1"/>
  <c r="X267" i="10"/>
  <c r="X109" i="7"/>
  <c r="X166" i="8" s="1"/>
  <c r="X269" i="10"/>
  <c r="X110" i="7"/>
  <c r="X167" i="8" s="1"/>
  <c r="X271" i="10"/>
  <c r="X111" i="7"/>
  <c r="X168" i="8" s="1"/>
  <c r="X273" i="10"/>
  <c r="X112" i="7"/>
  <c r="X169" i="8" s="1"/>
  <c r="X275" i="10"/>
  <c r="X113" i="7"/>
  <c r="X170" i="8" s="1"/>
  <c r="X277" i="10"/>
  <c r="X114" i="7"/>
  <c r="X171" i="8" s="1"/>
  <c r="X279" i="10"/>
  <c r="X115" i="7"/>
  <c r="X172" i="8" s="1"/>
  <c r="X281" i="10"/>
  <c r="X116" i="7"/>
  <c r="X173" i="8" s="1"/>
  <c r="X283" i="10"/>
  <c r="X152" i="7"/>
  <c r="X209" i="8" s="1"/>
  <c r="X365" i="10"/>
  <c r="X154" i="7"/>
  <c r="X211" i="8" s="1"/>
  <c r="X369" i="10"/>
  <c r="X155" i="7"/>
  <c r="X212" i="8" s="1"/>
  <c r="X371" i="10"/>
  <c r="X156" i="7"/>
  <c r="X213" i="8" s="1"/>
  <c r="X373" i="10"/>
  <c r="X157" i="7"/>
  <c r="X214" i="8" s="1"/>
  <c r="X375" i="10"/>
  <c r="X158" i="7"/>
  <c r="X215" i="8" s="1"/>
  <c r="X377" i="10"/>
  <c r="X159" i="7"/>
  <c r="X216" i="8" s="1"/>
  <c r="X379" i="10"/>
  <c r="X160" i="7"/>
  <c r="X217" i="8" s="1"/>
  <c r="X381" i="10"/>
  <c r="X161" i="7"/>
  <c r="X218" i="8" s="1"/>
  <c r="X383" i="10"/>
  <c r="X162" i="7"/>
  <c r="X219" i="8" s="1"/>
  <c r="X385" i="10"/>
  <c r="X427" i="7"/>
  <c r="X493" i="8" s="1"/>
  <c r="X1014" i="10"/>
  <c r="X470" i="7"/>
  <c r="X536" i="8" s="1"/>
  <c r="X1128" i="10"/>
  <c r="X480" i="7"/>
  <c r="X546" i="8" s="1"/>
  <c r="X1148" i="10"/>
  <c r="X8" i="7"/>
  <c r="X8" i="8" s="1"/>
  <c r="X12" i="10"/>
  <c r="N36" i="1"/>
  <c r="N34"/>
  <c r="N32"/>
  <c r="N30"/>
  <c r="N28"/>
  <c r="N40"/>
  <c r="N38"/>
  <c r="P36"/>
  <c r="P34"/>
  <c r="P32"/>
  <c r="P30"/>
  <c r="P28"/>
  <c r="P40"/>
  <c r="P38"/>
  <c r="M40"/>
  <c r="M38"/>
  <c r="M36"/>
  <c r="M34"/>
  <c r="M32"/>
  <c r="M30"/>
  <c r="M28"/>
  <c r="O40"/>
  <c r="O38"/>
  <c r="O36"/>
  <c r="O34"/>
  <c r="O32"/>
  <c r="O30"/>
  <c r="O28"/>
  <c r="M8" i="7"/>
  <c r="M8" i="8" s="1"/>
  <c r="O8" i="7"/>
  <c r="K177" i="1"/>
  <c r="K408" i="10" s="1"/>
  <c r="K62" i="7"/>
  <c r="K1020" i="1"/>
  <c r="K877" i="10" s="1"/>
  <c r="K274" i="7"/>
  <c r="G2" i="6"/>
  <c r="I2"/>
  <c r="K2"/>
  <c r="B4"/>
  <c r="L24" i="7"/>
  <c r="L32"/>
  <c r="D2" i="6"/>
  <c r="N8" i="7"/>
  <c r="F2" i="6"/>
  <c r="P8" i="7"/>
  <c r="H2" i="6"/>
  <c r="J2"/>
  <c r="B5"/>
  <c r="L34" i="7"/>
  <c r="P13" i="10"/>
  <c r="P5" i="1"/>
  <c r="M13"/>
  <c r="C2" i="6"/>
  <c r="O13" i="10"/>
  <c r="E2" i="6"/>
  <c r="N13" i="10"/>
  <c r="N5" i="1"/>
  <c r="M5"/>
  <c r="O5"/>
  <c r="W932" i="10"/>
  <c r="W24"/>
  <c r="W940"/>
  <c r="W398" i="7"/>
  <c r="W464" i="8" s="1"/>
  <c r="W333"/>
  <c r="W409" i="10"/>
  <c r="K597" i="1"/>
  <c r="K648" i="10" s="1"/>
  <c r="K599" i="1"/>
  <c r="K649" i="10" s="1"/>
  <c r="K595" i="1"/>
  <c r="K647" i="10" s="1"/>
  <c r="W7" i="8"/>
  <c r="W14" i="10"/>
  <c r="M12" l="1"/>
  <c r="W12" i="1"/>
  <c r="W12" i="10" s="1"/>
  <c r="W762"/>
  <c r="W322" i="7"/>
  <c r="W388" i="8" s="1"/>
  <c r="W521" i="10"/>
  <c r="W220" i="7"/>
  <c r="W277" i="8" s="1"/>
  <c r="W946" i="10"/>
  <c r="W400" i="7"/>
  <c r="W466" i="8" s="1"/>
  <c r="W938" i="10"/>
  <c r="W396" i="7"/>
  <c r="W462" i="8" s="1"/>
  <c r="M5" i="10"/>
  <c r="M7" i="1"/>
  <c r="M13" i="10"/>
  <c r="M15" i="1"/>
  <c r="O986" i="10"/>
  <c r="O420" i="7"/>
  <c r="O990" i="10"/>
  <c r="O422" i="7"/>
  <c r="O1008" i="10"/>
  <c r="O1012"/>
  <c r="M988"/>
  <c r="M421" i="7"/>
  <c r="M487" i="8" s="1"/>
  <c r="M1006" i="10"/>
  <c r="M489" i="8"/>
  <c r="M1010" i="10"/>
  <c r="M491" i="8"/>
  <c r="P1010" i="10"/>
  <c r="P986"/>
  <c r="P420" i="7"/>
  <c r="P990" i="10"/>
  <c r="P422" i="7"/>
  <c r="P1008" i="10"/>
  <c r="N1012"/>
  <c r="N1006"/>
  <c r="N489" i="8"/>
  <c r="L1026" i="10"/>
  <c r="L1030"/>
  <c r="L1034"/>
  <c r="L437" i="7"/>
  <c r="L1052" i="10"/>
  <c r="L439" i="7"/>
  <c r="L76" i="10"/>
  <c r="L129"/>
  <c r="L1092"/>
  <c r="L80"/>
  <c r="L133"/>
  <c r="L1096"/>
  <c r="P452" i="8"/>
  <c r="Q452"/>
  <c r="X918" i="10"/>
  <c r="X386" i="7"/>
  <c r="X452" i="8" s="1"/>
  <c r="O452"/>
  <c r="M452"/>
  <c r="W397" i="7"/>
  <c r="W463" i="8" s="1"/>
  <c r="W393" i="7"/>
  <c r="W459" i="8" s="1"/>
  <c r="W942" i="10"/>
  <c r="W169" i="7"/>
  <c r="W226" i="8" s="1"/>
  <c r="W14" i="7"/>
  <c r="W14" i="8" s="1"/>
  <c r="W9" i="7"/>
  <c r="W9" i="8" s="1"/>
  <c r="W8" i="7"/>
  <c r="W8" i="8" s="1"/>
  <c r="W633" i="10"/>
  <c r="W266" i="7"/>
  <c r="W323" i="8" s="1"/>
  <c r="W615" i="10"/>
  <c r="W257" i="7"/>
  <c r="W314" i="8" s="1"/>
  <c r="W774" i="10"/>
  <c r="W328" i="7"/>
  <c r="W394" i="8" s="1"/>
  <c r="W944" i="10"/>
  <c r="W399" i="7"/>
  <c r="W465" i="8" s="1"/>
  <c r="W914" i="10"/>
  <c r="W384" i="7"/>
  <c r="W450" i="8" s="1"/>
  <c r="W916" i="10"/>
  <c r="W385" i="7"/>
  <c r="W451" i="8" s="1"/>
  <c r="O5" i="10"/>
  <c r="O7" i="1"/>
  <c r="N5" i="10"/>
  <c r="N7" i="1"/>
  <c r="P5" i="10"/>
  <c r="P7" i="1"/>
  <c r="O988" i="10"/>
  <c r="O421" i="7"/>
  <c r="O1006" i="10"/>
  <c r="O489" i="8"/>
  <c r="O1010" i="10"/>
  <c r="M986"/>
  <c r="M420" i="7"/>
  <c r="M486" i="8" s="1"/>
  <c r="M990" i="10"/>
  <c r="M422" i="7"/>
  <c r="M1008" i="10"/>
  <c r="M490" i="8"/>
  <c r="M1012" i="10"/>
  <c r="M492" i="8"/>
  <c r="P1012" i="10"/>
  <c r="P988"/>
  <c r="P421" i="7"/>
  <c r="P1006" i="10"/>
  <c r="N1010"/>
  <c r="N986"/>
  <c r="N420" i="7"/>
  <c r="N990" i="10"/>
  <c r="N422" i="7"/>
  <c r="N1008" i="10"/>
  <c r="L1028"/>
  <c r="L1032"/>
  <c r="L1036"/>
  <c r="L74"/>
  <c r="L1090"/>
  <c r="L78"/>
  <c r="L131"/>
  <c r="L1094"/>
  <c r="N452" i="8"/>
  <c r="P15" i="1"/>
  <c r="N15"/>
  <c r="B22" i="6"/>
  <c r="N4" i="8"/>
  <c r="N8"/>
  <c r="P8"/>
  <c r="U32"/>
  <c r="S32"/>
  <c r="S24"/>
  <c r="T16"/>
  <c r="R16"/>
  <c r="T8"/>
  <c r="W379" i="7"/>
  <c r="W445" i="8" s="1"/>
  <c r="W904" i="10"/>
  <c r="W331" i="8"/>
  <c r="W238" i="7"/>
  <c r="W295" i="8" s="1"/>
  <c r="W577" i="10"/>
  <c r="W251" i="7"/>
  <c r="W308" i="8" s="1"/>
  <c r="W603" i="10"/>
  <c r="K270" i="7"/>
  <c r="K641" i="10"/>
  <c r="K327" i="8"/>
  <c r="K271" i="7"/>
  <c r="K643" i="10"/>
  <c r="K328" i="8"/>
  <c r="W112"/>
  <c r="W108"/>
  <c r="W115"/>
  <c r="W71"/>
  <c r="W66"/>
  <c r="W391" i="7"/>
  <c r="W457" i="8" s="1"/>
  <c r="W928" i="10"/>
  <c r="W332" i="8"/>
  <c r="W330"/>
  <c r="W239" i="7"/>
  <c r="W296" i="8" s="1"/>
  <c r="W579" i="10"/>
  <c r="W237" i="7"/>
  <c r="W294" i="8" s="1"/>
  <c r="W575" i="10"/>
  <c r="W243" i="7"/>
  <c r="W300" i="8" s="1"/>
  <c r="W587" i="10"/>
  <c r="K272" i="7"/>
  <c r="K645" i="10"/>
  <c r="K329" i="8"/>
  <c r="W117"/>
  <c r="W113"/>
  <c r="W109"/>
  <c r="W4"/>
  <c r="W4" i="10"/>
  <c r="W98" i="8"/>
  <c r="W62" i="7"/>
  <c r="W119" i="8" s="1"/>
  <c r="W165" i="10"/>
  <c r="W114" i="8"/>
  <c r="W107"/>
  <c r="W69"/>
  <c r="W67"/>
  <c r="W65"/>
  <c r="W6"/>
  <c r="W8" i="10"/>
  <c r="W110" i="8"/>
  <c r="W63"/>
  <c r="P4"/>
  <c r="Q4"/>
  <c r="O8"/>
  <c r="W334"/>
  <c r="W256" i="7"/>
  <c r="W313" i="8" s="1"/>
  <c r="W613" i="10"/>
  <c r="W231" i="7"/>
  <c r="W288" i="8" s="1"/>
  <c r="W563" i="10"/>
  <c r="W116" i="8"/>
  <c r="W264" i="7"/>
  <c r="W321" i="8" s="1"/>
  <c r="W629" i="10"/>
  <c r="W68" i="8"/>
  <c r="W64"/>
  <c r="W59"/>
  <c r="W16" i="7"/>
  <c r="W16" i="8" s="1"/>
  <c r="W28" i="10"/>
  <c r="W24" i="7"/>
  <c r="W24" i="8" s="1"/>
  <c r="W44" i="10"/>
  <c r="K1148"/>
  <c r="K546" i="8"/>
  <c r="K61" i="7"/>
  <c r="K163" i="10"/>
  <c r="K118" i="8"/>
  <c r="O4"/>
  <c r="M4"/>
  <c r="X24" i="7"/>
  <c r="X24" i="8" s="1"/>
  <c r="X44" i="10"/>
  <c r="X70" i="8"/>
  <c r="X65"/>
  <c r="X16" i="7"/>
  <c r="X16" i="8" s="1"/>
  <c r="X28" i="10"/>
  <c r="X67" i="8"/>
  <c r="T24"/>
  <c r="U24"/>
  <c r="T32"/>
  <c r="R32"/>
  <c r="R24"/>
  <c r="U16"/>
  <c r="S16"/>
  <c r="U8"/>
  <c r="S8"/>
  <c r="X63"/>
  <c r="X98"/>
  <c r="X227" i="7"/>
  <c r="X284" i="8" s="1"/>
  <c r="X545" i="10"/>
  <c r="X111" i="8"/>
  <c r="X117"/>
  <c r="X71"/>
  <c r="X68"/>
  <c r="X59"/>
  <c r="X69"/>
  <c r="X66"/>
  <c r="R8"/>
  <c r="Q8"/>
  <c r="K606" i="1"/>
  <c r="K480" i="7"/>
  <c r="K170" i="1"/>
  <c r="K885" i="10" s="1"/>
  <c r="W258" i="7"/>
  <c r="W315" i="8" s="1"/>
  <c r="K168" i="1"/>
  <c r="B24" i="6" l="1"/>
  <c r="N491" i="8"/>
  <c r="F22" i="6"/>
  <c r="B23"/>
  <c r="N490" i="8"/>
  <c r="N486"/>
  <c r="P17" i="1"/>
  <c r="P17" i="10" s="1"/>
  <c r="P15"/>
  <c r="E22" i="6"/>
  <c r="N17" i="1"/>
  <c r="N17" i="10" s="1"/>
  <c r="N15"/>
  <c r="W16"/>
  <c r="W10" i="7"/>
  <c r="W10" i="8" s="1"/>
  <c r="K335"/>
  <c r="N488"/>
  <c r="Q487"/>
  <c r="P487"/>
  <c r="M488"/>
  <c r="Q490"/>
  <c r="P490"/>
  <c r="P486"/>
  <c r="Q486"/>
  <c r="W617" i="10"/>
  <c r="O491" i="8"/>
  <c r="O490"/>
  <c r="O486"/>
  <c r="K376" i="7"/>
  <c r="K442" i="8"/>
  <c r="K884" i="10"/>
  <c r="W627"/>
  <c r="W263" i="7"/>
  <c r="W320" i="8" s="1"/>
  <c r="W619" i="10"/>
  <c r="W259" i="7"/>
  <c r="W316" i="8" s="1"/>
  <c r="W625" i="10"/>
  <c r="W262" i="7"/>
  <c r="W319" i="8" s="1"/>
  <c r="L1116" i="10"/>
  <c r="P489" i="8"/>
  <c r="Q489"/>
  <c r="Q492"/>
  <c r="P492"/>
  <c r="P7" i="10"/>
  <c r="P9" i="1"/>
  <c r="N7" i="10"/>
  <c r="N9" i="1"/>
  <c r="O7" i="10"/>
  <c r="O9" i="1"/>
  <c r="L1118" i="10"/>
  <c r="L1114"/>
  <c r="B25" i="6"/>
  <c r="P488" i="8"/>
  <c r="P491"/>
  <c r="Q491"/>
  <c r="O488"/>
  <c r="M15" i="10"/>
  <c r="M17" i="1"/>
  <c r="M7" i="10"/>
  <c r="M9" i="1"/>
  <c r="O17"/>
  <c r="C22" i="6"/>
  <c r="N492" i="8"/>
  <c r="O492"/>
  <c r="W135" i="7"/>
  <c r="W192" i="8" s="1"/>
  <c r="W331" i="10"/>
  <c r="W267" i="7"/>
  <c r="W324" i="8" s="1"/>
  <c r="W635" i="10"/>
  <c r="W318" i="7"/>
  <c r="W384" i="8" s="1"/>
  <c r="W754" i="10"/>
  <c r="W454" i="7"/>
  <c r="W520" i="8" s="1"/>
  <c r="W1096" i="10"/>
  <c r="W242" i="7"/>
  <c r="W299" i="8" s="1"/>
  <c r="W585" i="10"/>
  <c r="W240" i="7"/>
  <c r="W297" i="8" s="1"/>
  <c r="W581" i="10"/>
  <c r="W336" i="8"/>
  <c r="K60" i="7"/>
  <c r="K156" i="10"/>
  <c r="K97" i="8"/>
  <c r="K273" i="7"/>
  <c r="K652" i="10"/>
  <c r="K339" i="8"/>
  <c r="K59" i="7"/>
  <c r="K154" i="10"/>
  <c r="K96" i="8"/>
  <c r="W250" i="7"/>
  <c r="W307" i="8" s="1"/>
  <c r="W601" i="10"/>
  <c r="W274" i="7"/>
  <c r="W340" i="8" s="1"/>
  <c r="W654" i="10"/>
  <c r="W464" i="7"/>
  <c r="W530" i="8" s="1"/>
  <c r="W1116" i="10"/>
  <c r="W444" i="7"/>
  <c r="W510" i="8" s="1"/>
  <c r="W1076" i="10"/>
  <c r="W248" i="7"/>
  <c r="W305" i="8" s="1"/>
  <c r="W597" i="10"/>
  <c r="W426" i="7"/>
  <c r="W492" i="8" s="1"/>
  <c r="W1012" i="10"/>
  <c r="X206" i="7"/>
  <c r="X263" i="8" s="1"/>
  <c r="X483" i="10"/>
  <c r="X106" i="7"/>
  <c r="X163" i="8" s="1"/>
  <c r="X263" i="10"/>
  <c r="X195" i="7"/>
  <c r="X252" i="8" s="1"/>
  <c r="X461" i="10"/>
  <c r="X178" i="7"/>
  <c r="X235" i="8" s="1"/>
  <c r="X427" i="10"/>
  <c r="X252" i="7"/>
  <c r="X309" i="8" s="1"/>
  <c r="X605" i="10"/>
  <c r="X167" i="7"/>
  <c r="X224" i="8" s="1"/>
  <c r="X405" i="10"/>
  <c r="X202" i="7"/>
  <c r="X259" i="8" s="1"/>
  <c r="X475" i="10"/>
  <c r="X179" i="7"/>
  <c r="X236" i="8" s="1"/>
  <c r="X429" i="10"/>
  <c r="X264" i="7"/>
  <c r="X321" i="8" s="1"/>
  <c r="X629" i="10"/>
  <c r="X240" i="7"/>
  <c r="X297" i="8" s="1"/>
  <c r="X581" i="10"/>
  <c r="X193" i="7"/>
  <c r="X250" i="8" s="1"/>
  <c r="X457" i="10"/>
  <c r="X233" i="7"/>
  <c r="X290" i="8" s="1"/>
  <c r="X567" i="10"/>
  <c r="X176" i="7"/>
  <c r="X233" i="8" s="1"/>
  <c r="X423" i="10"/>
  <c r="X244" i="7"/>
  <c r="X301" i="8" s="1"/>
  <c r="X589" i="10"/>
  <c r="P19" i="1" l="1"/>
  <c r="P19" i="10" s="1"/>
  <c r="O17"/>
  <c r="P28"/>
  <c r="P69" i="1"/>
  <c r="P65"/>
  <c r="P61"/>
  <c r="P57"/>
  <c r="P67"/>
  <c r="P63"/>
  <c r="P59"/>
  <c r="P16" i="7"/>
  <c r="W467" i="10"/>
  <c r="W198" i="7"/>
  <c r="W255" i="8" s="1"/>
  <c r="W571" i="10"/>
  <c r="W235" i="7"/>
  <c r="W292" i="8" s="1"/>
  <c r="M9" i="10"/>
  <c r="M17"/>
  <c r="M19" i="1"/>
  <c r="W473" i="10"/>
  <c r="W201" i="7"/>
  <c r="W258" i="8" s="1"/>
  <c r="W335"/>
  <c r="O19" i="1"/>
  <c r="O19" i="10" s="1"/>
  <c r="O9"/>
  <c r="N9"/>
  <c r="P9"/>
  <c r="N19" i="1"/>
  <c r="N19" i="10" s="1"/>
  <c r="W147" i="7"/>
  <c r="W204" i="8" s="1"/>
  <c r="W355" i="10"/>
  <c r="W290" i="7"/>
  <c r="W356" i="8" s="1"/>
  <c r="W698" i="10"/>
  <c r="W120" i="7"/>
  <c r="W177" i="8" s="1"/>
  <c r="W301" i="10"/>
  <c r="W127" i="7"/>
  <c r="W184" i="8" s="1"/>
  <c r="W315" i="10"/>
  <c r="W151" i="7"/>
  <c r="W208" i="8" s="1"/>
  <c r="W363" i="10"/>
  <c r="W133" i="7"/>
  <c r="W190" i="8" s="1"/>
  <c r="W327" i="10"/>
  <c r="W153" i="7"/>
  <c r="W210" i="8" s="1"/>
  <c r="W367" i="10"/>
  <c r="W194" i="7"/>
  <c r="W251" i="8" s="1"/>
  <c r="W459" i="10"/>
  <c r="W126" i="7"/>
  <c r="W183" i="8" s="1"/>
  <c r="W313" i="10"/>
  <c r="X204" i="7"/>
  <c r="X261" i="8" s="1"/>
  <c r="X479" i="10"/>
  <c r="X135" i="7"/>
  <c r="X192" i="8" s="1"/>
  <c r="X331" i="10"/>
  <c r="X243" i="7"/>
  <c r="X300" i="8" s="1"/>
  <c r="X587" i="10"/>
  <c r="X198" i="7"/>
  <c r="X255" i="8" s="1"/>
  <c r="X467" i="10"/>
  <c r="X242" i="7"/>
  <c r="X299" i="8" s="1"/>
  <c r="X585" i="10"/>
  <c r="X258" i="7"/>
  <c r="X315" i="8" s="1"/>
  <c r="X617" i="10"/>
  <c r="X203" i="7"/>
  <c r="X260" i="8" s="1"/>
  <c r="X477" i="10"/>
  <c r="X186" i="7"/>
  <c r="X243" i="8" s="1"/>
  <c r="X443" i="10"/>
  <c r="X251" i="7"/>
  <c r="X308" i="8" s="1"/>
  <c r="X603" i="10"/>
  <c r="W742" l="1"/>
  <c r="W312" i="7"/>
  <c r="W378" i="8" s="1"/>
  <c r="W734" i="10"/>
  <c r="W308" i="7"/>
  <c r="W374" i="8" s="1"/>
  <c r="W752" i="10"/>
  <c r="W317" i="7"/>
  <c r="W383" i="8" s="1"/>
  <c r="N21" i="1"/>
  <c r="N21" i="10" s="1"/>
  <c r="N28"/>
  <c r="N67" i="1"/>
  <c r="N63"/>
  <c r="N59"/>
  <c r="N69"/>
  <c r="N65"/>
  <c r="N61"/>
  <c r="N57"/>
  <c r="N16" i="7"/>
  <c r="O21" i="1"/>
  <c r="O28" i="10"/>
  <c r="O69" i="1"/>
  <c r="O65"/>
  <c r="O61"/>
  <c r="O57"/>
  <c r="O16" i="7"/>
  <c r="O67" i="1"/>
  <c r="O63"/>
  <c r="O59"/>
  <c r="M19" i="10"/>
  <c r="M21" i="1"/>
  <c r="M28" i="10"/>
  <c r="M67" i="1"/>
  <c r="M63"/>
  <c r="M59"/>
  <c r="M69"/>
  <c r="M65"/>
  <c r="M61"/>
  <c r="M57"/>
  <c r="M16" i="7"/>
  <c r="M16" i="8" s="1"/>
  <c r="Q16"/>
  <c r="P16"/>
  <c r="P21" i="1"/>
  <c r="W722" i="10"/>
  <c r="W302" i="7"/>
  <c r="W368" i="8" s="1"/>
  <c r="W836" i="10"/>
  <c r="W352" i="7"/>
  <c r="W418" i="8" s="1"/>
  <c r="W730" i="10"/>
  <c r="W306" i="7"/>
  <c r="W372" i="8" s="1"/>
  <c r="W746" i="10"/>
  <c r="W314" i="7"/>
  <c r="W380" i="8" s="1"/>
  <c r="W728" i="10"/>
  <c r="W305" i="7"/>
  <c r="W371" i="8" s="1"/>
  <c r="W748" i="10"/>
  <c r="W315" i="7"/>
  <c r="W381" i="8" s="1"/>
  <c r="W440" i="7"/>
  <c r="W506" i="8" s="1"/>
  <c r="W1054" i="10"/>
  <c r="W330" i="7"/>
  <c r="W396" i="8" s="1"/>
  <c r="W778" i="10"/>
  <c r="W347" i="7"/>
  <c r="W413" i="8" s="1"/>
  <c r="W826" i="10"/>
  <c r="W363" i="7"/>
  <c r="W429" i="8" s="1"/>
  <c r="W858" i="10"/>
  <c r="W345" i="7"/>
  <c r="W411" i="8" s="1"/>
  <c r="W822" i="10"/>
  <c r="W365" i="7"/>
  <c r="W431" i="8" s="1"/>
  <c r="W862" i="10"/>
  <c r="W439" i="7"/>
  <c r="W505" i="8" s="1"/>
  <c r="W1052" i="10"/>
  <c r="W332" i="7"/>
  <c r="W398" i="8" s="1"/>
  <c r="W796" i="10"/>
  <c r="W359" i="7"/>
  <c r="W425" i="8" s="1"/>
  <c r="W850" i="10"/>
  <c r="W339" i="7"/>
  <c r="W405" i="8" s="1"/>
  <c r="W810" i="10"/>
  <c r="W351" i="7"/>
  <c r="W417" i="8" s="1"/>
  <c r="W834" i="10"/>
  <c r="W369" i="7"/>
  <c r="W435" i="8" s="1"/>
  <c r="W870" i="10"/>
  <c r="X238" i="7"/>
  <c r="X295" i="8" s="1"/>
  <c r="X577" i="10"/>
  <c r="X120" i="7"/>
  <c r="X177" i="8" s="1"/>
  <c r="X301" i="10"/>
  <c r="X126" i="7"/>
  <c r="X183" i="8" s="1"/>
  <c r="X313" i="10"/>
  <c r="X194" i="7"/>
  <c r="X251" i="8" s="1"/>
  <c r="X459" i="10"/>
  <c r="X256" i="7"/>
  <c r="X313" i="8" s="1"/>
  <c r="X613" i="10"/>
  <c r="X153" i="7"/>
  <c r="X210" i="8" s="1"/>
  <c r="X367" i="10"/>
  <c r="X192" i="7"/>
  <c r="X249" i="8" s="1"/>
  <c r="X455" i="10"/>
  <c r="X151" i="7"/>
  <c r="X208" i="8" s="1"/>
  <c r="X363" i="10"/>
  <c r="X150" i="7"/>
  <c r="X207" i="8" s="1"/>
  <c r="X361" i="10"/>
  <c r="X127" i="7"/>
  <c r="X184" i="8" s="1"/>
  <c r="X315" i="10"/>
  <c r="X221" i="7"/>
  <c r="X278" i="8" s="1"/>
  <c r="X523" i="10"/>
  <c r="X239" i="7"/>
  <c r="X296" i="8" s="1"/>
  <c r="X579" i="10"/>
  <c r="X133" i="7"/>
  <c r="X190" i="8" s="1"/>
  <c r="X327" i="10"/>
  <c r="X237" i="7"/>
  <c r="X294" i="8" s="1"/>
  <c r="X575" i="10"/>
  <c r="X185" i="7"/>
  <c r="X242" i="8" s="1"/>
  <c r="X441" i="10"/>
  <c r="X231" i="7"/>
  <c r="X288" i="8" s="1"/>
  <c r="X563" i="10"/>
  <c r="X208" i="7"/>
  <c r="X265" i="8" s="1"/>
  <c r="X487" i="10"/>
  <c r="O16" i="8" l="1"/>
  <c r="P23" i="1"/>
  <c r="P23" i="10" s="1"/>
  <c r="P21"/>
  <c r="O23" i="1"/>
  <c r="O23" i="10" s="1"/>
  <c r="O21"/>
  <c r="W878"/>
  <c r="W373" i="7"/>
  <c r="W439" i="8" s="1"/>
  <c r="N16"/>
  <c r="N23" i="1"/>
  <c r="N23" i="10" s="1"/>
  <c r="P25" i="1"/>
  <c r="P25" i="10" s="1"/>
  <c r="P30"/>
  <c r="P17" i="7"/>
  <c r="M21" i="10"/>
  <c r="M23" i="1"/>
  <c r="O30" i="10"/>
  <c r="O25" i="1"/>
  <c r="O25" i="10" s="1"/>
  <c r="O17" i="7"/>
  <c r="X250"/>
  <c r="X307" i="8" s="1"/>
  <c r="X601" i="10"/>
  <c r="X248" i="7"/>
  <c r="X305" i="8" s="1"/>
  <c r="X597" i="10"/>
  <c r="X181" i="7"/>
  <c r="X238" i="8" s="1"/>
  <c r="X433" i="10"/>
  <c r="X267" i="7"/>
  <c r="X324" i="8" s="1"/>
  <c r="X635" i="10"/>
  <c r="X147" i="7"/>
  <c r="X204" i="8" s="1"/>
  <c r="X355" i="10"/>
  <c r="X214" i="7"/>
  <c r="X271" i="8" s="1"/>
  <c r="X509" i="10"/>
  <c r="W374" i="7" l="1"/>
  <c r="W440" i="8" s="1"/>
  <c r="W880" i="10"/>
  <c r="P17" i="8"/>
  <c r="Q17"/>
  <c r="P27" i="1"/>
  <c r="P27" i="10" s="1"/>
  <c r="M23"/>
  <c r="M30"/>
  <c r="M17" i="7"/>
  <c r="M17" i="8" s="1"/>
  <c r="M25" i="1"/>
  <c r="N25"/>
  <c r="N25" i="10" s="1"/>
  <c r="N30"/>
  <c r="N17" i="7"/>
  <c r="N17" i="8" s="1"/>
  <c r="X330"/>
  <c r="X334"/>
  <c r="X336"/>
  <c r="X338"/>
  <c r="X332"/>
  <c r="X331"/>
  <c r="X333"/>
  <c r="X335"/>
  <c r="X337"/>
  <c r="X228" i="7"/>
  <c r="X285" i="8" s="1"/>
  <c r="X547" i="10"/>
  <c r="N27" i="1" l="1"/>
  <c r="N27" i="10" s="1"/>
  <c r="M25"/>
  <c r="M27" i="1"/>
  <c r="P32" i="10"/>
  <c r="P18" i="7"/>
  <c r="O27" i="1"/>
  <c r="O27" i="10" s="1"/>
  <c r="O17" i="8"/>
  <c r="X440" i="7"/>
  <c r="X506" i="8" s="1"/>
  <c r="X1054" i="10"/>
  <c r="X318" i="7"/>
  <c r="X384" i="8" s="1"/>
  <c r="X754" i="10"/>
  <c r="X308" i="7"/>
  <c r="X374" i="8" s="1"/>
  <c r="X734" i="10"/>
  <c r="X397" i="7"/>
  <c r="X463" i="8" s="1"/>
  <c r="X940" i="10"/>
  <c r="X410" i="7"/>
  <c r="X476" i="8" s="1"/>
  <c r="X966" i="10"/>
  <c r="X418" i="7"/>
  <c r="X484" i="8" s="1"/>
  <c r="X982" i="10"/>
  <c r="X404" i="7"/>
  <c r="X470" i="8" s="1"/>
  <c r="X954" i="10"/>
  <c r="X420" i="7"/>
  <c r="X486" i="8" s="1"/>
  <c r="X986" i="10"/>
  <c r="X444" i="7"/>
  <c r="X510" i="8" s="1"/>
  <c r="X1076" i="10"/>
  <c r="X454" i="7"/>
  <c r="X520" i="8" s="1"/>
  <c r="X1096" i="10"/>
  <c r="X464" i="7"/>
  <c r="X530" i="8" s="1"/>
  <c r="X1116" i="10"/>
  <c r="X426" i="7"/>
  <c r="X492" i="8" s="1"/>
  <c r="X1012" i="10"/>
  <c r="X439" i="7"/>
  <c r="X505" i="8" s="1"/>
  <c r="X1052" i="10"/>
  <c r="X290" i="7"/>
  <c r="X356" i="8" s="1"/>
  <c r="X698" i="10"/>
  <c r="X387" i="7"/>
  <c r="X453" i="8" s="1"/>
  <c r="X920" i="10"/>
  <c r="X398" i="7"/>
  <c r="X464" i="8" s="1"/>
  <c r="X942" i="10"/>
  <c r="X416" i="7"/>
  <c r="X482" i="8" s="1"/>
  <c r="X978" i="10"/>
  <c r="X391" i="7"/>
  <c r="X457" i="8" s="1"/>
  <c r="X928" i="10"/>
  <c r="X414" i="7"/>
  <c r="X480" i="8" s="1"/>
  <c r="X974" i="10"/>
  <c r="X451" i="7"/>
  <c r="X517" i="8" s="1"/>
  <c r="X1090" i="10"/>
  <c r="X449" i="7"/>
  <c r="X515" i="8" s="1"/>
  <c r="X1086" i="10"/>
  <c r="O32" l="1"/>
  <c r="O18" i="7"/>
  <c r="P18" i="8" s="1"/>
  <c r="O42" i="1"/>
  <c r="N32" i="10"/>
  <c r="N18" i="7"/>
  <c r="N42" i="1"/>
  <c r="P42"/>
  <c r="Q18" i="8"/>
  <c r="M27" i="10"/>
  <c r="M32"/>
  <c r="M18" i="7"/>
  <c r="M18" i="8" s="1"/>
  <c r="M42" i="1"/>
  <c r="X338" i="7"/>
  <c r="X404" i="8" s="1"/>
  <c r="X808" i="10"/>
  <c r="X365" i="7"/>
  <c r="X431" i="8" s="1"/>
  <c r="X862" i="10"/>
  <c r="X332" i="7"/>
  <c r="X398" i="8" s="1"/>
  <c r="X796" i="10"/>
  <c r="X363" i="7"/>
  <c r="X429" i="8" s="1"/>
  <c r="X858" i="10"/>
  <c r="X345" i="7"/>
  <c r="X411" i="8" s="1"/>
  <c r="X822" i="10"/>
  <c r="X374" i="7"/>
  <c r="X440" i="8" s="1"/>
  <c r="X880" i="10"/>
  <c r="X359" i="7"/>
  <c r="X425" i="8" s="1"/>
  <c r="X850" i="10"/>
  <c r="X339" i="7"/>
  <c r="X405" i="8" s="1"/>
  <c r="X810" i="10"/>
  <c r="X351" i="7"/>
  <c r="X417" i="8" s="1"/>
  <c r="X834" i="10"/>
  <c r="X369" i="7"/>
  <c r="X435" i="8" s="1"/>
  <c r="X870" i="10"/>
  <c r="X347" i="7"/>
  <c r="X413" i="8" s="1"/>
  <c r="X826" i="10"/>
  <c r="X362" i="7"/>
  <c r="X428" i="8" s="1"/>
  <c r="X856" i="10"/>
  <c r="M29" l="1"/>
  <c r="M44" i="1"/>
  <c r="O29" i="10"/>
  <c r="O44" i="1"/>
  <c r="O31" i="10" s="1"/>
  <c r="N18" i="8"/>
  <c r="P29" i="10"/>
  <c r="P44" i="1"/>
  <c r="P31" i="10" s="1"/>
  <c r="N29"/>
  <c r="N44" i="1"/>
  <c r="N31" i="10" s="1"/>
  <c r="O18" i="8"/>
  <c r="P46" i="1" l="1"/>
  <c r="P33" i="10" s="1"/>
  <c r="P34"/>
  <c r="P19" i="7"/>
  <c r="N46" i="1"/>
  <c r="N33" i="10" s="1"/>
  <c r="N34"/>
  <c r="N19" i="7"/>
  <c r="O46" i="1"/>
  <c r="O33" i="10" s="1"/>
  <c r="O34"/>
  <c r="O19" i="7"/>
  <c r="M31" i="10"/>
  <c r="M34"/>
  <c r="M19" i="7"/>
  <c r="M19" i="8" s="1"/>
  <c r="M46" i="1"/>
  <c r="O19" i="8" l="1"/>
  <c r="O48" i="1"/>
  <c r="O35" i="10" s="1"/>
  <c r="N48" i="1"/>
  <c r="N35" i="10" s="1"/>
  <c r="P19" i="8"/>
  <c r="Q19"/>
  <c r="P48" i="1"/>
  <c r="P35" i="10" s="1"/>
  <c r="N19" i="8"/>
  <c r="M33" i="10"/>
  <c r="M48" i="1"/>
  <c r="P50" l="1"/>
  <c r="P36" i="10"/>
  <c r="P20" i="7"/>
  <c r="N50" i="1"/>
  <c r="N36" i="10"/>
  <c r="N20" i="7"/>
  <c r="O50" i="1"/>
  <c r="O36" i="10"/>
  <c r="O20" i="7"/>
  <c r="M35" i="10"/>
  <c r="M36"/>
  <c r="M20" i="7"/>
  <c r="M20" i="8" s="1"/>
  <c r="M50" i="1"/>
  <c r="O20" i="8" l="1"/>
  <c r="M37" i="10"/>
  <c r="M52" i="1"/>
  <c r="O52"/>
  <c r="O37" i="10"/>
  <c r="N52" i="1"/>
  <c r="N37" i="10"/>
  <c r="P20" i="8"/>
  <c r="Q20"/>
  <c r="P52" i="1"/>
  <c r="P37" i="10"/>
  <c r="N20" i="8"/>
  <c r="M38" i="10" l="1"/>
  <c r="M21" i="7"/>
  <c r="M21" i="8" s="1"/>
  <c r="M54" i="1"/>
  <c r="M39" i="10" s="1"/>
  <c r="P54" i="1"/>
  <c r="P38" i="10"/>
  <c r="P21" i="7"/>
  <c r="N54" i="1"/>
  <c r="N38" i="10"/>
  <c r="N21" i="7"/>
  <c r="O54" i="1"/>
  <c r="O38" i="10"/>
  <c r="O21" i="7"/>
  <c r="N21" i="8" l="1"/>
  <c r="O21"/>
  <c r="O56" i="1"/>
  <c r="O39" i="10"/>
  <c r="N56" i="1"/>
  <c r="N39" i="10"/>
  <c r="P21" i="8"/>
  <c r="Q21"/>
  <c r="P56" i="1"/>
  <c r="P39" i="10"/>
  <c r="M56" i="1"/>
  <c r="M40" i="10" l="1"/>
  <c r="M22" i="7"/>
  <c r="M22" i="8" s="1"/>
  <c r="M71" i="1"/>
  <c r="P40" i="10"/>
  <c r="P22" i="7"/>
  <c r="P71" i="1"/>
  <c r="N40" i="10"/>
  <c r="N22" i="7"/>
  <c r="N22" i="8" s="1"/>
  <c r="N71" i="1"/>
  <c r="O40" i="10"/>
  <c r="O22" i="7"/>
  <c r="O71" i="1"/>
  <c r="K3" i="6"/>
  <c r="O22" i="8" l="1"/>
  <c r="G3" i="6"/>
  <c r="J3"/>
  <c r="P22" i="8"/>
  <c r="Q22"/>
  <c r="O73" i="1"/>
  <c r="O41" i="10"/>
  <c r="N73" i="1"/>
  <c r="N41" i="10"/>
  <c r="P73" i="1"/>
  <c r="P41" i="10"/>
  <c r="M73" i="1"/>
  <c r="M41" i="10"/>
  <c r="H3" i="6"/>
  <c r="P75" i="1" l="1"/>
  <c r="P42" i="10"/>
  <c r="P23" i="7"/>
  <c r="F3" i="6"/>
  <c r="O42" i="10"/>
  <c r="O75" i="1"/>
  <c r="O23" i="7"/>
  <c r="E3" i="6"/>
  <c r="I3"/>
  <c r="M42" i="10"/>
  <c r="M23" i="7"/>
  <c r="M23" i="8" s="1"/>
  <c r="M75" i="1"/>
  <c r="C3" i="6"/>
  <c r="N75" i="1"/>
  <c r="N42" i="10"/>
  <c r="N23" i="7"/>
  <c r="D3" i="6"/>
  <c r="O77" i="1" l="1"/>
  <c r="O43" i="10"/>
  <c r="N77" i="1"/>
  <c r="N43" i="10"/>
  <c r="M77" i="1"/>
  <c r="M43" i="10"/>
  <c r="P23" i="8"/>
  <c r="Q23"/>
  <c r="P77" i="1"/>
  <c r="P43" i="10"/>
  <c r="N23" i="8"/>
  <c r="O23"/>
  <c r="P79" i="1" l="1"/>
  <c r="M79"/>
  <c r="O79"/>
  <c r="N79"/>
  <c r="N81" s="1"/>
  <c r="P81" l="1"/>
  <c r="N83"/>
  <c r="M81"/>
  <c r="O81"/>
  <c r="M83" l="1"/>
  <c r="P83"/>
  <c r="O83"/>
  <c r="O85" s="1"/>
  <c r="N85"/>
  <c r="S87" l="1"/>
  <c r="O87"/>
  <c r="M85"/>
  <c r="P85"/>
  <c r="Q87" s="1"/>
  <c r="R87"/>
  <c r="M87" l="1"/>
  <c r="T87"/>
  <c r="U87"/>
  <c r="P87"/>
  <c r="N87"/>
  <c r="P44" i="10" l="1"/>
  <c r="P24" i="7"/>
  <c r="P1026" i="10" l="1"/>
  <c r="P1034"/>
  <c r="P437" i="7"/>
  <c r="P1028" i="10"/>
  <c r="P1036"/>
  <c r="P438" i="7"/>
  <c r="F19" i="6" s="1"/>
  <c r="O44" i="10"/>
  <c r="O24" i="7"/>
  <c r="P24" i="8" s="1"/>
  <c r="M44" i="10"/>
  <c r="M24" i="7"/>
  <c r="M24" i="8" s="1"/>
  <c r="N44" i="10"/>
  <c r="N24" i="7"/>
  <c r="Q24" i="8"/>
  <c r="P1030" i="10"/>
  <c r="P1052"/>
  <c r="P439" i="7"/>
  <c r="P1032" i="10"/>
  <c r="P45"/>
  <c r="N24" i="8" l="1"/>
  <c r="F23" i="6"/>
  <c r="P46" i="10"/>
  <c r="P25" i="7"/>
  <c r="Q505" i="8"/>
  <c r="N1026" i="10"/>
  <c r="N1028"/>
  <c r="N1036"/>
  <c r="N438" i="7"/>
  <c r="N1034" i="10"/>
  <c r="N437" i="7"/>
  <c r="N45" i="10"/>
  <c r="M1030"/>
  <c r="M501" i="8"/>
  <c r="M1052" i="10"/>
  <c r="M439" i="7"/>
  <c r="M505" i="8" s="1"/>
  <c r="M1032" i="10"/>
  <c r="M502" i="8"/>
  <c r="M45" i="10"/>
  <c r="O1026"/>
  <c r="P499" i="8"/>
  <c r="O1028" i="10"/>
  <c r="O500" i="8"/>
  <c r="O1036" i="10"/>
  <c r="O438" i="7"/>
  <c r="E19" i="6" s="1"/>
  <c r="O1030" i="10"/>
  <c r="P501" i="8"/>
  <c r="O1052" i="10"/>
  <c r="O439" i="7"/>
  <c r="O45" i="10"/>
  <c r="Q500" i="8"/>
  <c r="P500"/>
  <c r="Q499"/>
  <c r="Q502"/>
  <c r="Q501"/>
  <c r="N1032" i="10"/>
  <c r="N502" i="8"/>
  <c r="N1030" i="10"/>
  <c r="N501" i="8"/>
  <c r="N1052" i="10"/>
  <c r="N439" i="7"/>
  <c r="M1026" i="10"/>
  <c r="M1034"/>
  <c r="M437" i="7"/>
  <c r="M503" i="8" s="1"/>
  <c r="M1028" i="10"/>
  <c r="M500" i="8"/>
  <c r="M1036" i="10"/>
  <c r="M438" i="7"/>
  <c r="C19" i="6" s="1"/>
  <c r="O1032" i="10"/>
  <c r="O502" i="8"/>
  <c r="O1034" i="10"/>
  <c r="O437" i="7"/>
  <c r="F24" i="6"/>
  <c r="Q503" i="8"/>
  <c r="O24"/>
  <c r="P504" l="1"/>
  <c r="O503"/>
  <c r="N505"/>
  <c r="P503"/>
  <c r="M499"/>
  <c r="C23" i="6"/>
  <c r="O499" i="8"/>
  <c r="E23" i="6"/>
  <c r="D23"/>
  <c r="P47" i="10"/>
  <c r="O504" i="8"/>
  <c r="E24" i="6"/>
  <c r="M46" i="10"/>
  <c r="M25" i="7"/>
  <c r="M25" i="8" s="1"/>
  <c r="N46" i="10"/>
  <c r="N25" i="7"/>
  <c r="N25" i="8" s="1"/>
  <c r="D24" i="6"/>
  <c r="N504" i="8"/>
  <c r="Q25"/>
  <c r="P502"/>
  <c r="O505"/>
  <c r="N499"/>
  <c r="M504"/>
  <c r="C24" i="6"/>
  <c r="O46" i="10"/>
  <c r="O25" i="7"/>
  <c r="O25" i="8" s="1"/>
  <c r="O501"/>
  <c r="N503"/>
  <c r="N500"/>
  <c r="P505"/>
  <c r="P48" i="10" l="1"/>
  <c r="P26" i="7"/>
  <c r="N47" i="10"/>
  <c r="M47"/>
  <c r="P25" i="8"/>
  <c r="O47" i="10"/>
  <c r="P49" l="1"/>
  <c r="N48"/>
  <c r="N26" i="7"/>
  <c r="Q26" i="8"/>
  <c r="O48" i="10"/>
  <c r="O26" i="7"/>
  <c r="O26" i="8" s="1"/>
  <c r="M48" i="10"/>
  <c r="M26" i="7"/>
  <c r="M26" i="8" s="1"/>
  <c r="O49" i="10" l="1"/>
  <c r="N49"/>
  <c r="N26" i="8"/>
  <c r="P91" i="1"/>
  <c r="M91"/>
  <c r="M49" i="10"/>
  <c r="P26" i="8"/>
  <c r="N50" i="10" l="1"/>
  <c r="N27" i="7"/>
  <c r="O50" i="10"/>
  <c r="O27" i="7"/>
  <c r="M50" i="10"/>
  <c r="M27" i="7"/>
  <c r="M27" i="8" s="1"/>
  <c r="M93" i="1"/>
  <c r="P93"/>
  <c r="P50" i="10"/>
  <c r="P27" i="7"/>
  <c r="O27" i="8" l="1"/>
  <c r="Q27"/>
  <c r="P27"/>
  <c r="P95" i="1"/>
  <c r="P51" i="10"/>
  <c r="M95" i="1"/>
  <c r="M51" i="10"/>
  <c r="O51"/>
  <c r="N51"/>
  <c r="N27" i="8"/>
  <c r="N52" i="10" l="1"/>
  <c r="N28" i="7"/>
  <c r="P97" i="1"/>
  <c r="P52" i="10"/>
  <c r="P28" i="7"/>
  <c r="O52" i="10"/>
  <c r="O28" i="7"/>
  <c r="M52" i="10"/>
  <c r="M28" i="7"/>
  <c r="M28" i="8" s="1"/>
  <c r="M97" i="1"/>
  <c r="O28" i="8" l="1"/>
  <c r="O53" i="10"/>
  <c r="Q28" i="8"/>
  <c r="P28"/>
  <c r="P99" i="1"/>
  <c r="P53" i="10"/>
  <c r="N53"/>
  <c r="N28" i="8"/>
  <c r="M99" i="1"/>
  <c r="M53" i="10"/>
  <c r="M54" l="1"/>
  <c r="M29" i="7"/>
  <c r="M29" i="8" s="1"/>
  <c r="M108" i="1"/>
  <c r="N54" i="10"/>
  <c r="N29" i="7"/>
  <c r="P108" i="1"/>
  <c r="P54" i="10"/>
  <c r="P29" i="7"/>
  <c r="O54" i="10"/>
  <c r="O29" i="7"/>
  <c r="O29" i="8" s="1"/>
  <c r="N29" l="1"/>
  <c r="O110" i="1"/>
  <c r="O55" i="10"/>
  <c r="Q29" i="8"/>
  <c r="P29"/>
  <c r="P110" i="1"/>
  <c r="P55" i="10"/>
  <c r="N110" i="1"/>
  <c r="N55" i="10"/>
  <c r="M110" i="1"/>
  <c r="M55" i="10"/>
  <c r="N56" l="1"/>
  <c r="N30" i="7"/>
  <c r="P112" i="1"/>
  <c r="P56" i="10"/>
  <c r="P30" i="7"/>
  <c r="O56" i="10"/>
  <c r="O30" i="7"/>
  <c r="M56" i="10"/>
  <c r="M30" i="7"/>
  <c r="M30" i="8" s="1"/>
  <c r="M112" i="1"/>
  <c r="O30" i="8" l="1"/>
  <c r="O57" i="10"/>
  <c r="Q30" i="8"/>
  <c r="P30"/>
  <c r="P57" i="10"/>
  <c r="N57"/>
  <c r="N30" i="8"/>
  <c r="M57" i="10"/>
  <c r="M58" l="1"/>
  <c r="M31" i="7"/>
  <c r="M31" i="8" s="1"/>
  <c r="M116" i="1"/>
  <c r="C4" i="6"/>
  <c r="P116" i="1"/>
  <c r="P58" i="10"/>
  <c r="P31" i="7"/>
  <c r="F4" i="6"/>
  <c r="N116" i="1"/>
  <c r="N58" i="10"/>
  <c r="N31" i="7"/>
  <c r="D4" i="6"/>
  <c r="O116" i="1"/>
  <c r="O58" i="10"/>
  <c r="O31" i="7"/>
  <c r="O31" i="8" s="1"/>
  <c r="E4" i="6"/>
  <c r="N31" i="8" l="1"/>
  <c r="O118" i="1"/>
  <c r="O59" i="10"/>
  <c r="N118" i="1"/>
  <c r="N59" i="10"/>
  <c r="Q31" i="8"/>
  <c r="P31"/>
  <c r="P118" i="1"/>
  <c r="P59" i="10"/>
  <c r="M118" i="1"/>
  <c r="M59" i="10"/>
  <c r="N60" l="1"/>
  <c r="N32" i="7"/>
  <c r="P60" i="10"/>
  <c r="Q61" s="1"/>
  <c r="P32" i="7"/>
  <c r="O60" i="10"/>
  <c r="O32" i="7"/>
  <c r="O32" i="8" s="1"/>
  <c r="N61" i="10" l="1"/>
  <c r="O61"/>
  <c r="P61"/>
  <c r="M60"/>
  <c r="M32" i="7"/>
  <c r="M32" i="8" s="1"/>
  <c r="P32"/>
  <c r="Q32"/>
  <c r="N32" l="1"/>
  <c r="M61" i="10"/>
  <c r="Q33" i="8" l="1"/>
  <c r="P33"/>
  <c r="M33"/>
  <c r="O33"/>
  <c r="N33" l="1"/>
  <c r="M34" l="1"/>
  <c r="N34"/>
  <c r="Q34"/>
  <c r="P34"/>
  <c r="O34"/>
  <c r="M35" l="1"/>
  <c r="O35" l="1"/>
  <c r="P35"/>
  <c r="Q35"/>
  <c r="N35"/>
  <c r="M36" l="1"/>
  <c r="N36"/>
  <c r="O36" l="1"/>
  <c r="Q36"/>
  <c r="P36"/>
  <c r="M37" l="1"/>
  <c r="O37" l="1"/>
  <c r="Q37"/>
  <c r="P37"/>
  <c r="P120" i="1"/>
  <c r="O120"/>
  <c r="N120"/>
  <c r="N37" i="8"/>
  <c r="M120" i="1"/>
  <c r="M38" i="8" l="1"/>
  <c r="M122" i="1"/>
  <c r="N122"/>
  <c r="N38" i="8"/>
  <c r="O122" i="1"/>
  <c r="P122"/>
  <c r="O38" i="8" l="1"/>
  <c r="Q38"/>
  <c r="P38"/>
  <c r="P124" i="1"/>
  <c r="O124"/>
  <c r="N124"/>
  <c r="M124"/>
  <c r="N126" l="1"/>
  <c r="O126"/>
  <c r="P126"/>
  <c r="M39" i="8"/>
  <c r="M126" i="1"/>
  <c r="O39" i="8" l="1"/>
  <c r="P39"/>
  <c r="Q39"/>
  <c r="P128" i="1"/>
  <c r="O128"/>
  <c r="N128"/>
  <c r="N39" i="8"/>
  <c r="M128" i="1"/>
  <c r="M40" i="8" l="1"/>
  <c r="M130" i="1"/>
  <c r="N130"/>
  <c r="N40" i="8"/>
  <c r="O130" i="1"/>
  <c r="P130"/>
  <c r="O40" i="8" l="1"/>
  <c r="Q40"/>
  <c r="P40"/>
  <c r="P132" i="1"/>
  <c r="O132"/>
  <c r="N132"/>
  <c r="M132"/>
  <c r="N134" l="1"/>
  <c r="O134"/>
  <c r="P134"/>
  <c r="M41" i="8"/>
  <c r="M134" i="1"/>
  <c r="O41" i="8" l="1"/>
  <c r="Q41"/>
  <c r="P41"/>
  <c r="P136" i="1"/>
  <c r="O136"/>
  <c r="N136"/>
  <c r="N41" i="8"/>
  <c r="M136" i="1"/>
  <c r="M42" i="8" l="1"/>
  <c r="M138" i="1"/>
  <c r="N138"/>
  <c r="N42" i="8"/>
  <c r="O138" i="1"/>
  <c r="P138"/>
  <c r="O42" i="8" l="1"/>
  <c r="Q42"/>
  <c r="P42"/>
  <c r="P140" i="1"/>
  <c r="O140"/>
  <c r="N140"/>
  <c r="M140"/>
  <c r="N142" l="1"/>
  <c r="O142"/>
  <c r="P142"/>
  <c r="M43" i="8"/>
  <c r="M142" i="1"/>
  <c r="O43" i="8" l="1"/>
  <c r="M165" i="1"/>
  <c r="P43" i="8"/>
  <c r="Q43"/>
  <c r="P165" i="1"/>
  <c r="O165"/>
  <c r="N165"/>
  <c r="N43" i="8"/>
  <c r="O167" i="1" l="1"/>
  <c r="N167"/>
  <c r="P167"/>
  <c r="M44" i="8"/>
  <c r="M167" i="1"/>
  <c r="Q44" i="8" l="1"/>
  <c r="P44"/>
  <c r="P169" i="1"/>
  <c r="N169"/>
  <c r="O169"/>
  <c r="N44" i="8"/>
  <c r="O44"/>
  <c r="M169" i="1"/>
  <c r="O171" l="1"/>
  <c r="N171"/>
  <c r="P171"/>
  <c r="M171"/>
  <c r="N180" l="1"/>
  <c r="O180" l="1"/>
  <c r="P180"/>
  <c r="N62" i="10"/>
  <c r="N33" i="7"/>
  <c r="P182" i="1" l="1"/>
  <c r="P62" i="10"/>
  <c r="P33" i="7"/>
  <c r="O182" i="1"/>
  <c r="O62" i="10"/>
  <c r="O33" i="7"/>
  <c r="O45" i="8" s="1"/>
  <c r="M62" i="10"/>
  <c r="M33" i="7"/>
  <c r="M45" i="8" s="1"/>
  <c r="N182" i="1"/>
  <c r="N45" i="8" l="1"/>
  <c r="N184" i="1"/>
  <c r="N63" i="10"/>
  <c r="P45" i="8"/>
  <c r="P184" i="1"/>
  <c r="P63" i="10"/>
  <c r="M63"/>
  <c r="O184" i="1"/>
  <c r="O63" i="10"/>
  <c r="R33" i="7" l="1"/>
  <c r="Q33"/>
  <c r="Q45" i="8" s="1"/>
  <c r="Q63" i="10"/>
  <c r="P186" i="1"/>
  <c r="P64" i="10"/>
  <c r="P34" i="7"/>
  <c r="N186" i="1"/>
  <c r="O186"/>
  <c r="O64" i="10"/>
  <c r="O34" i="7"/>
  <c r="M64" i="10"/>
  <c r="M34" i="7"/>
  <c r="M46" i="8" s="1"/>
  <c r="T63" i="10" l="1"/>
  <c r="T33" i="7"/>
  <c r="R63" i="10"/>
  <c r="S63"/>
  <c r="S33" i="7"/>
  <c r="S45" i="8" s="1"/>
  <c r="R45"/>
  <c r="M1096" i="10"/>
  <c r="M520" i="8"/>
  <c r="M1090" i="10"/>
  <c r="M65"/>
  <c r="O1092"/>
  <c r="O1094"/>
  <c r="O188" i="1"/>
  <c r="N1092" i="10"/>
  <c r="N1094"/>
  <c r="N188" i="1"/>
  <c r="P1092" i="10"/>
  <c r="P1094"/>
  <c r="P188" i="1"/>
  <c r="P65" i="10"/>
  <c r="P46" i="8"/>
  <c r="M1092" i="10"/>
  <c r="M518" i="8"/>
  <c r="M1094" i="10"/>
  <c r="M519" i="8"/>
  <c r="O1096" i="10"/>
  <c r="O1090"/>
  <c r="N1096"/>
  <c r="N1090"/>
  <c r="P1096"/>
  <c r="P1090"/>
  <c r="U63" l="1"/>
  <c r="U33" i="7"/>
  <c r="T45" i="8"/>
  <c r="N520"/>
  <c r="Q517"/>
  <c r="P517"/>
  <c r="O517"/>
  <c r="P190" i="1"/>
  <c r="P66" i="10"/>
  <c r="P35" i="7"/>
  <c r="N190" i="1"/>
  <c r="O190"/>
  <c r="O66" i="10"/>
  <c r="O35" i="7"/>
  <c r="M66" i="10"/>
  <c r="M35" i="7"/>
  <c r="M47" i="8" s="1"/>
  <c r="M517"/>
  <c r="Q520"/>
  <c r="P520"/>
  <c r="N517"/>
  <c r="Q519"/>
  <c r="P519"/>
  <c r="Q518"/>
  <c r="P518"/>
  <c r="O520"/>
  <c r="N519"/>
  <c r="N518"/>
  <c r="O519"/>
  <c r="O518"/>
  <c r="U45" l="1"/>
  <c r="V45"/>
  <c r="M67" i="10"/>
  <c r="O192" i="1"/>
  <c r="N192"/>
  <c r="P192"/>
  <c r="P67" i="10"/>
  <c r="P47" i="8"/>
  <c r="P194" i="1" l="1"/>
  <c r="P68" i="10"/>
  <c r="P36" i="7"/>
  <c r="N194" i="1"/>
  <c r="O194"/>
  <c r="O68" i="10"/>
  <c r="O36" i="7"/>
  <c r="M68" i="10"/>
  <c r="M36" i="7"/>
  <c r="M48" i="8" s="1"/>
  <c r="O196" i="1" l="1"/>
  <c r="N196"/>
  <c r="P196"/>
  <c r="P69" i="10"/>
  <c r="P48" i="8"/>
  <c r="M69" i="10"/>
  <c r="P198" i="1" l="1"/>
  <c r="P70" i="10"/>
  <c r="P37" i="7"/>
  <c r="N198" i="1"/>
  <c r="O198"/>
  <c r="O70" i="10"/>
  <c r="O37" i="7"/>
  <c r="M70" i="10"/>
  <c r="M37" i="7"/>
  <c r="M49" i="8" s="1"/>
  <c r="O200" i="1" l="1"/>
  <c r="N200"/>
  <c r="P200"/>
  <c r="P71" i="10"/>
  <c r="P49" i="8"/>
  <c r="M71" i="10"/>
  <c r="P202" i="1" l="1"/>
  <c r="P72" i="10"/>
  <c r="P38" i="7"/>
  <c r="F5" i="6"/>
  <c r="N202" i="1"/>
  <c r="O202"/>
  <c r="O72" i="10"/>
  <c r="O38" i="7"/>
  <c r="E5" i="6"/>
  <c r="M72" i="10"/>
  <c r="M38" i="7"/>
  <c r="M50" i="8" s="1"/>
  <c r="C5" i="6"/>
  <c r="O204" i="1" l="1"/>
  <c r="N204"/>
  <c r="P204"/>
  <c r="P73" i="10"/>
  <c r="P50" i="8"/>
  <c r="M73" i="10"/>
  <c r="P206" i="1" l="1"/>
  <c r="P74" i="10"/>
  <c r="Q74" s="1"/>
  <c r="R74" s="1"/>
  <c r="S74" s="1"/>
  <c r="T74" s="1"/>
  <c r="N206" i="1"/>
  <c r="N74" i="10"/>
  <c r="O206" i="1"/>
  <c r="O208" s="1"/>
  <c r="O74" i="10"/>
  <c r="M74"/>
  <c r="U74" l="1"/>
  <c r="V74" s="1"/>
  <c r="O76"/>
  <c r="N208" i="1"/>
  <c r="P208"/>
  <c r="Q100" l="1"/>
  <c r="R100"/>
  <c r="N210"/>
  <c r="N76" i="10"/>
  <c r="O210" i="1"/>
  <c r="O212" s="1"/>
  <c r="M76" i="10"/>
  <c r="P210" i="1"/>
  <c r="P212" s="1"/>
  <c r="P76" i="10"/>
  <c r="Q76" l="1"/>
  <c r="P214" i="1"/>
  <c r="P78" i="10"/>
  <c r="Q78" s="1"/>
  <c r="O78"/>
  <c r="S100" i="1"/>
  <c r="N212"/>
  <c r="Q102"/>
  <c r="R76" i="10" l="1"/>
  <c r="S76" s="1"/>
  <c r="T76" s="1"/>
  <c r="U76" s="1"/>
  <c r="V76" s="1"/>
  <c r="M78"/>
  <c r="R78" s="1"/>
  <c r="N214" i="1"/>
  <c r="N216" s="1"/>
  <c r="N78" i="10"/>
  <c r="O214" i="1"/>
  <c r="O216" s="1"/>
  <c r="T100"/>
  <c r="S78" i="10" l="1"/>
  <c r="T78" s="1"/>
  <c r="R102" i="1"/>
  <c r="U78" i="10"/>
  <c r="V78" s="1"/>
  <c r="V80" s="1"/>
  <c r="O218" i="1"/>
  <c r="O80" i="10"/>
  <c r="N80"/>
  <c r="S102" i="1"/>
  <c r="U100"/>
  <c r="P216"/>
  <c r="Q80" i="10" l="1"/>
  <c r="Q106" i="1" s="1"/>
  <c r="Q104"/>
  <c r="M80" i="10"/>
  <c r="S104" i="1"/>
  <c r="P218"/>
  <c r="P80" i="10"/>
  <c r="T102" i="1"/>
  <c r="O81" i="10"/>
  <c r="O39" i="7"/>
  <c r="N218" i="1"/>
  <c r="R104" l="1"/>
  <c r="R80" i="10"/>
  <c r="R106" i="1" s="1"/>
  <c r="S80" i="10"/>
  <c r="S106" i="1" s="1"/>
  <c r="T80" i="10"/>
  <c r="T106" i="1" s="1"/>
  <c r="N220"/>
  <c r="P220"/>
  <c r="P81" i="10"/>
  <c r="P39" i="7"/>
  <c r="P51" i="8" s="1"/>
  <c r="U102" i="1"/>
  <c r="M81" i="10"/>
  <c r="M39" i="7"/>
  <c r="M51" i="8" s="1"/>
  <c r="O220" i="1"/>
  <c r="T104" l="1"/>
  <c r="U80" i="10"/>
  <c r="U106" i="1" s="1"/>
  <c r="O222"/>
  <c r="P222"/>
  <c r="P82" i="10"/>
  <c r="N222" i="1"/>
  <c r="M82" i="10"/>
  <c r="U104" i="1" l="1"/>
  <c r="N224"/>
  <c r="N83" i="10"/>
  <c r="N40" i="7"/>
  <c r="P224" i="1"/>
  <c r="P83" i="10"/>
  <c r="P40" i="7"/>
  <c r="O224" i="1"/>
  <c r="O83" i="10"/>
  <c r="O40" i="7"/>
  <c r="O52" i="8" s="1"/>
  <c r="M83" i="10"/>
  <c r="M40" i="7"/>
  <c r="M52" i="8" s="1"/>
  <c r="Q84" i="10" l="1"/>
  <c r="Q83" s="1"/>
  <c r="R84" s="1"/>
  <c r="W89"/>
  <c r="W91"/>
  <c r="P226" i="1"/>
  <c r="P84" i="10"/>
  <c r="P52" i="8"/>
  <c r="M84" i="10"/>
  <c r="O226" i="1"/>
  <c r="O84" i="10"/>
  <c r="N226" i="1"/>
  <c r="N84" i="10"/>
  <c r="N52" i="8"/>
  <c r="W87" i="10" l="1"/>
  <c r="W95"/>
  <c r="O228" i="1"/>
  <c r="O97" i="10"/>
  <c r="O41" i="7"/>
  <c r="E6" i="6"/>
  <c r="M97" i="10"/>
  <c r="M41" i="7"/>
  <c r="M53" i="8" s="1"/>
  <c r="C6" i="6"/>
  <c r="P228" i="1"/>
  <c r="P97" i="10"/>
  <c r="P41" i="7"/>
  <c r="F6" i="6"/>
  <c r="N228" i="1"/>
  <c r="W93" i="10"/>
  <c r="W96" l="1"/>
  <c r="O230" i="1"/>
  <c r="N230"/>
  <c r="P53" i="8"/>
  <c r="P230" i="1"/>
  <c r="P98" i="10"/>
  <c r="M98"/>
  <c r="E94" l="1"/>
  <c r="M54" i="8"/>
  <c r="N232" i="1"/>
  <c r="P232"/>
  <c r="O232"/>
  <c r="O54" i="8"/>
  <c r="N54" l="1"/>
  <c r="Q54"/>
  <c r="P54"/>
  <c r="P234" i="1"/>
  <c r="E96" i="10"/>
  <c r="O234" i="1"/>
  <c r="N234"/>
  <c r="O236" l="1"/>
  <c r="O101" i="10"/>
  <c r="O43" i="7"/>
  <c r="M101" i="10"/>
  <c r="M43" i="7"/>
  <c r="M55" i="8" s="1"/>
  <c r="P236" i="1"/>
  <c r="P101" i="10"/>
  <c r="Q101" s="1"/>
  <c r="P43" i="7"/>
  <c r="N236" i="1"/>
  <c r="N101" i="10"/>
  <c r="N43" i="7"/>
  <c r="R101" i="10" l="1"/>
  <c r="S101" s="1"/>
  <c r="T101" s="1"/>
  <c r="U101" s="1"/>
  <c r="V101" s="1"/>
  <c r="N55" i="8"/>
  <c r="N487" i="7"/>
  <c r="N1042" i="1"/>
  <c r="N1170" i="10" s="1"/>
  <c r="N1169"/>
  <c r="P1042" i="1"/>
  <c r="P1170" i="10" s="1"/>
  <c r="P1169"/>
  <c r="P487" i="7"/>
  <c r="M1169" i="10"/>
  <c r="M487" i="7"/>
  <c r="M1042" i="1"/>
  <c r="M1170" i="10" s="1"/>
  <c r="O238" i="1"/>
  <c r="O102" i="10"/>
  <c r="O55" i="8"/>
  <c r="N238" i="1"/>
  <c r="N102" i="10"/>
  <c r="P55" i="8"/>
  <c r="P238" i="1"/>
  <c r="P102" i="10"/>
  <c r="M102"/>
  <c r="O1169"/>
  <c r="O487" i="7"/>
  <c r="O1042" i="1"/>
  <c r="O1170" i="10" s="1"/>
  <c r="M103" l="1"/>
  <c r="M44" i="7"/>
  <c r="M56" i="8" s="1"/>
  <c r="O240" i="1"/>
  <c r="O103" i="10"/>
  <c r="O44" i="7"/>
  <c r="P240" i="1"/>
  <c r="P103" i="10"/>
  <c r="Q103" s="1"/>
  <c r="R103" s="1"/>
  <c r="P44" i="7"/>
  <c r="N240" i="1"/>
  <c r="N103" i="10"/>
  <c r="N44" i="7"/>
  <c r="S103" i="10" l="1"/>
  <c r="T103" s="1"/>
  <c r="U103" s="1"/>
  <c r="U104" s="1"/>
  <c r="N56" i="8"/>
  <c r="N242" i="1"/>
  <c r="N104" i="10"/>
  <c r="P56" i="8"/>
  <c r="P242" i="1"/>
  <c r="P104" i="10"/>
  <c r="O242" i="1"/>
  <c r="O104" i="10"/>
  <c r="O1037" i="1"/>
  <c r="M104" i="10"/>
  <c r="M1037" i="1"/>
  <c r="O56" i="8"/>
  <c r="V103" i="10" l="1"/>
  <c r="S104"/>
  <c r="Q104"/>
  <c r="Q44" i="7"/>
  <c r="Q56" i="8" s="1"/>
  <c r="Q117" i="1"/>
  <c r="P1037"/>
  <c r="M57" i="8"/>
  <c r="P244" i="1"/>
  <c r="N244"/>
  <c r="N57" i="8"/>
  <c r="O244" i="1"/>
  <c r="V117" l="1"/>
  <c r="X117" s="1"/>
  <c r="R117"/>
  <c r="R44" i="7"/>
  <c r="R56" i="8" s="1"/>
  <c r="R104" i="10"/>
  <c r="S44" i="7"/>
  <c r="S56" i="8" s="1"/>
  <c r="S117" i="1"/>
  <c r="W117"/>
  <c r="T44" i="7"/>
  <c r="O57" i="8"/>
  <c r="X932" i="10"/>
  <c r="X393" i="7"/>
  <c r="X459" i="8" s="1"/>
  <c r="O246" i="1"/>
  <c r="Q57" i="8"/>
  <c r="P57"/>
  <c r="P246" i="1"/>
  <c r="N246"/>
  <c r="T56" i="8" l="1"/>
  <c r="U117" i="1"/>
  <c r="T117"/>
  <c r="T104" i="10"/>
  <c r="U44" i="7"/>
  <c r="V118" i="1"/>
  <c r="V104" i="10"/>
  <c r="V44" i="7"/>
  <c r="W103" i="10"/>
  <c r="W44" i="7"/>
  <c r="W56" i="8" s="1"/>
  <c r="X103" i="10"/>
  <c r="X44" i="7"/>
  <c r="X56" i="8" s="1"/>
  <c r="U56"/>
  <c r="N248" i="1"/>
  <c r="P248"/>
  <c r="O248"/>
  <c r="O58" i="8"/>
  <c r="X912" i="10"/>
  <c r="X383" i="7"/>
  <c r="X449" i="8" s="1"/>
  <c r="M58"/>
  <c r="X934" i="10"/>
  <c r="X394" i="7"/>
  <c r="X460" i="8" s="1"/>
  <c r="V56" l="1"/>
  <c r="O250" i="1"/>
  <c r="N250"/>
  <c r="N58" i="8"/>
  <c r="P58"/>
  <c r="Q58"/>
  <c r="P250" i="1"/>
  <c r="P252" l="1"/>
  <c r="N252"/>
  <c r="O252"/>
  <c r="M59" i="8"/>
  <c r="O59" l="1"/>
  <c r="O254" i="1"/>
  <c r="Q59" i="8"/>
  <c r="P59"/>
  <c r="P254" i="1"/>
  <c r="N254"/>
  <c r="N59" i="8"/>
  <c r="P256" i="1" l="1"/>
  <c r="N256"/>
  <c r="O256"/>
  <c r="M60" i="8"/>
  <c r="O60" l="1"/>
  <c r="O258" i="1"/>
  <c r="Q60" i="8"/>
  <c r="P60"/>
  <c r="P258" i="1"/>
  <c r="N258"/>
  <c r="N60" i="8"/>
  <c r="P260" i="1" l="1"/>
  <c r="N260"/>
  <c r="O260"/>
  <c r="M61" i="8"/>
  <c r="O61" l="1"/>
  <c r="O262" i="1"/>
  <c r="Q61" i="8"/>
  <c r="P61"/>
  <c r="P262" i="1"/>
  <c r="N262"/>
  <c r="N61" i="8"/>
  <c r="N264" i="1" l="1"/>
  <c r="P264"/>
  <c r="O264"/>
  <c r="O62" i="8"/>
  <c r="M62"/>
  <c r="O266" i="1" l="1"/>
  <c r="N266"/>
  <c r="N62" i="8"/>
  <c r="Q62"/>
  <c r="P62"/>
  <c r="P266" i="1"/>
  <c r="P268" l="1"/>
  <c r="N268"/>
  <c r="O268"/>
  <c r="M63" i="8"/>
  <c r="O63" l="1"/>
  <c r="O270" i="1"/>
  <c r="N270"/>
  <c r="Q63" i="8"/>
  <c r="P63"/>
  <c r="P270" i="1"/>
  <c r="N63" i="8"/>
  <c r="M64" l="1"/>
  <c r="P272" i="1"/>
  <c r="N272"/>
  <c r="O272"/>
  <c r="N64" i="8" l="1"/>
  <c r="O64"/>
  <c r="O274" i="1"/>
  <c r="N274"/>
  <c r="Q64" i="8"/>
  <c r="P64"/>
  <c r="P274" i="1"/>
  <c r="P276" l="1"/>
  <c r="N276"/>
  <c r="O276"/>
  <c r="O65" i="8"/>
  <c r="M65"/>
  <c r="O278" i="1" l="1"/>
  <c r="Q65" i="8"/>
  <c r="P65"/>
  <c r="P278" i="1"/>
  <c r="N278"/>
  <c r="N65" i="8"/>
  <c r="P280" i="1" l="1"/>
  <c r="N280"/>
  <c r="O280"/>
  <c r="M66" i="8"/>
  <c r="O66" l="1"/>
  <c r="O282" i="1"/>
  <c r="N282"/>
  <c r="P66" i="8"/>
  <c r="Q66"/>
  <c r="P282" i="1"/>
  <c r="N66" i="8"/>
  <c r="M67" l="1"/>
  <c r="P284" i="1"/>
  <c r="N284"/>
  <c r="O284"/>
  <c r="O67" i="8" l="1"/>
  <c r="N67"/>
  <c r="O286" i="1"/>
  <c r="N286"/>
  <c r="Q67" i="8"/>
  <c r="P67"/>
  <c r="P286" i="1"/>
  <c r="P288" l="1"/>
  <c r="N288"/>
  <c r="O288"/>
  <c r="M68" i="8"/>
  <c r="O68" l="1"/>
  <c r="O290" i="1"/>
  <c r="N290"/>
  <c r="P68" i="8"/>
  <c r="Q68"/>
  <c r="P290" i="1"/>
  <c r="N68" i="8"/>
  <c r="M69" l="1"/>
  <c r="O69" l="1"/>
  <c r="N69"/>
  <c r="O294" i="1"/>
  <c r="N294"/>
  <c r="Q69" i="8"/>
  <c r="P69"/>
  <c r="P294" i="1"/>
  <c r="P296" l="1"/>
  <c r="N296"/>
  <c r="O296"/>
  <c r="M70" i="8"/>
  <c r="O70" l="1"/>
  <c r="O298" i="1"/>
  <c r="N298"/>
  <c r="P70" i="8"/>
  <c r="Q70"/>
  <c r="P298" i="1"/>
  <c r="N70" i="8"/>
  <c r="M71" l="1"/>
  <c r="P300" i="1"/>
  <c r="N300"/>
  <c r="O300"/>
  <c r="O71" i="8"/>
  <c r="N71" l="1"/>
  <c r="O302" i="1"/>
  <c r="N302"/>
  <c r="Q71" i="8"/>
  <c r="P71"/>
  <c r="P302" i="1"/>
  <c r="P304" l="1"/>
  <c r="N304"/>
  <c r="O304"/>
  <c r="O72" i="8"/>
  <c r="M72"/>
  <c r="O306" i="1" l="1"/>
  <c r="P306"/>
  <c r="N72" i="8"/>
  <c r="N306" i="1"/>
  <c r="P72" i="8"/>
  <c r="Q72"/>
  <c r="P308" i="1" l="1"/>
  <c r="O308"/>
  <c r="N308"/>
  <c r="M73" i="8"/>
  <c r="N310" i="1" l="1"/>
  <c r="O310"/>
  <c r="Q73" i="8"/>
  <c r="P73"/>
  <c r="P310" i="1"/>
  <c r="N73" i="8"/>
  <c r="O73"/>
  <c r="P312" i="1" l="1"/>
  <c r="O312"/>
  <c r="N312"/>
  <c r="M74" i="8"/>
  <c r="N314" i="1" l="1"/>
  <c r="O314"/>
  <c r="P74" i="8"/>
  <c r="Q74"/>
  <c r="P314" i="1"/>
  <c r="N74" i="8"/>
  <c r="O74"/>
  <c r="P316" i="1" l="1"/>
  <c r="O316"/>
  <c r="N316"/>
  <c r="M75" i="8"/>
  <c r="N318" i="1" l="1"/>
  <c r="O318"/>
  <c r="Q75" i="8"/>
  <c r="P75"/>
  <c r="P318" i="1"/>
  <c r="N75" i="8"/>
  <c r="O75"/>
  <c r="P320" i="1" l="1"/>
  <c r="O320"/>
  <c r="N320"/>
  <c r="M76" i="8"/>
  <c r="N322" i="1" l="1"/>
  <c r="O322"/>
  <c r="P76" i="8"/>
  <c r="Q76"/>
  <c r="P322" i="1"/>
  <c r="N76" i="8"/>
  <c r="O76"/>
  <c r="P324" i="1" l="1"/>
  <c r="O324"/>
  <c r="N324"/>
  <c r="M77" i="8"/>
  <c r="N326" i="1" l="1"/>
  <c r="O326"/>
  <c r="Q77" i="8"/>
  <c r="P77"/>
  <c r="P326" i="1"/>
  <c r="N77" i="8"/>
  <c r="O77"/>
  <c r="P328" i="1" l="1"/>
  <c r="O328"/>
  <c r="N328"/>
  <c r="M78" i="8"/>
  <c r="N330" i="1" l="1"/>
  <c r="O330"/>
  <c r="P78" i="8"/>
  <c r="Q78"/>
  <c r="P330" i="1"/>
  <c r="N78" i="8"/>
  <c r="O78"/>
  <c r="P332" i="1" l="1"/>
  <c r="O332"/>
  <c r="N332"/>
  <c r="M79" i="8"/>
  <c r="N334" i="1" l="1"/>
  <c r="O334"/>
  <c r="Q79" i="8"/>
  <c r="P79"/>
  <c r="P334" i="1"/>
  <c r="N79" i="8"/>
  <c r="O79"/>
  <c r="P336" i="1" l="1"/>
  <c r="O336"/>
  <c r="N336"/>
  <c r="M80" i="8"/>
  <c r="N338" i="1" l="1"/>
  <c r="O338"/>
  <c r="P80" i="8"/>
  <c r="Q80"/>
  <c r="P338" i="1"/>
  <c r="N80" i="8"/>
  <c r="O80"/>
  <c r="P340" i="1" l="1"/>
  <c r="O340"/>
  <c r="N340"/>
  <c r="N342" l="1"/>
  <c r="O342"/>
  <c r="P342"/>
  <c r="P344" l="1"/>
  <c r="O344"/>
  <c r="N344"/>
  <c r="O346" l="1"/>
  <c r="N346"/>
  <c r="P346"/>
  <c r="P348" l="1"/>
  <c r="N348"/>
  <c r="O348"/>
  <c r="N350" l="1"/>
  <c r="O350"/>
  <c r="P350"/>
  <c r="P352" l="1"/>
  <c r="O352"/>
  <c r="N352"/>
  <c r="O354" l="1"/>
  <c r="N354"/>
  <c r="P354"/>
  <c r="P356" l="1"/>
  <c r="N356"/>
  <c r="O356"/>
  <c r="N358" l="1"/>
  <c r="O358"/>
  <c r="P358"/>
  <c r="P360" l="1"/>
  <c r="O360"/>
  <c r="N360"/>
  <c r="O362" l="1"/>
  <c r="N362"/>
  <c r="P362"/>
  <c r="P364" l="1"/>
  <c r="N364"/>
  <c r="O364"/>
  <c r="O366" l="1"/>
  <c r="N366"/>
  <c r="P366"/>
  <c r="P368" l="1"/>
  <c r="N368"/>
  <c r="O368"/>
  <c r="O370" l="1"/>
  <c r="N370"/>
  <c r="P370"/>
  <c r="P372" s="1"/>
  <c r="M81" i="8"/>
  <c r="P105" i="10" l="1"/>
  <c r="P163" i="1"/>
  <c r="P161"/>
  <c r="P159"/>
  <c r="P157"/>
  <c r="P155"/>
  <c r="P45" i="7"/>
  <c r="N372" i="1"/>
  <c r="O372"/>
  <c r="P374" s="1"/>
  <c r="Q81" i="8"/>
  <c r="P81"/>
  <c r="N81"/>
  <c r="O81"/>
  <c r="P106" i="10" l="1"/>
  <c r="N374" i="1"/>
  <c r="N105" i="10"/>
  <c r="N163" i="1"/>
  <c r="N161"/>
  <c r="N159"/>
  <c r="N157"/>
  <c r="N155"/>
  <c r="N45" i="7"/>
  <c r="P1116" i="10"/>
  <c r="P1122"/>
  <c r="P1126"/>
  <c r="P1130"/>
  <c r="P1134"/>
  <c r="O374" i="1"/>
  <c r="O105" i="10"/>
  <c r="O163" i="1"/>
  <c r="O161"/>
  <c r="O159"/>
  <c r="O157"/>
  <c r="O155"/>
  <c r="O45" i="7"/>
  <c r="P1118" i="10"/>
  <c r="P1114"/>
  <c r="P1120"/>
  <c r="P1124"/>
  <c r="P1128"/>
  <c r="P1132"/>
  <c r="M105"/>
  <c r="M163" i="1"/>
  <c r="M161"/>
  <c r="M159"/>
  <c r="M157"/>
  <c r="M155"/>
  <c r="M45" i="7"/>
  <c r="M82" i="8" s="1"/>
  <c r="O82" l="1"/>
  <c r="M1114" i="10"/>
  <c r="M1116"/>
  <c r="M530" i="8"/>
  <c r="M1122" i="10"/>
  <c r="M533" i="8"/>
  <c r="M1126" i="10"/>
  <c r="M535" i="8"/>
  <c r="M1130" i="10"/>
  <c r="M537" i="8"/>
  <c r="M1134" i="10"/>
  <c r="M539" i="8"/>
  <c r="Q538"/>
  <c r="Q536"/>
  <c r="Q532"/>
  <c r="Q531"/>
  <c r="O1116" i="10"/>
  <c r="O1122"/>
  <c r="O1126"/>
  <c r="O1130"/>
  <c r="P537" i="8"/>
  <c r="O1134" i="10"/>
  <c r="P539" i="8"/>
  <c r="O376" i="1"/>
  <c r="O106" i="10"/>
  <c r="Q539" i="8"/>
  <c r="Q537"/>
  <c r="Q535"/>
  <c r="P535"/>
  <c r="Q530"/>
  <c r="P530"/>
  <c r="N1114" i="10"/>
  <c r="N1122"/>
  <c r="N533" i="8"/>
  <c r="N1126" i="10"/>
  <c r="N535" i="8"/>
  <c r="N1130" i="10"/>
  <c r="N537" i="8"/>
  <c r="N1134" i="10"/>
  <c r="N539" i="8"/>
  <c r="N376" i="1"/>
  <c r="N106" i="10"/>
  <c r="N82" i="8"/>
  <c r="P376" i="1"/>
  <c r="M1118" i="10"/>
  <c r="M531" i="8"/>
  <c r="M106" i="10"/>
  <c r="M1120"/>
  <c r="M532" i="8"/>
  <c r="M1124" i="10"/>
  <c r="M534" i="8"/>
  <c r="M536"/>
  <c r="M1128" i="10"/>
  <c r="M538" i="8"/>
  <c r="M1132" i="10"/>
  <c r="Q534" i="8"/>
  <c r="Q529"/>
  <c r="O1118" i="10"/>
  <c r="O1114"/>
  <c r="O1120"/>
  <c r="P532" i="8"/>
  <c r="O1124" i="10"/>
  <c r="O1128"/>
  <c r="O1132"/>
  <c r="Q533" i="8"/>
  <c r="P533"/>
  <c r="N1116" i="10"/>
  <c r="N530" i="8"/>
  <c r="N1118" i="10"/>
  <c r="N531" i="8"/>
  <c r="N1120" i="10"/>
  <c r="N532" i="8"/>
  <c r="N1124" i="10"/>
  <c r="N534" i="8"/>
  <c r="N1128" i="10"/>
  <c r="N1132"/>
  <c r="P82" i="8"/>
  <c r="N538" l="1"/>
  <c r="N536"/>
  <c r="O529"/>
  <c r="N529"/>
  <c r="M529"/>
  <c r="O531"/>
  <c r="P378" i="1"/>
  <c r="P107" i="10"/>
  <c r="P46" i="7"/>
  <c r="O538" i="8"/>
  <c r="O536"/>
  <c r="O534"/>
  <c r="P529"/>
  <c r="P534"/>
  <c r="O533"/>
  <c r="P531"/>
  <c r="P536"/>
  <c r="P538"/>
  <c r="M107" i="10"/>
  <c r="M46" i="7"/>
  <c r="M83" i="8" s="1"/>
  <c r="N378" i="1"/>
  <c r="N107" i="10"/>
  <c r="N46" i="7"/>
  <c r="O378" i="1"/>
  <c r="O107" i="10"/>
  <c r="O46" i="7"/>
  <c r="O532" i="8"/>
  <c r="O539"/>
  <c r="O537"/>
  <c r="O535"/>
  <c r="O530"/>
  <c r="N83" l="1"/>
  <c r="O83"/>
  <c r="O380" i="1"/>
  <c r="O108" i="10"/>
  <c r="N380" i="1"/>
  <c r="N108" i="10"/>
  <c r="M108"/>
  <c r="P380" i="1"/>
  <c r="P108" i="10"/>
  <c r="P83" i="8"/>
  <c r="N109" i="10" l="1"/>
  <c r="N47" i="7"/>
  <c r="O109" i="10"/>
  <c r="O47" i="7"/>
  <c r="P109" i="10"/>
  <c r="P47" i="7"/>
  <c r="M109" i="10"/>
  <c r="M47" i="7"/>
  <c r="M84" i="8" s="1"/>
  <c r="P84" l="1"/>
  <c r="O84"/>
  <c r="P384" i="1"/>
  <c r="P110" i="10"/>
  <c r="O384" i="1"/>
  <c r="O110" i="10"/>
  <c r="N110"/>
  <c r="N84" i="8"/>
  <c r="M110" i="10"/>
  <c r="M111" l="1"/>
  <c r="M48" i="7"/>
  <c r="M85" i="8" s="1"/>
  <c r="N386" i="1"/>
  <c r="N111" i="10"/>
  <c r="N48" i="7"/>
  <c r="O386" i="1"/>
  <c r="O111" i="10"/>
  <c r="O48" i="7"/>
  <c r="P386" i="1"/>
  <c r="P111" i="10"/>
  <c r="P48" i="7"/>
  <c r="N85" i="8" l="1"/>
  <c r="O85"/>
  <c r="P85"/>
  <c r="P388" i="1"/>
  <c r="P112" i="10"/>
  <c r="O388" i="1"/>
  <c r="O112" i="10"/>
  <c r="N388" i="1"/>
  <c r="N112" i="10"/>
  <c r="M112"/>
  <c r="N113" l="1"/>
  <c r="N49" i="7"/>
  <c r="O390" i="1"/>
  <c r="O113" i="10"/>
  <c r="O49" i="7"/>
  <c r="P390" i="1"/>
  <c r="P113" i="10"/>
  <c r="P49" i="7"/>
  <c r="M113" i="10"/>
  <c r="M49" i="7"/>
  <c r="M86" i="8" s="1"/>
  <c r="P86" l="1"/>
  <c r="O86"/>
  <c r="P392" i="1"/>
  <c r="P408" i="10" s="1"/>
  <c r="P114"/>
  <c r="O392" i="1"/>
  <c r="O408" i="10" s="1"/>
  <c r="O114"/>
  <c r="N392" i="1"/>
  <c r="N408" i="10" s="1"/>
  <c r="N114"/>
  <c r="N86" i="8"/>
  <c r="M114" i="10"/>
  <c r="N394" i="1" l="1"/>
  <c r="N410" i="10" s="1"/>
  <c r="N115"/>
  <c r="N50" i="7"/>
  <c r="O394" i="1"/>
  <c r="O410" i="10" s="1"/>
  <c r="O115"/>
  <c r="O50" i="7"/>
  <c r="P394" i="1"/>
  <c r="P410" i="10" s="1"/>
  <c r="P115"/>
  <c r="P50" i="7"/>
  <c r="M408" i="10"/>
  <c r="M115"/>
  <c r="M50" i="7"/>
  <c r="M87" i="8" s="1"/>
  <c r="O87" l="1"/>
  <c r="P87"/>
  <c r="P396" i="1"/>
  <c r="P412" i="10" s="1"/>
  <c r="P116"/>
  <c r="O396" i="1"/>
  <c r="O412" i="10" s="1"/>
  <c r="O116"/>
  <c r="N396" i="1"/>
  <c r="N412" i="10" s="1"/>
  <c r="N116"/>
  <c r="N87" i="8"/>
  <c r="M410" i="10"/>
  <c r="M116"/>
  <c r="M412" l="1"/>
  <c r="M117"/>
  <c r="M51" i="7"/>
  <c r="M88" i="8" s="1"/>
  <c r="N398" i="1"/>
  <c r="N414" i="10" s="1"/>
  <c r="N117"/>
  <c r="N51" i="7"/>
  <c r="O398" i="1"/>
  <c r="O414" i="10" s="1"/>
  <c r="O117"/>
  <c r="O51" i="7"/>
  <c r="P398" i="1"/>
  <c r="P414" i="10" s="1"/>
  <c r="P117"/>
  <c r="P51" i="7"/>
  <c r="P88" i="8" l="1"/>
  <c r="N88"/>
  <c r="O88"/>
  <c r="P400" i="1"/>
  <c r="P416" i="10" s="1"/>
  <c r="P118"/>
  <c r="O400" i="1"/>
  <c r="O416" i="10" s="1"/>
  <c r="O118"/>
  <c r="N400" i="1"/>
  <c r="N416" i="10" s="1"/>
  <c r="N118"/>
  <c r="M414"/>
  <c r="M118"/>
  <c r="N402" i="1" l="1"/>
  <c r="N418" i="10" s="1"/>
  <c r="N119"/>
  <c r="O402" i="1"/>
  <c r="O418" i="10" s="1"/>
  <c r="O119"/>
  <c r="P402" i="1"/>
  <c r="P418" i="10" s="1"/>
  <c r="P119"/>
  <c r="M416"/>
  <c r="M119"/>
  <c r="M89" i="8"/>
  <c r="O89" l="1"/>
  <c r="P89"/>
  <c r="M418" i="10"/>
  <c r="M120"/>
  <c r="P404" i="1"/>
  <c r="P420" i="10" s="1"/>
  <c r="P120"/>
  <c r="O404" i="1"/>
  <c r="O420" i="10" s="1"/>
  <c r="O120"/>
  <c r="N120"/>
  <c r="N89" i="8"/>
  <c r="P406" i="1" l="1"/>
  <c r="P422" i="10" s="1"/>
  <c r="P121"/>
  <c r="N406" i="1"/>
  <c r="N422" i="10" s="1"/>
  <c r="N121"/>
  <c r="O406" i="1"/>
  <c r="O422" i="10" s="1"/>
  <c r="O121"/>
  <c r="M121"/>
  <c r="M90" i="8"/>
  <c r="O90" l="1"/>
  <c r="O408" i="1"/>
  <c r="O424" i="10" s="1"/>
  <c r="O122"/>
  <c r="N408" i="1"/>
  <c r="N424" i="10" s="1"/>
  <c r="N122"/>
  <c r="P408" i="1"/>
  <c r="P424" i="10" s="1"/>
  <c r="P122"/>
  <c r="N90" i="8"/>
  <c r="P90"/>
  <c r="M422" i="10"/>
  <c r="M122"/>
  <c r="P410" i="1" l="1"/>
  <c r="P426" i="10" s="1"/>
  <c r="P123"/>
  <c r="N410" i="1"/>
  <c r="N426" i="10" s="1"/>
  <c r="N123"/>
  <c r="O410" i="1"/>
  <c r="O426" i="10" s="1"/>
  <c r="O123"/>
  <c r="M424"/>
  <c r="M123"/>
  <c r="M91" i="8"/>
  <c r="O91" l="1"/>
  <c r="O412" i="1"/>
  <c r="O428" i="10" s="1"/>
  <c r="O124"/>
  <c r="N412" i="1"/>
  <c r="N428" i="10" s="1"/>
  <c r="N124"/>
  <c r="P412" i="1"/>
  <c r="P428" i="10" s="1"/>
  <c r="P124"/>
  <c r="N91" i="8"/>
  <c r="P91"/>
  <c r="M426" i="10"/>
  <c r="M124"/>
  <c r="P414" i="1" l="1"/>
  <c r="P430" i="10" s="1"/>
  <c r="P125"/>
  <c r="N125"/>
  <c r="O414" i="1"/>
  <c r="O430" i="10" s="1"/>
  <c r="O125"/>
  <c r="O92" i="8"/>
  <c r="M428" i="10"/>
  <c r="M125"/>
  <c r="M92" i="8"/>
  <c r="O416" i="1" l="1"/>
  <c r="O432" i="10" s="1"/>
  <c r="O126"/>
  <c r="N416" i="1"/>
  <c r="N432" i="10" s="1"/>
  <c r="N126"/>
  <c r="P416" i="1"/>
  <c r="P432" i="10" s="1"/>
  <c r="P126"/>
  <c r="N92" i="8"/>
  <c r="P92"/>
  <c r="M126" i="10"/>
  <c r="P418" i="1" l="1"/>
  <c r="P434" i="10" s="1"/>
  <c r="P127"/>
  <c r="F7" i="6"/>
  <c r="N127" i="10"/>
  <c r="D7" i="6"/>
  <c r="O418" i="1"/>
  <c r="O434" i="10" s="1"/>
  <c r="O127"/>
  <c r="O93" i="8"/>
  <c r="E7" i="6"/>
  <c r="M432" i="10"/>
  <c r="M127"/>
  <c r="M93" i="8"/>
  <c r="C7" i="6"/>
  <c r="O420" i="1" l="1"/>
  <c r="O436" i="10" s="1"/>
  <c r="O128"/>
  <c r="N420" i="1"/>
  <c r="N436" i="10" s="1"/>
  <c r="N128"/>
  <c r="P420" i="1"/>
  <c r="P436" i="10" s="1"/>
  <c r="P128"/>
  <c r="N93" i="8"/>
  <c r="P93"/>
  <c r="M128" i="10"/>
  <c r="P422" i="1" l="1"/>
  <c r="P438" i="10" s="1"/>
  <c r="P129"/>
  <c r="Q129" s="1"/>
  <c r="N129"/>
  <c r="O422" i="1"/>
  <c r="O129" i="10"/>
  <c r="M436"/>
  <c r="M129"/>
  <c r="R129" l="1"/>
  <c r="S129" s="1"/>
  <c r="O424" i="1"/>
  <c r="O440" i="10" s="1"/>
  <c r="O438"/>
  <c r="O131"/>
  <c r="N424" i="1"/>
  <c r="N440" i="10" s="1"/>
  <c r="P424" i="1"/>
  <c r="P440" i="10" s="1"/>
  <c r="Q143" i="1"/>
  <c r="R143" l="1"/>
  <c r="N426"/>
  <c r="N442" i="10" s="1"/>
  <c r="N131"/>
  <c r="O426" i="1"/>
  <c r="M440" i="10"/>
  <c r="M131"/>
  <c r="P426" i="1"/>
  <c r="P131" i="10"/>
  <c r="Q131" s="1"/>
  <c r="R131" s="1"/>
  <c r="S131" s="1"/>
  <c r="T131" s="1"/>
  <c r="U131" s="1"/>
  <c r="V131" s="1"/>
  <c r="P428" i="1" l="1"/>
  <c r="P444" i="10" s="1"/>
  <c r="P442"/>
  <c r="O428" i="1"/>
  <c r="O444" i="10" s="1"/>
  <c r="O442"/>
  <c r="P430" i="1"/>
  <c r="P446" i="10" s="1"/>
  <c r="P133"/>
  <c r="Q133" s="1"/>
  <c r="M442"/>
  <c r="O133"/>
  <c r="Q145" i="1"/>
  <c r="T129" i="10"/>
  <c r="U129" s="1"/>
  <c r="V129" s="1"/>
  <c r="S143" i="1"/>
  <c r="O430" l="1"/>
  <c r="O446" i="10" s="1"/>
  <c r="T143" i="1"/>
  <c r="R145"/>
  <c r="P432"/>
  <c r="P448" i="10" s="1"/>
  <c r="N133"/>
  <c r="M133"/>
  <c r="R133" s="1"/>
  <c r="Q147" i="1"/>
  <c r="V143" l="1"/>
  <c r="R147"/>
  <c r="S133" i="10"/>
  <c r="T133" s="1"/>
  <c r="P135"/>
  <c r="Q135" s="1"/>
  <c r="S145" i="1"/>
  <c r="O432"/>
  <c r="O448" i="10" s="1"/>
  <c r="N434" i="1"/>
  <c r="N450" i="10" s="1"/>
  <c r="N135"/>
  <c r="U143" i="1"/>
  <c r="T145" l="1"/>
  <c r="Q149"/>
  <c r="M135" i="10"/>
  <c r="R135" s="1"/>
  <c r="N436" i="1"/>
  <c r="N452" i="10" s="1"/>
  <c r="O434" i="1"/>
  <c r="O135" i="10"/>
  <c r="S147" i="1"/>
  <c r="P434"/>
  <c r="V145" l="1"/>
  <c r="P436"/>
  <c r="P452" i="10" s="1"/>
  <c r="P450"/>
  <c r="O436" i="1"/>
  <c r="O452" i="10" s="1"/>
  <c r="O450"/>
  <c r="R149" i="1"/>
  <c r="S135" i="10"/>
  <c r="T135" s="1"/>
  <c r="P438" i="1"/>
  <c r="P454" i="10" s="1"/>
  <c r="P137"/>
  <c r="Q137" s="1"/>
  <c r="O438" i="1"/>
  <c r="O454" i="10" s="1"/>
  <c r="O137"/>
  <c r="U145" i="1"/>
  <c r="X900" i="10"/>
  <c r="X377" i="7"/>
  <c r="X443" i="8" s="1"/>
  <c r="T147" i="1"/>
  <c r="U133" i="10"/>
  <c r="V133" s="1"/>
  <c r="N137"/>
  <c r="M450"/>
  <c r="N438" i="1"/>
  <c r="N454" i="10" s="1"/>
  <c r="Q139" l="1"/>
  <c r="V147" i="1"/>
  <c r="X910" i="10"/>
  <c r="X382" i="7"/>
  <c r="X448" i="8" s="1"/>
  <c r="U147" i="1"/>
  <c r="Q151"/>
  <c r="M452" i="10"/>
  <c r="M137"/>
  <c r="R137" s="1"/>
  <c r="S137" s="1"/>
  <c r="T137" s="1"/>
  <c r="S149" i="1"/>
  <c r="O440"/>
  <c r="O456" i="10" s="1"/>
  <c r="P440" i="1"/>
  <c r="P456" i="10" s="1"/>
  <c r="R139" l="1"/>
  <c r="R151" i="1"/>
  <c r="O139" i="10"/>
  <c r="P442" i="1"/>
  <c r="P458" i="10" s="1"/>
  <c r="P139"/>
  <c r="M454"/>
  <c r="U135"/>
  <c r="T149" i="1"/>
  <c r="V135" i="10" l="1"/>
  <c r="V149" i="1" s="1"/>
  <c r="S139" i="10"/>
  <c r="U149" i="1"/>
  <c r="M139" i="10"/>
  <c r="Q153" i="1"/>
  <c r="N442"/>
  <c r="N139" i="10"/>
  <c r="X902"/>
  <c r="X378" i="7"/>
  <c r="X444" i="8" s="1"/>
  <c r="S151" i="1"/>
  <c r="P444"/>
  <c r="P460" i="10" s="1"/>
  <c r="O442" i="1"/>
  <c r="U137" i="10" l="1"/>
  <c r="T139"/>
  <c r="O444" i="1"/>
  <c r="O460" i="10" s="1"/>
  <c r="O458"/>
  <c r="N444" i="1"/>
  <c r="N460" i="10" s="1"/>
  <c r="N458"/>
  <c r="P446" i="1"/>
  <c r="P462" i="10" s="1"/>
  <c r="P141"/>
  <c r="Q141" s="1"/>
  <c r="O446" i="1"/>
  <c r="O462" i="10" s="1"/>
  <c r="O141"/>
  <c r="N141"/>
  <c r="T151" i="1"/>
  <c r="R153"/>
  <c r="M458" i="10"/>
  <c r="U139" l="1"/>
  <c r="V137"/>
  <c r="V151" i="1" s="1"/>
  <c r="M460" i="10"/>
  <c r="M141"/>
  <c r="R141" s="1"/>
  <c r="U151" i="1"/>
  <c r="N446"/>
  <c r="P448"/>
  <c r="P464" i="10" s="1"/>
  <c r="S153" i="1"/>
  <c r="Q155"/>
  <c r="V139" i="10" l="1"/>
  <c r="V153" i="1" s="1"/>
  <c r="N448"/>
  <c r="N464" i="10" s="1"/>
  <c r="N462"/>
  <c r="Q89" i="8"/>
  <c r="O448" i="1"/>
  <c r="O464" i="10" s="1"/>
  <c r="R155" i="1"/>
  <c r="S141" i="10"/>
  <c r="T153" i="1"/>
  <c r="P450"/>
  <c r="P466" i="10" s="1"/>
  <c r="P143"/>
  <c r="Q143" s="1"/>
  <c r="N143"/>
  <c r="M462"/>
  <c r="Q157" i="1" l="1"/>
  <c r="U153"/>
  <c r="S155"/>
  <c r="T141" i="10"/>
  <c r="X904"/>
  <c r="X379" i="7"/>
  <c r="X445" i="8" s="1"/>
  <c r="M464" i="10"/>
  <c r="M143"/>
  <c r="R143" s="1"/>
  <c r="R89" i="8"/>
  <c r="O450" i="1"/>
  <c r="O466" i="10" s="1"/>
  <c r="O143"/>
  <c r="N450" i="1"/>
  <c r="P452"/>
  <c r="P468" i="10" s="1"/>
  <c r="N452" i="1" l="1"/>
  <c r="N468" i="10" s="1"/>
  <c r="N466"/>
  <c r="R157" i="1"/>
  <c r="S143" i="10"/>
  <c r="P145"/>
  <c r="Q145" s="1"/>
  <c r="T155" i="1"/>
  <c r="U141" i="10"/>
  <c r="Q90" i="8"/>
  <c r="N145" i="10"/>
  <c r="M466"/>
  <c r="S89" i="8"/>
  <c r="O452" i="1"/>
  <c r="O468" i="10" s="1"/>
  <c r="U149" l="1"/>
  <c r="V141"/>
  <c r="M468"/>
  <c r="M145"/>
  <c r="R145" s="1"/>
  <c r="U155" i="1"/>
  <c r="Q159"/>
  <c r="R90" i="8"/>
  <c r="O454" i="1"/>
  <c r="O470" i="10" s="1"/>
  <c r="O145"/>
  <c r="T89" i="8"/>
  <c r="S157" i="1"/>
  <c r="T143" i="10"/>
  <c r="N454" i="1"/>
  <c r="P454"/>
  <c r="V155" l="1"/>
  <c r="U163"/>
  <c r="P456"/>
  <c r="P472" i="10" s="1"/>
  <c r="P470"/>
  <c r="N470"/>
  <c r="P147"/>
  <c r="Q147" s="1"/>
  <c r="Q149" s="1"/>
  <c r="N147"/>
  <c r="U143"/>
  <c r="V143" s="1"/>
  <c r="T157" i="1"/>
  <c r="U89" i="8"/>
  <c r="S90"/>
  <c r="Q91"/>
  <c r="R159" i="1"/>
  <c r="S145" i="10"/>
  <c r="M470"/>
  <c r="O456" i="1"/>
  <c r="O472" i="10" s="1"/>
  <c r="V157" i="1" l="1"/>
  <c r="X56" i="7"/>
  <c r="X93" i="8" s="1"/>
  <c r="X127" i="10"/>
  <c r="Q163" i="1"/>
  <c r="X119" i="10"/>
  <c r="X52" i="7"/>
  <c r="X89" i="8" s="1"/>
  <c r="O458" i="1"/>
  <c r="O474" i="10" s="1"/>
  <c r="O147"/>
  <c r="M147"/>
  <c r="R91" i="8"/>
  <c r="T90"/>
  <c r="U157" i="1"/>
  <c r="N458"/>
  <c r="P458"/>
  <c r="S159"/>
  <c r="T145" i="10"/>
  <c r="X906"/>
  <c r="X380" i="7"/>
  <c r="X446" i="8" s="1"/>
  <c r="R147" i="10"/>
  <c r="R149" s="1"/>
  <c r="Q161" i="1"/>
  <c r="R163" l="1"/>
  <c r="Q93" i="8"/>
  <c r="P460" i="1"/>
  <c r="P476" i="10" s="1"/>
  <c r="P474"/>
  <c r="N460" i="1"/>
  <c r="N476" i="10" s="1"/>
  <c r="N474"/>
  <c r="R161" i="1"/>
  <c r="S147" i="10"/>
  <c r="S149" s="1"/>
  <c r="T159" i="1"/>
  <c r="U145" i="10"/>
  <c r="V145" s="1"/>
  <c r="P149"/>
  <c r="U90" i="8"/>
  <c r="O460" i="1"/>
  <c r="Q92" i="8"/>
  <c r="S91"/>
  <c r="N149" i="10"/>
  <c r="M474"/>
  <c r="V159" i="1" l="1"/>
  <c r="R93" i="8"/>
  <c r="S163" i="1"/>
  <c r="P462"/>
  <c r="P478" i="10" s="1"/>
  <c r="O476"/>
  <c r="X121"/>
  <c r="X53" i="7"/>
  <c r="X90" i="8" s="1"/>
  <c r="N150" i="10"/>
  <c r="N57" i="7"/>
  <c r="D9" i="6"/>
  <c r="P150" i="10"/>
  <c r="P57" i="7"/>
  <c r="F9" i="6"/>
  <c r="U159" i="1"/>
  <c r="R92" i="8"/>
  <c r="M476" i="10"/>
  <c r="N464" i="1"/>
  <c r="N480" i="10" s="1"/>
  <c r="M149"/>
  <c r="O462" i="1"/>
  <c r="O149" i="10"/>
  <c r="T91" i="8"/>
  <c r="S161" i="1"/>
  <c r="T147" i="10"/>
  <c r="T149" s="1"/>
  <c r="S93" i="8" l="1"/>
  <c r="T163" i="1"/>
  <c r="P464"/>
  <c r="P480" i="10" s="1"/>
  <c r="O478"/>
  <c r="N151"/>
  <c r="P151"/>
  <c r="U147"/>
  <c r="V147" s="1"/>
  <c r="V161" i="1" s="1"/>
  <c r="T161"/>
  <c r="S92" i="8"/>
  <c r="O464" i="1"/>
  <c r="O480" i="10" s="1"/>
  <c r="O150"/>
  <c r="O57" i="7"/>
  <c r="O94" i="8" s="1"/>
  <c r="E9" i="6"/>
  <c r="M150" i="10"/>
  <c r="M57" i="7"/>
  <c r="M94" i="8" s="1"/>
  <c r="N466" i="1"/>
  <c r="N482" i="10" s="1"/>
  <c r="C9" i="6"/>
  <c r="U91" i="8"/>
  <c r="V149" i="10" l="1"/>
  <c r="P94" i="8"/>
  <c r="N94"/>
  <c r="X123" i="10"/>
  <c r="X54" i="7"/>
  <c r="X91" i="8" s="1"/>
  <c r="N152" i="10"/>
  <c r="O466" i="1"/>
  <c r="O482" i="10" s="1"/>
  <c r="O151"/>
  <c r="T92" i="8"/>
  <c r="U161" i="1"/>
  <c r="P466"/>
  <c r="P482" i="10" s="1"/>
  <c r="X908"/>
  <c r="X381" i="7"/>
  <c r="X447" i="8" s="1"/>
  <c r="M480" i="10"/>
  <c r="M151"/>
  <c r="V163" i="1" l="1"/>
  <c r="T93" i="8"/>
  <c r="U93"/>
  <c r="M482" i="10"/>
  <c r="M152"/>
  <c r="M95" i="8"/>
  <c r="P468" i="1"/>
  <c r="P484" i="10" s="1"/>
  <c r="P152"/>
  <c r="O468" i="1"/>
  <c r="O484" i="10" s="1"/>
  <c r="O152"/>
  <c r="O95" i="8"/>
  <c r="N468" i="1"/>
  <c r="N484" i="10" s="1"/>
  <c r="U92" i="8"/>
  <c r="N95" l="1"/>
  <c r="X125" i="10"/>
  <c r="X55" i="7"/>
  <c r="X92" i="8" s="1"/>
  <c r="N470" i="1"/>
  <c r="N486" i="10" s="1"/>
  <c r="N153"/>
  <c r="O470" i="1"/>
  <c r="O486" i="10" s="1"/>
  <c r="O153"/>
  <c r="P470" i="1"/>
  <c r="P486" i="10" s="1"/>
  <c r="P153"/>
  <c r="M484"/>
  <c r="M153"/>
  <c r="P95" i="8"/>
  <c r="P472" i="1" l="1"/>
  <c r="P488" i="10" s="1"/>
  <c r="P154"/>
  <c r="O472" i="1"/>
  <c r="O488" i="10" s="1"/>
  <c r="O154"/>
  <c r="N154"/>
  <c r="M486"/>
  <c r="M154"/>
  <c r="M96" i="8"/>
  <c r="N155" i="10" l="1"/>
  <c r="O474" i="1"/>
  <c r="O490" i="10" s="1"/>
  <c r="O155"/>
  <c r="P474" i="1"/>
  <c r="P490" i="10" s="1"/>
  <c r="P155"/>
  <c r="N96" i="8"/>
  <c r="O96"/>
  <c r="P96"/>
  <c r="M155" i="10"/>
  <c r="M156" l="1"/>
  <c r="M97" i="8"/>
  <c r="C8" i="6"/>
  <c r="P156" i="10"/>
  <c r="F8" i="6"/>
  <c r="O156" i="10"/>
  <c r="E8" i="6"/>
  <c r="N156" i="10"/>
  <c r="D8" i="6"/>
  <c r="N97" i="8" l="1"/>
  <c r="N478" i="1"/>
  <c r="N504" i="10" s="1"/>
  <c r="N157"/>
  <c r="O478" i="1"/>
  <c r="O504" i="10" s="1"/>
  <c r="O157"/>
  <c r="P478" i="1"/>
  <c r="P504" i="10" s="1"/>
  <c r="P157"/>
  <c r="M157"/>
  <c r="O97" i="8"/>
  <c r="P97"/>
  <c r="P480" i="1" l="1"/>
  <c r="P506" i="10" s="1"/>
  <c r="P158"/>
  <c r="Q158" s="1"/>
  <c r="O480" i="1"/>
  <c r="O506" i="10" s="1"/>
  <c r="O158"/>
  <c r="N480" i="1"/>
  <c r="N506" i="10" s="1"/>
  <c r="N158"/>
  <c r="M504"/>
  <c r="M158"/>
  <c r="R158" l="1"/>
  <c r="M506"/>
  <c r="N482" i="1"/>
  <c r="N508" i="10" s="1"/>
  <c r="O482" i="1"/>
  <c r="O508" i="10" s="1"/>
  <c r="P482" i="1"/>
  <c r="P508" i="10" s="1"/>
  <c r="S158" l="1"/>
  <c r="T158" s="1"/>
  <c r="U158" s="1"/>
  <c r="V158" s="1"/>
  <c r="Q172" i="1"/>
  <c r="P484"/>
  <c r="P510" i="10" s="1"/>
  <c r="P160"/>
  <c r="Q160" s="1"/>
  <c r="N484" i="1"/>
  <c r="N510" i="10" s="1"/>
  <c r="N160"/>
  <c r="R172" i="1"/>
  <c r="O484"/>
  <c r="O160" i="10"/>
  <c r="M508"/>
  <c r="M160"/>
  <c r="R160" l="1"/>
  <c r="S160" s="1"/>
  <c r="T160" s="1"/>
  <c r="U160" s="1"/>
  <c r="V160" s="1"/>
  <c r="Q162"/>
  <c r="Q176" i="1" s="1"/>
  <c r="O486"/>
  <c r="O512" i="10" s="1"/>
  <c r="O510"/>
  <c r="O162"/>
  <c r="S172" i="1"/>
  <c r="N486"/>
  <c r="P486"/>
  <c r="P512" i="10" s="1"/>
  <c r="M510"/>
  <c r="Q174" i="1"/>
  <c r="V172" l="1"/>
  <c r="R162" i="10"/>
  <c r="R176" i="1" s="1"/>
  <c r="O488"/>
  <c r="O514" i="10" s="1"/>
  <c r="N512"/>
  <c r="R174" i="1"/>
  <c r="S162" i="10"/>
  <c r="S176" i="1" s="1"/>
  <c r="M512" i="10"/>
  <c r="M162"/>
  <c r="P488" i="1"/>
  <c r="P514" i="10" s="1"/>
  <c r="P162"/>
  <c r="T172" i="1"/>
  <c r="N488"/>
  <c r="N514" i="10" s="1"/>
  <c r="N162"/>
  <c r="N490" i="1" l="1"/>
  <c r="N516" i="10" s="1"/>
  <c r="U172" i="1"/>
  <c r="T162" i="10"/>
  <c r="S174" i="1"/>
  <c r="O1146" i="10"/>
  <c r="O1148"/>
  <c r="O480" i="7"/>
  <c r="O1140" i="10"/>
  <c r="O481" i="7"/>
  <c r="O1152" i="10"/>
  <c r="O1162"/>
  <c r="O1164"/>
  <c r="O490" i="1"/>
  <c r="O516" i="10" s="1"/>
  <c r="P490" i="1"/>
  <c r="P516" i="10" s="1"/>
  <c r="M514"/>
  <c r="M98" i="8"/>
  <c r="O1142" i="10"/>
  <c r="O1144"/>
  <c r="O1154"/>
  <c r="O482" i="7"/>
  <c r="O98" i="8"/>
  <c r="V174" i="1" l="1"/>
  <c r="V162" i="10"/>
  <c r="T176" i="1"/>
  <c r="E25" i="6"/>
  <c r="M1142" i="10"/>
  <c r="M543" i="8"/>
  <c r="M544"/>
  <c r="M1144" i="10"/>
  <c r="M1154"/>
  <c r="M482" i="7"/>
  <c r="M548" i="8" s="1"/>
  <c r="M516" i="10"/>
  <c r="P1142"/>
  <c r="P1144"/>
  <c r="P482" i="7"/>
  <c r="P1154" i="10"/>
  <c r="O492" i="1"/>
  <c r="O518" i="10" s="1"/>
  <c r="U162"/>
  <c r="U176" i="1" s="1"/>
  <c r="T174"/>
  <c r="N1146" i="10"/>
  <c r="N1140"/>
  <c r="O542" i="8"/>
  <c r="N1162" i="10"/>
  <c r="N1164"/>
  <c r="N492" i="1"/>
  <c r="N518" i="10" s="1"/>
  <c r="M1146"/>
  <c r="M545" i="8"/>
  <c r="M1148" i="10"/>
  <c r="M480" i="7"/>
  <c r="M546" i="8" s="1"/>
  <c r="M1140" i="10"/>
  <c r="M1152"/>
  <c r="M481" i="7"/>
  <c r="M1162" i="10"/>
  <c r="R1162" s="1"/>
  <c r="S1162" s="1"/>
  <c r="T1162" s="1"/>
  <c r="U1162" s="1"/>
  <c r="V1162" s="1"/>
  <c r="M1164"/>
  <c r="P1146"/>
  <c r="P480" i="7"/>
  <c r="P1148" i="10"/>
  <c r="P1140"/>
  <c r="P1152"/>
  <c r="P481" i="7"/>
  <c r="P1162" i="10"/>
  <c r="P1164"/>
  <c r="P98" i="8"/>
  <c r="Q98"/>
  <c r="P492" i="1"/>
  <c r="P518" i="10" s="1"/>
  <c r="E27" i="6"/>
  <c r="E26"/>
  <c r="N1142" i="10"/>
  <c r="N1144"/>
  <c r="N544" i="8"/>
  <c r="O545"/>
  <c r="N98"/>
  <c r="V176" i="1" l="1"/>
  <c r="N543" i="8"/>
  <c r="O543"/>
  <c r="F25" i="6"/>
  <c r="M542" i="8"/>
  <c r="C25" i="6"/>
  <c r="P494" i="1"/>
  <c r="P520" i="10" s="1"/>
  <c r="Q542" i="8"/>
  <c r="P542"/>
  <c r="Q546"/>
  <c r="P546"/>
  <c r="Q545"/>
  <c r="P545"/>
  <c r="U174" i="1"/>
  <c r="Q543" i="8"/>
  <c r="P543"/>
  <c r="M518" i="10"/>
  <c r="M99" i="8"/>
  <c r="P547"/>
  <c r="F26" i="6"/>
  <c r="F27"/>
  <c r="M547" i="8"/>
  <c r="C26" i="6"/>
  <c r="C27"/>
  <c r="N494" i="1"/>
  <c r="N520" i="10" s="1"/>
  <c r="N99" i="8"/>
  <c r="O494" i="1"/>
  <c r="O520" i="10" s="1"/>
  <c r="P548" i="8"/>
  <c r="Q544"/>
  <c r="P544"/>
  <c r="O544"/>
  <c r="N542"/>
  <c r="N545"/>
  <c r="O99" l="1"/>
  <c r="O496" i="1"/>
  <c r="O522" i="10" s="1"/>
  <c r="N496" i="1"/>
  <c r="N522" i="10" s="1"/>
  <c r="Q99" i="8"/>
  <c r="P99"/>
  <c r="P496" i="1"/>
  <c r="P522" i="10" s="1"/>
  <c r="M520"/>
  <c r="P498" i="1" l="1"/>
  <c r="P524" i="10" s="1"/>
  <c r="N498" i="1"/>
  <c r="N524" i="10" s="1"/>
  <c r="O498" i="1"/>
  <c r="O524" i="10" s="1"/>
  <c r="G4" i="6"/>
  <c r="H4"/>
  <c r="M522" i="10"/>
  <c r="M100" i="8"/>
  <c r="V1034" i="1" l="1"/>
  <c r="O100" i="8"/>
  <c r="M524" i="10"/>
  <c r="O500" i="1"/>
  <c r="O526" i="10" s="1"/>
  <c r="N500" i="1"/>
  <c r="N526" i="10" s="1"/>
  <c r="P100" i="8"/>
  <c r="Q100"/>
  <c r="P500" i="1"/>
  <c r="P526" i="10" s="1"/>
  <c r="N100" i="8"/>
  <c r="X916" i="10" l="1"/>
  <c r="X385" i="7"/>
  <c r="X451" i="8" s="1"/>
  <c r="X914" i="10"/>
  <c r="X384" i="7"/>
  <c r="X450" i="8" s="1"/>
  <c r="I4" i="6"/>
  <c r="P502" i="1"/>
  <c r="P528" i="10" s="1"/>
  <c r="N502" i="1"/>
  <c r="N528" i="10" s="1"/>
  <c r="O502" i="1"/>
  <c r="O528" i="10" s="1"/>
  <c r="M526"/>
  <c r="M101" i="8"/>
  <c r="O101" l="1"/>
  <c r="O504" i="1"/>
  <c r="O530" i="10" s="1"/>
  <c r="N504" i="1"/>
  <c r="N530" i="10" s="1"/>
  <c r="Q101" i="8"/>
  <c r="P101"/>
  <c r="P504" i="1"/>
  <c r="P530" i="10" s="1"/>
  <c r="M528"/>
  <c r="N101" i="8"/>
  <c r="J4" i="6"/>
  <c r="M530" i="10" l="1"/>
  <c r="M102" i="8"/>
  <c r="K4" i="6"/>
  <c r="O102" i="8" l="1"/>
  <c r="O508" i="1"/>
  <c r="O534" i="10" s="1"/>
  <c r="N508" i="1"/>
  <c r="N534" i="10" s="1"/>
  <c r="P102" i="8"/>
  <c r="Q102"/>
  <c r="P508" i="1"/>
  <c r="P534" i="10" s="1"/>
  <c r="N102" i="8"/>
  <c r="P510" i="1" l="1"/>
  <c r="P546" i="10" s="1"/>
  <c r="N510" i="1"/>
  <c r="N546" i="10" s="1"/>
  <c r="O510" i="1"/>
  <c r="O546" i="10" s="1"/>
  <c r="M534"/>
  <c r="M103" i="8"/>
  <c r="O103" l="1"/>
  <c r="W541" i="10"/>
  <c r="W539"/>
  <c r="W537"/>
  <c r="W543"/>
  <c r="O512" i="1"/>
  <c r="O548" i="10" s="1"/>
  <c r="N512" i="1"/>
  <c r="N548" i="10" s="1"/>
  <c r="Q103" i="8"/>
  <c r="P103"/>
  <c r="P512" i="1"/>
  <c r="P548" i="10" s="1"/>
  <c r="N103" i="8"/>
  <c r="M546" i="10"/>
  <c r="W544" l="1"/>
  <c r="R533"/>
  <c r="T534" s="1"/>
  <c r="Q226" i="7"/>
  <c r="M548" i="10"/>
  <c r="M104" i="8"/>
  <c r="P514" i="1"/>
  <c r="P550" i="10" s="1"/>
  <c r="N514" i="1"/>
  <c r="N550" i="10" s="1"/>
  <c r="O514" i="1"/>
  <c r="O550" i="10" s="1"/>
  <c r="O104" i="8"/>
  <c r="Q283" l="1"/>
  <c r="S533" i="10"/>
  <c r="U534" s="1"/>
  <c r="R507" i="1"/>
  <c r="R226" i="7"/>
  <c r="N104" i="8"/>
  <c r="O516" i="1"/>
  <c r="O552" i="10" s="1"/>
  <c r="N516" i="1"/>
  <c r="N552" i="10" s="1"/>
  <c r="P104" i="8"/>
  <c r="Q104"/>
  <c r="P516" i="1"/>
  <c r="P552" i="10" s="1"/>
  <c r="M550"/>
  <c r="R283" i="8" l="1"/>
  <c r="T533" i="10"/>
  <c r="V534" s="1"/>
  <c r="S507" i="1"/>
  <c r="S226" i="7"/>
  <c r="P518" i="1"/>
  <c r="P564" i="10" s="1"/>
  <c r="N518" i="1"/>
  <c r="N564" i="10" s="1"/>
  <c r="O518" i="1"/>
  <c r="O564" i="10" s="1"/>
  <c r="O105" i="8"/>
  <c r="M552" i="10"/>
  <c r="M105" i="8"/>
  <c r="S283" l="1"/>
  <c r="U533" i="10"/>
  <c r="V533" s="1"/>
  <c r="T507" i="1"/>
  <c r="T226" i="7"/>
  <c r="W555" i="10"/>
  <c r="W561"/>
  <c r="W559"/>
  <c r="W557"/>
  <c r="O520" i="1"/>
  <c r="O566" i="10" s="1"/>
  <c r="N520" i="1"/>
  <c r="N566" i="10" s="1"/>
  <c r="Q105" i="8"/>
  <c r="P105"/>
  <c r="P520" i="1"/>
  <c r="P566" i="10" s="1"/>
  <c r="N105" i="8"/>
  <c r="M564" i="10"/>
  <c r="V226" i="7" l="1"/>
  <c r="V507" i="1"/>
  <c r="X507" s="1"/>
  <c r="W562" i="10"/>
  <c r="E554" s="1"/>
  <c r="T283" i="8"/>
  <c r="U507" i="1"/>
  <c r="U226" i="7"/>
  <c r="M566" i="10"/>
  <c r="P522" i="1"/>
  <c r="P568" i="10" s="1"/>
  <c r="N522" i="1"/>
  <c r="N568" i="10" s="1"/>
  <c r="O522" i="1"/>
  <c r="O568" i="10" s="1"/>
  <c r="V283" i="8" l="1"/>
  <c r="E556" i="10"/>
  <c r="E558"/>
  <c r="V508" i="1"/>
  <c r="X533" i="10"/>
  <c r="U283" i="8"/>
  <c r="O524" i="1"/>
  <c r="O570" i="10" s="1"/>
  <c r="N524" i="1"/>
  <c r="N570" i="10" s="1"/>
  <c r="P524" i="1"/>
  <c r="P570" i="10" s="1"/>
  <c r="M568"/>
  <c r="E560" l="1"/>
  <c r="E562" s="1"/>
  <c r="U552"/>
  <c r="S552"/>
  <c r="X226" i="7"/>
  <c r="X283" i="8" s="1"/>
  <c r="M570" i="10"/>
  <c r="P526" i="1"/>
  <c r="P572" i="10" s="1"/>
  <c r="N526" i="1"/>
  <c r="N572" i="10" s="1"/>
  <c r="O526" i="1"/>
  <c r="O572" i="10" s="1"/>
  <c r="T552" l="1"/>
  <c r="R552"/>
  <c r="R551" s="1"/>
  <c r="R230" i="7" s="1"/>
  <c r="R287" i="8" s="1"/>
  <c r="P528" i="1"/>
  <c r="P574" i="10" s="1"/>
  <c r="O528" i="1"/>
  <c r="O574" i="10" s="1"/>
  <c r="N528" i="1"/>
  <c r="N574" i="10" s="1"/>
  <c r="M572"/>
  <c r="R515" i="1" l="1"/>
  <c r="S551" i="10"/>
  <c r="N530" i="1"/>
  <c r="N576" i="10" s="1"/>
  <c r="O530" i="1"/>
  <c r="O576" i="10" s="1"/>
  <c r="P530" i="1"/>
  <c r="P576" i="10" s="1"/>
  <c r="M574"/>
  <c r="V552" l="1"/>
  <c r="S230" i="7"/>
  <c r="S287" i="8" s="1"/>
  <c r="S515" i="1"/>
  <c r="T551" i="10"/>
  <c r="P532" i="1"/>
  <c r="P578" i="10" s="1"/>
  <c r="O532" i="1"/>
  <c r="O578" i="10" s="1"/>
  <c r="N532" i="1"/>
  <c r="N578" i="10" s="1"/>
  <c r="M576"/>
  <c r="U551" l="1"/>
  <c r="T230" i="7"/>
  <c r="T287" i="8" s="1"/>
  <c r="T515" i="1"/>
  <c r="N534"/>
  <c r="N580" i="10" s="1"/>
  <c r="O534" i="1"/>
  <c r="O580" i="10" s="1"/>
  <c r="P534" i="1"/>
  <c r="P580" i="10" s="1"/>
  <c r="M578"/>
  <c r="V551" l="1"/>
  <c r="U230" i="7"/>
  <c r="U287" i="8" s="1"/>
  <c r="U515" i="1"/>
  <c r="P536"/>
  <c r="P582" i="10" s="1"/>
  <c r="O536" i="1"/>
  <c r="O582" i="10" s="1"/>
  <c r="N536" i="1"/>
  <c r="N582" i="10" s="1"/>
  <c r="M580"/>
  <c r="V230" i="7" l="1"/>
  <c r="V287" i="8" s="1"/>
  <c r="V515" i="1"/>
  <c r="M582" i="10"/>
  <c r="N538" i="1"/>
  <c r="N584" i="10" s="1"/>
  <c r="O538" i="1"/>
  <c r="O584" i="10" s="1"/>
  <c r="P538" i="1"/>
  <c r="P584" i="10" s="1"/>
  <c r="X515" i="1" l="1"/>
  <c r="V516"/>
  <c r="O540"/>
  <c r="O586" i="10" s="1"/>
  <c r="P540" i="1"/>
  <c r="P586" i="10" s="1"/>
  <c r="N540" i="1"/>
  <c r="N586" i="10" s="1"/>
  <c r="M584"/>
  <c r="X551" l="1"/>
  <c r="X230" i="7"/>
  <c r="X287" i="8" s="1"/>
  <c r="N542" i="1"/>
  <c r="N588" i="10" s="1"/>
  <c r="P542" i="1"/>
  <c r="P588" i="10" s="1"/>
  <c r="O542" i="1"/>
  <c r="O588" i="10" s="1"/>
  <c r="M586"/>
  <c r="O544" i="1" l="1"/>
  <c r="O590" i="10" s="1"/>
  <c r="P544" i="1"/>
  <c r="P590" i="10" s="1"/>
  <c r="N544" i="1"/>
  <c r="N590" i="10" s="1"/>
  <c r="M588"/>
  <c r="M590" l="1"/>
  <c r="N546" i="1"/>
  <c r="N592" i="10" s="1"/>
  <c r="P546" i="1"/>
  <c r="P592" i="10" s="1"/>
  <c r="O546" i="1"/>
  <c r="O592" i="10" s="1"/>
  <c r="N548" i="1" l="1"/>
  <c r="N594" i="10" s="1"/>
  <c r="O548" i="1"/>
  <c r="O594" i="10" s="1"/>
  <c r="O106" i="8"/>
  <c r="P548" i="1"/>
  <c r="P594" i="10" s="1"/>
  <c r="M592"/>
  <c r="M106" i="8"/>
  <c r="M555" l="1"/>
  <c r="M553"/>
  <c r="M594" i="10"/>
  <c r="M552" i="8"/>
  <c r="M554"/>
  <c r="P550" i="1"/>
  <c r="P596" i="10" s="1"/>
  <c r="O550" i="1"/>
  <c r="O596" i="10" s="1"/>
  <c r="N554" i="8"/>
  <c r="N552"/>
  <c r="N550" i="1"/>
  <c r="N596" i="10" s="1"/>
  <c r="M556" i="8"/>
  <c r="Q106"/>
  <c r="P106"/>
  <c r="O552"/>
  <c r="N553"/>
  <c r="N555"/>
  <c r="N106"/>
  <c r="P1160" i="10" l="1"/>
  <c r="P554" i="8"/>
  <c r="Q554"/>
  <c r="N551"/>
  <c r="N1160" i="10"/>
  <c r="O552" i="1"/>
  <c r="O598" i="10" s="1"/>
  <c r="O551" i="8"/>
  <c r="O1167" i="10"/>
  <c r="O486" i="7"/>
  <c r="P1165" i="10"/>
  <c r="P485" i="7"/>
  <c r="Q553" i="8"/>
  <c r="P553"/>
  <c r="M1165" i="10"/>
  <c r="M485" i="7"/>
  <c r="O555" i="8"/>
  <c r="O556"/>
  <c r="P552"/>
  <c r="Q552"/>
  <c r="P556"/>
  <c r="Q556"/>
  <c r="M1160" i="10"/>
  <c r="R1160" s="1"/>
  <c r="S1160" s="1"/>
  <c r="T1160" s="1"/>
  <c r="U1160" s="1"/>
  <c r="V1160" s="1"/>
  <c r="V1164" s="1"/>
  <c r="M559" i="8"/>
  <c r="N552" i="1"/>
  <c r="N598" i="10" s="1"/>
  <c r="O1165"/>
  <c r="O485" i="7"/>
  <c r="O1160" i="10"/>
  <c r="P552" i="1"/>
  <c r="P598" i="10" s="1"/>
  <c r="P1167"/>
  <c r="P486" i="7"/>
  <c r="Q551" i="8"/>
  <c r="P551"/>
  <c r="Q555"/>
  <c r="P555"/>
  <c r="M551"/>
  <c r="M1167" i="10"/>
  <c r="M486" i="7"/>
  <c r="M596" i="10"/>
  <c r="M107" i="8"/>
  <c r="N556"/>
  <c r="O553"/>
  <c r="O554"/>
  <c r="O559" l="1"/>
  <c r="M598" i="10"/>
  <c r="P107" i="8"/>
  <c r="Q107"/>
  <c r="P554" i="1"/>
  <c r="P600" i="10" s="1"/>
  <c r="O107" i="8"/>
  <c r="N554" i="1"/>
  <c r="N600" i="10" s="1"/>
  <c r="O554" i="1"/>
  <c r="O600" i="10" s="1"/>
  <c r="Q559" i="8"/>
  <c r="P559"/>
  <c r="N107"/>
  <c r="N559"/>
  <c r="O556" i="1" l="1"/>
  <c r="O602" i="10" s="1"/>
  <c r="N556" i="1"/>
  <c r="N602" i="10" s="1"/>
  <c r="P556" i="1"/>
  <c r="P602" i="10" s="1"/>
  <c r="M600"/>
  <c r="M108" i="8"/>
  <c r="S1034" i="1" l="1"/>
  <c r="R1034"/>
  <c r="R1164" i="10"/>
  <c r="R1032" i="1"/>
  <c r="P108" i="8"/>
  <c r="Q108"/>
  <c r="P558" i="1"/>
  <c r="P604" i="10" s="1"/>
  <c r="N558" i="1"/>
  <c r="N604" i="10" s="1"/>
  <c r="O558" i="1"/>
  <c r="O604" i="10" s="1"/>
  <c r="N108" i="8"/>
  <c r="O108"/>
  <c r="M602" i="10"/>
  <c r="U1034" i="1" l="1"/>
  <c r="T1034"/>
  <c r="S1032"/>
  <c r="S1164" i="10"/>
  <c r="R1036" i="1"/>
  <c r="O560"/>
  <c r="O606" i="10" s="1"/>
  <c r="N560" i="1"/>
  <c r="N606" i="10" s="1"/>
  <c r="P560" i="1"/>
  <c r="P606" i="10" s="1"/>
  <c r="M604"/>
  <c r="M109" i="8"/>
  <c r="T1032" i="1" l="1"/>
  <c r="T1164" i="10"/>
  <c r="S1036" i="1"/>
  <c r="P109" i="8"/>
  <c r="Q109"/>
  <c r="P562" i="1"/>
  <c r="P608" i="10" s="1"/>
  <c r="N562" i="1"/>
  <c r="N608" i="10" s="1"/>
  <c r="O562" i="1"/>
  <c r="O608" i="10" s="1"/>
  <c r="N109" i="8"/>
  <c r="O109"/>
  <c r="M606" i="10"/>
  <c r="V1036" i="1" l="1"/>
  <c r="V1032"/>
  <c r="U1032"/>
  <c r="U1164" i="10"/>
  <c r="T1036" i="1"/>
  <c r="O564"/>
  <c r="O610" i="10" s="1"/>
  <c r="N564" i="1"/>
  <c r="N610" i="10" s="1"/>
  <c r="P564" i="1"/>
  <c r="P610" i="10" s="1"/>
  <c r="M608"/>
  <c r="M110" i="8"/>
  <c r="U1036" i="1" l="1"/>
  <c r="P110" i="8"/>
  <c r="Q110"/>
  <c r="P566" i="1"/>
  <c r="P612" i="10" s="1"/>
  <c r="N566" i="1"/>
  <c r="N612" i="10" s="1"/>
  <c r="O566" i="1"/>
  <c r="O612" i="10" s="1"/>
  <c r="N110" i="8"/>
  <c r="O110"/>
  <c r="M610" i="10"/>
  <c r="O568" i="1" l="1"/>
  <c r="O614" i="10" s="1"/>
  <c r="N568" i="1"/>
  <c r="N614" i="10" s="1"/>
  <c r="P568" i="1"/>
  <c r="P614" i="10" s="1"/>
  <c r="M612"/>
  <c r="M111" i="8"/>
  <c r="P111" l="1"/>
  <c r="Q111"/>
  <c r="P570" i="1"/>
  <c r="P616" i="10" s="1"/>
  <c r="N570" i="1"/>
  <c r="N616" i="10" s="1"/>
  <c r="O570" i="1"/>
  <c r="O616" i="10" s="1"/>
  <c r="N111" i="8"/>
  <c r="O111"/>
  <c r="M614" i="10"/>
  <c r="O572" i="1" l="1"/>
  <c r="O618" i="10" s="1"/>
  <c r="N572" i="1"/>
  <c r="N618" i="10" s="1"/>
  <c r="P572" i="1"/>
  <c r="P618" i="10" s="1"/>
  <c r="M616"/>
  <c r="M112" i="8"/>
  <c r="M618" i="10" l="1"/>
  <c r="P112" i="8"/>
  <c r="Q112"/>
  <c r="P574" i="1"/>
  <c r="P620" i="10" s="1"/>
  <c r="N574" i="1"/>
  <c r="N620" i="10" s="1"/>
  <c r="O574" i="1"/>
  <c r="O620" i="10" s="1"/>
  <c r="N112" i="8"/>
  <c r="O112"/>
  <c r="O576" i="1" l="1"/>
  <c r="O622" i="10" s="1"/>
  <c r="N576" i="1"/>
  <c r="N622" i="10" s="1"/>
  <c r="P576" i="1"/>
  <c r="P622" i="10" s="1"/>
  <c r="M620"/>
  <c r="M113" i="8"/>
  <c r="P113" l="1"/>
  <c r="Q113"/>
  <c r="P578" i="1"/>
  <c r="P624" i="10" s="1"/>
  <c r="N578" i="1"/>
  <c r="N624" i="10" s="1"/>
  <c r="O578" i="1"/>
  <c r="O624" i="10" s="1"/>
  <c r="N113" i="8"/>
  <c r="O113"/>
  <c r="M622" i="10"/>
  <c r="O580" i="1" l="1"/>
  <c r="O626" i="10" s="1"/>
  <c r="N580" i="1"/>
  <c r="N626" i="10" s="1"/>
  <c r="P580" i="1"/>
  <c r="P626" i="10" s="1"/>
  <c r="M624"/>
  <c r="M114" i="8"/>
  <c r="P114" l="1"/>
  <c r="Q114"/>
  <c r="P582" i="1"/>
  <c r="P628" i="10" s="1"/>
  <c r="N582" i="1"/>
  <c r="N628" i="10" s="1"/>
  <c r="O582" i="1"/>
  <c r="O628" i="10" s="1"/>
  <c r="N114" i="8"/>
  <c r="O114"/>
  <c r="M626" i="10"/>
  <c r="O584" i="1" l="1"/>
  <c r="O630" i="10" s="1"/>
  <c r="N584" i="1"/>
  <c r="N630" i="10" s="1"/>
  <c r="P584" i="1"/>
  <c r="P630" i="10" s="1"/>
  <c r="M628"/>
  <c r="M115" i="8"/>
  <c r="M630" i="10" l="1"/>
  <c r="P115" i="8"/>
  <c r="Q115"/>
  <c r="P586" i="1"/>
  <c r="P632" i="10" s="1"/>
  <c r="N586" i="1"/>
  <c r="N632" i="10" s="1"/>
  <c r="O586" i="1"/>
  <c r="O632" i="10" s="1"/>
  <c r="N115" i="8"/>
  <c r="O115"/>
  <c r="O588" i="1" l="1"/>
  <c r="O634" i="10" s="1"/>
  <c r="N588" i="1"/>
  <c r="N634" i="10" s="1"/>
  <c r="P588" i="1"/>
  <c r="P634" i="10" s="1"/>
  <c r="M632"/>
  <c r="M116" i="8"/>
  <c r="P116" l="1"/>
  <c r="Q116"/>
  <c r="P590" i="1"/>
  <c r="P636" i="10" s="1"/>
  <c r="N590" i="1"/>
  <c r="N636" i="10" s="1"/>
  <c r="O590" i="1"/>
  <c r="O636" i="10" s="1"/>
  <c r="N116" i="8"/>
  <c r="O116"/>
  <c r="M634" i="10"/>
  <c r="O592" i="1" l="1"/>
  <c r="O638" i="10" s="1"/>
  <c r="N592" i="1"/>
  <c r="N638" i="10" s="1"/>
  <c r="P592" i="1"/>
  <c r="P638" i="10" s="1"/>
  <c r="M636"/>
  <c r="M117" i="8"/>
  <c r="P117" l="1"/>
  <c r="Q117"/>
  <c r="N117"/>
  <c r="O117"/>
  <c r="M638" i="10"/>
  <c r="P607" i="1" l="1"/>
  <c r="P653" i="10" s="1"/>
  <c r="M607" i="1"/>
  <c r="P609" l="1"/>
  <c r="P655" i="10" s="1"/>
  <c r="N609" i="1"/>
  <c r="N655" i="10" s="1"/>
  <c r="O609" i="1"/>
  <c r="O655" i="10" s="1"/>
  <c r="M653"/>
  <c r="M609" i="1"/>
  <c r="M655" i="10" l="1"/>
  <c r="M611" i="1"/>
  <c r="O611"/>
  <c r="O669" i="10" s="1"/>
  <c r="N611" i="1"/>
  <c r="N669" i="10" s="1"/>
  <c r="P611" i="1"/>
  <c r="P669" i="10" s="1"/>
  <c r="O613" i="1" l="1"/>
  <c r="O671" i="10" s="1"/>
  <c r="W658"/>
  <c r="W660"/>
  <c r="W662"/>
  <c r="W664"/>
  <c r="W666"/>
  <c r="P613" i="1"/>
  <c r="P671" i="10" s="1"/>
  <c r="N613" i="1"/>
  <c r="N671" i="10" s="1"/>
  <c r="M669"/>
  <c r="M613" i="1"/>
  <c r="N615" l="1"/>
  <c r="N673" i="10" s="1"/>
  <c r="P615" i="1"/>
  <c r="P673" i="10" s="1"/>
  <c r="W667"/>
  <c r="E659" s="1"/>
  <c r="O615" i="1"/>
  <c r="O673" i="10" s="1"/>
  <c r="M671"/>
  <c r="M615" i="1"/>
  <c r="E665" i="10" l="1"/>
  <c r="E663"/>
  <c r="E661"/>
  <c r="E657"/>
  <c r="O617" i="1"/>
  <c r="O675" i="10" s="1"/>
  <c r="P617" i="1"/>
  <c r="P675" i="10" s="1"/>
  <c r="N617" i="1"/>
  <c r="N675" i="10" s="1"/>
  <c r="M673"/>
  <c r="M617" i="1"/>
  <c r="R655" i="10" l="1"/>
  <c r="V655"/>
  <c r="S655"/>
  <c r="U655"/>
  <c r="T655"/>
  <c r="E667"/>
  <c r="R654"/>
  <c r="M675"/>
  <c r="M619" i="1"/>
  <c r="N619"/>
  <c r="N677" i="10" s="1"/>
  <c r="P619" i="1"/>
  <c r="P677" i="10" s="1"/>
  <c r="O619" i="1"/>
  <c r="O677" i="10" s="1"/>
  <c r="S654" l="1"/>
  <c r="R274" i="7"/>
  <c r="R340" i="8" s="1"/>
  <c r="R608" i="1"/>
  <c r="P621"/>
  <c r="P679" i="10" s="1"/>
  <c r="O621" i="1"/>
  <c r="O679" i="10" s="1"/>
  <c r="N621" i="1"/>
  <c r="N679" i="10" s="1"/>
  <c r="M677"/>
  <c r="M621" i="1"/>
  <c r="S274" i="7" l="1"/>
  <c r="S340" i="8" s="1"/>
  <c r="S608" i="1"/>
  <c r="T654" i="10"/>
  <c r="N623" i="1"/>
  <c r="N681" i="10" s="1"/>
  <c r="O623" i="1"/>
  <c r="O681" i="10" s="1"/>
  <c r="P623" i="1"/>
  <c r="P681" i="10" s="1"/>
  <c r="M679"/>
  <c r="M623" i="1"/>
  <c r="T274" i="7" l="1"/>
  <c r="T340" i="8" s="1"/>
  <c r="T608" i="1"/>
  <c r="U654" i="10"/>
  <c r="P625" i="1"/>
  <c r="P683" i="10" s="1"/>
  <c r="O625" i="1"/>
  <c r="O683" i="10" s="1"/>
  <c r="N625" i="1"/>
  <c r="N683" i="10" s="1"/>
  <c r="M681"/>
  <c r="M625" i="1"/>
  <c r="V654" i="10" l="1"/>
  <c r="U608" i="1"/>
  <c r="U274" i="7"/>
  <c r="U340" i="8" s="1"/>
  <c r="M683" i="10"/>
  <c r="M627" i="1"/>
  <c r="M164" i="10"/>
  <c r="N627" i="1"/>
  <c r="N685" i="10" s="1"/>
  <c r="O627" i="1"/>
  <c r="O685" i="10" s="1"/>
  <c r="P627" i="1"/>
  <c r="P685" i="10" s="1"/>
  <c r="V608" i="1" l="1"/>
  <c r="V274" i="7"/>
  <c r="V340" i="8" s="1"/>
  <c r="P629" i="1"/>
  <c r="P687" i="10" s="1"/>
  <c r="P165"/>
  <c r="P62" i="7"/>
  <c r="O629" i="1"/>
  <c r="O687" i="10" s="1"/>
  <c r="O165"/>
  <c r="R166" s="1"/>
  <c r="O62" i="7"/>
  <c r="N629" i="1"/>
  <c r="N687" i="10" s="1"/>
  <c r="N165"/>
  <c r="N62" i="7"/>
  <c r="M685" i="10"/>
  <c r="M165"/>
  <c r="M62" i="7"/>
  <c r="M629" i="1"/>
  <c r="T166" i="10" l="1"/>
  <c r="V166"/>
  <c r="U166"/>
  <c r="X608" i="1"/>
  <c r="V609"/>
  <c r="S166" i="10"/>
  <c r="M687"/>
  <c r="M631" i="1"/>
  <c r="M166" i="10"/>
  <c r="M119" i="8"/>
  <c r="N119"/>
  <c r="N631" i="1"/>
  <c r="N689" i="10" s="1"/>
  <c r="N166"/>
  <c r="O119" i="8"/>
  <c r="O631" i="1"/>
  <c r="O689" i="10" s="1"/>
  <c r="O166"/>
  <c r="P119" i="8"/>
  <c r="P631" i="1"/>
  <c r="P689" i="10" s="1"/>
  <c r="P166"/>
  <c r="X274" i="7" l="1"/>
  <c r="X340" i="8" s="1"/>
  <c r="X654" i="10"/>
  <c r="W169"/>
  <c r="W173"/>
  <c r="W171"/>
  <c r="W175"/>
  <c r="P633" i="1"/>
  <c r="P691" i="10" s="1"/>
  <c r="P177"/>
  <c r="P63" i="7"/>
  <c r="O633" i="1"/>
  <c r="O691" i="10" s="1"/>
  <c r="O177"/>
  <c r="O63" i="7"/>
  <c r="N633" i="1"/>
  <c r="N691" i="10" s="1"/>
  <c r="N177"/>
  <c r="N63" i="7"/>
  <c r="M689" i="10"/>
  <c r="M177"/>
  <c r="M63" i="7"/>
  <c r="M633" i="1"/>
  <c r="W176" i="10" l="1"/>
  <c r="O635" i="1"/>
  <c r="O693" i="10" s="1"/>
  <c r="O178"/>
  <c r="M120" i="8"/>
  <c r="O120"/>
  <c r="M691" i="10"/>
  <c r="M635" i="1"/>
  <c r="M178" i="10"/>
  <c r="N120" i="8"/>
  <c r="N635" i="1"/>
  <c r="N693" i="10" s="1"/>
  <c r="N178"/>
  <c r="P120" i="8"/>
  <c r="Q120"/>
  <c r="P635" i="1"/>
  <c r="P693" i="10" s="1"/>
  <c r="P178"/>
  <c r="N637" i="1" l="1"/>
  <c r="N695" i="10" s="1"/>
  <c r="N179"/>
  <c r="N64" i="7"/>
  <c r="M693" i="10"/>
  <c r="M179"/>
  <c r="M64" i="7"/>
  <c r="M637" i="1"/>
  <c r="O637"/>
  <c r="O695" i="10" s="1"/>
  <c r="O179"/>
  <c r="O64" i="7"/>
  <c r="P637" i="1"/>
  <c r="P695" i="10" s="1"/>
  <c r="P179"/>
  <c r="P64" i="7"/>
  <c r="N121" i="8" l="1"/>
  <c r="M121"/>
  <c r="M695" i="10"/>
  <c r="M639" i="1"/>
  <c r="M180" i="10"/>
  <c r="N639" i="1"/>
  <c r="N697" i="10" s="1"/>
  <c r="N180"/>
  <c r="P121" i="8"/>
  <c r="Q121"/>
  <c r="P639" i="1"/>
  <c r="P697" i="10" s="1"/>
  <c r="P180"/>
  <c r="O639" i="1"/>
  <c r="O697" i="10" s="1"/>
  <c r="O180"/>
  <c r="O121" i="8"/>
  <c r="O641" i="1" l="1"/>
  <c r="O699" i="10" s="1"/>
  <c r="O181"/>
  <c r="O65" i="7"/>
  <c r="P641" i="1"/>
  <c r="P699" i="10" s="1"/>
  <c r="P181"/>
  <c r="P65" i="7"/>
  <c r="Q186" i="1"/>
  <c r="Q188" s="1"/>
  <c r="Q190" s="1"/>
  <c r="Q192" s="1"/>
  <c r="Q194" s="1"/>
  <c r="Q196" s="1"/>
  <c r="Q198" s="1"/>
  <c r="Q200" s="1"/>
  <c r="Q202" s="1"/>
  <c r="Q204" s="1"/>
  <c r="Q206" s="1"/>
  <c r="Q208" s="1"/>
  <c r="Q210" s="1"/>
  <c r="Q212" s="1"/>
  <c r="Q214" s="1"/>
  <c r="Q216" s="1"/>
  <c r="Q218" s="1"/>
  <c r="N641"/>
  <c r="N699" i="10" s="1"/>
  <c r="N181"/>
  <c r="N65" i="7"/>
  <c r="M697" i="10"/>
  <c r="M181"/>
  <c r="M65" i="7"/>
  <c r="M641" i="1"/>
  <c r="M122" i="8" l="1"/>
  <c r="N122"/>
  <c r="M699" i="10"/>
  <c r="M643" i="1"/>
  <c r="M182" i="10"/>
  <c r="N643" i="1"/>
  <c r="N701" i="10" s="1"/>
  <c r="N182"/>
  <c r="Q220" i="1"/>
  <c r="Q222" s="1"/>
  <c r="O643"/>
  <c r="O701" i="10" s="1"/>
  <c r="O182"/>
  <c r="O122" i="8"/>
  <c r="R186" i="1"/>
  <c r="R188" s="1"/>
  <c r="R190" s="1"/>
  <c r="R192" s="1"/>
  <c r="R194" s="1"/>
  <c r="R196" s="1"/>
  <c r="R198" s="1"/>
  <c r="R200" s="1"/>
  <c r="R202" s="1"/>
  <c r="R204" s="1"/>
  <c r="R206" s="1"/>
  <c r="R208" s="1"/>
  <c r="R210" s="1"/>
  <c r="R212" s="1"/>
  <c r="R214" s="1"/>
  <c r="R216" s="1"/>
  <c r="R218" s="1"/>
  <c r="P122" i="8"/>
  <c r="Q122"/>
  <c r="P643" i="1"/>
  <c r="P701" i="10" s="1"/>
  <c r="P182"/>
  <c r="S186" i="1" l="1"/>
  <c r="S188" s="1"/>
  <c r="S190" s="1"/>
  <c r="S192" s="1"/>
  <c r="S194" s="1"/>
  <c r="S196" s="1"/>
  <c r="S198" s="1"/>
  <c r="S200" s="1"/>
  <c r="S202" s="1"/>
  <c r="S204" s="1"/>
  <c r="S206" s="1"/>
  <c r="S208" s="1"/>
  <c r="S210" s="1"/>
  <c r="S212" s="1"/>
  <c r="S214" s="1"/>
  <c r="S216" s="1"/>
  <c r="S218" s="1"/>
  <c r="P645"/>
  <c r="P703" i="10" s="1"/>
  <c r="P183"/>
  <c r="P66" i="7"/>
  <c r="R220" i="1"/>
  <c r="R222" s="1"/>
  <c r="O645"/>
  <c r="O703" i="10" s="1"/>
  <c r="O183"/>
  <c r="O66" i="7"/>
  <c r="Q224" i="1"/>
  <c r="Q226" s="1"/>
  <c r="N645"/>
  <c r="N703" i="10" s="1"/>
  <c r="N183"/>
  <c r="N66" i="7"/>
  <c r="M701" i="10"/>
  <c r="M183"/>
  <c r="M66" i="7"/>
  <c r="M645" i="1"/>
  <c r="M123" i="8" l="1"/>
  <c r="Q228" i="1"/>
  <c r="P123" i="8"/>
  <c r="Q123"/>
  <c r="P647" i="1"/>
  <c r="P705" i="10" s="1"/>
  <c r="P184"/>
  <c r="S220" i="1"/>
  <c r="S222" s="1"/>
  <c r="M703" i="10"/>
  <c r="M647" i="1"/>
  <c r="M184" i="10"/>
  <c r="N647" i="1"/>
  <c r="N705" i="10" s="1"/>
  <c r="N184"/>
  <c r="O647" i="1"/>
  <c r="O705" i="10" s="1"/>
  <c r="O184"/>
  <c r="R224" i="1"/>
  <c r="R226" s="1"/>
  <c r="X409" i="10"/>
  <c r="X169" i="7"/>
  <c r="X226" i="8" s="1"/>
  <c r="N123"/>
  <c r="O123"/>
  <c r="S224" i="1" l="1"/>
  <c r="S226" s="1"/>
  <c r="P649"/>
  <c r="P707" i="10" s="1"/>
  <c r="P185"/>
  <c r="P67" i="7"/>
  <c r="Q230" i="1"/>
  <c r="Q232" s="1"/>
  <c r="Q234" s="1"/>
  <c r="U182"/>
  <c r="U184" s="1"/>
  <c r="T186"/>
  <c r="T188" s="1"/>
  <c r="T190" s="1"/>
  <c r="T192" s="1"/>
  <c r="T194" s="1"/>
  <c r="T196" s="1"/>
  <c r="T198" s="1"/>
  <c r="T200" s="1"/>
  <c r="T202" s="1"/>
  <c r="T204" s="1"/>
  <c r="T206" s="1"/>
  <c r="T208" s="1"/>
  <c r="T210" s="1"/>
  <c r="T212" s="1"/>
  <c r="T214" s="1"/>
  <c r="T216" s="1"/>
  <c r="T218" s="1"/>
  <c r="R228"/>
  <c r="O649"/>
  <c r="O707" i="10" s="1"/>
  <c r="O185"/>
  <c r="O67" i="7"/>
  <c r="N649" i="1"/>
  <c r="N707" i="10" s="1"/>
  <c r="N185"/>
  <c r="N67" i="7"/>
  <c r="M705" i="10"/>
  <c r="M185"/>
  <c r="M67" i="7"/>
  <c r="M649" i="1"/>
  <c r="M124" i="8" l="1"/>
  <c r="O124"/>
  <c r="O651" i="1"/>
  <c r="O709" i="10" s="1"/>
  <c r="O186"/>
  <c r="T220" i="1"/>
  <c r="T222" s="1"/>
  <c r="U186"/>
  <c r="U188" s="1"/>
  <c r="U190" s="1"/>
  <c r="U192" s="1"/>
  <c r="U194" s="1"/>
  <c r="U196" s="1"/>
  <c r="U198" s="1"/>
  <c r="U200" s="1"/>
  <c r="U202" s="1"/>
  <c r="U204" s="1"/>
  <c r="U206" s="1"/>
  <c r="U208" s="1"/>
  <c r="U210" s="1"/>
  <c r="U212" s="1"/>
  <c r="U214" s="1"/>
  <c r="U216" s="1"/>
  <c r="U218" s="1"/>
  <c r="Q236"/>
  <c r="Q238" s="1"/>
  <c r="Q240" s="1"/>
  <c r="R230"/>
  <c r="R232" s="1"/>
  <c r="R234" s="1"/>
  <c r="M707" i="10"/>
  <c r="M651" i="1"/>
  <c r="M186" i="10"/>
  <c r="N651" i="1"/>
  <c r="N709" i="10" s="1"/>
  <c r="N186"/>
  <c r="P124" i="8"/>
  <c r="Q124"/>
  <c r="P651" i="1"/>
  <c r="P709" i="10" s="1"/>
  <c r="P186"/>
  <c r="S228" i="1"/>
  <c r="N124" i="8"/>
  <c r="Q242" i="1" l="1"/>
  <c r="Q244" s="1"/>
  <c r="Q246" s="1"/>
  <c r="Q248" s="1"/>
  <c r="Q250" s="1"/>
  <c r="Q252" s="1"/>
  <c r="Q254" s="1"/>
  <c r="Q256" s="1"/>
  <c r="Q258" s="1"/>
  <c r="Q260" s="1"/>
  <c r="Q262" s="1"/>
  <c r="Q264" s="1"/>
  <c r="Q266" s="1"/>
  <c r="U220"/>
  <c r="U222" s="1"/>
  <c r="T224"/>
  <c r="T226" s="1"/>
  <c r="T228" s="1"/>
  <c r="O653"/>
  <c r="O711" i="10" s="1"/>
  <c r="O187"/>
  <c r="O68" i="7"/>
  <c r="S230" i="1"/>
  <c r="S232" s="1"/>
  <c r="S234" s="1"/>
  <c r="P653"/>
  <c r="P711" i="10" s="1"/>
  <c r="P187"/>
  <c r="P68" i="7"/>
  <c r="N653" i="1"/>
  <c r="N711" i="10" s="1"/>
  <c r="N187"/>
  <c r="N68" i="7"/>
  <c r="M709" i="10"/>
  <c r="M187"/>
  <c r="M68" i="7"/>
  <c r="M653" i="1"/>
  <c r="R236"/>
  <c r="R238" s="1"/>
  <c r="R240" s="1"/>
  <c r="M125" i="8" l="1"/>
  <c r="N125"/>
  <c r="N655" i="1"/>
  <c r="N713" i="10" s="1"/>
  <c r="N188"/>
  <c r="O655" i="1"/>
  <c r="O713" i="10" s="1"/>
  <c r="O188"/>
  <c r="T230" i="1"/>
  <c r="T232" s="1"/>
  <c r="T234" s="1"/>
  <c r="U224"/>
  <c r="U226" s="1"/>
  <c r="U228" s="1"/>
  <c r="Q268"/>
  <c r="Q270" s="1"/>
  <c r="Q272" s="1"/>
  <c r="Q274" s="1"/>
  <c r="O125" i="8"/>
  <c r="M711" i="10"/>
  <c r="M655" i="1"/>
  <c r="M188" i="10"/>
  <c r="R242" i="1"/>
  <c r="R244" s="1"/>
  <c r="R246" s="1"/>
  <c r="R248" s="1"/>
  <c r="R250" s="1"/>
  <c r="R252" s="1"/>
  <c r="R254" s="1"/>
  <c r="R256" s="1"/>
  <c r="R258" s="1"/>
  <c r="R260" s="1"/>
  <c r="R262" s="1"/>
  <c r="R264" s="1"/>
  <c r="R266" s="1"/>
  <c r="P125" i="8"/>
  <c r="Q125"/>
  <c r="P655" i="1"/>
  <c r="P713" i="10" s="1"/>
  <c r="P188"/>
  <c r="S236" i="1"/>
  <c r="S238" s="1"/>
  <c r="S240" s="1"/>
  <c r="R268" l="1"/>
  <c r="R270" s="1"/>
  <c r="R272" s="1"/>
  <c r="R274" s="1"/>
  <c r="S242"/>
  <c r="S244" s="1"/>
  <c r="S246" s="1"/>
  <c r="S248" s="1"/>
  <c r="S250" s="1"/>
  <c r="S252" s="1"/>
  <c r="S254" s="1"/>
  <c r="S256" s="1"/>
  <c r="S258" s="1"/>
  <c r="S260" s="1"/>
  <c r="S262" s="1"/>
  <c r="S264" s="1"/>
  <c r="S266" s="1"/>
  <c r="P657"/>
  <c r="P715" i="10" s="1"/>
  <c r="P189"/>
  <c r="P69" i="7"/>
  <c r="M713" i="10"/>
  <c r="M189"/>
  <c r="M69" i="7"/>
  <c r="M126" i="8" s="1"/>
  <c r="M657" i="1"/>
  <c r="Q276"/>
  <c r="Q278" s="1"/>
  <c r="Q280" s="1"/>
  <c r="Q282" s="1"/>
  <c r="Q284" s="1"/>
  <c r="Q286" s="1"/>
  <c r="Q288" s="1"/>
  <c r="Q290" s="1"/>
  <c r="U230"/>
  <c r="U232" s="1"/>
  <c r="U234" s="1"/>
  <c r="T236"/>
  <c r="T238" s="1"/>
  <c r="T240" s="1"/>
  <c r="O657"/>
  <c r="O715" i="10" s="1"/>
  <c r="O189"/>
  <c r="O69" i="7"/>
  <c r="N657" i="1"/>
  <c r="N715" i="10" s="1"/>
  <c r="N189"/>
  <c r="N69" i="7"/>
  <c r="O126" i="8" l="1"/>
  <c r="N126"/>
  <c r="O659" i="1"/>
  <c r="O717" i="10" s="1"/>
  <c r="O190"/>
  <c r="U236" i="1"/>
  <c r="U238" s="1"/>
  <c r="U240" s="1"/>
  <c r="N659"/>
  <c r="N717" i="10" s="1"/>
  <c r="N190"/>
  <c r="M715"/>
  <c r="M659" i="1"/>
  <c r="M190" i="10"/>
  <c r="P126" i="8"/>
  <c r="Q126"/>
  <c r="P659" i="1"/>
  <c r="P717" i="10" s="1"/>
  <c r="P190"/>
  <c r="S268" i="1"/>
  <c r="S270" s="1"/>
  <c r="S272" s="1"/>
  <c r="S274" s="1"/>
  <c r="T242"/>
  <c r="T244" s="1"/>
  <c r="T246" s="1"/>
  <c r="T248" s="1"/>
  <c r="T250" s="1"/>
  <c r="T252" s="1"/>
  <c r="T254" s="1"/>
  <c r="T256" s="1"/>
  <c r="T258" s="1"/>
  <c r="T260" s="1"/>
  <c r="T262" s="1"/>
  <c r="T264" s="1"/>
  <c r="T266" s="1"/>
  <c r="Q304"/>
  <c r="Q306" s="1"/>
  <c r="Q308" s="1"/>
  <c r="Q310" s="1"/>
  <c r="Q312" s="1"/>
  <c r="Q314" s="1"/>
  <c r="Q316" s="1"/>
  <c r="Q318" s="1"/>
  <c r="Q320" s="1"/>
  <c r="Q322" s="1"/>
  <c r="Q324" s="1"/>
  <c r="Q326" s="1"/>
  <c r="Q328" s="1"/>
  <c r="Q330" s="1"/>
  <c r="Q332" s="1"/>
  <c r="Q334" s="1"/>
  <c r="Q336" s="1"/>
  <c r="Q338" s="1"/>
  <c r="Q340" s="1"/>
  <c r="Q342" s="1"/>
  <c r="Q344" s="1"/>
  <c r="Q346" s="1"/>
  <c r="Q348" s="1"/>
  <c r="Q350" s="1"/>
  <c r="Q352" s="1"/>
  <c r="Q354" s="1"/>
  <c r="Q356" s="1"/>
  <c r="Q358" s="1"/>
  <c r="Q360" s="1"/>
  <c r="Q362" s="1"/>
  <c r="Q364" s="1"/>
  <c r="Q366" s="1"/>
  <c r="Q368" s="1"/>
  <c r="Q370" s="1"/>
  <c r="Q372" s="1"/>
  <c r="R276"/>
  <c r="R278" s="1"/>
  <c r="R280" s="1"/>
  <c r="R282" s="1"/>
  <c r="R284" s="1"/>
  <c r="R286" s="1"/>
  <c r="R288" s="1"/>
  <c r="R290" s="1"/>
  <c r="R304" l="1"/>
  <c r="R306" s="1"/>
  <c r="R308" s="1"/>
  <c r="R310" s="1"/>
  <c r="R312" s="1"/>
  <c r="R314" s="1"/>
  <c r="R316" s="1"/>
  <c r="R318" s="1"/>
  <c r="R320" s="1"/>
  <c r="R322" s="1"/>
  <c r="R324" s="1"/>
  <c r="R326" s="1"/>
  <c r="R328" s="1"/>
  <c r="R330" s="1"/>
  <c r="R332" s="1"/>
  <c r="R334" s="1"/>
  <c r="R336" s="1"/>
  <c r="R338" s="1"/>
  <c r="R340" s="1"/>
  <c r="R342" s="1"/>
  <c r="R344" s="1"/>
  <c r="R346" s="1"/>
  <c r="R348" s="1"/>
  <c r="R350" s="1"/>
  <c r="R352" s="1"/>
  <c r="R354" s="1"/>
  <c r="R356" s="1"/>
  <c r="R358" s="1"/>
  <c r="R360" s="1"/>
  <c r="R362" s="1"/>
  <c r="R364" s="1"/>
  <c r="R366" s="1"/>
  <c r="R368" s="1"/>
  <c r="R370" s="1"/>
  <c r="R372" s="1"/>
  <c r="T268"/>
  <c r="T270" s="1"/>
  <c r="T272" s="1"/>
  <c r="T274" s="1"/>
  <c r="S276"/>
  <c r="S278" s="1"/>
  <c r="S280" s="1"/>
  <c r="S282" s="1"/>
  <c r="S284" s="1"/>
  <c r="S286" s="1"/>
  <c r="S288" s="1"/>
  <c r="S290" s="1"/>
  <c r="P661"/>
  <c r="P719" i="10" s="1"/>
  <c r="P191"/>
  <c r="P70" i="7"/>
  <c r="M717" i="10"/>
  <c r="M191"/>
  <c r="M70" i="7"/>
  <c r="M127" i="8" s="1"/>
  <c r="M661" i="1"/>
  <c r="N661"/>
  <c r="N719" i="10" s="1"/>
  <c r="N191"/>
  <c r="N70" i="7"/>
  <c r="N127" i="8" s="1"/>
  <c r="U242" i="1"/>
  <c r="U244" s="1"/>
  <c r="U246" s="1"/>
  <c r="U248" s="1"/>
  <c r="U250" s="1"/>
  <c r="U252" s="1"/>
  <c r="U254" s="1"/>
  <c r="U256" s="1"/>
  <c r="U258" s="1"/>
  <c r="U260" s="1"/>
  <c r="U262" s="1"/>
  <c r="U264" s="1"/>
  <c r="U266" s="1"/>
  <c r="O661"/>
  <c r="O719" i="10" s="1"/>
  <c r="O191"/>
  <c r="O70" i="7"/>
  <c r="Q374" i="1"/>
  <c r="Q376" s="1"/>
  <c r="Q378" s="1"/>
  <c r="Q380" s="1"/>
  <c r="S304" l="1"/>
  <c r="S306" s="1"/>
  <c r="S308" s="1"/>
  <c r="S310" s="1"/>
  <c r="S312" s="1"/>
  <c r="S314" s="1"/>
  <c r="S316" s="1"/>
  <c r="S318" s="1"/>
  <c r="S320" s="1"/>
  <c r="S322" s="1"/>
  <c r="S324" s="1"/>
  <c r="S326" s="1"/>
  <c r="S328" s="1"/>
  <c r="S330" s="1"/>
  <c r="S332" s="1"/>
  <c r="S334" s="1"/>
  <c r="S336" s="1"/>
  <c r="S338" s="1"/>
  <c r="S340" s="1"/>
  <c r="S342" s="1"/>
  <c r="S344" s="1"/>
  <c r="S346" s="1"/>
  <c r="S348" s="1"/>
  <c r="S350" s="1"/>
  <c r="S352" s="1"/>
  <c r="S354" s="1"/>
  <c r="S356" s="1"/>
  <c r="S358" s="1"/>
  <c r="S360" s="1"/>
  <c r="S362" s="1"/>
  <c r="S364" s="1"/>
  <c r="S366" s="1"/>
  <c r="S368" s="1"/>
  <c r="S370" s="1"/>
  <c r="S372" s="1"/>
  <c r="R374"/>
  <c r="R376" s="1"/>
  <c r="R378" s="1"/>
  <c r="R380" s="1"/>
  <c r="Q464"/>
  <c r="Q466" s="1"/>
  <c r="Q468" s="1"/>
  <c r="Q470" s="1"/>
  <c r="Q472" s="1"/>
  <c r="Q474" s="1"/>
  <c r="N663"/>
  <c r="N721" i="10" s="1"/>
  <c r="N192"/>
  <c r="O663" i="1"/>
  <c r="O721" i="10" s="1"/>
  <c r="O192"/>
  <c r="U268" i="1"/>
  <c r="U270" s="1"/>
  <c r="U272" s="1"/>
  <c r="U274" s="1"/>
  <c r="M719" i="10"/>
  <c r="M663" i="1"/>
  <c r="M192" i="10"/>
  <c r="P127" i="8"/>
  <c r="Q127"/>
  <c r="P663" i="1"/>
  <c r="P721" i="10" s="1"/>
  <c r="P192"/>
  <c r="T276" i="1"/>
  <c r="T278" s="1"/>
  <c r="T280" s="1"/>
  <c r="T282" s="1"/>
  <c r="T284" s="1"/>
  <c r="T286" s="1"/>
  <c r="T288" s="1"/>
  <c r="T290" s="1"/>
  <c r="O127" i="8"/>
  <c r="T304" i="1" l="1"/>
  <c r="T306" s="1"/>
  <c r="T308" s="1"/>
  <c r="T310" s="1"/>
  <c r="T312" s="1"/>
  <c r="T314" s="1"/>
  <c r="T316" s="1"/>
  <c r="T318" s="1"/>
  <c r="T320" s="1"/>
  <c r="T322" s="1"/>
  <c r="T324" s="1"/>
  <c r="T326" s="1"/>
  <c r="T328" s="1"/>
  <c r="T330" s="1"/>
  <c r="T332" s="1"/>
  <c r="T334" s="1"/>
  <c r="T336" s="1"/>
  <c r="T338" s="1"/>
  <c r="T340" s="1"/>
  <c r="T342" s="1"/>
  <c r="T344" s="1"/>
  <c r="T346" s="1"/>
  <c r="T348" s="1"/>
  <c r="T350" s="1"/>
  <c r="T352" s="1"/>
  <c r="T354" s="1"/>
  <c r="T356" s="1"/>
  <c r="T358" s="1"/>
  <c r="T360" s="1"/>
  <c r="T362" s="1"/>
  <c r="T364" s="1"/>
  <c r="T366" s="1"/>
  <c r="T368" s="1"/>
  <c r="T370" s="1"/>
  <c r="T372" s="1"/>
  <c r="O665"/>
  <c r="O723" i="10" s="1"/>
  <c r="O193"/>
  <c r="O71" i="7"/>
  <c r="N665" i="1"/>
  <c r="N723" i="10" s="1"/>
  <c r="N193"/>
  <c r="N71" i="7"/>
  <c r="Q490" i="1"/>
  <c r="Q492" s="1"/>
  <c r="Q494" s="1"/>
  <c r="Q496" s="1"/>
  <c r="Q498" s="1"/>
  <c r="Q500" s="1"/>
  <c r="Q502" s="1"/>
  <c r="Q504" s="1"/>
  <c r="S374"/>
  <c r="S376" s="1"/>
  <c r="S378" s="1"/>
  <c r="S380" s="1"/>
  <c r="S382" s="1"/>
  <c r="P665"/>
  <c r="P723" i="10" s="1"/>
  <c r="P193"/>
  <c r="P71" i="7"/>
  <c r="M721" i="10"/>
  <c r="M193"/>
  <c r="M71" i="7"/>
  <c r="M128" i="8" s="1"/>
  <c r="M665" i="1"/>
  <c r="U276"/>
  <c r="U278" s="1"/>
  <c r="U280" s="1"/>
  <c r="U282" s="1"/>
  <c r="U284" s="1"/>
  <c r="U286" s="1"/>
  <c r="U288" s="1"/>
  <c r="U290" s="1"/>
  <c r="R464"/>
  <c r="R466" s="1"/>
  <c r="R468" s="1"/>
  <c r="R470" s="1"/>
  <c r="R472" s="1"/>
  <c r="R474" s="1"/>
  <c r="R490" l="1"/>
  <c r="R492" s="1"/>
  <c r="R494" s="1"/>
  <c r="R496" s="1"/>
  <c r="R498" s="1"/>
  <c r="R500" s="1"/>
  <c r="R502" s="1"/>
  <c r="R504" s="1"/>
  <c r="Q552"/>
  <c r="Q554" s="1"/>
  <c r="Q556" s="1"/>
  <c r="Q558" s="1"/>
  <c r="Q560" s="1"/>
  <c r="Q562" s="1"/>
  <c r="Q564" s="1"/>
  <c r="Q566" s="1"/>
  <c r="Q568" s="1"/>
  <c r="Q570" s="1"/>
  <c r="Q572" s="1"/>
  <c r="Q574" s="1"/>
  <c r="Q576" s="1"/>
  <c r="Q578" s="1"/>
  <c r="Q580" s="1"/>
  <c r="Q582" s="1"/>
  <c r="Q584" s="1"/>
  <c r="Q586" s="1"/>
  <c r="Q588" s="1"/>
  <c r="Q590" s="1"/>
  <c r="Q592" s="1"/>
  <c r="N667"/>
  <c r="N725" i="10" s="1"/>
  <c r="N194"/>
  <c r="T374" i="1"/>
  <c r="T376" s="1"/>
  <c r="T378" s="1"/>
  <c r="T380" s="1"/>
  <c r="T382" s="1"/>
  <c r="N128" i="8"/>
  <c r="U304" i="1"/>
  <c r="U306" s="1"/>
  <c r="U308" s="1"/>
  <c r="U310" s="1"/>
  <c r="U312" s="1"/>
  <c r="U314" s="1"/>
  <c r="U316" s="1"/>
  <c r="U318" s="1"/>
  <c r="U320" s="1"/>
  <c r="U322" s="1"/>
  <c r="U324" s="1"/>
  <c r="U326" s="1"/>
  <c r="U328" s="1"/>
  <c r="U330" s="1"/>
  <c r="U332" s="1"/>
  <c r="U334" s="1"/>
  <c r="U336" s="1"/>
  <c r="U338" s="1"/>
  <c r="U340" s="1"/>
  <c r="U342" s="1"/>
  <c r="U344" s="1"/>
  <c r="U346" s="1"/>
  <c r="U348" s="1"/>
  <c r="U350" s="1"/>
  <c r="U352" s="1"/>
  <c r="U354" s="1"/>
  <c r="U356" s="1"/>
  <c r="U358" s="1"/>
  <c r="U360" s="1"/>
  <c r="U362" s="1"/>
  <c r="U364" s="1"/>
  <c r="U366" s="1"/>
  <c r="U368" s="1"/>
  <c r="U370" s="1"/>
  <c r="U372" s="1"/>
  <c r="M723" i="10"/>
  <c r="M667" i="1"/>
  <c r="M194" i="10"/>
  <c r="P128" i="8"/>
  <c r="Q128"/>
  <c r="P667" i="1"/>
  <c r="P725" i="10" s="1"/>
  <c r="P194"/>
  <c r="S464" i="1"/>
  <c r="S466" s="1"/>
  <c r="S468" s="1"/>
  <c r="S470" s="1"/>
  <c r="S472" s="1"/>
  <c r="S474" s="1"/>
  <c r="O667"/>
  <c r="O725" i="10" s="1"/>
  <c r="O194"/>
  <c r="O128" i="8"/>
  <c r="T464" i="1" l="1"/>
  <c r="T466" s="1"/>
  <c r="T468" s="1"/>
  <c r="T470" s="1"/>
  <c r="T472" s="1"/>
  <c r="T474" s="1"/>
  <c r="N669"/>
  <c r="N727" i="10" s="1"/>
  <c r="N195"/>
  <c r="N72" i="7"/>
  <c r="Q625" i="1"/>
  <c r="Q627" s="1"/>
  <c r="Q629" s="1"/>
  <c r="Q631" s="1"/>
  <c r="Q633" s="1"/>
  <c r="Q635" s="1"/>
  <c r="Q637" s="1"/>
  <c r="Q639" s="1"/>
  <c r="Q641" s="1"/>
  <c r="Q643" s="1"/>
  <c r="Q645" s="1"/>
  <c r="Q647" s="1"/>
  <c r="Q649" s="1"/>
  <c r="Q651" s="1"/>
  <c r="Q653" s="1"/>
  <c r="Q655" s="1"/>
  <c r="Q657" s="1"/>
  <c r="Q659" s="1"/>
  <c r="Q661" s="1"/>
  <c r="Q663" s="1"/>
  <c r="Q665" s="1"/>
  <c r="Q667" s="1"/>
  <c r="Q669" s="1"/>
  <c r="U374"/>
  <c r="U376" s="1"/>
  <c r="U378" s="1"/>
  <c r="U380" s="1"/>
  <c r="U382" s="1"/>
  <c r="O669"/>
  <c r="O727" i="10" s="1"/>
  <c r="O195"/>
  <c r="O72" i="7"/>
  <c r="S490" i="1"/>
  <c r="S492" s="1"/>
  <c r="S494" s="1"/>
  <c r="S496" s="1"/>
  <c r="S498" s="1"/>
  <c r="S500" s="1"/>
  <c r="S502" s="1"/>
  <c r="S504" s="1"/>
  <c r="S506" s="1"/>
  <c r="S508" s="1"/>
  <c r="S510" s="1"/>
  <c r="S512" s="1"/>
  <c r="S514" s="1"/>
  <c r="S516" s="1"/>
  <c r="S518" s="1"/>
  <c r="S520" s="1"/>
  <c r="S522" s="1"/>
  <c r="S524" s="1"/>
  <c r="S526" s="1"/>
  <c r="S528" s="1"/>
  <c r="S530" s="1"/>
  <c r="S532" s="1"/>
  <c r="S534" s="1"/>
  <c r="S536" s="1"/>
  <c r="S538" s="1"/>
  <c r="S540" s="1"/>
  <c r="S542" s="1"/>
  <c r="S544" s="1"/>
  <c r="S546" s="1"/>
  <c r="S548" s="1"/>
  <c r="S550" s="1"/>
  <c r="P669"/>
  <c r="P727" i="10" s="1"/>
  <c r="P195"/>
  <c r="P72" i="7"/>
  <c r="M725" i="10"/>
  <c r="M195"/>
  <c r="M72" i="7"/>
  <c r="M129" i="8" s="1"/>
  <c r="M669" i="1"/>
  <c r="R552"/>
  <c r="R554" s="1"/>
  <c r="R556" s="1"/>
  <c r="R558" s="1"/>
  <c r="R560" s="1"/>
  <c r="R562" s="1"/>
  <c r="R564" s="1"/>
  <c r="R566" s="1"/>
  <c r="R568" s="1"/>
  <c r="R570" s="1"/>
  <c r="R572" s="1"/>
  <c r="R574" s="1"/>
  <c r="R576" s="1"/>
  <c r="R578" s="1"/>
  <c r="R580" s="1"/>
  <c r="R582" s="1"/>
  <c r="R584" s="1"/>
  <c r="R586" s="1"/>
  <c r="R588" s="1"/>
  <c r="R590" s="1"/>
  <c r="R592" s="1"/>
  <c r="O129" i="8" l="1"/>
  <c r="R625" i="1"/>
  <c r="R627" s="1"/>
  <c r="R629" s="1"/>
  <c r="R631" s="1"/>
  <c r="R633" s="1"/>
  <c r="R635" s="1"/>
  <c r="R637" s="1"/>
  <c r="R639" s="1"/>
  <c r="R641" s="1"/>
  <c r="R643" s="1"/>
  <c r="R645" s="1"/>
  <c r="R647" s="1"/>
  <c r="R649" s="1"/>
  <c r="R651" s="1"/>
  <c r="R653" s="1"/>
  <c r="R655" s="1"/>
  <c r="R657" s="1"/>
  <c r="R659" s="1"/>
  <c r="R661" s="1"/>
  <c r="R663" s="1"/>
  <c r="R665" s="1"/>
  <c r="R667" s="1"/>
  <c r="R669" s="1"/>
  <c r="R671" s="1"/>
  <c r="M727" i="10"/>
  <c r="M671" i="1"/>
  <c r="M196" i="10"/>
  <c r="P129" i="8"/>
  <c r="Q129"/>
  <c r="P671" i="1"/>
  <c r="P729" i="10" s="1"/>
  <c r="P196"/>
  <c r="U464" i="1"/>
  <c r="U466" s="1"/>
  <c r="U468" s="1"/>
  <c r="U470" s="1"/>
  <c r="U472" s="1"/>
  <c r="U474" s="1"/>
  <c r="N671"/>
  <c r="N729" i="10" s="1"/>
  <c r="N196"/>
  <c r="T490" i="1"/>
  <c r="T492" s="1"/>
  <c r="T494" s="1"/>
  <c r="T496" s="1"/>
  <c r="T498" s="1"/>
  <c r="T500" s="1"/>
  <c r="T502" s="1"/>
  <c r="T504" s="1"/>
  <c r="T506" s="1"/>
  <c r="T508" s="1"/>
  <c r="T510" s="1"/>
  <c r="T512" s="1"/>
  <c r="T514" s="1"/>
  <c r="T516" s="1"/>
  <c r="T518" s="1"/>
  <c r="T520" s="1"/>
  <c r="T522" s="1"/>
  <c r="T524" s="1"/>
  <c r="T526" s="1"/>
  <c r="T528" s="1"/>
  <c r="T530" s="1"/>
  <c r="T532" s="1"/>
  <c r="T534" s="1"/>
  <c r="T536" s="1"/>
  <c r="T538" s="1"/>
  <c r="T540" s="1"/>
  <c r="T542" s="1"/>
  <c r="T544" s="1"/>
  <c r="T546" s="1"/>
  <c r="T548" s="1"/>
  <c r="T550" s="1"/>
  <c r="N129" i="8"/>
  <c r="S552" i="1"/>
  <c r="S554" s="1"/>
  <c r="S556" s="1"/>
  <c r="S558" s="1"/>
  <c r="S560" s="1"/>
  <c r="S562" s="1"/>
  <c r="S564" s="1"/>
  <c r="S566" s="1"/>
  <c r="S568" s="1"/>
  <c r="S570" s="1"/>
  <c r="S572" s="1"/>
  <c r="S574" s="1"/>
  <c r="S576" s="1"/>
  <c r="S578" s="1"/>
  <c r="S580" s="1"/>
  <c r="S582" s="1"/>
  <c r="S584" s="1"/>
  <c r="S586" s="1"/>
  <c r="S588" s="1"/>
  <c r="S590" s="1"/>
  <c r="S592" s="1"/>
  <c r="O671"/>
  <c r="O729" i="10" s="1"/>
  <c r="O196"/>
  <c r="Q671" i="1"/>
  <c r="Q673" s="1"/>
  <c r="O673" l="1"/>
  <c r="O731" i="10" s="1"/>
  <c r="O197"/>
  <c r="O73" i="7"/>
  <c r="T552" i="1"/>
  <c r="T554" s="1"/>
  <c r="T556" s="1"/>
  <c r="T558" s="1"/>
  <c r="T560" s="1"/>
  <c r="T562" s="1"/>
  <c r="T564" s="1"/>
  <c r="T566" s="1"/>
  <c r="T568" s="1"/>
  <c r="T570" s="1"/>
  <c r="T572" s="1"/>
  <c r="T574" s="1"/>
  <c r="T576" s="1"/>
  <c r="T578" s="1"/>
  <c r="T580" s="1"/>
  <c r="T582" s="1"/>
  <c r="T584" s="1"/>
  <c r="T586" s="1"/>
  <c r="T588" s="1"/>
  <c r="T590" s="1"/>
  <c r="T592" s="1"/>
  <c r="R673"/>
  <c r="R675" s="1"/>
  <c r="S625"/>
  <c r="S627" s="1"/>
  <c r="S629" s="1"/>
  <c r="S631" s="1"/>
  <c r="S633" s="1"/>
  <c r="S635" s="1"/>
  <c r="S637" s="1"/>
  <c r="S639" s="1"/>
  <c r="S641" s="1"/>
  <c r="S643" s="1"/>
  <c r="S645" s="1"/>
  <c r="S647" s="1"/>
  <c r="S649" s="1"/>
  <c r="S651" s="1"/>
  <c r="S653" s="1"/>
  <c r="S655" s="1"/>
  <c r="S657" s="1"/>
  <c r="S659" s="1"/>
  <c r="S661" s="1"/>
  <c r="S663" s="1"/>
  <c r="S665" s="1"/>
  <c r="S667" s="1"/>
  <c r="S669" s="1"/>
  <c r="S671" s="1"/>
  <c r="S673" s="1"/>
  <c r="N673"/>
  <c r="N731" i="10" s="1"/>
  <c r="N197"/>
  <c r="N73" i="7"/>
  <c r="U490" i="1"/>
  <c r="U492" s="1"/>
  <c r="U494" s="1"/>
  <c r="U496" s="1"/>
  <c r="U498" s="1"/>
  <c r="U500" s="1"/>
  <c r="U502" s="1"/>
  <c r="U504" s="1"/>
  <c r="U506" s="1"/>
  <c r="U508" s="1"/>
  <c r="U510" s="1"/>
  <c r="U512" s="1"/>
  <c r="U514" s="1"/>
  <c r="U516" s="1"/>
  <c r="U518" s="1"/>
  <c r="U520" s="1"/>
  <c r="U522" s="1"/>
  <c r="U524" s="1"/>
  <c r="U526" s="1"/>
  <c r="U528" s="1"/>
  <c r="U530" s="1"/>
  <c r="U532" s="1"/>
  <c r="U534" s="1"/>
  <c r="U536" s="1"/>
  <c r="U538" s="1"/>
  <c r="U540" s="1"/>
  <c r="U542" s="1"/>
  <c r="U544" s="1"/>
  <c r="U546" s="1"/>
  <c r="U548" s="1"/>
  <c r="U550" s="1"/>
  <c r="P673"/>
  <c r="P731" i="10" s="1"/>
  <c r="P197"/>
  <c r="P73" i="7"/>
  <c r="M729" i="10"/>
  <c r="M197"/>
  <c r="M73" i="7"/>
  <c r="M130" i="8" s="1"/>
  <c r="M673" i="1"/>
  <c r="M731" i="10" l="1"/>
  <c r="M675" i="1"/>
  <c r="M198" i="10"/>
  <c r="P130" i="8"/>
  <c r="Q130"/>
  <c r="P675" i="1"/>
  <c r="P733" i="10" s="1"/>
  <c r="P198"/>
  <c r="T625" i="1"/>
  <c r="T627" s="1"/>
  <c r="T629" s="1"/>
  <c r="T631" s="1"/>
  <c r="T633" s="1"/>
  <c r="T635" s="1"/>
  <c r="T637" s="1"/>
  <c r="T639" s="1"/>
  <c r="T641" s="1"/>
  <c r="T643" s="1"/>
  <c r="T645" s="1"/>
  <c r="T647" s="1"/>
  <c r="T649" s="1"/>
  <c r="T651" s="1"/>
  <c r="T653" s="1"/>
  <c r="T655" s="1"/>
  <c r="T657" s="1"/>
  <c r="T659" s="1"/>
  <c r="T661" s="1"/>
  <c r="T663" s="1"/>
  <c r="T665" s="1"/>
  <c r="T667" s="1"/>
  <c r="T669" s="1"/>
  <c r="T671" s="1"/>
  <c r="T673" s="1"/>
  <c r="T675" s="1"/>
  <c r="O675"/>
  <c r="O733" i="10" s="1"/>
  <c r="O198"/>
  <c r="O130" i="8"/>
  <c r="U552" i="1"/>
  <c r="U554" s="1"/>
  <c r="U556" s="1"/>
  <c r="U558" s="1"/>
  <c r="U560" s="1"/>
  <c r="U562" s="1"/>
  <c r="U564" s="1"/>
  <c r="U566" s="1"/>
  <c r="U568" s="1"/>
  <c r="U570" s="1"/>
  <c r="U572" s="1"/>
  <c r="U574" s="1"/>
  <c r="U576" s="1"/>
  <c r="U578" s="1"/>
  <c r="U580" s="1"/>
  <c r="U582" s="1"/>
  <c r="U584" s="1"/>
  <c r="U586" s="1"/>
  <c r="U588" s="1"/>
  <c r="U590" s="1"/>
  <c r="U592" s="1"/>
  <c r="N675"/>
  <c r="N733" i="10" s="1"/>
  <c r="N198"/>
  <c r="N130" i="8"/>
  <c r="S675" i="1"/>
  <c r="S677" s="1"/>
  <c r="Q675"/>
  <c r="Q677" s="1"/>
  <c r="U625" l="1"/>
  <c r="U627" s="1"/>
  <c r="U629" s="1"/>
  <c r="U631" s="1"/>
  <c r="U633" s="1"/>
  <c r="U635" s="1"/>
  <c r="U637" s="1"/>
  <c r="U639" s="1"/>
  <c r="U641" s="1"/>
  <c r="U643" s="1"/>
  <c r="U645" s="1"/>
  <c r="U647" s="1"/>
  <c r="U649" s="1"/>
  <c r="U651" s="1"/>
  <c r="U653" s="1"/>
  <c r="U655" s="1"/>
  <c r="U657" s="1"/>
  <c r="U659" s="1"/>
  <c r="U661" s="1"/>
  <c r="U663" s="1"/>
  <c r="U665" s="1"/>
  <c r="U667" s="1"/>
  <c r="U669" s="1"/>
  <c r="U671" s="1"/>
  <c r="U673" s="1"/>
  <c r="U675" s="1"/>
  <c r="U677" s="1"/>
  <c r="U679" s="1"/>
  <c r="U681" s="1"/>
  <c r="N677"/>
  <c r="N735" i="10" s="1"/>
  <c r="N199"/>
  <c r="N74" i="7"/>
  <c r="O677" i="1"/>
  <c r="O735" i="10" s="1"/>
  <c r="O199"/>
  <c r="O74" i="7"/>
  <c r="P677" i="1"/>
  <c r="P735" i="10" s="1"/>
  <c r="P199"/>
  <c r="P74" i="7"/>
  <c r="M733" i="10"/>
  <c r="M199"/>
  <c r="M74" i="7"/>
  <c r="M131" i="8" s="1"/>
  <c r="M677" i="1"/>
  <c r="Q679"/>
  <c r="R677"/>
  <c r="R679" s="1"/>
  <c r="R681" s="1"/>
  <c r="T677"/>
  <c r="T679" s="1"/>
  <c r="O131" i="8" l="1"/>
  <c r="O679" i="1"/>
  <c r="O737" i="10" s="1"/>
  <c r="O200"/>
  <c r="M735"/>
  <c r="M679" i="1"/>
  <c r="M200" i="10"/>
  <c r="P131" i="8"/>
  <c r="Q131"/>
  <c r="P679" i="1"/>
  <c r="P737" i="10" s="1"/>
  <c r="P200"/>
  <c r="N679" i="1"/>
  <c r="N737" i="10" s="1"/>
  <c r="N200"/>
  <c r="S679" i="1"/>
  <c r="S681" s="1"/>
  <c r="S683" s="1"/>
  <c r="Q681"/>
  <c r="N131" i="8"/>
  <c r="N681" i="1" l="1"/>
  <c r="N739" i="10" s="1"/>
  <c r="N201"/>
  <c r="N75" i="7"/>
  <c r="P681" i="1"/>
  <c r="P739" i="10" s="1"/>
  <c r="P201"/>
  <c r="P75" i="7"/>
  <c r="M737" i="10"/>
  <c r="M201"/>
  <c r="M75" i="7"/>
  <c r="M132" i="8" s="1"/>
  <c r="M681" i="1"/>
  <c r="Q683"/>
  <c r="T681"/>
  <c r="R683"/>
  <c r="R685" s="1"/>
  <c r="O681"/>
  <c r="O739" i="10" s="1"/>
  <c r="O201"/>
  <c r="O75" i="7"/>
  <c r="S685" i="1"/>
  <c r="S687" s="1"/>
  <c r="O132" i="8" l="1"/>
  <c r="N683" i="1"/>
  <c r="N741" i="10" s="1"/>
  <c r="N202"/>
  <c r="N132" i="8"/>
  <c r="O683" i="1"/>
  <c r="O741" i="10" s="1"/>
  <c r="O202"/>
  <c r="T683" i="1"/>
  <c r="T685" s="1"/>
  <c r="T687" s="1"/>
  <c r="T689" s="1"/>
  <c r="U683"/>
  <c r="M739" i="10"/>
  <c r="M683" i="1"/>
  <c r="M202" i="10"/>
  <c r="P132" i="8"/>
  <c r="Q132"/>
  <c r="P683" i="1"/>
  <c r="P741" i="10" s="1"/>
  <c r="P202"/>
  <c r="P685" i="1" l="1"/>
  <c r="P743" i="10" s="1"/>
  <c r="P203"/>
  <c r="P76" i="7"/>
  <c r="M741" i="10"/>
  <c r="M203"/>
  <c r="M76" i="7"/>
  <c r="M133" i="8" s="1"/>
  <c r="M685" i="1"/>
  <c r="N685"/>
  <c r="N743" i="10" s="1"/>
  <c r="N203"/>
  <c r="N76" i="7"/>
  <c r="N133" i="8" s="1"/>
  <c r="U685" i="1"/>
  <c r="U687" s="1"/>
  <c r="U689" s="1"/>
  <c r="U691" s="1"/>
  <c r="O685"/>
  <c r="O743" i="10" s="1"/>
  <c r="O203"/>
  <c r="O76" i="7"/>
  <c r="O133" i="8" s="1"/>
  <c r="Q685" i="1"/>
  <c r="M743" i="10" l="1"/>
  <c r="M687" i="1"/>
  <c r="M204" i="10"/>
  <c r="P133" i="8"/>
  <c r="Q133"/>
  <c r="P687" i="1"/>
  <c r="P745" i="10" s="1"/>
  <c r="P204"/>
  <c r="Q687" i="1"/>
  <c r="R687"/>
  <c r="O687"/>
  <c r="O745" i="10" s="1"/>
  <c r="O204"/>
  <c r="N687" i="1"/>
  <c r="N745" i="10" s="1"/>
  <c r="N204"/>
  <c r="R689" i="1" l="1"/>
  <c r="S689"/>
  <c r="N689"/>
  <c r="N747" i="10" s="1"/>
  <c r="N205"/>
  <c r="N77" i="7"/>
  <c r="O689" i="1"/>
  <c r="O747" i="10" s="1"/>
  <c r="O205"/>
  <c r="O77" i="7"/>
  <c r="Q689" i="1"/>
  <c r="P689"/>
  <c r="P747" i="10" s="1"/>
  <c r="P205"/>
  <c r="P77" i="7"/>
  <c r="M745" i="10"/>
  <c r="M205"/>
  <c r="M77" i="7"/>
  <c r="M134" i="8" s="1"/>
  <c r="M689" i="1"/>
  <c r="O134" i="8" l="1"/>
  <c r="N691" i="1"/>
  <c r="N749" i="10" s="1"/>
  <c r="N206"/>
  <c r="Q691" i="1"/>
  <c r="N134" i="8"/>
  <c r="R691" i="1"/>
  <c r="R693" s="1"/>
  <c r="M747" i="10"/>
  <c r="M691" i="1"/>
  <c r="M206" i="10"/>
  <c r="P134" i="8"/>
  <c r="Q134"/>
  <c r="P691" i="1"/>
  <c r="P749" i="10" s="1"/>
  <c r="P206"/>
  <c r="O691" i="1"/>
  <c r="O749" i="10" s="1"/>
  <c r="O206"/>
  <c r="S691" i="1"/>
  <c r="S693" s="1"/>
  <c r="S695" s="1"/>
  <c r="T691"/>
  <c r="O693" l="1"/>
  <c r="O751" i="10" s="1"/>
  <c r="O207"/>
  <c r="O78" i="7"/>
  <c r="P693" i="1"/>
  <c r="P751" i="10" s="1"/>
  <c r="P207"/>
  <c r="P78" i="7"/>
  <c r="M749" i="10"/>
  <c r="M207"/>
  <c r="M78" i="7"/>
  <c r="M135" i="8" s="1"/>
  <c r="M693" i="1"/>
  <c r="N693"/>
  <c r="N751" i="10" s="1"/>
  <c r="N207"/>
  <c r="N78" i="7"/>
  <c r="N135" i="8" s="1"/>
  <c r="Q693" i="1"/>
  <c r="Q695" s="1"/>
  <c r="T693"/>
  <c r="T695" s="1"/>
  <c r="T697" s="1"/>
  <c r="U693"/>
  <c r="U695" s="1"/>
  <c r="U697" s="1"/>
  <c r="U699" s="1"/>
  <c r="N695" l="1"/>
  <c r="N753" i="10" s="1"/>
  <c r="N208"/>
  <c r="O695" i="1"/>
  <c r="O753" i="10" s="1"/>
  <c r="O208"/>
  <c r="O135" i="8"/>
  <c r="M751" i="10"/>
  <c r="M695" i="1"/>
  <c r="M208" i="10"/>
  <c r="P135" i="8"/>
  <c r="Q135"/>
  <c r="P695" i="1"/>
  <c r="P208" i="10"/>
  <c r="R695" i="1"/>
  <c r="Q697" l="1"/>
  <c r="P753" i="10"/>
  <c r="O697" i="1"/>
  <c r="O755" i="10" s="1"/>
  <c r="O209"/>
  <c r="O79" i="7"/>
  <c r="N697" i="1"/>
  <c r="N755" i="10" s="1"/>
  <c r="N209"/>
  <c r="N79" i="7"/>
  <c r="R697" i="1"/>
  <c r="R699" s="1"/>
  <c r="S697"/>
  <c r="P697"/>
  <c r="P209" i="10"/>
  <c r="P79" i="7"/>
  <c r="M753" i="10"/>
  <c r="M209"/>
  <c r="M79" i="7"/>
  <c r="M136" i="8" s="1"/>
  <c r="M697" i="1"/>
  <c r="Q699" l="1"/>
  <c r="P755" i="10"/>
  <c r="S699" i="1"/>
  <c r="S701" s="1"/>
  <c r="T699"/>
  <c r="N699"/>
  <c r="N757" i="10" s="1"/>
  <c r="N210"/>
  <c r="N136" i="8"/>
  <c r="M755" i="10"/>
  <c r="M699" i="1"/>
  <c r="M210" i="10"/>
  <c r="P136" i="8"/>
  <c r="Q136"/>
  <c r="P699" i="1"/>
  <c r="P210" i="10"/>
  <c r="O699" i="1"/>
  <c r="O757" i="10" s="1"/>
  <c r="O210"/>
  <c r="R701" i="1"/>
  <c r="O136" i="8"/>
  <c r="Q701" i="1" l="1"/>
  <c r="P757" i="10"/>
  <c r="O701" i="1"/>
  <c r="O759" i="10" s="1"/>
  <c r="O211"/>
  <c r="O80" i="7"/>
  <c r="T701" i="1"/>
  <c r="T703" s="1"/>
  <c r="U701"/>
  <c r="U703" s="1"/>
  <c r="U705" s="1"/>
  <c r="P701"/>
  <c r="P759" i="10" s="1"/>
  <c r="P211"/>
  <c r="P80" i="7"/>
  <c r="M757" i="10"/>
  <c r="M211"/>
  <c r="M80" i="7"/>
  <c r="M137" i="8" s="1"/>
  <c r="M701" i="1"/>
  <c r="N701"/>
  <c r="N759" i="10" s="1"/>
  <c r="N211"/>
  <c r="N80" i="7"/>
  <c r="N137" i="8" s="1"/>
  <c r="R703" i="1"/>
  <c r="S703"/>
  <c r="S705" s="1"/>
  <c r="N703" l="1"/>
  <c r="N761" i="10" s="1"/>
  <c r="N212"/>
  <c r="M759"/>
  <c r="M703" i="1"/>
  <c r="M212" i="10"/>
  <c r="P137" i="8"/>
  <c r="Q137"/>
  <c r="P703" i="1"/>
  <c r="P761" i="10" s="1"/>
  <c r="P212"/>
  <c r="T705" i="1"/>
  <c r="T707" s="1"/>
  <c r="Q703"/>
  <c r="Q705" s="1"/>
  <c r="O703"/>
  <c r="O761" i="10" s="1"/>
  <c r="O212"/>
  <c r="U707" i="1"/>
  <c r="U709" s="1"/>
  <c r="O137" i="8"/>
  <c r="N705" i="1" l="1"/>
  <c r="N763" i="10" s="1"/>
  <c r="N213"/>
  <c r="N81" i="7"/>
  <c r="R705" i="1"/>
  <c r="O705"/>
  <c r="O763" i="10" s="1"/>
  <c r="O213"/>
  <c r="O81" i="7"/>
  <c r="O138" i="8" s="1"/>
  <c r="P705" i="1"/>
  <c r="P763" i="10" s="1"/>
  <c r="P213"/>
  <c r="P81" i="7"/>
  <c r="M761" i="10"/>
  <c r="M213"/>
  <c r="M81" i="7"/>
  <c r="M138" i="8" s="1"/>
  <c r="M705" i="1"/>
  <c r="M763" i="10" l="1"/>
  <c r="M214"/>
  <c r="P138" i="8"/>
  <c r="Q138"/>
  <c r="P707" i="1"/>
  <c r="P765" i="10" s="1"/>
  <c r="P214"/>
  <c r="R707" i="1"/>
  <c r="S707"/>
  <c r="N765" i="10"/>
  <c r="N214"/>
  <c r="N138" i="8"/>
  <c r="O707" i="1"/>
  <c r="O765" i="10" s="1"/>
  <c r="O214"/>
  <c r="Q707" i="1"/>
  <c r="Q709" s="1"/>
  <c r="O709" l="1"/>
  <c r="O767" i="10" s="1"/>
  <c r="O215"/>
  <c r="O82" i="7"/>
  <c r="S709" i="1"/>
  <c r="T709"/>
  <c r="N709"/>
  <c r="N767" i="10" s="1"/>
  <c r="N215"/>
  <c r="N82" i="7"/>
  <c r="P709" i="1"/>
  <c r="P767" i="10" s="1"/>
  <c r="P215"/>
  <c r="P82" i="7"/>
  <c r="M765" i="10"/>
  <c r="M215"/>
  <c r="M82" i="7"/>
  <c r="M139" i="8" s="1"/>
  <c r="M709" i="1"/>
  <c r="Q711"/>
  <c r="R709"/>
  <c r="R711" s="1"/>
  <c r="M767" i="10" l="1"/>
  <c r="M711" i="1"/>
  <c r="M216" i="10"/>
  <c r="P139" i="8"/>
  <c r="Q139"/>
  <c r="P711" i="1"/>
  <c r="P769" i="10" s="1"/>
  <c r="P216"/>
  <c r="T711" i="1"/>
  <c r="U711"/>
  <c r="O711"/>
  <c r="O769" i="10" s="1"/>
  <c r="O216"/>
  <c r="Q713" i="1"/>
  <c r="R713"/>
  <c r="O139" i="8"/>
  <c r="N711" i="1"/>
  <c r="N769" i="10" s="1"/>
  <c r="N216"/>
  <c r="N139" i="8"/>
  <c r="S711" i="1"/>
  <c r="S713" s="1"/>
  <c r="S715" s="1"/>
  <c r="N713" l="1"/>
  <c r="N771" i="10" s="1"/>
  <c r="N217"/>
  <c r="N83" i="7"/>
  <c r="R715" i="1"/>
  <c r="U713"/>
  <c r="O713"/>
  <c r="O771" i="10" s="1"/>
  <c r="O217"/>
  <c r="O83" i="7"/>
  <c r="P713" i="1"/>
  <c r="P771" i="10" s="1"/>
  <c r="P217"/>
  <c r="P83" i="7"/>
  <c r="M769" i="10"/>
  <c r="M217"/>
  <c r="M83" i="7"/>
  <c r="M140" i="8" s="1"/>
  <c r="M713" i="1"/>
  <c r="Q715"/>
  <c r="T713"/>
  <c r="T715" s="1"/>
  <c r="T717" s="1"/>
  <c r="O140" i="8" l="1"/>
  <c r="O715" i="1"/>
  <c r="O773" i="10" s="1"/>
  <c r="O218"/>
  <c r="N715" i="1"/>
  <c r="N773" i="10" s="1"/>
  <c r="N218"/>
  <c r="R717" i="1"/>
  <c r="N140" i="8"/>
  <c r="M771" i="10"/>
  <c r="M715" i="1"/>
  <c r="M218" i="10"/>
  <c r="P140" i="8"/>
  <c r="Q140"/>
  <c r="P715" i="1"/>
  <c r="P773" i="10" s="1"/>
  <c r="P218"/>
  <c r="U715" i="1"/>
  <c r="U717" s="1"/>
  <c r="U719" s="1"/>
  <c r="S717"/>
  <c r="S719" s="1"/>
  <c r="P717" l="1"/>
  <c r="P775" i="10" s="1"/>
  <c r="P219"/>
  <c r="P84" i="7"/>
  <c r="M773" i="10"/>
  <c r="M219"/>
  <c r="M84" i="7"/>
  <c r="M141" i="8" s="1"/>
  <c r="M717" i="1"/>
  <c r="N717"/>
  <c r="N775" i="10" s="1"/>
  <c r="N219"/>
  <c r="N84" i="7"/>
  <c r="N141" i="8" s="1"/>
  <c r="O717" i="1"/>
  <c r="O775" i="10" s="1"/>
  <c r="O219"/>
  <c r="O84" i="7"/>
  <c r="T719" i="1"/>
  <c r="Q717"/>
  <c r="Q719" s="1"/>
  <c r="R719"/>
  <c r="O719" l="1"/>
  <c r="O777" i="10" s="1"/>
  <c r="O220"/>
  <c r="M775"/>
  <c r="M719" i="1"/>
  <c r="M220" i="10"/>
  <c r="P141" i="8"/>
  <c r="Q141"/>
  <c r="P719" i="1"/>
  <c r="P777" i="10" s="1"/>
  <c r="P220"/>
  <c r="O141" i="8"/>
  <c r="N719" i="1"/>
  <c r="N777" i="10" s="1"/>
  <c r="N220"/>
  <c r="Q721" i="1"/>
  <c r="Q779" i="10" s="1"/>
  <c r="O721" i="1" l="1"/>
  <c r="O779" i="10" s="1"/>
  <c r="O221"/>
  <c r="O85" i="7"/>
  <c r="N721" i="1"/>
  <c r="N779" i="10" s="1"/>
  <c r="N221"/>
  <c r="N85" i="7"/>
  <c r="P721" i="1"/>
  <c r="P779" i="10" s="1"/>
  <c r="P221"/>
  <c r="P85" i="7"/>
  <c r="M777" i="10"/>
  <c r="M221"/>
  <c r="M85" i="7"/>
  <c r="M142" i="8" s="1"/>
  <c r="M721" i="1"/>
  <c r="Q723"/>
  <c r="T723"/>
  <c r="R723"/>
  <c r="R725" s="1"/>
  <c r="N723" l="1"/>
  <c r="N795" i="10" s="1"/>
  <c r="N222"/>
  <c r="O723" i="1"/>
  <c r="O795" i="10" s="1"/>
  <c r="O222"/>
  <c r="N142" i="8"/>
  <c r="O142"/>
  <c r="T725" i="1"/>
  <c r="U725"/>
  <c r="U727" s="1"/>
  <c r="M779" i="10"/>
  <c r="W788" s="1"/>
  <c r="M723" i="1"/>
  <c r="M222" i="10"/>
  <c r="P142" i="8"/>
  <c r="Q142"/>
  <c r="P723" i="1"/>
  <c r="P795" i="10" s="1"/>
  <c r="P222"/>
  <c r="Q725" i="1"/>
  <c r="S725"/>
  <c r="S727" s="1"/>
  <c r="P725" l="1"/>
  <c r="P797" i="10" s="1"/>
  <c r="P223"/>
  <c r="P86" i="7"/>
  <c r="M795" i="10"/>
  <c r="M223"/>
  <c r="M86" i="7"/>
  <c r="M143" i="8" s="1"/>
  <c r="M725" i="1"/>
  <c r="O725"/>
  <c r="O797" i="10" s="1"/>
  <c r="O223"/>
  <c r="O86" i="7"/>
  <c r="N725" i="1"/>
  <c r="N797" i="10" s="1"/>
  <c r="N223"/>
  <c r="N86" i="7"/>
  <c r="Q727" i="1"/>
  <c r="R727"/>
  <c r="R729" s="1"/>
  <c r="W786" i="10"/>
  <c r="W784"/>
  <c r="W790"/>
  <c r="W782"/>
  <c r="W792"/>
  <c r="S729" i="1"/>
  <c r="S731" s="1"/>
  <c r="T727"/>
  <c r="T729" s="1"/>
  <c r="T731" s="1"/>
  <c r="T733" s="1"/>
  <c r="W793" i="10" l="1"/>
  <c r="E787" s="1"/>
  <c r="N143" i="8"/>
  <c r="O143"/>
  <c r="N727" i="1"/>
  <c r="N799" i="10" s="1"/>
  <c r="N224"/>
  <c r="M797"/>
  <c r="M727" i="1"/>
  <c r="M224" i="10"/>
  <c r="P143" i="8"/>
  <c r="Q143"/>
  <c r="P727" i="1"/>
  <c r="P799" i="10" s="1"/>
  <c r="P224"/>
  <c r="U729" i="1"/>
  <c r="U731" s="1"/>
  <c r="U733" s="1"/>
  <c r="U735" s="1"/>
  <c r="O727"/>
  <c r="O799" i="10" s="1"/>
  <c r="O224"/>
  <c r="Q729" i="1"/>
  <c r="R731" s="1"/>
  <c r="E783" i="10" l="1"/>
  <c r="E791"/>
  <c r="E781"/>
  <c r="E789"/>
  <c r="E793" s="1"/>
  <c r="E785"/>
  <c r="S733" i="1"/>
  <c r="N729"/>
  <c r="N801" i="10" s="1"/>
  <c r="N225"/>
  <c r="N87" i="7"/>
  <c r="O729" i="1"/>
  <c r="O801" i="10" s="1"/>
  <c r="O225"/>
  <c r="O87" i="7"/>
  <c r="P729" i="1"/>
  <c r="P801" i="10" s="1"/>
  <c r="P225"/>
  <c r="P87" i="7"/>
  <c r="M799" i="10"/>
  <c r="M225"/>
  <c r="M87" i="7"/>
  <c r="M144" i="8" s="1"/>
  <c r="M729" i="1"/>
  <c r="Q731"/>
  <c r="R779" i="10" l="1"/>
  <c r="R778" s="1"/>
  <c r="T779"/>
  <c r="S779"/>
  <c r="O144" i="8"/>
  <c r="O731" i="1"/>
  <c r="O803" i="10" s="1"/>
  <c r="O226"/>
  <c r="N731" i="1"/>
  <c r="N803" i="10" s="1"/>
  <c r="N226"/>
  <c r="N144" i="8"/>
  <c r="R733" i="1"/>
  <c r="M801" i="10"/>
  <c r="M731" i="1"/>
  <c r="M226" i="10"/>
  <c r="P144" i="8"/>
  <c r="Q144"/>
  <c r="P731" i="1"/>
  <c r="P803" i="10" s="1"/>
  <c r="P226"/>
  <c r="S735" i="1"/>
  <c r="T735"/>
  <c r="U779" i="10" l="1"/>
  <c r="R330" i="7"/>
  <c r="R396" i="8" s="1"/>
  <c r="S778" i="10"/>
  <c r="R720" i="1"/>
  <c r="R721" s="1"/>
  <c r="P733"/>
  <c r="P805" i="10" s="1"/>
  <c r="P227"/>
  <c r="P88" i="7"/>
  <c r="M803" i="10"/>
  <c r="M227"/>
  <c r="M88" i="7"/>
  <c r="M145" i="8" s="1"/>
  <c r="M733" i="1"/>
  <c r="N733"/>
  <c r="N805" i="10" s="1"/>
  <c r="N227"/>
  <c r="N88" i="7"/>
  <c r="N145" i="8" s="1"/>
  <c r="O733" i="1"/>
  <c r="O805" i="10" s="1"/>
  <c r="O227"/>
  <c r="O88" i="7"/>
  <c r="Q733" i="1"/>
  <c r="Q735" s="1"/>
  <c r="T737"/>
  <c r="U737"/>
  <c r="U739" s="1"/>
  <c r="V779" i="10" l="1"/>
  <c r="S330" i="7"/>
  <c r="S396" i="8" s="1"/>
  <c r="T778" i="10"/>
  <c r="S720" i="1"/>
  <c r="S721" s="1"/>
  <c r="S723" s="1"/>
  <c r="O735"/>
  <c r="O807" i="10" s="1"/>
  <c r="O228"/>
  <c r="M805"/>
  <c r="M735" i="1"/>
  <c r="M228" i="10"/>
  <c r="P145" i="8"/>
  <c r="Q145"/>
  <c r="P735" i="1"/>
  <c r="P807" i="10" s="1"/>
  <c r="P228"/>
  <c r="Q737" i="1"/>
  <c r="R735"/>
  <c r="O145" i="8"/>
  <c r="N735" i="1"/>
  <c r="N807" i="10" s="1"/>
  <c r="N228"/>
  <c r="T330" i="7" l="1"/>
  <c r="T396" i="8" s="1"/>
  <c r="U778" i="10"/>
  <c r="T720" i="1"/>
  <c r="T721" s="1"/>
  <c r="R737"/>
  <c r="R739" s="1"/>
  <c r="S737"/>
  <c r="O737"/>
  <c r="O809" i="10" s="1"/>
  <c r="O229"/>
  <c r="O89" i="7"/>
  <c r="N737" i="1"/>
  <c r="N809" i="10" s="1"/>
  <c r="N229"/>
  <c r="N89" i="7"/>
  <c r="P737" i="1"/>
  <c r="P809" i="10" s="1"/>
  <c r="P229"/>
  <c r="P89" i="7"/>
  <c r="M807" i="10"/>
  <c r="M229"/>
  <c r="M89" i="7"/>
  <c r="M146" i="8" s="1"/>
  <c r="M737" i="1"/>
  <c r="Q739"/>
  <c r="V778" i="10" l="1"/>
  <c r="U330" i="7"/>
  <c r="U396" i="8" s="1"/>
  <c r="U720" i="1"/>
  <c r="U721" s="1"/>
  <c r="U723" s="1"/>
  <c r="M809" i="10"/>
  <c r="M739" i="1"/>
  <c r="M230" i="10"/>
  <c r="P146" i="8"/>
  <c r="Q146"/>
  <c r="P739" i="1"/>
  <c r="P811" i="10" s="1"/>
  <c r="P230"/>
  <c r="O739" i="1"/>
  <c r="O811" i="10" s="1"/>
  <c r="O230"/>
  <c r="O146" i="8"/>
  <c r="R741" i="1"/>
  <c r="N739"/>
  <c r="N811" i="10" s="1"/>
  <c r="N230"/>
  <c r="S739" i="1"/>
  <c r="S741" s="1"/>
  <c r="S743" s="1"/>
  <c r="T739"/>
  <c r="Q741"/>
  <c r="N146" i="8"/>
  <c r="V720" i="1" l="1"/>
  <c r="V330" i="7"/>
  <c r="V396" i="8" s="1"/>
  <c r="T741" i="1"/>
  <c r="T743" s="1"/>
  <c r="T745" s="1"/>
  <c r="U741"/>
  <c r="U743" s="1"/>
  <c r="U745" s="1"/>
  <c r="U747" s="1"/>
  <c r="R743"/>
  <c r="N741"/>
  <c r="N813" i="10" s="1"/>
  <c r="N231"/>
  <c r="N90" i="7"/>
  <c r="O741" i="1"/>
  <c r="O813" i="10" s="1"/>
  <c r="O231"/>
  <c r="O90" i="7"/>
  <c r="P741" i="1"/>
  <c r="P813" i="10" s="1"/>
  <c r="P231"/>
  <c r="P90" i="7"/>
  <c r="M811" i="10"/>
  <c r="M231"/>
  <c r="M90" i="7"/>
  <c r="M147" i="8" s="1"/>
  <c r="M741" i="1"/>
  <c r="S745"/>
  <c r="X720" l="1"/>
  <c r="V721"/>
  <c r="O147" i="8"/>
  <c r="M813" i="10"/>
  <c r="M743" i="1"/>
  <c r="M232" i="10"/>
  <c r="P147" i="8"/>
  <c r="Q147"/>
  <c r="P743" i="1"/>
  <c r="P815" i="10" s="1"/>
  <c r="P232"/>
  <c r="N743" i="1"/>
  <c r="N815" i="10" s="1"/>
  <c r="N232"/>
  <c r="N147" i="8"/>
  <c r="Q743" i="1"/>
  <c r="Q745" s="1"/>
  <c r="T747"/>
  <c r="O743"/>
  <c r="O815" i="10" s="1"/>
  <c r="O232"/>
  <c r="R745" i="1"/>
  <c r="R747" s="1"/>
  <c r="U749"/>
  <c r="X778" i="10" l="1"/>
  <c r="X330" i="7"/>
  <c r="X396" i="8" s="1"/>
  <c r="O745" i="1"/>
  <c r="O817" i="10" s="1"/>
  <c r="O233"/>
  <c r="O91" i="7"/>
  <c r="N745" i="1"/>
  <c r="N817" i="10" s="1"/>
  <c r="N233"/>
  <c r="N91" i="7"/>
  <c r="P745" i="1"/>
  <c r="P817" i="10" s="1"/>
  <c r="P233"/>
  <c r="P91" i="7"/>
  <c r="M815" i="10"/>
  <c r="M233"/>
  <c r="M91" i="7"/>
  <c r="M148" i="8" s="1"/>
  <c r="M745" i="1"/>
  <c r="R749"/>
  <c r="Q747"/>
  <c r="S747"/>
  <c r="S749" s="1"/>
  <c r="S751" s="1"/>
  <c r="M817" i="10" l="1"/>
  <c r="M747" i="1"/>
  <c r="M234" i="10"/>
  <c r="P148" i="8"/>
  <c r="Q148"/>
  <c r="P747" i="1"/>
  <c r="P819" i="10" s="1"/>
  <c r="P234"/>
  <c r="O747" i="1"/>
  <c r="O819" i="10" s="1"/>
  <c r="O234"/>
  <c r="Q749" i="1"/>
  <c r="R751" s="1"/>
  <c r="T749"/>
  <c r="O148" i="8"/>
  <c r="N747" i="1"/>
  <c r="N819" i="10" s="1"/>
  <c r="N234"/>
  <c r="N148" i="8"/>
  <c r="S753" i="1" l="1"/>
  <c r="N749"/>
  <c r="N821" i="10" s="1"/>
  <c r="N235"/>
  <c r="N92" i="7"/>
  <c r="T751" i="1"/>
  <c r="T753" s="1"/>
  <c r="T755" s="1"/>
  <c r="U751"/>
  <c r="O749"/>
  <c r="O821" i="10" s="1"/>
  <c r="O235"/>
  <c r="O92" i="7"/>
  <c r="P749" i="1"/>
  <c r="P821" i="10" s="1"/>
  <c r="P235"/>
  <c r="P92" i="7"/>
  <c r="M819" i="10"/>
  <c r="M235"/>
  <c r="M92" i="7"/>
  <c r="M149" i="8" s="1"/>
  <c r="M749" i="1"/>
  <c r="Q751"/>
  <c r="O149" i="8" l="1"/>
  <c r="M821" i="10"/>
  <c r="M751" i="1"/>
  <c r="M236" i="10"/>
  <c r="P149" i="8"/>
  <c r="Q149"/>
  <c r="P751" i="1"/>
  <c r="P823" i="10" s="1"/>
  <c r="P236"/>
  <c r="N751" i="1"/>
  <c r="N823" i="10" s="1"/>
  <c r="N236"/>
  <c r="Q753" i="1"/>
  <c r="U753"/>
  <c r="U755" s="1"/>
  <c r="U757" s="1"/>
  <c r="N149" i="8"/>
  <c r="R753" i="1"/>
  <c r="R755" s="1"/>
  <c r="O751"/>
  <c r="O823" i="10" s="1"/>
  <c r="O236"/>
  <c r="S755" i="1"/>
  <c r="S757" s="1"/>
  <c r="O753" l="1"/>
  <c r="O825" i="10" s="1"/>
  <c r="O237"/>
  <c r="O93" i="7"/>
  <c r="N753" i="1"/>
  <c r="N825" i="10" s="1"/>
  <c r="N237"/>
  <c r="N93" i="7"/>
  <c r="P753" i="1"/>
  <c r="P825" i="10" s="1"/>
  <c r="P237"/>
  <c r="P93" i="7"/>
  <c r="M823" i="10"/>
  <c r="M237"/>
  <c r="M93" i="7"/>
  <c r="M150" i="8" s="1"/>
  <c r="M753" i="1"/>
  <c r="T757"/>
  <c r="T759" s="1"/>
  <c r="Q755"/>
  <c r="N755" l="1"/>
  <c r="N827" i="10" s="1"/>
  <c r="N238"/>
  <c r="N150" i="8"/>
  <c r="U759" i="1"/>
  <c r="U761" s="1"/>
  <c r="M825" i="10"/>
  <c r="M755" i="1"/>
  <c r="M238" i="10"/>
  <c r="P150" i="8"/>
  <c r="Q150"/>
  <c r="P755" i="1"/>
  <c r="P827" i="10" s="1"/>
  <c r="P238"/>
  <c r="O755" i="1"/>
  <c r="O827" i="10" s="1"/>
  <c r="O238"/>
  <c r="Q757" i="1"/>
  <c r="O150" i="8"/>
  <c r="R757" i="1"/>
  <c r="R759" l="1"/>
  <c r="S759"/>
  <c r="O757"/>
  <c r="O829" i="10" s="1"/>
  <c r="O239"/>
  <c r="O94" i="7"/>
  <c r="P757" i="1"/>
  <c r="P829" i="10" s="1"/>
  <c r="P239"/>
  <c r="P94" i="7"/>
  <c r="M827" i="10"/>
  <c r="M239"/>
  <c r="M94" i="7"/>
  <c r="M151" i="8" s="1"/>
  <c r="M757" i="1"/>
  <c r="N757"/>
  <c r="N829" i="10" s="1"/>
  <c r="N239"/>
  <c r="N94" i="7"/>
  <c r="N151" i="8" s="1"/>
  <c r="Q759" i="1"/>
  <c r="N759" l="1"/>
  <c r="N831" i="10" s="1"/>
  <c r="N240"/>
  <c r="O759" i="1"/>
  <c r="O831" i="10" s="1"/>
  <c r="O240"/>
  <c r="O151" i="8"/>
  <c r="R761" i="1"/>
  <c r="M829" i="10"/>
  <c r="M759" i="1"/>
  <c r="M240" i="10"/>
  <c r="P151" i="8"/>
  <c r="Q151"/>
  <c r="P759" i="1"/>
  <c r="P831" i="10" s="1"/>
  <c r="P240"/>
  <c r="S761" i="1"/>
  <c r="S763" s="1"/>
  <c r="T761"/>
  <c r="Q761"/>
  <c r="T763" l="1"/>
  <c r="T765" s="1"/>
  <c r="U763"/>
  <c r="U765" s="1"/>
  <c r="U767" s="1"/>
  <c r="O761"/>
  <c r="O833" i="10" s="1"/>
  <c r="O241"/>
  <c r="O95" i="7"/>
  <c r="N761" i="1"/>
  <c r="N833" i="10" s="1"/>
  <c r="N241"/>
  <c r="N95" i="7"/>
  <c r="P761" i="1"/>
  <c r="P833" i="10" s="1"/>
  <c r="P241"/>
  <c r="P95" i="7"/>
  <c r="M831" i="10"/>
  <c r="M241"/>
  <c r="M95" i="7"/>
  <c r="M152" i="8" s="1"/>
  <c r="M761" i="1"/>
  <c r="Q763"/>
  <c r="R763"/>
  <c r="R765" s="1"/>
  <c r="O763" l="1"/>
  <c r="O835" i="10" s="1"/>
  <c r="O242"/>
  <c r="S765" i="1"/>
  <c r="S767" s="1"/>
  <c r="O152" i="8"/>
  <c r="T767" i="1"/>
  <c r="T769" s="1"/>
  <c r="M833" i="10"/>
  <c r="M763" i="1"/>
  <c r="M242" i="10"/>
  <c r="P152" i="8"/>
  <c r="Q152"/>
  <c r="P763" i="1"/>
  <c r="P835" i="10" s="1"/>
  <c r="P242"/>
  <c r="N763" i="1"/>
  <c r="N835" i="10" s="1"/>
  <c r="N242"/>
  <c r="N152" i="8"/>
  <c r="U769" i="1"/>
  <c r="U771" s="1"/>
  <c r="N765" l="1"/>
  <c r="N837" i="10" s="1"/>
  <c r="N243"/>
  <c r="N96" i="7"/>
  <c r="P765" i="1"/>
  <c r="P837" i="10" s="1"/>
  <c r="P243"/>
  <c r="P96" i="7"/>
  <c r="M835" i="10"/>
  <c r="M243"/>
  <c r="M96" i="7"/>
  <c r="M153" i="8" s="1"/>
  <c r="M765" i="1"/>
  <c r="O765"/>
  <c r="O837" i="10" s="1"/>
  <c r="O243"/>
  <c r="O96" i="7"/>
  <c r="O153" i="8" s="1"/>
  <c r="Q765" i="1"/>
  <c r="Q767" l="1"/>
  <c r="R767"/>
  <c r="O767"/>
  <c r="O839" i="10" s="1"/>
  <c r="O244"/>
  <c r="N767" i="1"/>
  <c r="N839" i="10" s="1"/>
  <c r="N244"/>
  <c r="N153" i="8"/>
  <c r="M837" i="10"/>
  <c r="M767" i="1"/>
  <c r="M244" i="10"/>
  <c r="P153" i="8"/>
  <c r="Q153"/>
  <c r="P767" i="1"/>
  <c r="P839" i="10" s="1"/>
  <c r="P244"/>
  <c r="M839" l="1"/>
  <c r="M245"/>
  <c r="M97" i="7"/>
  <c r="M154" i="8" s="1"/>
  <c r="M769" i="1"/>
  <c r="N769"/>
  <c r="N841" i="10" s="1"/>
  <c r="N245"/>
  <c r="N97" i="7"/>
  <c r="N154" i="8" s="1"/>
  <c r="O769" i="1"/>
  <c r="O841" i="10" s="1"/>
  <c r="O245"/>
  <c r="O97" i="7"/>
  <c r="Q769" i="1"/>
  <c r="Q771" s="1"/>
  <c r="P769"/>
  <c r="P841" i="10" s="1"/>
  <c r="P245"/>
  <c r="P97" i="7"/>
  <c r="R769" i="1"/>
  <c r="R771" s="1"/>
  <c r="R773" s="1"/>
  <c r="S769"/>
  <c r="O154" i="8" l="1"/>
  <c r="N771" i="1"/>
  <c r="N843" i="10" s="1"/>
  <c r="N246"/>
  <c r="S771" i="1"/>
  <c r="S773" s="1"/>
  <c r="S775" s="1"/>
  <c r="T771"/>
  <c r="P154" i="8"/>
  <c r="Q154"/>
  <c r="P771" i="1"/>
  <c r="P843" i="10" s="1"/>
  <c r="P246"/>
  <c r="O771" i="1"/>
  <c r="O843" i="10" s="1"/>
  <c r="O246"/>
  <c r="M841"/>
  <c r="M771" i="1"/>
  <c r="M246" i="10"/>
  <c r="O773" i="1" l="1"/>
  <c r="O845" i="10" s="1"/>
  <c r="O247"/>
  <c r="O98" i="7"/>
  <c r="P773" i="1"/>
  <c r="P845" i="10" s="1"/>
  <c r="P247"/>
  <c r="P98" i="7"/>
  <c r="N773" i="1"/>
  <c r="N845" i="10" s="1"/>
  <c r="N247"/>
  <c r="N98" i="7"/>
  <c r="M843" i="10"/>
  <c r="M247"/>
  <c r="M98" i="7"/>
  <c r="M155" i="8" s="1"/>
  <c r="M773" i="1"/>
  <c r="T773"/>
  <c r="T775" s="1"/>
  <c r="T777" s="1"/>
  <c r="U773"/>
  <c r="Q773"/>
  <c r="Q775" l="1"/>
  <c r="R775"/>
  <c r="N775"/>
  <c r="N847" i="10" s="1"/>
  <c r="N248"/>
  <c r="O775" i="1"/>
  <c r="O847" i="10" s="1"/>
  <c r="O248"/>
  <c r="N155" i="8"/>
  <c r="O155"/>
  <c r="M845" i="10"/>
  <c r="M775" i="1"/>
  <c r="M248" i="10"/>
  <c r="P155" i="8"/>
  <c r="Q155"/>
  <c r="P775" i="1"/>
  <c r="P847" i="10" s="1"/>
  <c r="P248"/>
  <c r="U775" i="1"/>
  <c r="U777" s="1"/>
  <c r="U779" s="1"/>
  <c r="O777" l="1"/>
  <c r="O849" i="10" s="1"/>
  <c r="O249"/>
  <c r="O99" i="7"/>
  <c r="N777" i="1"/>
  <c r="N849" i="10" s="1"/>
  <c r="N249"/>
  <c r="N99" i="7"/>
  <c r="Q777" i="1"/>
  <c r="P777"/>
  <c r="P849" i="10" s="1"/>
  <c r="P249"/>
  <c r="P99" i="7"/>
  <c r="M847" i="10"/>
  <c r="M249"/>
  <c r="M99" i="7"/>
  <c r="M156" i="8" s="1"/>
  <c r="M777" i="1"/>
  <c r="R777"/>
  <c r="R779" s="1"/>
  <c r="S777"/>
  <c r="O779" l="1"/>
  <c r="O851" i="10" s="1"/>
  <c r="O250"/>
  <c r="Q779" i="1"/>
  <c r="O156" i="8"/>
  <c r="S779" i="1"/>
  <c r="S781" s="1"/>
  <c r="T779"/>
  <c r="M849" i="10"/>
  <c r="M779" i="1"/>
  <c r="M250" i="10"/>
  <c r="P156" i="8"/>
  <c r="Q156"/>
  <c r="P779" i="1"/>
  <c r="P851" i="10" s="1"/>
  <c r="P250"/>
  <c r="N779" i="1"/>
  <c r="N851" i="10" s="1"/>
  <c r="N250"/>
  <c r="R781" i="1"/>
  <c r="N156" i="8"/>
  <c r="O781" i="1" l="1"/>
  <c r="O853" i="10" s="1"/>
  <c r="O251"/>
  <c r="O100" i="7"/>
  <c r="S783" i="1"/>
  <c r="Q781"/>
  <c r="N781"/>
  <c r="N853" i="10" s="1"/>
  <c r="N251"/>
  <c r="N100" i="7"/>
  <c r="P781" i="1"/>
  <c r="P853" i="10" s="1"/>
  <c r="P251"/>
  <c r="P100" i="7"/>
  <c r="M851" i="10"/>
  <c r="M251"/>
  <c r="M100" i="7"/>
  <c r="M157" i="8" s="1"/>
  <c r="M781" i="1"/>
  <c r="T781"/>
  <c r="T783" s="1"/>
  <c r="T785" s="1"/>
  <c r="U781"/>
  <c r="R783"/>
  <c r="M853" i="10" l="1"/>
  <c r="M783" i="1"/>
  <c r="M252" i="10"/>
  <c r="P157" i="8"/>
  <c r="Q157"/>
  <c r="P783" i="1"/>
  <c r="P855" i="10" s="1"/>
  <c r="P252"/>
  <c r="O783" i="1"/>
  <c r="O855" i="10" s="1"/>
  <c r="O252"/>
  <c r="U783" i="1"/>
  <c r="U785" s="1"/>
  <c r="U787" s="1"/>
  <c r="Q783"/>
  <c r="Q785" s="1"/>
  <c r="O157" i="8"/>
  <c r="N783" i="1"/>
  <c r="N855" i="10" s="1"/>
  <c r="N252"/>
  <c r="N157" i="8"/>
  <c r="S785" i="1"/>
  <c r="N785" l="1"/>
  <c r="N857" i="10" s="1"/>
  <c r="N253"/>
  <c r="N101" i="7"/>
  <c r="O785" i="1"/>
  <c r="O857" i="10" s="1"/>
  <c r="O253"/>
  <c r="O101" i="7"/>
  <c r="P785" i="1"/>
  <c r="P857" i="10" s="1"/>
  <c r="P253"/>
  <c r="P101" i="7"/>
  <c r="M855" i="10"/>
  <c r="M253"/>
  <c r="M101" i="7"/>
  <c r="M158" i="8" s="1"/>
  <c r="M785" i="1"/>
  <c r="T787"/>
  <c r="U789" s="1"/>
  <c r="Q787"/>
  <c r="R785"/>
  <c r="R787" s="1"/>
  <c r="R789" s="1"/>
  <c r="O158" i="8" l="1"/>
  <c r="M857" i="10"/>
  <c r="M787" i="1"/>
  <c r="M254" i="10"/>
  <c r="P158" i="8"/>
  <c r="Q158"/>
  <c r="P787" i="1"/>
  <c r="P859" i="10" s="1"/>
  <c r="P254"/>
  <c r="N787" i="1"/>
  <c r="N859" i="10" s="1"/>
  <c r="N254"/>
  <c r="Q789" i="1"/>
  <c r="R791" s="1"/>
  <c r="N158" i="8"/>
  <c r="O787" i="1"/>
  <c r="O859" i="10" s="1"/>
  <c r="O254"/>
  <c r="S787" i="1"/>
  <c r="S789" s="1"/>
  <c r="S791" s="1"/>
  <c r="N789" l="1"/>
  <c r="N861" i="10" s="1"/>
  <c r="N255"/>
  <c r="N102" i="7"/>
  <c r="P789" i="1"/>
  <c r="P861" i="10" s="1"/>
  <c r="P255"/>
  <c r="P102" i="7"/>
  <c r="M859" i="10"/>
  <c r="M255"/>
  <c r="M102" i="7"/>
  <c r="M159" i="8" s="1"/>
  <c r="M789" i="1"/>
  <c r="S793"/>
  <c r="O789"/>
  <c r="O861" i="10" s="1"/>
  <c r="O255"/>
  <c r="O102" i="7"/>
  <c r="T789" i="1"/>
  <c r="Q791"/>
  <c r="O159" i="8" l="1"/>
  <c r="T791" i="1"/>
  <c r="T793" s="1"/>
  <c r="T795" s="1"/>
  <c r="U791"/>
  <c r="U793" s="1"/>
  <c r="U795" s="1"/>
  <c r="U797" s="1"/>
  <c r="O791"/>
  <c r="O863" i="10" s="1"/>
  <c r="O256"/>
  <c r="M861"/>
  <c r="M791" i="1"/>
  <c r="M256" i="10"/>
  <c r="P159" i="8"/>
  <c r="Q159"/>
  <c r="P791" i="1"/>
  <c r="P863" i="10" s="1"/>
  <c r="P256"/>
  <c r="Q793" i="1"/>
  <c r="R793"/>
  <c r="N791"/>
  <c r="N863" i="10" s="1"/>
  <c r="N256"/>
  <c r="S795" i="1"/>
  <c r="N159" i="8"/>
  <c r="N793" i="1" l="1"/>
  <c r="N865" i="10" s="1"/>
  <c r="N257"/>
  <c r="N103" i="7"/>
  <c r="O793" i="1"/>
  <c r="O865" i="10" s="1"/>
  <c r="O257"/>
  <c r="O103" i="7"/>
  <c r="R795" i="1"/>
  <c r="T797"/>
  <c r="P793"/>
  <c r="P865" i="10" s="1"/>
  <c r="P257"/>
  <c r="P103" i="7"/>
  <c r="M863" i="10"/>
  <c r="M257"/>
  <c r="M103" i="7"/>
  <c r="M160" i="8" s="1"/>
  <c r="M793" i="1"/>
  <c r="S797"/>
  <c r="Q795"/>
  <c r="U799"/>
  <c r="O160" i="8" l="1"/>
  <c r="M865" i="10"/>
  <c r="M795" i="1"/>
  <c r="M258" i="10"/>
  <c r="P160" i="8"/>
  <c r="Q160"/>
  <c r="P795" i="1"/>
  <c r="P867" i="10" s="1"/>
  <c r="P258"/>
  <c r="N795" i="1"/>
  <c r="N867" i="10" s="1"/>
  <c r="N258"/>
  <c r="Q797" i="1"/>
  <c r="R797"/>
  <c r="R799" s="1"/>
  <c r="N160" i="8"/>
  <c r="O795" i="1"/>
  <c r="O867" i="10" s="1"/>
  <c r="O258"/>
  <c r="U801" i="1"/>
  <c r="T799"/>
  <c r="O797" l="1"/>
  <c r="O869" i="10" s="1"/>
  <c r="O259"/>
  <c r="O104" i="7"/>
  <c r="N797" i="1"/>
  <c r="N869" i="10" s="1"/>
  <c r="N259"/>
  <c r="N104" i="7"/>
  <c r="P797" i="1"/>
  <c r="P259" i="10"/>
  <c r="P104" i="7"/>
  <c r="M867" i="10"/>
  <c r="M259"/>
  <c r="M104" i="7"/>
  <c r="M161" i="8" s="1"/>
  <c r="M797" i="1"/>
  <c r="S799"/>
  <c r="S801" s="1"/>
  <c r="Q799" l="1"/>
  <c r="P869" i="10"/>
  <c r="R801" i="1"/>
  <c r="N799"/>
  <c r="N871" i="10" s="1"/>
  <c r="N260"/>
  <c r="S803" i="1"/>
  <c r="N161" i="8"/>
  <c r="M869" i="10"/>
  <c r="M799" i="1"/>
  <c r="M260" i="10"/>
  <c r="P161" i="8"/>
  <c r="Q161"/>
  <c r="P799" i="1"/>
  <c r="P260" i="10"/>
  <c r="O799" i="1"/>
  <c r="O871" i="10" s="1"/>
  <c r="O260"/>
  <c r="O161" i="8"/>
  <c r="T801" i="1"/>
  <c r="Q801" l="1"/>
  <c r="P871" i="10"/>
  <c r="T803" i="1"/>
  <c r="T805" s="1"/>
  <c r="U803"/>
  <c r="U805" s="1"/>
  <c r="U807" s="1"/>
  <c r="N801"/>
  <c r="N873" i="10" s="1"/>
  <c r="N261"/>
  <c r="N105" i="7"/>
  <c r="O801" i="1"/>
  <c r="O873" i="10" s="1"/>
  <c r="O261"/>
  <c r="O105" i="7"/>
  <c r="P801" i="1"/>
  <c r="P873" i="10" s="1"/>
  <c r="P261"/>
  <c r="P105" i="7"/>
  <c r="M871" i="10"/>
  <c r="M261"/>
  <c r="M105" i="7"/>
  <c r="M162" i="8" s="1"/>
  <c r="M801" i="1"/>
  <c r="R803"/>
  <c r="O162" i="8" l="1"/>
  <c r="M873" i="10"/>
  <c r="M803" i="1"/>
  <c r="M262" i="10"/>
  <c r="P162" i="8"/>
  <c r="Q162"/>
  <c r="P803" i="1"/>
  <c r="P875" i="10" s="1"/>
  <c r="P262"/>
  <c r="S805" i="1"/>
  <c r="Q803"/>
  <c r="Q805" s="1"/>
  <c r="O803"/>
  <c r="O875" i="10" s="1"/>
  <c r="O262"/>
  <c r="N803" i="1"/>
  <c r="N875" i="10" s="1"/>
  <c r="N262"/>
  <c r="N162" i="8"/>
  <c r="T807" i="1"/>
  <c r="N805" l="1"/>
  <c r="N877" i="10" s="1"/>
  <c r="N263"/>
  <c r="N106" i="7"/>
  <c r="O805" i="1"/>
  <c r="O877" i="10" s="1"/>
  <c r="O263"/>
  <c r="O106" i="7"/>
  <c r="P805" i="1"/>
  <c r="P877" i="10" s="1"/>
  <c r="P263"/>
  <c r="P106" i="7"/>
  <c r="M875" i="10"/>
  <c r="M263"/>
  <c r="M106" i="7"/>
  <c r="M163" i="8" s="1"/>
  <c r="M805" i="1"/>
  <c r="U809"/>
  <c r="R805"/>
  <c r="R807" s="1"/>
  <c r="O163" i="8" l="1"/>
  <c r="O807" i="1"/>
  <c r="O879" i="10" s="1"/>
  <c r="O264"/>
  <c r="S807" i="1"/>
  <c r="M877" i="10"/>
  <c r="M807" i="1"/>
  <c r="M264" i="10"/>
  <c r="P163" i="8"/>
  <c r="Q163"/>
  <c r="P807" i="1"/>
  <c r="P879" i="10" s="1"/>
  <c r="P264"/>
  <c r="N807" i="1"/>
  <c r="N879" i="10" s="1"/>
  <c r="N264"/>
  <c r="N163" i="8"/>
  <c r="Q807" i="1"/>
  <c r="Q809" s="1"/>
  <c r="O809" l="1"/>
  <c r="O881" i="10" s="1"/>
  <c r="O265"/>
  <c r="O107" i="7"/>
  <c r="N809" i="1"/>
  <c r="N881" i="10" s="1"/>
  <c r="N265"/>
  <c r="N107" i="7"/>
  <c r="P809" i="1"/>
  <c r="P881" i="10" s="1"/>
  <c r="P265"/>
  <c r="P107" i="7"/>
  <c r="M879" i="10"/>
  <c r="M265"/>
  <c r="M107" i="7"/>
  <c r="M164" i="8" s="1"/>
  <c r="M809" i="1"/>
  <c r="S809"/>
  <c r="T809"/>
  <c r="R809"/>
  <c r="R811" s="1"/>
  <c r="N811" l="1"/>
  <c r="N883" i="10" s="1"/>
  <c r="N266"/>
  <c r="O811" i="1"/>
  <c r="O883" i="10" s="1"/>
  <c r="O266"/>
  <c r="N164" i="8"/>
  <c r="O164"/>
  <c r="T811" i="1"/>
  <c r="U811"/>
  <c r="M881" i="10"/>
  <c r="M811" i="1"/>
  <c r="M266" i="10"/>
  <c r="P164" i="8"/>
  <c r="Q164"/>
  <c r="P811" i="1"/>
  <c r="P883" i="10" s="1"/>
  <c r="P266"/>
  <c r="S811" i="1"/>
  <c r="Q811"/>
  <c r="P813" l="1"/>
  <c r="P885" i="10" s="1"/>
  <c r="P267"/>
  <c r="P108" i="7"/>
  <c r="M883" i="10"/>
  <c r="M267"/>
  <c r="M108" i="7"/>
  <c r="M165" i="8" s="1"/>
  <c r="M813" i="1"/>
  <c r="O267" i="10"/>
  <c r="O108" i="7"/>
  <c r="N267" i="10"/>
  <c r="N108" i="7"/>
  <c r="Q815" i="1"/>
  <c r="N165" i="8" l="1"/>
  <c r="O165"/>
  <c r="N815" i="1"/>
  <c r="N901" i="10" s="1"/>
  <c r="N268"/>
  <c r="M885"/>
  <c r="M815" i="1"/>
  <c r="M268" i="10"/>
  <c r="P165" i="8"/>
  <c r="Q165"/>
  <c r="P815" i="1"/>
  <c r="P268" i="10"/>
  <c r="U815" i="1"/>
  <c r="U817" s="1"/>
  <c r="O815"/>
  <c r="O901" i="10" s="1"/>
  <c r="O268"/>
  <c r="S815" i="1"/>
  <c r="S817" s="1"/>
  <c r="S819" s="1"/>
  <c r="Q817" l="1"/>
  <c r="P901" i="10"/>
  <c r="R819" i="1"/>
  <c r="O817"/>
  <c r="O903" i="10" s="1"/>
  <c r="O269"/>
  <c r="O109" i="7"/>
  <c r="N817" i="1"/>
  <c r="N903" i="10" s="1"/>
  <c r="N269"/>
  <c r="N109" i="7"/>
  <c r="S821" i="1"/>
  <c r="T817"/>
  <c r="T819" s="1"/>
  <c r="T821" s="1"/>
  <c r="T823" s="1"/>
  <c r="P817"/>
  <c r="P903" i="10" s="1"/>
  <c r="P269"/>
  <c r="P109" i="7"/>
  <c r="M901" i="10"/>
  <c r="M269"/>
  <c r="M109" i="7"/>
  <c r="M166" i="8" s="1"/>
  <c r="M817" i="1"/>
  <c r="U819"/>
  <c r="U821" s="1"/>
  <c r="U823" s="1"/>
  <c r="U825" s="1"/>
  <c r="M903" i="10" l="1"/>
  <c r="M819" i="1"/>
  <c r="M270" i="10"/>
  <c r="P166" i="8"/>
  <c r="Q166"/>
  <c r="P819" i="1"/>
  <c r="P905" i="10" s="1"/>
  <c r="P270"/>
  <c r="O819" i="1"/>
  <c r="O905" i="10" s="1"/>
  <c r="O270"/>
  <c r="O166" i="8"/>
  <c r="Q819" i="1"/>
  <c r="Q821" s="1"/>
  <c r="N819"/>
  <c r="N905" i="10" s="1"/>
  <c r="N270"/>
  <c r="N166" i="8"/>
  <c r="R821" i="1"/>
  <c r="R823" s="1"/>
  <c r="N821" l="1"/>
  <c r="N907" i="10" s="1"/>
  <c r="N271"/>
  <c r="N110" i="7"/>
  <c r="O821" i="1"/>
  <c r="O907" i="10" s="1"/>
  <c r="O271"/>
  <c r="O110" i="7"/>
  <c r="P821" i="1"/>
  <c r="P907" i="10" s="1"/>
  <c r="P271"/>
  <c r="P110" i="7"/>
  <c r="M905" i="10"/>
  <c r="M271"/>
  <c r="M110" i="7"/>
  <c r="M167" i="8" s="1"/>
  <c r="M821" i="1"/>
  <c r="S823"/>
  <c r="O167" i="8" l="1"/>
  <c r="M907" i="10"/>
  <c r="M823" i="1"/>
  <c r="M272" i="10"/>
  <c r="P167" i="8"/>
  <c r="Q167"/>
  <c r="P823" i="1"/>
  <c r="P909" i="10" s="1"/>
  <c r="P272"/>
  <c r="N823" i="1"/>
  <c r="N909" i="10" s="1"/>
  <c r="N272"/>
  <c r="N167" i="8"/>
  <c r="S825" i="1"/>
  <c r="T825"/>
  <c r="O823"/>
  <c r="O909" i="10" s="1"/>
  <c r="O272"/>
  <c r="Q823" i="1"/>
  <c r="O825" l="1"/>
  <c r="O911" i="10" s="1"/>
  <c r="O273"/>
  <c r="O111" i="7"/>
  <c r="T827" i="1"/>
  <c r="U827"/>
  <c r="U829" s="1"/>
  <c r="Q825"/>
  <c r="R825"/>
  <c r="R827" s="1"/>
  <c r="N825"/>
  <c r="N911" i="10" s="1"/>
  <c r="N273"/>
  <c r="N111" i="7"/>
  <c r="P825" i="1"/>
  <c r="P911" i="10" s="1"/>
  <c r="P273"/>
  <c r="P111" i="7"/>
  <c r="M909" i="10"/>
  <c r="M273"/>
  <c r="M111" i="7"/>
  <c r="M168" i="8" s="1"/>
  <c r="M825" i="1"/>
  <c r="S827"/>
  <c r="S829" s="1"/>
  <c r="Q813" l="1"/>
  <c r="Q885" i="10" s="1"/>
  <c r="W812" i="1"/>
  <c r="M911" i="10"/>
  <c r="M827" i="1"/>
  <c r="M274" i="10"/>
  <c r="P168" i="8"/>
  <c r="Q168"/>
  <c r="P827" i="1"/>
  <c r="P913" i="10" s="1"/>
  <c r="P274"/>
  <c r="O827" i="1"/>
  <c r="O913" i="10" s="1"/>
  <c r="O274"/>
  <c r="O168" i="8"/>
  <c r="N827" i="1"/>
  <c r="N913" i="10" s="1"/>
  <c r="N274"/>
  <c r="N168" i="8"/>
  <c r="Q827" i="1"/>
  <c r="Q829" s="1"/>
  <c r="T829"/>
  <c r="T831" s="1"/>
  <c r="W884" i="10" l="1"/>
  <c r="W376" i="7"/>
  <c r="W442" i="8" s="1"/>
  <c r="R829" i="1"/>
  <c r="N829"/>
  <c r="N915" i="10" s="1"/>
  <c r="N275"/>
  <c r="N112" i="7"/>
  <c r="O829" i="1"/>
  <c r="O915" i="10" s="1"/>
  <c r="O275"/>
  <c r="O112" i="7"/>
  <c r="P829" i="1"/>
  <c r="P915" i="10" s="1"/>
  <c r="P275"/>
  <c r="P112" i="7"/>
  <c r="M913" i="10"/>
  <c r="M275"/>
  <c r="M112" i="7"/>
  <c r="M169" i="8" s="1"/>
  <c r="M829" i="1"/>
  <c r="U831"/>
  <c r="U833" s="1"/>
  <c r="O169" i="8" l="1"/>
  <c r="O831" i="1"/>
  <c r="O917" i="10" s="1"/>
  <c r="O276"/>
  <c r="R831" i="1"/>
  <c r="S831"/>
  <c r="M915" i="10"/>
  <c r="M831" i="1"/>
  <c r="M276" i="10"/>
  <c r="P169" i="8"/>
  <c r="Q169"/>
  <c r="P831" i="1"/>
  <c r="P917" i="10" s="1"/>
  <c r="P276"/>
  <c r="N831" i="1"/>
  <c r="N917" i="10" s="1"/>
  <c r="N276"/>
  <c r="N169" i="8"/>
  <c r="Q831" i="1"/>
  <c r="Q833" s="1"/>
  <c r="N833" l="1"/>
  <c r="N919" i="10" s="1"/>
  <c r="N277"/>
  <c r="N113" i="7"/>
  <c r="P833" i="1"/>
  <c r="P919" i="10" s="1"/>
  <c r="P277"/>
  <c r="P113" i="7"/>
  <c r="M917" i="10"/>
  <c r="M277"/>
  <c r="M113" i="7"/>
  <c r="M170" i="8" s="1"/>
  <c r="M833" i="1"/>
  <c r="O833"/>
  <c r="O919" i="10" s="1"/>
  <c r="O277"/>
  <c r="O113" i="7"/>
  <c r="O170" i="8" s="1"/>
  <c r="R833" i="1"/>
  <c r="R835" s="1"/>
  <c r="S833"/>
  <c r="S835" s="1"/>
  <c r="S837" s="1"/>
  <c r="T833"/>
  <c r="Q835"/>
  <c r="O835" l="1"/>
  <c r="O921" i="10" s="1"/>
  <c r="O278"/>
  <c r="N835" i="1"/>
  <c r="N921" i="10" s="1"/>
  <c r="N278"/>
  <c r="N170" i="8"/>
  <c r="T835" i="1"/>
  <c r="T837" s="1"/>
  <c r="T839" s="1"/>
  <c r="U835"/>
  <c r="U837" s="1"/>
  <c r="U839" s="1"/>
  <c r="U841" s="1"/>
  <c r="M919" i="10"/>
  <c r="M835" i="1"/>
  <c r="M278" i="10"/>
  <c r="P170" i="8"/>
  <c r="Q170"/>
  <c r="P835" i="1"/>
  <c r="P921" i="10" s="1"/>
  <c r="P278"/>
  <c r="R837" i="1"/>
  <c r="P837" l="1"/>
  <c r="P923" i="10" s="1"/>
  <c r="P279"/>
  <c r="P114" i="7"/>
  <c r="M921" i="10"/>
  <c r="M279"/>
  <c r="M114" i="7"/>
  <c r="M171" i="8" s="1"/>
  <c r="M837" i="1"/>
  <c r="N837"/>
  <c r="N923" i="10" s="1"/>
  <c r="N279"/>
  <c r="N114" i="7"/>
  <c r="N171" i="8" s="1"/>
  <c r="O837" i="1"/>
  <c r="O923" i="10" s="1"/>
  <c r="O279"/>
  <c r="O114" i="7"/>
  <c r="Q837" i="1"/>
  <c r="Q839" s="1"/>
  <c r="S839"/>
  <c r="O839" l="1"/>
  <c r="O925" i="10" s="1"/>
  <c r="O280"/>
  <c r="M923"/>
  <c r="M839" i="1"/>
  <c r="M280" i="10"/>
  <c r="P171" i="8"/>
  <c r="Q171"/>
  <c r="P839" i="1"/>
  <c r="P925" i="10" s="1"/>
  <c r="P280"/>
  <c r="R839" i="1"/>
  <c r="R841" s="1"/>
  <c r="T841"/>
  <c r="O171" i="8"/>
  <c r="N839" i="1"/>
  <c r="N925" i="10" s="1"/>
  <c r="N280"/>
  <c r="Q841" i="1"/>
  <c r="O841" l="1"/>
  <c r="O927" i="10" s="1"/>
  <c r="O281"/>
  <c r="O115" i="7"/>
  <c r="R843" i="1"/>
  <c r="N841"/>
  <c r="N927" i="10" s="1"/>
  <c r="N281"/>
  <c r="N115" i="7"/>
  <c r="U843" i="1"/>
  <c r="P841"/>
  <c r="P927" i="10" s="1"/>
  <c r="P281"/>
  <c r="P115" i="7"/>
  <c r="M925" i="10"/>
  <c r="M281"/>
  <c r="M115" i="7"/>
  <c r="M172" i="8" s="1"/>
  <c r="M841" i="1"/>
  <c r="Q843"/>
  <c r="S841"/>
  <c r="S843" s="1"/>
  <c r="S845" s="1"/>
  <c r="N843" l="1"/>
  <c r="N929" i="10" s="1"/>
  <c r="N282"/>
  <c r="O843" i="1"/>
  <c r="O929" i="10" s="1"/>
  <c r="O282"/>
  <c r="N172" i="8"/>
  <c r="O172"/>
  <c r="M927" i="10"/>
  <c r="M843" i="1"/>
  <c r="M282" i="10"/>
  <c r="P172" i="8"/>
  <c r="Q172"/>
  <c r="P843" i="1"/>
  <c r="P282" i="10"/>
  <c r="T843" i="1"/>
  <c r="T845" s="1"/>
  <c r="T847" s="1"/>
  <c r="R845"/>
  <c r="Q845" l="1"/>
  <c r="P929" i="10"/>
  <c r="O845" i="1"/>
  <c r="O931" i="10" s="1"/>
  <c r="O283"/>
  <c r="O116" i="7"/>
  <c r="N845" i="1"/>
  <c r="N931" i="10" s="1"/>
  <c r="N283"/>
  <c r="N116" i="7"/>
  <c r="P845" i="1"/>
  <c r="P931" i="10" s="1"/>
  <c r="P283"/>
  <c r="P116" i="7"/>
  <c r="M929" i="10"/>
  <c r="M283"/>
  <c r="M116" i="7"/>
  <c r="M173" i="8" s="1"/>
  <c r="M845" i="1"/>
  <c r="R847"/>
  <c r="S847"/>
  <c r="S849" s="1"/>
  <c r="U845"/>
  <c r="U847" s="1"/>
  <c r="U849" s="1"/>
  <c r="M931" i="10" l="1"/>
  <c r="M847" i="1"/>
  <c r="M284" i="10"/>
  <c r="P173" i="8"/>
  <c r="Q173"/>
  <c r="P847" i="1"/>
  <c r="P933" i="10" s="1"/>
  <c r="P284"/>
  <c r="N847" i="1"/>
  <c r="N933" i="10" s="1"/>
  <c r="N284"/>
  <c r="N173" i="8"/>
  <c r="Q847" i="1"/>
  <c r="Q849" s="1"/>
  <c r="O847"/>
  <c r="O933" i="10" s="1"/>
  <c r="O284"/>
  <c r="R849" i="1"/>
  <c r="R851" s="1"/>
  <c r="T849"/>
  <c r="T851" s="1"/>
  <c r="O173" i="8"/>
  <c r="O849" i="1" l="1"/>
  <c r="O935" i="10" s="1"/>
  <c r="O285"/>
  <c r="O117" i="7"/>
  <c r="E11" i="6" s="1"/>
  <c r="U851" i="1"/>
  <c r="N849"/>
  <c r="N935" i="10" s="1"/>
  <c r="N285"/>
  <c r="N117" i="7"/>
  <c r="D11" i="6" s="1"/>
  <c r="P849" i="1"/>
  <c r="P935" i="10" s="1"/>
  <c r="P285"/>
  <c r="P117" i="7"/>
  <c r="F11" i="6" s="1"/>
  <c r="M933" i="10"/>
  <c r="M285"/>
  <c r="M117" i="7"/>
  <c r="M849" i="1"/>
  <c r="Q851"/>
  <c r="S851"/>
  <c r="M174" i="8" l="1"/>
  <c r="C11" i="6"/>
  <c r="S853" i="1"/>
  <c r="N851"/>
  <c r="N937" i="10" s="1"/>
  <c r="N286"/>
  <c r="O851" i="1"/>
  <c r="O937" i="10" s="1"/>
  <c r="O286"/>
  <c r="N174" i="8"/>
  <c r="O174"/>
  <c r="T853" i="1"/>
  <c r="T855" s="1"/>
  <c r="R853"/>
  <c r="M935" i="10"/>
  <c r="M851" i="1"/>
  <c r="M286" i="10"/>
  <c r="P174" i="8"/>
  <c r="Q174"/>
  <c r="P851" i="1"/>
  <c r="P286" i="10"/>
  <c r="U853" i="1"/>
  <c r="U855" s="1"/>
  <c r="U857" s="1"/>
  <c r="Q853" l="1"/>
  <c r="P937" i="10"/>
  <c r="O853" i="1"/>
  <c r="O939" i="10" s="1"/>
  <c r="N853" i="1"/>
  <c r="N939" i="10" s="1"/>
  <c r="S855" i="1"/>
  <c r="P853"/>
  <c r="M937" i="10"/>
  <c r="M853" i="1"/>
  <c r="R855"/>
  <c r="Q855" l="1"/>
  <c r="P939" i="10"/>
  <c r="M939"/>
  <c r="M855" i="1"/>
  <c r="S857"/>
  <c r="P855"/>
  <c r="P941" i="10" s="1"/>
  <c r="N855" i="1"/>
  <c r="N941" i="10" s="1"/>
  <c r="O855" i="1"/>
  <c r="O941" i="10" s="1"/>
  <c r="R857" i="1"/>
  <c r="T857"/>
  <c r="T859" l="1"/>
  <c r="U859"/>
  <c r="U861" s="1"/>
  <c r="O857"/>
  <c r="O943" i="10" s="1"/>
  <c r="O299"/>
  <c r="O119" i="7"/>
  <c r="N857" i="1"/>
  <c r="N943" i="10" s="1"/>
  <c r="N299"/>
  <c r="N119" i="7"/>
  <c r="P857" i="1"/>
  <c r="P943" i="10" s="1"/>
  <c r="P299"/>
  <c r="P119" i="7"/>
  <c r="M941" i="10"/>
  <c r="M299"/>
  <c r="M119" i="7"/>
  <c r="M857" i="1"/>
  <c r="S859"/>
  <c r="Q857"/>
  <c r="Q859" s="1"/>
  <c r="R859"/>
  <c r="R861" s="1"/>
  <c r="M943" i="10" l="1"/>
  <c r="M859" i="1"/>
  <c r="M300" i="10"/>
  <c r="P176" i="8"/>
  <c r="Q176"/>
  <c r="P859" i="1"/>
  <c r="P945" i="10" s="1"/>
  <c r="P300"/>
  <c r="O176" i="8"/>
  <c r="O859" i="1"/>
  <c r="O945" i="10" s="1"/>
  <c r="O300"/>
  <c r="Q861" i="1"/>
  <c r="T861"/>
  <c r="U863" s="1"/>
  <c r="M176" i="8"/>
  <c r="N176"/>
  <c r="N859" i="1"/>
  <c r="N945" i="10" s="1"/>
  <c r="N300"/>
  <c r="S861" i="1"/>
  <c r="S863" s="1"/>
  <c r="N861" l="1"/>
  <c r="N947" i="10" s="1"/>
  <c r="N301"/>
  <c r="N120" i="7"/>
  <c r="O861" i="1"/>
  <c r="O947" i="10" s="1"/>
  <c r="O301"/>
  <c r="O120" i="7"/>
  <c r="P861" i="1"/>
  <c r="P947" i="10" s="1"/>
  <c r="P301"/>
  <c r="P120" i="7"/>
  <c r="Q863" i="1"/>
  <c r="R863"/>
  <c r="R865" s="1"/>
  <c r="M945" i="10"/>
  <c r="M301"/>
  <c r="M120" i="7"/>
  <c r="M861" i="1"/>
  <c r="S865"/>
  <c r="S867" s="1"/>
  <c r="T863"/>
  <c r="T865" s="1"/>
  <c r="T867" s="1"/>
  <c r="T869" s="1"/>
  <c r="O177" i="8" l="1"/>
  <c r="M177"/>
  <c r="M947" i="10"/>
  <c r="M863" i="1"/>
  <c r="M302" i="10"/>
  <c r="O863" i="1"/>
  <c r="O949" i="10" s="1"/>
  <c r="O302"/>
  <c r="U865" i="1"/>
  <c r="U867" s="1"/>
  <c r="U869" s="1"/>
  <c r="U871" s="1"/>
  <c r="P177" i="8"/>
  <c r="Q177"/>
  <c r="P863" i="1"/>
  <c r="P949" i="10" s="1"/>
  <c r="P302"/>
  <c r="N863" i="1"/>
  <c r="N949" i="10" s="1"/>
  <c r="N302"/>
  <c r="N177" i="8"/>
  <c r="N865" i="1" l="1"/>
  <c r="N951" i="10" s="1"/>
  <c r="N303"/>
  <c r="N121" i="7"/>
  <c r="P865" i="1"/>
  <c r="P951" i="10" s="1"/>
  <c r="P303"/>
  <c r="P121" i="7"/>
  <c r="Q865" i="1"/>
  <c r="O865"/>
  <c r="O951" i="10" s="1"/>
  <c r="O303"/>
  <c r="O121" i="7"/>
  <c r="M949" i="10"/>
  <c r="M303"/>
  <c r="M121" i="7"/>
  <c r="M865" i="1"/>
  <c r="M178" i="8" l="1"/>
  <c r="O178"/>
  <c r="Q867" i="1"/>
  <c r="R867"/>
  <c r="N867"/>
  <c r="N953" i="10" s="1"/>
  <c r="N304"/>
  <c r="N178" i="8"/>
  <c r="M951" i="10"/>
  <c r="M867" i="1"/>
  <c r="M304" i="10"/>
  <c r="O867" i="1"/>
  <c r="O953" i="10" s="1"/>
  <c r="O304"/>
  <c r="P178" i="8"/>
  <c r="Q178"/>
  <c r="P867" i="1"/>
  <c r="P953" i="10" s="1"/>
  <c r="P304"/>
  <c r="P869" i="1" l="1"/>
  <c r="P955" i="10" s="1"/>
  <c r="P305"/>
  <c r="P122" i="7"/>
  <c r="O869" i="1"/>
  <c r="O955" i="10" s="1"/>
  <c r="O305"/>
  <c r="O122" i="7"/>
  <c r="M953" i="10"/>
  <c r="M305"/>
  <c r="M122" i="7"/>
  <c r="M869" i="1"/>
  <c r="N869"/>
  <c r="N955" i="10" s="1"/>
  <c r="N305"/>
  <c r="N122" i="7"/>
  <c r="Q869" i="1"/>
  <c r="Q871" s="1"/>
  <c r="R869"/>
  <c r="R871" s="1"/>
  <c r="R873" s="1"/>
  <c r="S869"/>
  <c r="N179" i="8" l="1"/>
  <c r="M179"/>
  <c r="N871" i="1"/>
  <c r="N957" i="10" s="1"/>
  <c r="N306"/>
  <c r="P179" i="8"/>
  <c r="Q179"/>
  <c r="P871" i="1"/>
  <c r="P957" i="10" s="1"/>
  <c r="P306"/>
  <c r="S871" i="1"/>
  <c r="S873" s="1"/>
  <c r="S875" s="1"/>
  <c r="T871"/>
  <c r="M955" i="10"/>
  <c r="M871" i="1"/>
  <c r="M306" i="10"/>
  <c r="O871" i="1"/>
  <c r="O957" i="10" s="1"/>
  <c r="O306"/>
  <c r="Q873" i="1"/>
  <c r="O179" i="8"/>
  <c r="O873" i="1" l="1"/>
  <c r="O959" i="10" s="1"/>
  <c r="O307"/>
  <c r="O123" i="7"/>
  <c r="M957" i="10"/>
  <c r="M307"/>
  <c r="M123" i="7"/>
  <c r="M873" i="1"/>
  <c r="T873"/>
  <c r="T875" s="1"/>
  <c r="T877" s="1"/>
  <c r="U873"/>
  <c r="P873"/>
  <c r="P959" i="10" s="1"/>
  <c r="P307"/>
  <c r="P123" i="7"/>
  <c r="N873" i="1"/>
  <c r="N959" i="10" s="1"/>
  <c r="N307"/>
  <c r="N123" i="7"/>
  <c r="Q875" i="1"/>
  <c r="R875"/>
  <c r="S877"/>
  <c r="N180" i="8" l="1"/>
  <c r="M180"/>
  <c r="N875" i="1"/>
  <c r="N961" i="10" s="1"/>
  <c r="N308"/>
  <c r="M959"/>
  <c r="M875" i="1"/>
  <c r="M308" i="10"/>
  <c r="O875" i="1"/>
  <c r="O961" i="10" s="1"/>
  <c r="O308"/>
  <c r="S879" i="1"/>
  <c r="R877"/>
  <c r="U875"/>
  <c r="U877" s="1"/>
  <c r="U879" s="1"/>
  <c r="U881" s="1"/>
  <c r="U883" s="1"/>
  <c r="O180" i="8"/>
  <c r="P180"/>
  <c r="Q180"/>
  <c r="P875" i="1"/>
  <c r="P308" i="10"/>
  <c r="T879" i="1"/>
  <c r="T881" s="1"/>
  <c r="Q877" l="1"/>
  <c r="P961" i="10"/>
  <c r="N877" i="1"/>
  <c r="N963" i="10" s="1"/>
  <c r="N309"/>
  <c r="N124" i="7"/>
  <c r="R879" i="1"/>
  <c r="P877"/>
  <c r="P963" i="10" s="1"/>
  <c r="P309"/>
  <c r="P124" i="7"/>
  <c r="O877" i="1"/>
  <c r="O963" i="10" s="1"/>
  <c r="O309"/>
  <c r="O124" i="7"/>
  <c r="M961" i="10"/>
  <c r="M309"/>
  <c r="M124" i="7"/>
  <c r="M877" i="1"/>
  <c r="S881"/>
  <c r="O181" i="8" l="1"/>
  <c r="M181"/>
  <c r="P181"/>
  <c r="Q181"/>
  <c r="P879" i="1"/>
  <c r="P965" i="10" s="1"/>
  <c r="P310"/>
  <c r="T883" i="1"/>
  <c r="Q879"/>
  <c r="Q881" s="1"/>
  <c r="M963" i="10"/>
  <c r="M879" i="1"/>
  <c r="M310" i="10"/>
  <c r="O879" i="1"/>
  <c r="O965" i="10" s="1"/>
  <c r="O310"/>
  <c r="N879" i="1"/>
  <c r="N965" i="10" s="1"/>
  <c r="N310"/>
  <c r="R881" i="1"/>
  <c r="R883" s="1"/>
  <c r="N181" i="8"/>
  <c r="N881" i="1" l="1"/>
  <c r="N967" i="10" s="1"/>
  <c r="N311"/>
  <c r="N125" i="7"/>
  <c r="O881" i="1"/>
  <c r="O967" i="10" s="1"/>
  <c r="O311"/>
  <c r="O125" i="7"/>
  <c r="M965" i="10"/>
  <c r="M311"/>
  <c r="M125" i="7"/>
  <c r="M182" i="8" s="1"/>
  <c r="M881" i="1"/>
  <c r="P881"/>
  <c r="P967" i="10" s="1"/>
  <c r="P311"/>
  <c r="P125" i="7"/>
  <c r="Q883" i="1"/>
  <c r="S883"/>
  <c r="S885" s="1"/>
  <c r="T885"/>
  <c r="T887" s="1"/>
  <c r="U885"/>
  <c r="R885"/>
  <c r="O182" i="8" l="1"/>
  <c r="P182"/>
  <c r="Q182"/>
  <c r="P883" i="1"/>
  <c r="P969" i="10" s="1"/>
  <c r="P312"/>
  <c r="N883" i="1"/>
  <c r="N969" i="10" s="1"/>
  <c r="N312"/>
  <c r="U887" i="1"/>
  <c r="U889" s="1"/>
  <c r="S887"/>
  <c r="N182" i="8"/>
  <c r="M967" i="10"/>
  <c r="M883" i="1"/>
  <c r="M312" i="10"/>
  <c r="O883" i="1"/>
  <c r="O969" i="10" s="1"/>
  <c r="O312"/>
  <c r="T889" i="1"/>
  <c r="Q885"/>
  <c r="M969" i="10" l="1"/>
  <c r="M313"/>
  <c r="M126" i="7"/>
  <c r="M183" i="8" s="1"/>
  <c r="M885" i="1"/>
  <c r="N885"/>
  <c r="N971" i="10" s="1"/>
  <c r="N313"/>
  <c r="N126" i="7"/>
  <c r="N183" i="8" s="1"/>
  <c r="P885" i="1"/>
  <c r="P971" i="10" s="1"/>
  <c r="P313"/>
  <c r="P126" i="7"/>
  <c r="Q887" i="1"/>
  <c r="R887"/>
  <c r="R889" s="1"/>
  <c r="O885"/>
  <c r="O971" i="10" s="1"/>
  <c r="O313"/>
  <c r="O126" i="7"/>
  <c r="O183" i="8" s="1"/>
  <c r="U891" i="1"/>
  <c r="O887" l="1"/>
  <c r="O973" i="10" s="1"/>
  <c r="O314"/>
  <c r="N887" i="1"/>
  <c r="N973" i="10" s="1"/>
  <c r="N314"/>
  <c r="S889" i="1"/>
  <c r="P183" i="8"/>
  <c r="Q183"/>
  <c r="P887" i="1"/>
  <c r="P973" i="10" s="1"/>
  <c r="P314"/>
  <c r="M971"/>
  <c r="M887" i="1"/>
  <c r="M314" i="10"/>
  <c r="Q889" i="1"/>
  <c r="P889" l="1"/>
  <c r="P975" i="10" s="1"/>
  <c r="P315"/>
  <c r="P127" i="7"/>
  <c r="N889" i="1"/>
  <c r="N975" i="10" s="1"/>
  <c r="N315"/>
  <c r="N127" i="7"/>
  <c r="O889" i="1"/>
  <c r="O975" i="10" s="1"/>
  <c r="O315"/>
  <c r="O127" i="7"/>
  <c r="M973" i="10"/>
  <c r="M315"/>
  <c r="M127" i="7"/>
  <c r="M184" i="8" s="1"/>
  <c r="M889" i="1"/>
  <c r="S891"/>
  <c r="S893" s="1"/>
  <c r="T891"/>
  <c r="Q891"/>
  <c r="R891"/>
  <c r="O184" i="8" l="1"/>
  <c r="T893" i="1"/>
  <c r="T895" s="1"/>
  <c r="U893"/>
  <c r="U895" s="1"/>
  <c r="U897" s="1"/>
  <c r="M975" i="10"/>
  <c r="M891" i="1"/>
  <c r="M316" i="10"/>
  <c r="O891" i="1"/>
  <c r="O977" i="10" s="1"/>
  <c r="O316"/>
  <c r="P184" i="8"/>
  <c r="Q184"/>
  <c r="P891" i="1"/>
  <c r="P977" i="10" s="1"/>
  <c r="P316"/>
  <c r="R893" i="1"/>
  <c r="N891"/>
  <c r="N977" i="10" s="1"/>
  <c r="N316"/>
  <c r="S895" i="1"/>
  <c r="N184" i="8"/>
  <c r="R895" i="1" l="1"/>
  <c r="T897"/>
  <c r="N893"/>
  <c r="N979" i="10" s="1"/>
  <c r="N317"/>
  <c r="N128" i="7"/>
  <c r="P893" i="1"/>
  <c r="P979" i="10" s="1"/>
  <c r="P317"/>
  <c r="P128" i="7"/>
  <c r="O893" i="1"/>
  <c r="O979" i="10" s="1"/>
  <c r="O317"/>
  <c r="O128" i="7"/>
  <c r="O185" i="8" s="1"/>
  <c r="M977" i="10"/>
  <c r="M317"/>
  <c r="M128" i="7"/>
  <c r="M185" i="8" s="1"/>
  <c r="M893" i="1"/>
  <c r="S897"/>
  <c r="U899"/>
  <c r="P185" i="8" l="1"/>
  <c r="Q185"/>
  <c r="P895" i="1"/>
  <c r="P981" i="10" s="1"/>
  <c r="P318"/>
  <c r="T899" i="1"/>
  <c r="Q895"/>
  <c r="Q897" s="1"/>
  <c r="M979" i="10"/>
  <c r="M895" i="1"/>
  <c r="M318" i="10"/>
  <c r="O895" i="1"/>
  <c r="O981" i="10" s="1"/>
  <c r="O318"/>
  <c r="N895" i="1"/>
  <c r="N981" i="10" s="1"/>
  <c r="N318"/>
  <c r="N185" i="8"/>
  <c r="R897" i="1"/>
  <c r="R899" s="1"/>
  <c r="P897" l="1"/>
  <c r="P983" i="10" s="1"/>
  <c r="P319"/>
  <c r="P129" i="7"/>
  <c r="U901" i="1"/>
  <c r="N897"/>
  <c r="N983" i="10" s="1"/>
  <c r="N319"/>
  <c r="N129" i="7"/>
  <c r="O897" i="1"/>
  <c r="O983" i="10" s="1"/>
  <c r="O319"/>
  <c r="O129" i="7"/>
  <c r="M981" i="10"/>
  <c r="M319"/>
  <c r="M129" i="7"/>
  <c r="M186" i="8" s="1"/>
  <c r="M897" i="1"/>
  <c r="Q899"/>
  <c r="S899"/>
  <c r="S901" s="1"/>
  <c r="O186" i="8" l="1"/>
  <c r="N899" i="1"/>
  <c r="N985" i="10" s="1"/>
  <c r="N320"/>
  <c r="P186" i="8"/>
  <c r="Q186"/>
  <c r="P899" i="1"/>
  <c r="P985" i="10" s="1"/>
  <c r="P320"/>
  <c r="Q901" i="1"/>
  <c r="N186" i="8"/>
  <c r="T901" i="1"/>
  <c r="T903" s="1"/>
  <c r="M983" i="10"/>
  <c r="M899" i="1"/>
  <c r="M320" i="10"/>
  <c r="O899" i="1"/>
  <c r="O985" i="10" s="1"/>
  <c r="O320"/>
  <c r="U903" i="1"/>
  <c r="R901"/>
  <c r="R903" s="1"/>
  <c r="P901" l="1"/>
  <c r="P987" i="10" s="1"/>
  <c r="P321"/>
  <c r="P130" i="7"/>
  <c r="N901" i="1"/>
  <c r="N987" i="10" s="1"/>
  <c r="N321"/>
  <c r="N130" i="7"/>
  <c r="S903" i="1"/>
  <c r="O901"/>
  <c r="O987" i="10" s="1"/>
  <c r="O321"/>
  <c r="O130" i="7"/>
  <c r="O187" i="8" s="1"/>
  <c r="M985" i="10"/>
  <c r="M321"/>
  <c r="M130" i="7"/>
  <c r="M187" i="8" s="1"/>
  <c r="M901" i="1"/>
  <c r="U907"/>
  <c r="U909" s="1"/>
  <c r="Q903"/>
  <c r="M987" i="10" l="1"/>
  <c r="M903" i="1"/>
  <c r="M322" i="10"/>
  <c r="O322"/>
  <c r="P187" i="8"/>
  <c r="Q187"/>
  <c r="P903" i="1"/>
  <c r="P989" i="10" s="1"/>
  <c r="P322"/>
  <c r="N322"/>
  <c r="S907" i="1"/>
  <c r="N187" i="8"/>
  <c r="N905" i="1" l="1"/>
  <c r="N991" i="10" s="1"/>
  <c r="N323"/>
  <c r="N131" i="7"/>
  <c r="P905" i="1"/>
  <c r="P991" i="10" s="1"/>
  <c r="P323"/>
  <c r="P131" i="7"/>
  <c r="O905" i="1"/>
  <c r="O991" i="10" s="1"/>
  <c r="O323"/>
  <c r="O131" i="7"/>
  <c r="O188" i="8" s="1"/>
  <c r="M989" i="10"/>
  <c r="M323"/>
  <c r="M131" i="7"/>
  <c r="M188" i="8" s="1"/>
  <c r="M905" i="1"/>
  <c r="Q907"/>
  <c r="R907"/>
  <c r="R909" s="1"/>
  <c r="S909"/>
  <c r="S911" s="1"/>
  <c r="T909"/>
  <c r="T911" l="1"/>
  <c r="T913" s="1"/>
  <c r="U911"/>
  <c r="U913" s="1"/>
  <c r="U915" s="1"/>
  <c r="M991" i="10"/>
  <c r="M907" i="1"/>
  <c r="M324" i="10"/>
  <c r="O907" i="1"/>
  <c r="O1007" i="10" s="1"/>
  <c r="O324"/>
  <c r="N907" i="1"/>
  <c r="N1007" i="10" s="1"/>
  <c r="N324"/>
  <c r="N188" i="8"/>
  <c r="P188"/>
  <c r="Q188"/>
  <c r="P907" i="1"/>
  <c r="P1007" i="10" s="1"/>
  <c r="P324"/>
  <c r="P909" i="1" l="1"/>
  <c r="P1009" i="10" s="1"/>
  <c r="P325"/>
  <c r="P132" i="7"/>
  <c r="W994" i="10"/>
  <c r="W996"/>
  <c r="W998"/>
  <c r="W1000"/>
  <c r="W1002"/>
  <c r="W1004"/>
  <c r="Q909" i="1"/>
  <c r="N909"/>
  <c r="N1009" i="10" s="1"/>
  <c r="N325"/>
  <c r="N132" i="7"/>
  <c r="O909" i="1"/>
  <c r="O1009" i="10" s="1"/>
  <c r="O325"/>
  <c r="O132" i="7"/>
  <c r="M1007" i="10"/>
  <c r="M325"/>
  <c r="M132" i="7"/>
  <c r="M189" i="8" s="1"/>
  <c r="M909" i="1"/>
  <c r="M1009" i="10" l="1"/>
  <c r="M911" i="1"/>
  <c r="M326" i="10"/>
  <c r="O911" i="1"/>
  <c r="O1011" i="10" s="1"/>
  <c r="O326"/>
  <c r="P189" i="8"/>
  <c r="Q189"/>
  <c r="P911" i="1"/>
  <c r="P1011" i="10" s="1"/>
  <c r="P326"/>
  <c r="N189" i="8"/>
  <c r="O189"/>
  <c r="N911" i="1"/>
  <c r="N1011" i="10" s="1"/>
  <c r="N326"/>
  <c r="Q911" i="1"/>
  <c r="Q913" s="1"/>
  <c r="R911"/>
  <c r="W1005" i="10"/>
  <c r="E1003" s="1"/>
  <c r="E1001" l="1"/>
  <c r="N913" i="1"/>
  <c r="N1013" i="10" s="1"/>
  <c r="N327"/>
  <c r="N133" i="7"/>
  <c r="E999" i="10"/>
  <c r="R913" i="1"/>
  <c r="R915" s="1"/>
  <c r="S913"/>
  <c r="P913"/>
  <c r="P1013" i="10" s="1"/>
  <c r="P327"/>
  <c r="P133" i="7"/>
  <c r="O913" i="1"/>
  <c r="O1013" i="10" s="1"/>
  <c r="O327"/>
  <c r="O133" i="7"/>
  <c r="M1011" i="10"/>
  <c r="M327"/>
  <c r="M133" i="7"/>
  <c r="M190" i="8" s="1"/>
  <c r="M913" i="1"/>
  <c r="E997" i="10"/>
  <c r="E993"/>
  <c r="E995"/>
  <c r="S991" l="1"/>
  <c r="R991"/>
  <c r="T991"/>
  <c r="O190" i="8"/>
  <c r="M1013" i="10"/>
  <c r="M915" i="1"/>
  <c r="M328" i="10"/>
  <c r="O915" i="1"/>
  <c r="O1015" i="10" s="1"/>
  <c r="O328"/>
  <c r="S915" i="1"/>
  <c r="S917" s="1"/>
  <c r="T915"/>
  <c r="N915"/>
  <c r="N1015" i="10" s="1"/>
  <c r="N328"/>
  <c r="E1005"/>
  <c r="N190" i="8"/>
  <c r="P190"/>
  <c r="Q190"/>
  <c r="P915" i="1"/>
  <c r="P1015" i="10" s="1"/>
  <c r="P328"/>
  <c r="R917" i="1"/>
  <c r="Q915"/>
  <c r="Q422" i="7" l="1"/>
  <c r="R990" i="10"/>
  <c r="U991" s="1"/>
  <c r="T917" i="1"/>
  <c r="T919" s="1"/>
  <c r="U917"/>
  <c r="U919" s="1"/>
  <c r="U921" s="1"/>
  <c r="Q917"/>
  <c r="Q919" s="1"/>
  <c r="P917"/>
  <c r="P1017" i="10" s="1"/>
  <c r="P329"/>
  <c r="P134" i="7"/>
  <c r="N917" i="1"/>
  <c r="N1017" i="10" s="1"/>
  <c r="N329"/>
  <c r="N134" i="7"/>
  <c r="O917" i="1"/>
  <c r="O1017" i="10" s="1"/>
  <c r="O329"/>
  <c r="O134" i="7"/>
  <c r="M1015" i="10"/>
  <c r="M329"/>
  <c r="M134" i="7"/>
  <c r="M191" i="8" s="1"/>
  <c r="M917" i="1"/>
  <c r="S919"/>
  <c r="Q905" l="1"/>
  <c r="Q991" i="10" s="1"/>
  <c r="W904" i="1"/>
  <c r="S990" i="10"/>
  <c r="V991" s="1"/>
  <c r="R422" i="7"/>
  <c r="R904" i="1"/>
  <c r="R905" s="1"/>
  <c r="Q488" i="8"/>
  <c r="M1017" i="10"/>
  <c r="M919" i="1"/>
  <c r="M330" i="10"/>
  <c r="O919" i="1"/>
  <c r="O1019" i="10" s="1"/>
  <c r="O330"/>
  <c r="P191" i="8"/>
  <c r="Q191"/>
  <c r="P919" i="1"/>
  <c r="P1019" i="10" s="1"/>
  <c r="P330"/>
  <c r="N191" i="8"/>
  <c r="O191"/>
  <c r="R919" i="1"/>
  <c r="R921" s="1"/>
  <c r="R923" s="1"/>
  <c r="T921"/>
  <c r="N919"/>
  <c r="N1019" i="10" s="1"/>
  <c r="N330"/>
  <c r="S921" i="1"/>
  <c r="S923" s="1"/>
  <c r="S925" s="1"/>
  <c r="Q921"/>
  <c r="U923"/>
  <c r="W990" i="10" l="1"/>
  <c r="W422" i="7"/>
  <c r="W488" i="8" s="1"/>
  <c r="T990" i="10"/>
  <c r="S422" i="7"/>
  <c r="S904" i="1"/>
  <c r="S905" s="1"/>
  <c r="R488" i="8"/>
  <c r="N921" i="1"/>
  <c r="N1021" i="10" s="1"/>
  <c r="N331"/>
  <c r="N135" i="7"/>
  <c r="T923" i="1"/>
  <c r="T925" s="1"/>
  <c r="T927" s="1"/>
  <c r="P921"/>
  <c r="P1021" i="10" s="1"/>
  <c r="P331"/>
  <c r="P135" i="7"/>
  <c r="O921" i="1"/>
  <c r="O1021" i="10" s="1"/>
  <c r="O331"/>
  <c r="O135" i="7"/>
  <c r="M1019" i="10"/>
  <c r="M331"/>
  <c r="M135" i="7"/>
  <c r="M192" i="8" s="1"/>
  <c r="M921" i="1"/>
  <c r="U925"/>
  <c r="U927" s="1"/>
  <c r="U929" s="1"/>
  <c r="U990" i="10" l="1"/>
  <c r="V990" s="1"/>
  <c r="S488" i="8"/>
  <c r="T422" i="7"/>
  <c r="T904" i="1"/>
  <c r="T905" s="1"/>
  <c r="T907" s="1"/>
  <c r="O192" i="8"/>
  <c r="P192"/>
  <c r="Q192"/>
  <c r="P923" i="1"/>
  <c r="P1023" i="10" s="1"/>
  <c r="P332"/>
  <c r="N923" i="1"/>
  <c r="N1023" i="10" s="1"/>
  <c r="N332"/>
  <c r="Q923" i="1"/>
  <c r="N192" i="8"/>
  <c r="M1021" i="10"/>
  <c r="M923" i="1"/>
  <c r="M332" i="10"/>
  <c r="O923" i="1"/>
  <c r="O1023" i="10" s="1"/>
  <c r="O332"/>
  <c r="V422" i="7" l="1"/>
  <c r="V904" i="1"/>
  <c r="U422" i="7"/>
  <c r="U904" i="1"/>
  <c r="T488" i="8"/>
  <c r="M1023" i="10"/>
  <c r="M333"/>
  <c r="M136" i="7"/>
  <c r="M193" i="8" s="1"/>
  <c r="M925" i="1"/>
  <c r="N925"/>
  <c r="N1025" i="10" s="1"/>
  <c r="N333"/>
  <c r="N136" i="7"/>
  <c r="N193" i="8" s="1"/>
  <c r="P925" i="1"/>
  <c r="P1025" i="10" s="1"/>
  <c r="P333"/>
  <c r="P136" i="7"/>
  <c r="O925" i="1"/>
  <c r="O1025" i="10" s="1"/>
  <c r="O333"/>
  <c r="O136" i="7"/>
  <c r="O193" i="8" s="1"/>
  <c r="Q925" i="1"/>
  <c r="Q927" s="1"/>
  <c r="R925"/>
  <c r="V488" i="8" l="1"/>
  <c r="V905" i="1"/>
  <c r="X904"/>
  <c r="U488" i="8"/>
  <c r="U905" i="1"/>
  <c r="R927"/>
  <c r="R929" s="1"/>
  <c r="S927"/>
  <c r="O927"/>
  <c r="O1027" i="10" s="1"/>
  <c r="O334"/>
  <c r="N927" i="1"/>
  <c r="N1027" i="10" s="1"/>
  <c r="N334"/>
  <c r="P193" i="8"/>
  <c r="Q193"/>
  <c r="P927" i="1"/>
  <c r="P1027" i="10" s="1"/>
  <c r="P334"/>
  <c r="M1025"/>
  <c r="M927" i="1"/>
  <c r="M334" i="10"/>
  <c r="Q929" i="1"/>
  <c r="X990" i="10" l="1"/>
  <c r="X422" i="7"/>
  <c r="X488" i="8" s="1"/>
  <c r="P929" i="1"/>
  <c r="P1029" i="10" s="1"/>
  <c r="P335"/>
  <c r="P137" i="7"/>
  <c r="N929" i="1"/>
  <c r="N1029" i="10" s="1"/>
  <c r="N335"/>
  <c r="N137" i="7"/>
  <c r="O929" i="1"/>
  <c r="O1029" i="10" s="1"/>
  <c r="O335"/>
  <c r="O137" i="7"/>
  <c r="R931" i="1"/>
  <c r="M1027" i="10"/>
  <c r="M335"/>
  <c r="M137" i="7"/>
  <c r="M194" i="8" s="1"/>
  <c r="M929" i="1"/>
  <c r="S929"/>
  <c r="S931" s="1"/>
  <c r="S933" s="1"/>
  <c r="T929"/>
  <c r="Q931"/>
  <c r="O194" i="8" l="1"/>
  <c r="O931" i="1"/>
  <c r="O1031" i="10" s="1"/>
  <c r="O336"/>
  <c r="P194" i="8"/>
  <c r="Q194"/>
  <c r="P931" i="1"/>
  <c r="P1031" i="10" s="1"/>
  <c r="P336"/>
  <c r="T931" i="1"/>
  <c r="T933" s="1"/>
  <c r="T935" s="1"/>
  <c r="U931"/>
  <c r="U933" s="1"/>
  <c r="M1029" i="10"/>
  <c r="M931" i="1"/>
  <c r="M336" i="10"/>
  <c r="N931" i="1"/>
  <c r="N1031" i="10" s="1"/>
  <c r="N336"/>
  <c r="Q933" i="1"/>
  <c r="R933"/>
  <c r="R935" s="1"/>
  <c r="N194" i="8"/>
  <c r="N933" i="1" l="1"/>
  <c r="N1033" i="10" s="1"/>
  <c r="N337"/>
  <c r="N138" i="7"/>
  <c r="M1031" i="10"/>
  <c r="M337"/>
  <c r="M138" i="7"/>
  <c r="M195" i="8" s="1"/>
  <c r="M933" i="1"/>
  <c r="P933"/>
  <c r="P1033" i="10" s="1"/>
  <c r="P337"/>
  <c r="P138" i="7"/>
  <c r="O933" i="1"/>
  <c r="O1033" i="10" s="1"/>
  <c r="O337"/>
  <c r="O138" i="7"/>
  <c r="O195" i="8" s="1"/>
  <c r="Q935" i="1"/>
  <c r="U935"/>
  <c r="S935"/>
  <c r="O935" l="1"/>
  <c r="O1035" i="10" s="1"/>
  <c r="O338"/>
  <c r="M1033"/>
  <c r="M935" i="1"/>
  <c r="M338" i="10"/>
  <c r="N935" i="1"/>
  <c r="N1035" i="10" s="1"/>
  <c r="N338"/>
  <c r="U939" i="1"/>
  <c r="U941" s="1"/>
  <c r="U943" s="1"/>
  <c r="N195" i="8"/>
  <c r="P195"/>
  <c r="Q195"/>
  <c r="P935" i="1"/>
  <c r="P1035" i="10" s="1"/>
  <c r="P338"/>
  <c r="P937" i="1" l="1"/>
  <c r="P1037" i="10" s="1"/>
  <c r="P339"/>
  <c r="P139" i="7"/>
  <c r="O937" i="1"/>
  <c r="O1037" i="10" s="1"/>
  <c r="O339"/>
  <c r="O139" i="7"/>
  <c r="N937" i="1"/>
  <c r="N1037" i="10" s="1"/>
  <c r="N339"/>
  <c r="N139" i="7"/>
  <c r="M1035" i="10"/>
  <c r="M339"/>
  <c r="M139" i="7"/>
  <c r="M196" i="8" s="1"/>
  <c r="M937" i="1"/>
  <c r="N196" i="8" l="1"/>
  <c r="M1037" i="10"/>
  <c r="M939" i="1"/>
  <c r="M340" i="10"/>
  <c r="R939" i="1"/>
  <c r="P196" i="8"/>
  <c r="Q196"/>
  <c r="P939" i="1"/>
  <c r="P1053" i="10" s="1"/>
  <c r="P340"/>
  <c r="N939" i="1"/>
  <c r="N1053" i="10" s="1"/>
  <c r="N340"/>
  <c r="O939" i="1"/>
  <c r="O1053" i="10" s="1"/>
  <c r="O340"/>
  <c r="O196" i="8"/>
  <c r="O941" i="1" l="1"/>
  <c r="O1055" i="10" s="1"/>
  <c r="O341"/>
  <c r="O140" i="7"/>
  <c r="R941" i="1"/>
  <c r="S941"/>
  <c r="W1046" i="10"/>
  <c r="W1048"/>
  <c r="W1040"/>
  <c r="W1050"/>
  <c r="W1042"/>
  <c r="W1044"/>
  <c r="N941" i="1"/>
  <c r="N1055" i="10" s="1"/>
  <c r="N341"/>
  <c r="N140" i="7"/>
  <c r="P941" i="1"/>
  <c r="P1055" i="10" s="1"/>
  <c r="P341"/>
  <c r="P140" i="7"/>
  <c r="M1053" i="10"/>
  <c r="M341"/>
  <c r="M140" i="7"/>
  <c r="M197" i="8" s="1"/>
  <c r="M941" i="1"/>
  <c r="W1051" i="10" l="1"/>
  <c r="E1039" s="1"/>
  <c r="M1055"/>
  <c r="M943" i="1"/>
  <c r="M342" i="10"/>
  <c r="P197" i="8"/>
  <c r="Q197"/>
  <c r="P943" i="1"/>
  <c r="P1057" i="10" s="1"/>
  <c r="P342"/>
  <c r="S943" i="1"/>
  <c r="T943"/>
  <c r="O943"/>
  <c r="O1057" i="10" s="1"/>
  <c r="O342"/>
  <c r="O197" i="8"/>
  <c r="N943" i="1"/>
  <c r="N1057" i="10" s="1"/>
  <c r="N342"/>
  <c r="N197" i="8"/>
  <c r="R943" i="1"/>
  <c r="E1049" i="10" l="1"/>
  <c r="E1045"/>
  <c r="E1047"/>
  <c r="E1043"/>
  <c r="E1041"/>
  <c r="N343"/>
  <c r="N141" i="7"/>
  <c r="O343" i="10"/>
  <c r="O141" i="7"/>
  <c r="P945" i="1"/>
  <c r="P1059" i="10" s="1"/>
  <c r="P343"/>
  <c r="P141" i="7"/>
  <c r="M1057" i="10"/>
  <c r="M343"/>
  <c r="M141" i="7"/>
  <c r="M198" i="8" s="1"/>
  <c r="M945" i="1"/>
  <c r="R1037" i="10" l="1"/>
  <c r="U1037"/>
  <c r="T1037"/>
  <c r="S1037"/>
  <c r="V1037"/>
  <c r="E1051"/>
  <c r="O198" i="8"/>
  <c r="M1059" i="10"/>
  <c r="M947" i="1"/>
  <c r="M344" i="10"/>
  <c r="P198" i="8"/>
  <c r="Q198"/>
  <c r="P947" i="1"/>
  <c r="P1075" i="10" s="1"/>
  <c r="P344"/>
  <c r="N947" i="1"/>
  <c r="N1075" i="10" s="1"/>
  <c r="N344"/>
  <c r="Q947" i="1"/>
  <c r="N198" i="8"/>
  <c r="O947" i="1"/>
  <c r="O1075" i="10" s="1"/>
  <c r="O344"/>
  <c r="T947" i="1"/>
  <c r="T949" s="1"/>
  <c r="T951" s="1"/>
  <c r="R1036" i="10" l="1"/>
  <c r="Q438" i="7"/>
  <c r="Q606" i="1"/>
  <c r="Q1024" s="1"/>
  <c r="O949"/>
  <c r="O1077" i="10" s="1"/>
  <c r="O345"/>
  <c r="O142" i="7"/>
  <c r="U949" i="1"/>
  <c r="U951" s="1"/>
  <c r="U953" s="1"/>
  <c r="Q949"/>
  <c r="R949"/>
  <c r="N949"/>
  <c r="N1077" i="10" s="1"/>
  <c r="N345"/>
  <c r="N142" i="7"/>
  <c r="P949" i="1"/>
  <c r="P1077" i="10" s="1"/>
  <c r="P345"/>
  <c r="P142" i="7"/>
  <c r="M1075" i="10"/>
  <c r="M345"/>
  <c r="M142" i="7"/>
  <c r="M199" i="8" s="1"/>
  <c r="M949" i="1"/>
  <c r="Q1030" l="1"/>
  <c r="Q1028"/>
  <c r="Q1026"/>
  <c r="Q1152" i="10"/>
  <c r="Q937" i="1"/>
  <c r="Q1037" i="10" s="1"/>
  <c r="W936" i="1"/>
  <c r="S1036" i="10"/>
  <c r="R438" i="7"/>
  <c r="R936" i="1"/>
  <c r="R937" s="1"/>
  <c r="Q504" i="8"/>
  <c r="N951" i="1"/>
  <c r="N1079" i="10" s="1"/>
  <c r="N346"/>
  <c r="O951" i="1"/>
  <c r="O1079" i="10" s="1"/>
  <c r="O346"/>
  <c r="N199" i="8"/>
  <c r="Q951" i="1"/>
  <c r="O199" i="8"/>
  <c r="M1077" i="10"/>
  <c r="M951" i="1"/>
  <c r="M346" i="10"/>
  <c r="P199" i="8"/>
  <c r="Q199"/>
  <c r="P951" i="1"/>
  <c r="P1079" i="10" s="1"/>
  <c r="P346"/>
  <c r="R951" i="1"/>
  <c r="R953" s="1"/>
  <c r="S951"/>
  <c r="W438" i="7" l="1"/>
  <c r="W504" i="8" s="1"/>
  <c r="W1036" i="10"/>
  <c r="T1036"/>
  <c r="S438" i="7"/>
  <c r="S936" i="1"/>
  <c r="S937" s="1"/>
  <c r="S939" s="1"/>
  <c r="R504" i="8"/>
  <c r="S953" i="1"/>
  <c r="S955" s="1"/>
  <c r="T953"/>
  <c r="O953"/>
  <c r="O1081" i="10" s="1"/>
  <c r="O347"/>
  <c r="O143" i="7"/>
  <c r="N953" i="1"/>
  <c r="N1081" i="10" s="1"/>
  <c r="N347"/>
  <c r="N143" i="7"/>
  <c r="P953" i="1"/>
  <c r="P1081" i="10" s="1"/>
  <c r="P347"/>
  <c r="P143" i="7"/>
  <c r="M1079" i="10"/>
  <c r="M347"/>
  <c r="M143" i="7"/>
  <c r="M200" i="8" s="1"/>
  <c r="M953" i="1"/>
  <c r="Q953"/>
  <c r="Q955" s="1"/>
  <c r="S504" i="8" l="1"/>
  <c r="U1036" i="10"/>
  <c r="V1036" s="1"/>
  <c r="T438" i="7"/>
  <c r="T936" i="1"/>
  <c r="T937" s="1"/>
  <c r="T939" s="1"/>
  <c r="T941" s="1"/>
  <c r="O200" i="8"/>
  <c r="M1081" i="10"/>
  <c r="M955" i="1"/>
  <c r="M348" i="10"/>
  <c r="P200" i="8"/>
  <c r="Q200"/>
  <c r="P955" i="1"/>
  <c r="P1083" i="10" s="1"/>
  <c r="P348"/>
  <c r="O955" i="1"/>
  <c r="O1083" i="10" s="1"/>
  <c r="O348"/>
  <c r="Q957" i="1"/>
  <c r="N955"/>
  <c r="N1083" i="10" s="1"/>
  <c r="N348"/>
  <c r="T955" i="1"/>
  <c r="T957" s="1"/>
  <c r="U955"/>
  <c r="R955"/>
  <c r="R957" s="1"/>
  <c r="R959" s="1"/>
  <c r="N200" i="8"/>
  <c r="V438" i="7" l="1"/>
  <c r="V936" i="1"/>
  <c r="U438" i="7"/>
  <c r="U936" i="1"/>
  <c r="T504" i="8"/>
  <c r="U957" i="1"/>
  <c r="U959" s="1"/>
  <c r="S957"/>
  <c r="S959" s="1"/>
  <c r="S961" s="1"/>
  <c r="N957"/>
  <c r="N1085" i="10" s="1"/>
  <c r="N349"/>
  <c r="N144" i="7"/>
  <c r="O957" i="1"/>
  <c r="O1085" i="10" s="1"/>
  <c r="O349"/>
  <c r="O144" i="7"/>
  <c r="P957" i="1"/>
  <c r="P1085" i="10" s="1"/>
  <c r="P349"/>
  <c r="P144" i="7"/>
  <c r="M1083" i="10"/>
  <c r="M349"/>
  <c r="M144" i="7"/>
  <c r="M201" i="8" s="1"/>
  <c r="M957" i="1"/>
  <c r="Q959"/>
  <c r="V504" i="8" l="1"/>
  <c r="V937" i="1"/>
  <c r="X936"/>
  <c r="Q945"/>
  <c r="Q1059" i="10" s="1"/>
  <c r="W944" i="1"/>
  <c r="U504" i="8"/>
  <c r="U937" i="1"/>
  <c r="O201" i="8"/>
  <c r="O959" i="1"/>
  <c r="O1087" i="10" s="1"/>
  <c r="O350"/>
  <c r="R961" i="1"/>
  <c r="S963" s="1"/>
  <c r="T959"/>
  <c r="T961" s="1"/>
  <c r="T963" s="1"/>
  <c r="M1085" i="10"/>
  <c r="M959" i="1"/>
  <c r="M350" i="10"/>
  <c r="P201" i="8"/>
  <c r="Q201"/>
  <c r="P959" i="1"/>
  <c r="P350" i="10"/>
  <c r="N959" i="1"/>
  <c r="N1087" i="10" s="1"/>
  <c r="N350"/>
  <c r="N201" i="8"/>
  <c r="U961" i="1"/>
  <c r="U963" s="1"/>
  <c r="U965" s="1"/>
  <c r="W1058" i="10" l="1"/>
  <c r="W442" i="7"/>
  <c r="W508" i="8" s="1"/>
  <c r="X1036" i="10"/>
  <c r="X438" i="7"/>
  <c r="X504" i="8" s="1"/>
  <c r="Q961" i="1"/>
  <c r="P1087" i="10"/>
  <c r="N961" i="1"/>
  <c r="N1089" i="10" s="1"/>
  <c r="N351"/>
  <c r="N145" i="7"/>
  <c r="O961" i="1"/>
  <c r="O1089" i="10" s="1"/>
  <c r="O351"/>
  <c r="O145" i="7"/>
  <c r="P961" i="1"/>
  <c r="P1089" i="10" s="1"/>
  <c r="P351"/>
  <c r="P145" i="7"/>
  <c r="M1087" i="10"/>
  <c r="M351"/>
  <c r="M145" i="7"/>
  <c r="M202" i="8" s="1"/>
  <c r="M961" i="1"/>
  <c r="T965"/>
  <c r="R963"/>
  <c r="S965" s="1"/>
  <c r="O202" i="8" l="1"/>
  <c r="N963" i="1"/>
  <c r="N1091" i="10" s="1"/>
  <c r="N352"/>
  <c r="T967" i="1"/>
  <c r="U967"/>
  <c r="U969" s="1"/>
  <c r="N202" i="8"/>
  <c r="M1089" i="10"/>
  <c r="M963" i="1"/>
  <c r="M352" i="10"/>
  <c r="P202" i="8"/>
  <c r="Q202"/>
  <c r="P963" i="1"/>
  <c r="P1091" i="10" s="1"/>
  <c r="P352"/>
  <c r="O963" i="1"/>
  <c r="O1091" i="10" s="1"/>
  <c r="O352"/>
  <c r="Q963" i="1"/>
  <c r="Q965" s="1"/>
  <c r="O965" l="1"/>
  <c r="O1093" i="10" s="1"/>
  <c r="O353"/>
  <c r="O146" i="7"/>
  <c r="P965" i="1"/>
  <c r="P353" i="10"/>
  <c r="P146" i="7"/>
  <c r="M1091" i="10"/>
  <c r="M353"/>
  <c r="M146" i="7"/>
  <c r="M203" i="8" s="1"/>
  <c r="M965" i="1"/>
  <c r="N965"/>
  <c r="N1093" i="10" s="1"/>
  <c r="N353"/>
  <c r="N146" i="7"/>
  <c r="N203" i="8" s="1"/>
  <c r="R965" i="1"/>
  <c r="Q967" l="1"/>
  <c r="P1093" i="10"/>
  <c r="N967" i="1"/>
  <c r="N1095" i="10" s="1"/>
  <c r="N354"/>
  <c r="O967" i="1"/>
  <c r="O1095" i="10" s="1"/>
  <c r="O354"/>
  <c r="O203" i="8"/>
  <c r="R967" i="1"/>
  <c r="R969" s="1"/>
  <c r="S967"/>
  <c r="M1093" i="10"/>
  <c r="M967" i="1"/>
  <c r="M354" i="10"/>
  <c r="P203" i="8"/>
  <c r="Q203"/>
  <c r="P967" i="1"/>
  <c r="P354" i="10"/>
  <c r="Q969" i="1" l="1"/>
  <c r="P1095" i="10"/>
  <c r="R971" i="1"/>
  <c r="P969"/>
  <c r="P1097" i="10" s="1"/>
  <c r="P355"/>
  <c r="P147" i="7"/>
  <c r="M1095" i="10"/>
  <c r="M355"/>
  <c r="M147" i="7"/>
  <c r="M204" i="8" s="1"/>
  <c r="M969" i="1"/>
  <c r="S969"/>
  <c r="S971" s="1"/>
  <c r="S973" s="1"/>
  <c r="T969"/>
  <c r="O969"/>
  <c r="O1097" i="10" s="1"/>
  <c r="O355"/>
  <c r="O147" i="7"/>
  <c r="N969" i="1"/>
  <c r="N1097" i="10" s="1"/>
  <c r="N355"/>
  <c r="N147" i="7"/>
  <c r="O204" i="8" l="1"/>
  <c r="N204"/>
  <c r="N971" i="1"/>
  <c r="N1099" i="10" s="1"/>
  <c r="N356"/>
  <c r="T971" i="1"/>
  <c r="T973" s="1"/>
  <c r="T975" s="1"/>
  <c r="U971"/>
  <c r="U973" s="1"/>
  <c r="U975" s="1"/>
  <c r="U977" s="1"/>
  <c r="M1097" i="10"/>
  <c r="M971" i="1"/>
  <c r="M356" i="10"/>
  <c r="P204" i="8"/>
  <c r="Q204"/>
  <c r="P971" i="1"/>
  <c r="P1099" i="10" s="1"/>
  <c r="P356"/>
  <c r="Q971" i="1"/>
  <c r="Q973" s="1"/>
  <c r="O971"/>
  <c r="O1099" i="10" s="1"/>
  <c r="O356"/>
  <c r="R973" i="1"/>
  <c r="R975" s="1"/>
  <c r="P973" l="1"/>
  <c r="P1101" i="10" s="1"/>
  <c r="P357"/>
  <c r="P148" i="7"/>
  <c r="O973" i="1"/>
  <c r="O1101" i="10" s="1"/>
  <c r="O357"/>
  <c r="O148" i="7"/>
  <c r="N973" i="1"/>
  <c r="N1101" i="10" s="1"/>
  <c r="N357"/>
  <c r="N148" i="7"/>
  <c r="S975" i="1"/>
  <c r="S977" s="1"/>
  <c r="T977"/>
  <c r="T979" s="1"/>
  <c r="M1099" i="10"/>
  <c r="M357"/>
  <c r="M148" i="7"/>
  <c r="M205" i="8" s="1"/>
  <c r="M973" i="1"/>
  <c r="Q975"/>
  <c r="U979"/>
  <c r="U981" s="1"/>
  <c r="O205" i="8" l="1"/>
  <c r="N975" i="1"/>
  <c r="N1103" i="10" s="1"/>
  <c r="N358"/>
  <c r="P205" i="8"/>
  <c r="Q205"/>
  <c r="P975" i="1"/>
  <c r="P1103" i="10" s="1"/>
  <c r="P358"/>
  <c r="Q977" i="1"/>
  <c r="N205" i="8"/>
  <c r="M1101" i="10"/>
  <c r="M975" i="1"/>
  <c r="M358" i="10"/>
  <c r="O975" i="1"/>
  <c r="O1103" i="10" s="1"/>
  <c r="O358"/>
  <c r="R977" i="1"/>
  <c r="R979" s="1"/>
  <c r="O977" l="1"/>
  <c r="O1105" i="10" s="1"/>
  <c r="O359"/>
  <c r="O149" i="7"/>
  <c r="M1103" i="10"/>
  <c r="M359"/>
  <c r="M149" i="7"/>
  <c r="M206" i="8" s="1"/>
  <c r="M977" i="1"/>
  <c r="P977"/>
  <c r="P1105" i="10" s="1"/>
  <c r="P359"/>
  <c r="P149" i="7"/>
  <c r="N977" i="1"/>
  <c r="N1105" i="10" s="1"/>
  <c r="N359"/>
  <c r="N149" i="7"/>
  <c r="Q979" i="1"/>
  <c r="S979"/>
  <c r="N206" i="8" l="1"/>
  <c r="N979" i="1"/>
  <c r="N1107" i="10" s="1"/>
  <c r="N360"/>
  <c r="M1105"/>
  <c r="M979" i="1"/>
  <c r="M360" i="10"/>
  <c r="O979" i="1"/>
  <c r="O1107" i="10" s="1"/>
  <c r="O360"/>
  <c r="O206" i="8"/>
  <c r="S981" i="1"/>
  <c r="T981"/>
  <c r="P206" i="8"/>
  <c r="Q206"/>
  <c r="P979" i="1"/>
  <c r="P1107" i="10" s="1"/>
  <c r="P360"/>
  <c r="R981" i="1"/>
  <c r="P981" l="1"/>
  <c r="P1109" i="10" s="1"/>
  <c r="P361"/>
  <c r="P150" i="7"/>
  <c r="T983" i="1"/>
  <c r="U983"/>
  <c r="N981"/>
  <c r="N1109" i="10" s="1"/>
  <c r="N361"/>
  <c r="N150" i="7"/>
  <c r="O981" i="1"/>
  <c r="O1109" i="10" s="1"/>
  <c r="O361"/>
  <c r="O150" i="7"/>
  <c r="M1107" i="10"/>
  <c r="M361"/>
  <c r="M150" i="7"/>
  <c r="M207" i="8" s="1"/>
  <c r="M981" i="1"/>
  <c r="S983"/>
  <c r="Q981"/>
  <c r="Q983" s="1"/>
  <c r="O207" i="8" l="1"/>
  <c r="N207"/>
  <c r="M1109" i="10"/>
  <c r="M983" i="1"/>
  <c r="M362" i="10"/>
  <c r="P207" i="8"/>
  <c r="Q207"/>
  <c r="P983" i="1"/>
  <c r="P1111" i="10" s="1"/>
  <c r="P362"/>
  <c r="S985" i="1"/>
  <c r="S987" s="1"/>
  <c r="R983"/>
  <c r="R985" s="1"/>
  <c r="U985"/>
  <c r="O983"/>
  <c r="O1111" i="10" s="1"/>
  <c r="O362"/>
  <c r="N983" i="1"/>
  <c r="N1111" i="10" s="1"/>
  <c r="N362"/>
  <c r="Q985" i="1"/>
  <c r="T985"/>
  <c r="T987" s="1"/>
  <c r="T989" s="1"/>
  <c r="N985" l="1"/>
  <c r="N1113" i="10" s="1"/>
  <c r="N363"/>
  <c r="N151" i="7"/>
  <c r="O985" i="1"/>
  <c r="O1113" i="10" s="1"/>
  <c r="O363"/>
  <c r="O151" i="7"/>
  <c r="U987" i="1"/>
  <c r="U989" s="1"/>
  <c r="U991" s="1"/>
  <c r="R987"/>
  <c r="P985"/>
  <c r="P1113" i="10" s="1"/>
  <c r="P363"/>
  <c r="P151" i="7"/>
  <c r="M1111" i="10"/>
  <c r="M363"/>
  <c r="M151" i="7"/>
  <c r="M208" i="8" s="1"/>
  <c r="M985" i="1"/>
  <c r="T991"/>
  <c r="S989"/>
  <c r="O208" i="8" l="1"/>
  <c r="N987" i="1"/>
  <c r="N1115" i="10" s="1"/>
  <c r="N364"/>
  <c r="U993" i="1"/>
  <c r="N208" i="8"/>
  <c r="M1113" i="10"/>
  <c r="M987" i="1"/>
  <c r="M364" i="10"/>
  <c r="P208" i="8"/>
  <c r="Q208"/>
  <c r="P987" i="1"/>
  <c r="P1115" i="10" s="1"/>
  <c r="P364"/>
  <c r="O987" i="1"/>
  <c r="O1115" i="10" s="1"/>
  <c r="O364"/>
  <c r="Q987" i="1"/>
  <c r="Q989" s="1"/>
  <c r="O989" l="1"/>
  <c r="O1117" i="10" s="1"/>
  <c r="O365"/>
  <c r="O152" i="7"/>
  <c r="P989" i="1"/>
  <c r="P1117" i="10" s="1"/>
  <c r="P365"/>
  <c r="P152" i="7"/>
  <c r="M1115" i="10"/>
  <c r="M365"/>
  <c r="M152" i="7"/>
  <c r="M209" i="8" s="1"/>
  <c r="M989" i="1"/>
  <c r="N989"/>
  <c r="N1117" i="10" s="1"/>
  <c r="N365"/>
  <c r="N152" i="7"/>
  <c r="N209" i="8" s="1"/>
  <c r="Q991" i="1"/>
  <c r="R989"/>
  <c r="N991" l="1"/>
  <c r="N1119" i="10" s="1"/>
  <c r="N366"/>
  <c r="O991" i="1"/>
  <c r="O1119" i="10" s="1"/>
  <c r="O366"/>
  <c r="O209" i="8"/>
  <c r="R991" i="1"/>
  <c r="R993" s="1"/>
  <c r="S991"/>
  <c r="M1117" i="10"/>
  <c r="M991" i="1"/>
  <c r="M366" i="10"/>
  <c r="P209" i="8"/>
  <c r="Q209"/>
  <c r="P991" i="1"/>
  <c r="P1119" i="10" s="1"/>
  <c r="P366"/>
  <c r="Q993" i="1"/>
  <c r="P993" l="1"/>
  <c r="P1121" i="10" s="1"/>
  <c r="P367"/>
  <c r="P153" i="7"/>
  <c r="M1119" i="10"/>
  <c r="M367"/>
  <c r="M153" i="7"/>
  <c r="M210" i="8" s="1"/>
  <c r="M993" i="1"/>
  <c r="S993"/>
  <c r="S995" s="1"/>
  <c r="T993"/>
  <c r="O993"/>
  <c r="O1121" i="10" s="1"/>
  <c r="O367"/>
  <c r="O153" i="7"/>
  <c r="N993" i="1"/>
  <c r="N1121" i="10" s="1"/>
  <c r="N367"/>
  <c r="N153" i="7"/>
  <c r="Q995" i="1"/>
  <c r="R995"/>
  <c r="N210" i="8" l="1"/>
  <c r="O210"/>
  <c r="N995" i="1"/>
  <c r="N1123" i="10" s="1"/>
  <c r="N368"/>
  <c r="T995" i="1"/>
  <c r="T997" s="1"/>
  <c r="U995"/>
  <c r="U997" s="1"/>
  <c r="U999" s="1"/>
  <c r="M1121" i="10"/>
  <c r="M995" i="1"/>
  <c r="M368" i="10"/>
  <c r="P210" i="8"/>
  <c r="Q210"/>
  <c r="P995" i="1"/>
  <c r="P1123" i="10" s="1"/>
  <c r="P368"/>
  <c r="R997" i="1"/>
  <c r="R999" s="1"/>
  <c r="O995"/>
  <c r="O1123" i="10" s="1"/>
  <c r="O368"/>
  <c r="Q997" i="1"/>
  <c r="S997"/>
  <c r="S999" s="1"/>
  <c r="S1001" s="1"/>
  <c r="O997" l="1"/>
  <c r="O1125" i="10" s="1"/>
  <c r="O369"/>
  <c r="O154" i="7"/>
  <c r="N997" i="1"/>
  <c r="N1125" i="10" s="1"/>
  <c r="N369"/>
  <c r="N154" i="7"/>
  <c r="T999" i="1"/>
  <c r="T1001" s="1"/>
  <c r="T1003" s="1"/>
  <c r="P997"/>
  <c r="P1125" i="10" s="1"/>
  <c r="P369"/>
  <c r="P154" i="7"/>
  <c r="M1123" i="10"/>
  <c r="M369"/>
  <c r="M154" i="7"/>
  <c r="M211" i="8" s="1"/>
  <c r="M997" i="1"/>
  <c r="U1001"/>
  <c r="U1003" s="1"/>
  <c r="U1005" s="1"/>
  <c r="O999" l="1"/>
  <c r="O1127" i="10" s="1"/>
  <c r="O370"/>
  <c r="O211" i="8"/>
  <c r="M1125" i="10"/>
  <c r="M999" i="1"/>
  <c r="M370" i="10"/>
  <c r="P211" i="8"/>
  <c r="Q211"/>
  <c r="P999" i="1"/>
  <c r="P1127" i="10" s="1"/>
  <c r="P370"/>
  <c r="N999" i="1"/>
  <c r="N1127" i="10" s="1"/>
  <c r="N370"/>
  <c r="Q999" i="1"/>
  <c r="N211" i="8"/>
  <c r="Q1001" i="1" l="1"/>
  <c r="R1001"/>
  <c r="O1001"/>
  <c r="O1129" i="10" s="1"/>
  <c r="O371"/>
  <c r="O155" i="7"/>
  <c r="N1001" i="1"/>
  <c r="N1129" i="10" s="1"/>
  <c r="N371"/>
  <c r="N155" i="7"/>
  <c r="P1001" i="1"/>
  <c r="P1129" i="10" s="1"/>
  <c r="P371"/>
  <c r="P155" i="7"/>
  <c r="M1127" i="10"/>
  <c r="M371"/>
  <c r="M155" i="7"/>
  <c r="M212" i="8" s="1"/>
  <c r="M1001" i="1"/>
  <c r="M1129" i="10" l="1"/>
  <c r="M1003" i="1"/>
  <c r="M372" i="10"/>
  <c r="P212" i="8"/>
  <c r="Q212"/>
  <c r="P1003" i="1"/>
  <c r="P1131" i="10" s="1"/>
  <c r="P372"/>
  <c r="O1003" i="1"/>
  <c r="O1131" i="10" s="1"/>
  <c r="O372"/>
  <c r="O212" i="8"/>
  <c r="Q1003" i="1"/>
  <c r="Q1005" s="1"/>
  <c r="N1003"/>
  <c r="N1131" i="10" s="1"/>
  <c r="N372"/>
  <c r="R1003" i="1"/>
  <c r="R1005" s="1"/>
  <c r="R1007" s="1"/>
  <c r="S1003"/>
  <c r="N212" i="8"/>
  <c r="S1005" i="1" l="1"/>
  <c r="S1007" s="1"/>
  <c r="S1009" s="1"/>
  <c r="T1005"/>
  <c r="N1005"/>
  <c r="N1133" i="10" s="1"/>
  <c r="N373"/>
  <c r="N156" i="7"/>
  <c r="O1005" i="1"/>
  <c r="O1133" i="10" s="1"/>
  <c r="O373"/>
  <c r="O156" i="7"/>
  <c r="P1005" i="1"/>
  <c r="P373" i="10"/>
  <c r="P156" i="7"/>
  <c r="M1131" i="10"/>
  <c r="M373"/>
  <c r="M156" i="7"/>
  <c r="M213" i="8" s="1"/>
  <c r="M1005" i="1"/>
  <c r="O213" i="8" l="1"/>
  <c r="Q1007" i="1"/>
  <c r="P1133" i="10"/>
  <c r="R1009" i="1"/>
  <c r="S1011" s="1"/>
  <c r="O1007"/>
  <c r="O1135" i="10" s="1"/>
  <c r="O374"/>
  <c r="M1133"/>
  <c r="M1007" i="1"/>
  <c r="M374" i="10"/>
  <c r="P213" i="8"/>
  <c r="Q213"/>
  <c r="P1007" i="1"/>
  <c r="P1135" i="10" s="1"/>
  <c r="P374"/>
  <c r="N1007" i="1"/>
  <c r="N1135" i="10" s="1"/>
  <c r="N374"/>
  <c r="T1007" i="1"/>
  <c r="T1009" s="1"/>
  <c r="T1011" s="1"/>
  <c r="U1007"/>
  <c r="U1009" s="1"/>
  <c r="U1011" s="1"/>
  <c r="U1013" s="1"/>
  <c r="N213" i="8"/>
  <c r="N1009" i="1" l="1"/>
  <c r="N1137" i="10" s="1"/>
  <c r="N375"/>
  <c r="N157" i="7"/>
  <c r="P1009" i="1"/>
  <c r="P1137" i="10" s="1"/>
  <c r="P375"/>
  <c r="P157" i="7"/>
  <c r="M1135" i="10"/>
  <c r="M375"/>
  <c r="M157" i="7"/>
  <c r="M214" i="8" s="1"/>
  <c r="M1009" i="1"/>
  <c r="O1009"/>
  <c r="O1137" i="10" s="1"/>
  <c r="O375"/>
  <c r="O157" i="7"/>
  <c r="O214" i="8" s="1"/>
  <c r="T1013" i="1"/>
  <c r="Q1009"/>
  <c r="Q1011" s="1"/>
  <c r="U1015"/>
  <c r="R1011"/>
  <c r="R1013" s="1"/>
  <c r="M1137" i="10" l="1"/>
  <c r="M1011" i="1"/>
  <c r="M376" i="10"/>
  <c r="P214" i="8"/>
  <c r="Q214"/>
  <c r="P1011" i="1"/>
  <c r="P1139" i="10" s="1"/>
  <c r="P376"/>
  <c r="Q1013" i="1"/>
  <c r="T1015"/>
  <c r="T1017" s="1"/>
  <c r="S1013"/>
  <c r="S1015" s="1"/>
  <c r="O1011"/>
  <c r="O1139" i="10" s="1"/>
  <c r="O376"/>
  <c r="N1011" i="1"/>
  <c r="N1139" i="10" s="1"/>
  <c r="N376"/>
  <c r="R1015" i="1"/>
  <c r="N214" i="8"/>
  <c r="N1013" i="1" l="1"/>
  <c r="N1141" i="10" s="1"/>
  <c r="N377"/>
  <c r="N158" i="7"/>
  <c r="O1013" i="1"/>
  <c r="O1141" i="10" s="1"/>
  <c r="O377"/>
  <c r="O158" i="7"/>
  <c r="S1017" i="1"/>
  <c r="U1017"/>
  <c r="U1019" s="1"/>
  <c r="P1013"/>
  <c r="P1141" i="10" s="1"/>
  <c r="P377"/>
  <c r="P158" i="7"/>
  <c r="M1139" i="10"/>
  <c r="M377"/>
  <c r="M158" i="7"/>
  <c r="M215" i="8" s="1"/>
  <c r="M1013" i="1"/>
  <c r="T1019"/>
  <c r="Q1015"/>
  <c r="O215" i="8" l="1"/>
  <c r="M1141" i="10"/>
  <c r="M1015" i="1"/>
  <c r="M378" i="10"/>
  <c r="P215" i="8"/>
  <c r="Q215"/>
  <c r="P1015" i="1"/>
  <c r="P1143" i="10" s="1"/>
  <c r="P378"/>
  <c r="N1015" i="1"/>
  <c r="N1143" i="10" s="1"/>
  <c r="N378"/>
  <c r="Q1017" i="1"/>
  <c r="R1017"/>
  <c r="T1021"/>
  <c r="S1019"/>
  <c r="N215" i="8"/>
  <c r="O1015" i="1"/>
  <c r="O1143" i="10" s="1"/>
  <c r="O378"/>
  <c r="U1021" i="1"/>
  <c r="O1017" l="1"/>
  <c r="O1145" i="10" s="1"/>
  <c r="O379"/>
  <c r="O159" i="7"/>
  <c r="R1019" i="1"/>
  <c r="S1021" s="1"/>
  <c r="N1017"/>
  <c r="N1145" i="10" s="1"/>
  <c r="N379"/>
  <c r="N159" i="7"/>
  <c r="P1017" i="1"/>
  <c r="P1145" i="10" s="1"/>
  <c r="P379"/>
  <c r="P159" i="7"/>
  <c r="M1143" i="10"/>
  <c r="M379"/>
  <c r="M159" i="7"/>
  <c r="M216" i="8" s="1"/>
  <c r="M1017" i="1"/>
  <c r="Q1019"/>
  <c r="N1019" l="1"/>
  <c r="N1147" i="10" s="1"/>
  <c r="N380"/>
  <c r="O1019" i="1"/>
  <c r="O1147" i="10" s="1"/>
  <c r="O380"/>
  <c r="N216" i="8"/>
  <c r="O216"/>
  <c r="M1145" i="10"/>
  <c r="M1019" i="1"/>
  <c r="M380" i="10"/>
  <c r="P216" i="8"/>
  <c r="Q216"/>
  <c r="P1019" i="1"/>
  <c r="P1147" i="10" s="1"/>
  <c r="P380"/>
  <c r="Q1021" i="1"/>
  <c r="R1021"/>
  <c r="O381" i="10" l="1"/>
  <c r="O160" i="7"/>
  <c r="N381" i="10"/>
  <c r="N160" i="7"/>
  <c r="P1021" i="1"/>
  <c r="P1149" i="10" s="1"/>
  <c r="P381"/>
  <c r="P160" i="7"/>
  <c r="M1147" i="10"/>
  <c r="M381"/>
  <c r="M160" i="7"/>
  <c r="M217" i="8" s="1"/>
  <c r="M1021" i="1"/>
  <c r="M1149" i="10" l="1"/>
  <c r="M1025" i="1"/>
  <c r="M382" i="10"/>
  <c r="P217" i="8"/>
  <c r="Q217"/>
  <c r="P1025" i="1"/>
  <c r="P1153" i="10" s="1"/>
  <c r="P382"/>
  <c r="O382"/>
  <c r="O217" i="8"/>
  <c r="N382" i="10"/>
  <c r="N217" i="8"/>
  <c r="O383" i="10" l="1"/>
  <c r="O161" i="7"/>
  <c r="P1027" i="1"/>
  <c r="P1155" i="10" s="1"/>
  <c r="P383"/>
  <c r="P161" i="7"/>
  <c r="M1153" i="10"/>
  <c r="M383"/>
  <c r="M161" i="7"/>
  <c r="M218" i="8" s="1"/>
  <c r="M1027" i="1"/>
  <c r="N383" i="10"/>
  <c r="N161" i="7"/>
  <c r="N218" i="8" l="1"/>
  <c r="M1155" i="10"/>
  <c r="M1029" i="1"/>
  <c r="M384" i="10"/>
  <c r="P218" i="8"/>
  <c r="Q218"/>
  <c r="P1029" i="1"/>
  <c r="P1157" i="10" s="1"/>
  <c r="P384"/>
  <c r="N384"/>
  <c r="O384"/>
  <c r="O218" i="8"/>
  <c r="O385" i="10" l="1"/>
  <c r="O162" i="7"/>
  <c r="N385" i="10"/>
  <c r="N162" i="7"/>
  <c r="P1031" i="1"/>
  <c r="P1159" i="10" s="1"/>
  <c r="P385"/>
  <c r="P162" i="7"/>
  <c r="M1157" i="10"/>
  <c r="M385"/>
  <c r="M162" i="7"/>
  <c r="M219" i="8" s="1"/>
  <c r="M1031" i="1"/>
  <c r="M1159" i="10" l="1"/>
  <c r="M386"/>
  <c r="P219" i="8"/>
  <c r="Q219"/>
  <c r="O386" i="10"/>
  <c r="O219" i="8"/>
  <c r="P386" i="10"/>
  <c r="N386"/>
  <c r="N219" i="8"/>
  <c r="M388" i="10" l="1"/>
  <c r="P389" l="1"/>
  <c r="P164" i="7"/>
  <c r="O389" i="10"/>
  <c r="O164" i="7"/>
  <c r="N389" i="10"/>
  <c r="N164" i="7"/>
  <c r="O221" i="8" l="1"/>
  <c r="O390" i="10"/>
  <c r="P221" i="8"/>
  <c r="P390" i="10"/>
  <c r="O401" l="1"/>
  <c r="O165" i="7"/>
  <c r="N401" i="10"/>
  <c r="N165" i="7"/>
  <c r="P401" i="10"/>
  <c r="P165" i="7"/>
  <c r="M401" i="10"/>
  <c r="M165" i="7"/>
  <c r="M222" i="8" l="1"/>
  <c r="N222"/>
  <c r="N402" i="10"/>
  <c r="O222" i="8"/>
  <c r="O402" i="10"/>
  <c r="M402"/>
  <c r="P222" i="8"/>
  <c r="Q222"/>
  <c r="P402" i="10"/>
  <c r="P403" l="1"/>
  <c r="P166" i="7"/>
  <c r="M403" i="10"/>
  <c r="M166" i="7"/>
  <c r="O403" i="10"/>
  <c r="O166" i="7"/>
  <c r="N403" i="10"/>
  <c r="N166" i="7"/>
  <c r="Q384" i="1" l="1"/>
  <c r="O223" i="8"/>
  <c r="N223"/>
  <c r="M223"/>
  <c r="N404" i="10"/>
  <c r="M404"/>
  <c r="P223" i="8"/>
  <c r="Q223"/>
  <c r="P404" i="10"/>
  <c r="O404"/>
  <c r="Q386" i="1" l="1"/>
  <c r="Q388" s="1"/>
  <c r="Q390" s="1"/>
  <c r="Q392" s="1"/>
  <c r="Q394" s="1"/>
  <c r="Q396" s="1"/>
  <c r="Q398" s="1"/>
  <c r="Q400" s="1"/>
  <c r="Q402" s="1"/>
  <c r="Q404" s="1"/>
  <c r="Q406" s="1"/>
  <c r="Q408" s="1"/>
  <c r="Q410" s="1"/>
  <c r="Q412" s="1"/>
  <c r="Q414" s="1"/>
  <c r="Q416" s="1"/>
  <c r="Q418" s="1"/>
  <c r="Q420" s="1"/>
  <c r="Q422" s="1"/>
  <c r="Q424" s="1"/>
  <c r="Q426" s="1"/>
  <c r="Q428" s="1"/>
  <c r="Q430" s="1"/>
  <c r="Q432" s="1"/>
  <c r="Q434" s="1"/>
  <c r="Q436" s="1"/>
  <c r="Q438" s="1"/>
  <c r="Q440" s="1"/>
  <c r="Q442" s="1"/>
  <c r="Q444" s="1"/>
  <c r="Q446" s="1"/>
  <c r="Q448" s="1"/>
  <c r="Q450" s="1"/>
  <c r="Q452" s="1"/>
  <c r="Q454" s="1"/>
  <c r="Q456" s="1"/>
  <c r="Q458" s="1"/>
  <c r="Q460" s="1"/>
  <c r="Q462" s="1"/>
  <c r="Q390" i="10"/>
  <c r="Q221" i="8"/>
  <c r="O405" i="10"/>
  <c r="O167" i="7"/>
  <c r="N405" i="10"/>
  <c r="N167" i="7"/>
  <c r="P1038" i="1"/>
  <c r="P405" i="10"/>
  <c r="P167" i="7"/>
  <c r="M1038" i="1"/>
  <c r="M1166" i="10" l="1"/>
  <c r="M1040" i="1"/>
  <c r="O406" i="10"/>
  <c r="O224" i="8"/>
  <c r="P224"/>
  <c r="Q224"/>
  <c r="P1166" i="10"/>
  <c r="P1040" i="1"/>
  <c r="P406" i="10"/>
  <c r="P1168" l="1"/>
  <c r="P407"/>
  <c r="P168" i="7"/>
  <c r="F13" i="6" s="1"/>
  <c r="O407" i="10"/>
  <c r="O168" i="7"/>
  <c r="N407" i="10"/>
  <c r="N168" i="7"/>
  <c r="D13" i="6" s="1"/>
  <c r="M1168" i="10"/>
  <c r="M407"/>
  <c r="M168" i="7"/>
  <c r="M225" i="8" l="1"/>
  <c r="O225"/>
  <c r="E13" i="6"/>
  <c r="P225" i="8"/>
  <c r="Q225"/>
  <c r="N225"/>
  <c r="U609" i="1" l="1"/>
  <c r="U611"/>
  <c r="U613"/>
  <c r="U615"/>
  <c r="U617"/>
  <c r="U619"/>
  <c r="U621"/>
  <c r="U623"/>
  <c r="T609"/>
  <c r="T611"/>
  <c r="T613"/>
  <c r="T615"/>
  <c r="T617"/>
  <c r="T619"/>
  <c r="T621"/>
  <c r="T623"/>
  <c r="S609"/>
  <c r="S611"/>
  <c r="S613"/>
  <c r="S615"/>
  <c r="S617"/>
  <c r="S619"/>
  <c r="S621"/>
  <c r="S623"/>
  <c r="R609"/>
  <c r="R611"/>
  <c r="R613"/>
  <c r="R615"/>
  <c r="R617"/>
  <c r="R619"/>
  <c r="R621"/>
  <c r="R623"/>
  <c r="Q609"/>
  <c r="Q655" i="10" s="1"/>
  <c r="Q611" i="1"/>
  <c r="Q613"/>
  <c r="Q615"/>
  <c r="Q617"/>
  <c r="Q619"/>
  <c r="Q621"/>
  <c r="Q623"/>
  <c r="S182" l="1"/>
  <c r="S184"/>
  <c r="Q182"/>
  <c r="Q184"/>
  <c r="T182"/>
  <c r="T184"/>
  <c r="R182"/>
  <c r="R184"/>
  <c r="Q180" l="1"/>
  <c r="Q166" i="10" s="1"/>
  <c r="Q62" i="7"/>
  <c r="R165" i="10"/>
  <c r="R179" i="1" s="1"/>
  <c r="Q119" i="8" l="1"/>
  <c r="R62" i="7"/>
  <c r="R180" i="1"/>
  <c r="S165" i="10"/>
  <c r="S179" i="1" s="1"/>
  <c r="S62" i="7" l="1"/>
  <c r="S180" i="1"/>
  <c r="T165" i="10"/>
  <c r="T179" i="1" s="1"/>
  <c r="R119" i="8"/>
  <c r="T62" i="7" l="1"/>
  <c r="T180" i="1"/>
  <c r="U165" i="10"/>
  <c r="S119" i="8"/>
  <c r="V165" i="10" l="1"/>
  <c r="V179" i="1" s="1"/>
  <c r="U179"/>
  <c r="U62" i="7"/>
  <c r="T119" i="8"/>
  <c r="V62" i="7" l="1"/>
  <c r="V119" i="8" s="1"/>
  <c r="V180" i="1"/>
  <c r="X179"/>
  <c r="U119" i="8"/>
  <c r="U180" i="1"/>
  <c r="X62" i="7" l="1"/>
  <c r="X119" i="8" s="1"/>
  <c r="X165" i="10"/>
  <c r="R69" i="1" l="1"/>
  <c r="T65"/>
  <c r="T67"/>
  <c r="R67"/>
  <c r="R65"/>
  <c r="U69"/>
  <c r="S69"/>
  <c r="Q69"/>
  <c r="U67"/>
  <c r="S67"/>
  <c r="Q67"/>
  <c r="U65"/>
  <c r="S65"/>
  <c r="Q65"/>
  <c r="T69"/>
  <c r="S57"/>
  <c r="Q59"/>
  <c r="U59"/>
  <c r="U57"/>
  <c r="Q57"/>
  <c r="T61"/>
  <c r="T63"/>
  <c r="R59"/>
  <c r="T57"/>
  <c r="R63"/>
  <c r="T59"/>
  <c r="R61"/>
  <c r="R57"/>
  <c r="U63"/>
  <c r="S63"/>
  <c r="Q63"/>
  <c r="Q61"/>
  <c r="U61"/>
  <c r="S59"/>
  <c r="S61"/>
  <c r="U294" l="1"/>
  <c r="U296"/>
  <c r="U298"/>
  <c r="U300"/>
  <c r="U302"/>
  <c r="T294"/>
  <c r="T296"/>
  <c r="T298"/>
  <c r="T300"/>
  <c r="T302"/>
  <c r="S294"/>
  <c r="S296"/>
  <c r="S298"/>
  <c r="S300"/>
  <c r="S302"/>
  <c r="R294"/>
  <c r="R296"/>
  <c r="R298"/>
  <c r="R300"/>
  <c r="R302"/>
  <c r="U478"/>
  <c r="U480"/>
  <c r="U482"/>
  <c r="U484"/>
  <c r="U486"/>
  <c r="U488"/>
  <c r="T478"/>
  <c r="T480"/>
  <c r="T482"/>
  <c r="T484"/>
  <c r="T486"/>
  <c r="T488"/>
  <c r="S478"/>
  <c r="S480"/>
  <c r="S482"/>
  <c r="S484"/>
  <c r="S486"/>
  <c r="S488"/>
  <c r="R478"/>
  <c r="R480"/>
  <c r="R482"/>
  <c r="R484"/>
  <c r="R486"/>
  <c r="R488"/>
  <c r="R508"/>
  <c r="R510"/>
  <c r="R512"/>
  <c r="R514"/>
  <c r="R516"/>
  <c r="R518"/>
  <c r="R520"/>
  <c r="R522"/>
  <c r="R524"/>
  <c r="R526"/>
  <c r="R528"/>
  <c r="R530"/>
  <c r="R532"/>
  <c r="R534"/>
  <c r="R536"/>
  <c r="R538"/>
  <c r="R540"/>
  <c r="R542"/>
  <c r="R544"/>
  <c r="R546"/>
  <c r="R548"/>
  <c r="R550"/>
  <c r="Q508"/>
  <c r="Q534" i="10" s="1"/>
  <c r="Q510" i="1"/>
  <c r="Q512"/>
  <c r="Q514"/>
  <c r="Q516"/>
  <c r="Q552" i="10" s="1"/>
  <c r="Q518" i="1"/>
  <c r="Q520"/>
  <c r="Q522"/>
  <c r="Q524"/>
  <c r="Q526"/>
  <c r="Q528"/>
  <c r="Q530"/>
  <c r="Q532"/>
  <c r="Q534"/>
  <c r="Q536"/>
  <c r="Q538"/>
  <c r="Q540"/>
  <c r="Q542"/>
  <c r="Q544"/>
  <c r="Q546"/>
  <c r="Q548"/>
  <c r="Q550"/>
  <c r="Q478"/>
  <c r="Q480"/>
  <c r="Q482"/>
  <c r="Q484"/>
  <c r="Q486"/>
  <c r="Q488"/>
  <c r="Q294"/>
  <c r="Q296"/>
  <c r="Q298"/>
  <c r="Q300"/>
  <c r="Q302"/>
  <c r="K155" i="27"/>
  <c r="L155"/>
  <c r="G155"/>
  <c r="M155" s="1"/>
  <c r="K153"/>
  <c r="O225" i="7"/>
  <c r="N531" i="10"/>
  <c r="N475" i="1"/>
  <c r="N491" i="10" s="1"/>
  <c r="P225" i="7"/>
  <c r="P475" i="1" l="1"/>
  <c r="P491" i="10" s="1"/>
  <c r="R506" i="1"/>
  <c r="N163" i="7"/>
  <c r="N387" i="10"/>
  <c r="N291" i="1"/>
  <c r="M153" i="27"/>
  <c r="G158"/>
  <c r="G159" s="1"/>
  <c r="P163" i="7"/>
  <c r="P291" i="1"/>
  <c r="P387" i="10"/>
  <c r="Q282" i="8"/>
  <c r="P282"/>
  <c r="O506" i="1"/>
  <c r="O532" i="10" s="1"/>
  <c r="O531"/>
  <c r="P506" i="1"/>
  <c r="P532" i="10" s="1"/>
  <c r="L153" i="27"/>
  <c r="P210" i="7"/>
  <c r="P531" i="10"/>
  <c r="Q506" i="1"/>
  <c r="N210" i="7"/>
  <c r="O475" i="1"/>
  <c r="P476" s="1"/>
  <c r="P492" i="10" s="1"/>
  <c r="P382" i="1"/>
  <c r="P388" i="10" s="1"/>
  <c r="Q475" i="1"/>
  <c r="Q491" i="10" s="1"/>
  <c r="N225" i="7"/>
  <c r="O282" i="8" s="1"/>
  <c r="Q210" i="7" l="1"/>
  <c r="R492" i="10"/>
  <c r="R491" s="1"/>
  <c r="Q476" i="1"/>
  <c r="Q492" i="10" s="1"/>
  <c r="F14" i="6"/>
  <c r="P118" i="7"/>
  <c r="P177" i="1"/>
  <c r="P593" s="1"/>
  <c r="P287" i="10"/>
  <c r="O387"/>
  <c r="O163" i="7"/>
  <c r="O220" i="8" s="1"/>
  <c r="O382" i="1"/>
  <c r="O388" i="10" s="1"/>
  <c r="O291" i="1"/>
  <c r="D14" i="6"/>
  <c r="W225" i="7"/>
  <c r="W282" i="8" s="1"/>
  <c r="W531" i="10"/>
  <c r="Q220" i="8"/>
  <c r="Q382" i="1"/>
  <c r="Q291"/>
  <c r="R382"/>
  <c r="O476"/>
  <c r="O492" i="10" s="1"/>
  <c r="O491"/>
  <c r="O210" i="7"/>
  <c r="X225"/>
  <c r="X282" i="8" s="1"/>
  <c r="X531" i="10"/>
  <c r="N287"/>
  <c r="N177" i="1"/>
  <c r="N593" s="1"/>
  <c r="N118" i="7"/>
  <c r="Q267" i="8"/>
  <c r="R475" i="1" l="1"/>
  <c r="R476" s="1"/>
  <c r="T492" i="10"/>
  <c r="R210" i="7"/>
  <c r="R267" i="8" s="1"/>
  <c r="Q287" i="10"/>
  <c r="N597" i="1"/>
  <c r="N595"/>
  <c r="N599"/>
  <c r="N639" i="10"/>
  <c r="N269" i="7"/>
  <c r="P595" i="1"/>
  <c r="P597"/>
  <c r="P599"/>
  <c r="P220" i="8"/>
  <c r="Q292" i="1"/>
  <c r="Q288" i="10" s="1"/>
  <c r="Q177" i="1"/>
  <c r="F12" i="6"/>
  <c r="D10"/>
  <c r="N163" i="10"/>
  <c r="N61" i="7"/>
  <c r="D12" i="6"/>
  <c r="E14"/>
  <c r="O267" i="8"/>
  <c r="O287" i="10"/>
  <c r="O118" i="7"/>
  <c r="O177" i="1"/>
  <c r="O292"/>
  <c r="O288" i="10" s="1"/>
  <c r="P163"/>
  <c r="P321" i="21"/>
  <c r="F10" i="6"/>
  <c r="P61" i="7"/>
  <c r="P292" i="1"/>
  <c r="P288" i="10" s="1"/>
  <c r="P267" i="8"/>
  <c r="Q593" i="1" l="1"/>
  <c r="N645" i="10"/>
  <c r="N272" i="7"/>
  <c r="N643" i="10"/>
  <c r="N271" i="7"/>
  <c r="P178" i="1"/>
  <c r="P164" i="10" s="1"/>
  <c r="O593" i="1"/>
  <c r="N641" i="10"/>
  <c r="N270" i="7"/>
  <c r="V321" i="21"/>
  <c r="P324"/>
  <c r="P323"/>
  <c r="P322"/>
  <c r="E12" i="6"/>
  <c r="O175" i="8"/>
  <c r="D18" i="6"/>
  <c r="P175" i="8"/>
  <c r="E10" i="6"/>
  <c r="O61" i="7"/>
  <c r="O163" i="10"/>
  <c r="O178" i="1"/>
  <c r="O164" i="10" s="1"/>
  <c r="Q178" i="1"/>
  <c r="G10" i="6"/>
  <c r="Q595" i="1" l="1"/>
  <c r="Q641" i="10" s="1"/>
  <c r="Q639"/>
  <c r="Q599" i="1"/>
  <c r="Q645" i="10" s="1"/>
  <c r="Q597" i="1"/>
  <c r="Q643" i="10" s="1"/>
  <c r="O599" i="1"/>
  <c r="O597"/>
  <c r="O595"/>
  <c r="O639" i="10"/>
  <c r="O269" i="7"/>
  <c r="E18" i="6" s="1"/>
  <c r="O594" i="1"/>
  <c r="O640" i="10" s="1"/>
  <c r="D17" i="6"/>
  <c r="V323" i="21"/>
  <c r="O118" i="8"/>
  <c r="V322" i="21"/>
  <c r="V324"/>
  <c r="P118" i="8"/>
  <c r="O326" l="1"/>
  <c r="O641" i="10"/>
  <c r="O270" i="7"/>
  <c r="O327" i="8" s="1"/>
  <c r="O596" i="1"/>
  <c r="O642" i="10" s="1"/>
  <c r="O272" i="7"/>
  <c r="O329" i="8" s="1"/>
  <c r="O645" i="10"/>
  <c r="O600" i="1"/>
  <c r="O646" i="10" s="1"/>
  <c r="O643"/>
  <c r="O271" i="7"/>
  <c r="O328" i="8" s="1"/>
  <c r="O598" i="1"/>
  <c r="O644" i="10" s="1"/>
  <c r="P272" i="7"/>
  <c r="P645" i="10"/>
  <c r="P600" i="1"/>
  <c r="P646" i="10" s="1"/>
  <c r="P641"/>
  <c r="P596" i="1"/>
  <c r="P642" i="10" s="1"/>
  <c r="P270" i="7"/>
  <c r="P647" i="10"/>
  <c r="U647" s="1"/>
  <c r="V647" s="1"/>
  <c r="P643"/>
  <c r="P598" i="1"/>
  <c r="P644" i="10" s="1"/>
  <c r="P271" i="7"/>
  <c r="P649" i="10"/>
  <c r="U649" s="1"/>
  <c r="V649" s="1"/>
  <c r="P328" i="8" l="1"/>
  <c r="P327"/>
  <c r="P329"/>
  <c r="E17" i="6"/>
  <c r="P639" i="10"/>
  <c r="P269" i="7"/>
  <c r="P594" i="1"/>
  <c r="P640" i="10" s="1"/>
  <c r="P651"/>
  <c r="P326" i="8" l="1"/>
  <c r="F17" i="6"/>
  <c r="F18"/>
  <c r="R651" i="10" l="1"/>
  <c r="S651"/>
  <c r="T651" l="1"/>
  <c r="J155" i="27" l="1"/>
  <c r="I155"/>
  <c r="M531" i="10"/>
  <c r="J153" i="27"/>
  <c r="M387" i="10"/>
  <c r="M291" i="1"/>
  <c r="W291" s="1"/>
  <c r="N292" l="1"/>
  <c r="N288" i="10" s="1"/>
  <c r="U651"/>
  <c r="V651"/>
  <c r="M292" i="1"/>
  <c r="M288" i="10" s="1"/>
  <c r="M475" i="1"/>
  <c r="W475" s="1"/>
  <c r="M163" i="7"/>
  <c r="M225"/>
  <c r="M506" i="1"/>
  <c r="M532" i="10" s="1"/>
  <c r="M118" i="7"/>
  <c r="M287" i="10"/>
  <c r="N382" i="1"/>
  <c r="N388" i="10" s="1"/>
  <c r="I153" i="27"/>
  <c r="N506" i="1"/>
  <c r="N532" i="10" s="1"/>
  <c r="W210" i="7" l="1"/>
  <c r="W267" i="8" s="1"/>
  <c r="W491" i="10"/>
  <c r="W118" i="7"/>
  <c r="W175" i="8" s="1"/>
  <c r="W287" i="10"/>
  <c r="M220" i="8"/>
  <c r="N220"/>
  <c r="W295" i="10"/>
  <c r="W291"/>
  <c r="W297"/>
  <c r="W293"/>
  <c r="N175" i="8"/>
  <c r="C12" i="6"/>
  <c r="M175" i="8"/>
  <c r="M282"/>
  <c r="N282"/>
  <c r="M491" i="10"/>
  <c r="S492" s="1"/>
  <c r="S491" s="1"/>
  <c r="M210" i="7"/>
  <c r="N476" i="1"/>
  <c r="N492" i="10" s="1"/>
  <c r="M476" i="1"/>
  <c r="M492" i="10" s="1"/>
  <c r="S210" i="7" l="1"/>
  <c r="S267" i="8" s="1"/>
  <c r="U492" i="10"/>
  <c r="S475" i="1"/>
  <c r="S476" s="1"/>
  <c r="T491" i="10"/>
  <c r="W298"/>
  <c r="E296" s="1"/>
  <c r="W501"/>
  <c r="W499"/>
  <c r="W495"/>
  <c r="W497"/>
  <c r="N267" i="8"/>
  <c r="M267"/>
  <c r="C14" i="6"/>
  <c r="E294" i="10" l="1"/>
  <c r="E292"/>
  <c r="V492"/>
  <c r="U491"/>
  <c r="T475" i="1"/>
  <c r="T476" s="1"/>
  <c r="T210" i="7"/>
  <c r="T267" i="8" s="1"/>
  <c r="E290" i="10"/>
  <c r="W502"/>
  <c r="V491" l="1"/>
  <c r="U475" i="1"/>
  <c r="U210" i="7"/>
  <c r="U267" i="8" s="1"/>
  <c r="E298" i="10"/>
  <c r="R288"/>
  <c r="S288"/>
  <c r="T288"/>
  <c r="Q118" i="7"/>
  <c r="Q175" i="8" s="1"/>
  <c r="V475" i="1" l="1"/>
  <c r="X475" s="1"/>
  <c r="V210" i="7"/>
  <c r="V267" i="8" s="1"/>
  <c r="V476" i="1"/>
  <c r="U476"/>
  <c r="Q163" i="10"/>
  <c r="Q164" s="1"/>
  <c r="R287"/>
  <c r="X491" l="1"/>
  <c r="X210" i="7"/>
  <c r="X267" i="8" s="1"/>
  <c r="U288" i="10"/>
  <c r="Q61" i="7"/>
  <c r="Q118" i="8" s="1"/>
  <c r="R118" i="7"/>
  <c r="R175" i="8" s="1"/>
  <c r="S287" i="10"/>
  <c r="R291" i="1"/>
  <c r="R292" s="1"/>
  <c r="Q594"/>
  <c r="Q640" i="10" s="1"/>
  <c r="S118" i="7" l="1"/>
  <c r="V288" i="10"/>
  <c r="S291" i="1"/>
  <c r="S292" s="1"/>
  <c r="Q269" i="7"/>
  <c r="G18" i="6" s="1"/>
  <c r="S175" i="8"/>
  <c r="T287" i="10"/>
  <c r="T118" i="7" s="1"/>
  <c r="Q598" i="1"/>
  <c r="Q644" i="10" s="1"/>
  <c r="Q271" i="7"/>
  <c r="Q328" i="8" s="1"/>
  <c r="Q596" i="1"/>
  <c r="Q642" i="10" s="1"/>
  <c r="Q270" i="7"/>
  <c r="Q327" i="8" s="1"/>
  <c r="Q272" i="7"/>
  <c r="Q329" i="8" s="1"/>
  <c r="Q600" i="1"/>
  <c r="Q646" i="10" s="1"/>
  <c r="T175" i="8" l="1"/>
  <c r="T291" i="1"/>
  <c r="T292" s="1"/>
  <c r="Q326" i="8"/>
  <c r="U287" i="10"/>
  <c r="V287" s="1"/>
  <c r="V291" i="1" s="1"/>
  <c r="G17" i="6"/>
  <c r="U291" i="1" l="1"/>
  <c r="U118" i="7"/>
  <c r="U175" i="8" s="1"/>
  <c r="V292" i="1"/>
  <c r="X291"/>
  <c r="V118" i="7"/>
  <c r="U292" i="1"/>
  <c r="V175" i="8" l="1"/>
  <c r="X287" i="10"/>
  <c r="X118" i="7"/>
  <c r="X175" i="8" s="1"/>
  <c r="W569" i="10" l="1"/>
  <c r="M192" i="7" l="1"/>
  <c r="N440" i="1"/>
  <c r="N456" i="10" s="1"/>
  <c r="M455"/>
  <c r="N390" i="1" l="1"/>
  <c r="N406" i="10" s="1"/>
  <c r="M167" i="7"/>
  <c r="M405" i="10"/>
  <c r="M487"/>
  <c r="N472" i="1"/>
  <c r="N488" i="10" s="1"/>
  <c r="M208" i="7"/>
  <c r="M443" i="10"/>
  <c r="M186" i="7"/>
  <c r="N428" i="1"/>
  <c r="N444" i="10" s="1"/>
  <c r="M188" i="7"/>
  <c r="M432" i="1"/>
  <c r="M448" i="10" s="1"/>
  <c r="N432" i="1"/>
  <c r="N448" i="10" s="1"/>
  <c r="M447"/>
  <c r="M179" i="7"/>
  <c r="N414" i="1"/>
  <c r="N430" i="10" s="1"/>
  <c r="M429"/>
  <c r="L455"/>
  <c r="L192" i="7"/>
  <c r="M249" i="8" s="1"/>
  <c r="N249"/>
  <c r="M437" i="10"/>
  <c r="N422" i="1"/>
  <c r="N438" i="10" s="1"/>
  <c r="M183" i="7"/>
  <c r="M433" i="10"/>
  <c r="M418" i="1"/>
  <c r="M434" i="10" s="1"/>
  <c r="M181" i="7"/>
  <c r="N418" i="1"/>
  <c r="N434" i="10" s="1"/>
  <c r="M200" i="7"/>
  <c r="M471" i="10"/>
  <c r="N456" i="1"/>
  <c r="N472" i="10" s="1"/>
  <c r="M203" i="7"/>
  <c r="N462" i="1"/>
  <c r="N478" i="10" s="1"/>
  <c r="M477"/>
  <c r="M445"/>
  <c r="M187" i="7"/>
  <c r="N430" i="1"/>
  <c r="N446" i="10" s="1"/>
  <c r="M419"/>
  <c r="M174" i="7"/>
  <c r="N404" i="1"/>
  <c r="N420" i="10" s="1"/>
  <c r="M440" i="1"/>
  <c r="M456" i="10" s="1"/>
  <c r="M404" i="1" l="1"/>
  <c r="M420" i="10" s="1"/>
  <c r="L383" i="1"/>
  <c r="L187" i="7"/>
  <c r="M244" i="8" s="1"/>
  <c r="L445" i="10"/>
  <c r="N244" i="8"/>
  <c r="L477" i="10"/>
  <c r="L203" i="7"/>
  <c r="N260" i="8"/>
  <c r="M260"/>
  <c r="L471" i="10"/>
  <c r="L200" i="7"/>
  <c r="M257" i="8" s="1"/>
  <c r="N238"/>
  <c r="L183" i="7"/>
  <c r="M240" i="8" s="1"/>
  <c r="L437" i="10"/>
  <c r="W455"/>
  <c r="W192" i="7"/>
  <c r="W249" i="8" s="1"/>
  <c r="L179" i="7"/>
  <c r="M236" i="8" s="1"/>
  <c r="L429" i="10"/>
  <c r="N245" i="8"/>
  <c r="N243"/>
  <c r="L443" i="10"/>
  <c r="L186" i="7"/>
  <c r="M243" i="8" s="1"/>
  <c r="L487" i="10"/>
  <c r="L208" i="7"/>
  <c r="N265" i="8"/>
  <c r="M265"/>
  <c r="L405" i="10"/>
  <c r="L167" i="7"/>
  <c r="M224" i="8" s="1"/>
  <c r="N474" i="1"/>
  <c r="N490" i="10" s="1"/>
  <c r="M489"/>
  <c r="M209" i="7"/>
  <c r="L419" i="10"/>
  <c r="L174" i="7"/>
  <c r="N231" i="8"/>
  <c r="M231"/>
  <c r="N257"/>
  <c r="L181" i="7"/>
  <c r="M238" i="8" s="1"/>
  <c r="L433" i="10"/>
  <c r="N240" i="8"/>
  <c r="N236"/>
  <c r="L447" i="10"/>
  <c r="L188" i="7"/>
  <c r="M245" i="8" s="1"/>
  <c r="N224"/>
  <c r="M430" i="1"/>
  <c r="M446" i="10" s="1"/>
  <c r="M462" i="1"/>
  <c r="M478" i="10" s="1"/>
  <c r="M456" i="1"/>
  <c r="M472" i="10" s="1"/>
  <c r="M422" i="1"/>
  <c r="M438" i="10" s="1"/>
  <c r="M414" i="1"/>
  <c r="M430" i="10" s="1"/>
  <c r="M428" i="1"/>
  <c r="M444" i="10" s="1"/>
  <c r="M472" i="1"/>
  <c r="M488" i="10" s="1"/>
  <c r="M383" i="1"/>
  <c r="W383" s="1"/>
  <c r="M390"/>
  <c r="M406" i="10" s="1"/>
  <c r="M474" i="1" l="1"/>
  <c r="M490" i="10" s="1"/>
  <c r="L209" i="7"/>
  <c r="M266" i="8" s="1"/>
  <c r="L489" i="10"/>
  <c r="W181" i="7"/>
  <c r="W238" i="8" s="1"/>
  <c r="W433" i="10"/>
  <c r="W419"/>
  <c r="W174" i="7"/>
  <c r="W231" i="8" s="1"/>
  <c r="L177" i="1"/>
  <c r="L593" s="1"/>
  <c r="L164" i="7"/>
  <c r="L389" i="10"/>
  <c r="R390" s="1"/>
  <c r="R389" s="1"/>
  <c r="W405"/>
  <c r="W167" i="7"/>
  <c r="W224" i="8" s="1"/>
  <c r="W429" i="10"/>
  <c r="W179" i="7"/>
  <c r="W236" i="8" s="1"/>
  <c r="W477" i="10"/>
  <c r="W203" i="7"/>
  <c r="W260" i="8" s="1"/>
  <c r="M389" i="10"/>
  <c r="S390" s="1"/>
  <c r="N384" i="1"/>
  <c r="N390" i="10" s="1"/>
  <c r="M177" i="1"/>
  <c r="M384"/>
  <c r="M390" i="10" s="1"/>
  <c r="W395" s="1"/>
  <c r="M164" i="7"/>
  <c r="W188"/>
  <c r="W245" i="8" s="1"/>
  <c r="W447" i="10"/>
  <c r="N266" i="8"/>
  <c r="W487" i="10"/>
  <c r="W208" i="7"/>
  <c r="W265" i="8" s="1"/>
  <c r="W186" i="7"/>
  <c r="W243" i="8" s="1"/>
  <c r="W443" i="10"/>
  <c r="W183" i="7"/>
  <c r="W240" i="8" s="1"/>
  <c r="W437" i="10"/>
  <c r="W200" i="7"/>
  <c r="W257" i="8" s="1"/>
  <c r="W471" i="10"/>
  <c r="W445"/>
  <c r="W187" i="7"/>
  <c r="W244" i="8" s="1"/>
  <c r="T390" i="10" l="1"/>
  <c r="R383" i="1"/>
  <c r="R384" s="1"/>
  <c r="R386" s="1"/>
  <c r="R388" s="1"/>
  <c r="R390" s="1"/>
  <c r="R392" s="1"/>
  <c r="R394" s="1"/>
  <c r="R396" s="1"/>
  <c r="R398" s="1"/>
  <c r="R400" s="1"/>
  <c r="R402" s="1"/>
  <c r="R404" s="1"/>
  <c r="R406" s="1"/>
  <c r="R408" s="1"/>
  <c r="R410" s="1"/>
  <c r="R412" s="1"/>
  <c r="R414" s="1"/>
  <c r="R416" s="1"/>
  <c r="R418" s="1"/>
  <c r="R420" s="1"/>
  <c r="R422" s="1"/>
  <c r="R424" s="1"/>
  <c r="R426" s="1"/>
  <c r="R428" s="1"/>
  <c r="R430" s="1"/>
  <c r="R432" s="1"/>
  <c r="R434" s="1"/>
  <c r="R436" s="1"/>
  <c r="R438" s="1"/>
  <c r="R440" s="1"/>
  <c r="R442" s="1"/>
  <c r="R444" s="1"/>
  <c r="R446" s="1"/>
  <c r="R448" s="1"/>
  <c r="R450" s="1"/>
  <c r="R452" s="1"/>
  <c r="R454" s="1"/>
  <c r="R456" s="1"/>
  <c r="R458" s="1"/>
  <c r="R460" s="1"/>
  <c r="R462" s="1"/>
  <c r="R164" i="7"/>
  <c r="R221" i="8" s="1"/>
  <c r="S389" i="10"/>
  <c r="R163"/>
  <c r="M593" i="1"/>
  <c r="W593" s="1"/>
  <c r="W177"/>
  <c r="M599"/>
  <c r="W599" s="1"/>
  <c r="L597"/>
  <c r="L599"/>
  <c r="L639" i="10"/>
  <c r="L269" i="7"/>
  <c r="B13" i="6"/>
  <c r="N221" i="8"/>
  <c r="M221"/>
  <c r="C13" i="6"/>
  <c r="C10"/>
  <c r="M61" i="7"/>
  <c r="M163" i="10"/>
  <c r="N178" i="1"/>
  <c r="N164" i="10" s="1"/>
  <c r="B10" i="6"/>
  <c r="L163" i="10"/>
  <c r="L61" i="7"/>
  <c r="W397" i="10"/>
  <c r="W399"/>
  <c r="W393"/>
  <c r="W389"/>
  <c r="W164" i="7"/>
  <c r="W221" i="8" s="1"/>
  <c r="M269" i="7" l="1"/>
  <c r="M326" i="8" s="1"/>
  <c r="N594" i="1"/>
  <c r="N640" i="10" s="1"/>
  <c r="M595" i="1"/>
  <c r="W595" s="1"/>
  <c r="M594"/>
  <c r="M640" i="10" s="1"/>
  <c r="M639"/>
  <c r="M597" i="1"/>
  <c r="W597" s="1"/>
  <c r="U390" i="10"/>
  <c r="T389"/>
  <c r="S164" i="7"/>
  <c r="S221" i="8" s="1"/>
  <c r="S383" i="1"/>
  <c r="S384" s="1"/>
  <c r="S386" s="1"/>
  <c r="S388" s="1"/>
  <c r="S390" s="1"/>
  <c r="S392" s="1"/>
  <c r="S394" s="1"/>
  <c r="S396" s="1"/>
  <c r="S398" s="1"/>
  <c r="S400" s="1"/>
  <c r="S402" s="1"/>
  <c r="S404" s="1"/>
  <c r="S406" s="1"/>
  <c r="S408" s="1"/>
  <c r="S410" s="1"/>
  <c r="S412" s="1"/>
  <c r="S414" s="1"/>
  <c r="S416" s="1"/>
  <c r="S418" s="1"/>
  <c r="S420" s="1"/>
  <c r="S422" s="1"/>
  <c r="S424" s="1"/>
  <c r="S426" s="1"/>
  <c r="S428" s="1"/>
  <c r="S430" s="1"/>
  <c r="S432" s="1"/>
  <c r="S434" s="1"/>
  <c r="S436" s="1"/>
  <c r="S438" s="1"/>
  <c r="S440" s="1"/>
  <c r="S442" s="1"/>
  <c r="S444" s="1"/>
  <c r="S446" s="1"/>
  <c r="S448" s="1"/>
  <c r="S450" s="1"/>
  <c r="S452" s="1"/>
  <c r="S454" s="1"/>
  <c r="S456" s="1"/>
  <c r="S458" s="1"/>
  <c r="S460" s="1"/>
  <c r="S462" s="1"/>
  <c r="S163" i="10"/>
  <c r="R164"/>
  <c r="R61" i="7"/>
  <c r="R118" i="8" s="1"/>
  <c r="R639" i="10"/>
  <c r="R177" i="1"/>
  <c r="W400" i="10"/>
  <c r="B18" i="6"/>
  <c r="W639" i="10"/>
  <c r="W269" i="7"/>
  <c r="W326" i="8" s="1"/>
  <c r="L643" i="10"/>
  <c r="L271" i="7"/>
  <c r="N326" i="8"/>
  <c r="M641" i="10"/>
  <c r="M270" i="7"/>
  <c r="M596" i="1"/>
  <c r="M642" i="10" s="1"/>
  <c r="N596" i="1"/>
  <c r="N642" i="10" s="1"/>
  <c r="M272" i="7"/>
  <c r="M645" i="10"/>
  <c r="M600" i="1"/>
  <c r="M646" i="10" s="1"/>
  <c r="N600" i="1"/>
  <c r="N646" i="10" s="1"/>
  <c r="L645"/>
  <c r="L272" i="7"/>
  <c r="L641" i="10"/>
  <c r="L270" i="7"/>
  <c r="M643" i="10"/>
  <c r="M598" i="1"/>
  <c r="M644" i="10" s="1"/>
  <c r="W163"/>
  <c r="W61" i="7"/>
  <c r="W118" i="8" s="1"/>
  <c r="C18" i="6"/>
  <c r="N118" i="8"/>
  <c r="M118"/>
  <c r="B17" i="6" l="1"/>
  <c r="N598" i="1"/>
  <c r="N644" i="10" s="1"/>
  <c r="M271" i="7"/>
  <c r="N328" i="8" s="1"/>
  <c r="R645" i="10"/>
  <c r="R593" i="1"/>
  <c r="R594" s="1"/>
  <c r="R643" i="10"/>
  <c r="R640"/>
  <c r="R641"/>
  <c r="R269" i="7"/>
  <c r="H10" i="6"/>
  <c r="R178" i="1"/>
  <c r="S164" i="10"/>
  <c r="S61" i="7"/>
  <c r="S118" i="8" s="1"/>
  <c r="S177" i="1"/>
  <c r="S639" i="10"/>
  <c r="V390"/>
  <c r="T383" i="1"/>
  <c r="T384" s="1"/>
  <c r="T386" s="1"/>
  <c r="T388" s="1"/>
  <c r="T390" s="1"/>
  <c r="T392" s="1"/>
  <c r="T394" s="1"/>
  <c r="T396" s="1"/>
  <c r="T398" s="1"/>
  <c r="T400" s="1"/>
  <c r="T402" s="1"/>
  <c r="T404" s="1"/>
  <c r="T406" s="1"/>
  <c r="T408" s="1"/>
  <c r="T410" s="1"/>
  <c r="T412" s="1"/>
  <c r="T414" s="1"/>
  <c r="T416" s="1"/>
  <c r="T418" s="1"/>
  <c r="T420" s="1"/>
  <c r="T422" s="1"/>
  <c r="T424" s="1"/>
  <c r="T426" s="1"/>
  <c r="T428" s="1"/>
  <c r="T430" s="1"/>
  <c r="T432" s="1"/>
  <c r="T434" s="1"/>
  <c r="T436" s="1"/>
  <c r="T438" s="1"/>
  <c r="T440" s="1"/>
  <c r="T442" s="1"/>
  <c r="T444" s="1"/>
  <c r="T446" s="1"/>
  <c r="T448" s="1"/>
  <c r="T450" s="1"/>
  <c r="T452" s="1"/>
  <c r="T454" s="1"/>
  <c r="T456" s="1"/>
  <c r="T458" s="1"/>
  <c r="T460" s="1"/>
  <c r="T462" s="1"/>
  <c r="T164" i="7"/>
  <c r="T221" i="8" s="1"/>
  <c r="U389" i="10"/>
  <c r="T163"/>
  <c r="M328" i="8"/>
  <c r="W645" i="10"/>
  <c r="W272" i="7"/>
  <c r="W329" i="8" s="1"/>
  <c r="M329"/>
  <c r="N329"/>
  <c r="M327"/>
  <c r="N327"/>
  <c r="W643" i="10"/>
  <c r="W271" i="7"/>
  <c r="W328" i="8" s="1"/>
  <c r="W270" i="7"/>
  <c r="W327" i="8" s="1"/>
  <c r="W641" i="10"/>
  <c r="C17" i="6"/>
  <c r="U118" i="1"/>
  <c r="T118"/>
  <c r="S118"/>
  <c r="R118"/>
  <c r="Q118"/>
  <c r="T134"/>
  <c r="T136"/>
  <c r="T138"/>
  <c r="T140"/>
  <c r="T142"/>
  <c r="S134"/>
  <c r="S136"/>
  <c r="S138"/>
  <c r="S140"/>
  <c r="S142"/>
  <c r="R134"/>
  <c r="R136"/>
  <c r="R138"/>
  <c r="R140"/>
  <c r="R142"/>
  <c r="U134"/>
  <c r="U136"/>
  <c r="U138"/>
  <c r="U140"/>
  <c r="U142"/>
  <c r="Q134"/>
  <c r="Q136"/>
  <c r="Q138"/>
  <c r="Q140"/>
  <c r="Q142"/>
  <c r="Q40" i="7"/>
  <c r="Q52" i="8" s="1"/>
  <c r="Q105" i="10"/>
  <c r="Q106" s="1"/>
  <c r="Q150"/>
  <c r="Q57" i="7" s="1"/>
  <c r="Q94" i="8" s="1"/>
  <c r="Q109" i="1"/>
  <c r="R83" i="10"/>
  <c r="S84" s="1"/>
  <c r="T177" i="1" l="1"/>
  <c r="T164" i="10"/>
  <c r="T639"/>
  <c r="T61" i="7"/>
  <c r="T118" i="8" s="1"/>
  <c r="I10" i="6"/>
  <c r="S178" i="1"/>
  <c r="R642" i="10"/>
  <c r="R270" i="7"/>
  <c r="R327" i="8" s="1"/>
  <c r="R595" i="1"/>
  <c r="R596" s="1"/>
  <c r="R271" i="7"/>
  <c r="R328" i="8" s="1"/>
  <c r="R597" i="1"/>
  <c r="R598" s="1"/>
  <c r="R644" i="10"/>
  <c r="R646"/>
  <c r="R599" i="1"/>
  <c r="R600" s="1"/>
  <c r="R272" i="7"/>
  <c r="R329" i="8" s="1"/>
  <c r="V389" i="10"/>
  <c r="U164" i="7"/>
  <c r="U221" i="8" s="1"/>
  <c r="U383" i="1"/>
  <c r="U384" s="1"/>
  <c r="U386" s="1"/>
  <c r="U388" s="1"/>
  <c r="U390" s="1"/>
  <c r="U392" s="1"/>
  <c r="U394" s="1"/>
  <c r="U396" s="1"/>
  <c r="U398" s="1"/>
  <c r="U400" s="1"/>
  <c r="U402" s="1"/>
  <c r="U404" s="1"/>
  <c r="U406" s="1"/>
  <c r="U408" s="1"/>
  <c r="U410" s="1"/>
  <c r="U412" s="1"/>
  <c r="U414" s="1"/>
  <c r="U416" s="1"/>
  <c r="U418" s="1"/>
  <c r="U420" s="1"/>
  <c r="U422" s="1"/>
  <c r="U424" s="1"/>
  <c r="U426" s="1"/>
  <c r="U428" s="1"/>
  <c r="U430" s="1"/>
  <c r="U432" s="1"/>
  <c r="U434" s="1"/>
  <c r="U436" s="1"/>
  <c r="U438" s="1"/>
  <c r="U440" s="1"/>
  <c r="U442" s="1"/>
  <c r="U444" s="1"/>
  <c r="U446" s="1"/>
  <c r="U448" s="1"/>
  <c r="U450" s="1"/>
  <c r="U452" s="1"/>
  <c r="U454" s="1"/>
  <c r="U456" s="1"/>
  <c r="U458" s="1"/>
  <c r="U460" s="1"/>
  <c r="U462" s="1"/>
  <c r="U163" i="10"/>
  <c r="S640"/>
  <c r="S645"/>
  <c r="S641"/>
  <c r="S643"/>
  <c r="S593" i="1"/>
  <c r="S594" s="1"/>
  <c r="S269" i="7"/>
  <c r="R326" i="8"/>
  <c r="H18" i="6"/>
  <c r="H17"/>
  <c r="Q156" i="10"/>
  <c r="Q97" i="8" s="1"/>
  <c r="Q152" i="10"/>
  <c r="Q153" s="1"/>
  <c r="R40" i="7"/>
  <c r="R52" i="8" s="1"/>
  <c r="R105" i="10"/>
  <c r="R150"/>
  <c r="R152" s="1"/>
  <c r="W109" i="1"/>
  <c r="W40" i="7" s="1"/>
  <c r="Q110" i="1"/>
  <c r="S83" i="10"/>
  <c r="T84" s="1"/>
  <c r="R109" i="1"/>
  <c r="Q166"/>
  <c r="Q113" i="10"/>
  <c r="Q107"/>
  <c r="Q164" i="1"/>
  <c r="Q154" i="10"/>
  <c r="Q151"/>
  <c r="Q45" i="7"/>
  <c r="Q82" i="8" s="1"/>
  <c r="Q125" i="10"/>
  <c r="Q119"/>
  <c r="Q121"/>
  <c r="Q95" i="8"/>
  <c r="Q115" i="10"/>
  <c r="Q111"/>
  <c r="Q109"/>
  <c r="Q119" i="1"/>
  <c r="Q123" i="10"/>
  <c r="Q127"/>
  <c r="S270" i="7" l="1"/>
  <c r="S327" i="8" s="1"/>
  <c r="S595" i="1"/>
  <c r="S596" s="1"/>
  <c r="S642" i="10"/>
  <c r="S326" i="8"/>
  <c r="I18" i="6"/>
  <c r="S644" i="10"/>
  <c r="S271" i="7"/>
  <c r="S328" i="8" s="1"/>
  <c r="S597" i="1"/>
  <c r="S598" s="1"/>
  <c r="S646" i="10"/>
  <c r="S599" i="1"/>
  <c r="S600" s="1"/>
  <c r="S272" i="7"/>
  <c r="S329" i="8" s="1"/>
  <c r="U61" i="7"/>
  <c r="U118" i="8" s="1"/>
  <c r="U164" i="10"/>
  <c r="U639"/>
  <c r="U177" i="1"/>
  <c r="T645" i="10"/>
  <c r="T640"/>
  <c r="T593" i="1"/>
  <c r="T594" s="1"/>
  <c r="T643" i="10"/>
  <c r="T641"/>
  <c r="T269" i="7"/>
  <c r="J10" i="6"/>
  <c r="T178" i="1"/>
  <c r="V383"/>
  <c r="V164" i="7"/>
  <c r="V221" i="8" s="1"/>
  <c r="V163" i="10"/>
  <c r="Q157"/>
  <c r="Q170" i="1"/>
  <c r="Q110" i="10"/>
  <c r="Q123" i="1"/>
  <c r="Q47" i="7"/>
  <c r="Q84" i="8" s="1"/>
  <c r="Q96"/>
  <c r="Q168" i="1"/>
  <c r="Q155" i="10"/>
  <c r="Q121" i="1"/>
  <c r="Q117" i="10"/>
  <c r="Q108"/>
  <c r="Q46" i="7"/>
  <c r="Q83" i="8" s="1"/>
  <c r="Q167" i="1"/>
  <c r="W166"/>
  <c r="R110"/>
  <c r="S40" i="7"/>
  <c r="S52" i="8" s="1"/>
  <c r="T83" i="10"/>
  <c r="U84" s="1"/>
  <c r="S150"/>
  <c r="S105"/>
  <c r="S109" i="1"/>
  <c r="W52" i="8"/>
  <c r="W83" i="10"/>
  <c r="R121"/>
  <c r="R45" i="7"/>
  <c r="R82" i="8" s="1"/>
  <c r="R123" i="10"/>
  <c r="R113"/>
  <c r="R119" i="1"/>
  <c r="R106" i="10"/>
  <c r="R125"/>
  <c r="R119"/>
  <c r="R127"/>
  <c r="R109"/>
  <c r="R115"/>
  <c r="R111"/>
  <c r="R107"/>
  <c r="Q116"/>
  <c r="Q50" i="7"/>
  <c r="Q87" i="8" s="1"/>
  <c r="Q129" i="1"/>
  <c r="Q120"/>
  <c r="G9" i="6"/>
  <c r="W119" i="1"/>
  <c r="Q112" i="10"/>
  <c r="Q48" i="7"/>
  <c r="Q85" i="8" s="1"/>
  <c r="Q125" i="1"/>
  <c r="Q165"/>
  <c r="W164"/>
  <c r="Q127"/>
  <c r="Q114" i="10"/>
  <c r="Q49" i="7"/>
  <c r="Q86" i="8" s="1"/>
  <c r="Q171" i="1"/>
  <c r="R151" i="10"/>
  <c r="R156"/>
  <c r="R57" i="7"/>
  <c r="R94" i="8" s="1"/>
  <c r="R164" i="1"/>
  <c r="R154" i="10"/>
  <c r="G8" i="6" l="1"/>
  <c r="W170" i="1"/>
  <c r="W156" i="10" s="1"/>
  <c r="V177" i="1"/>
  <c r="L10" i="6" s="1"/>
  <c r="V164" i="10"/>
  <c r="V61" i="7"/>
  <c r="V118" i="8" s="1"/>
  <c r="V639" i="10"/>
  <c r="X383" i="1"/>
  <c r="V384"/>
  <c r="T270" i="7"/>
  <c r="T327" i="8" s="1"/>
  <c r="T595" i="1"/>
  <c r="T596" s="1"/>
  <c r="T642" i="10"/>
  <c r="T646"/>
  <c r="T272" i="7"/>
  <c r="T329" i="8" s="1"/>
  <c r="T599" i="1"/>
  <c r="T600" s="1"/>
  <c r="U645" i="10"/>
  <c r="U640"/>
  <c r="U641"/>
  <c r="U593" i="1"/>
  <c r="U594" s="1"/>
  <c r="U269" i="7"/>
  <c r="U643" i="10"/>
  <c r="T326" i="8"/>
  <c r="J18" i="6"/>
  <c r="T271" i="7"/>
  <c r="T328" i="8" s="1"/>
  <c r="T597" i="1"/>
  <c r="T598" s="1"/>
  <c r="T644" i="10"/>
  <c r="K10" i="6"/>
  <c r="U178" i="1"/>
  <c r="I17" i="6"/>
  <c r="T40" i="7"/>
  <c r="T52" i="8" s="1"/>
  <c r="T150" i="10"/>
  <c r="U83"/>
  <c r="V84" s="1"/>
  <c r="T109" i="1"/>
  <c r="T105" i="10"/>
  <c r="R59" i="7"/>
  <c r="R96" i="8" s="1"/>
  <c r="R155" i="10"/>
  <c r="R168" i="1"/>
  <c r="R169" s="1"/>
  <c r="R153" i="10"/>
  <c r="R58" i="7"/>
  <c r="R95" i="8" s="1"/>
  <c r="R166" i="1"/>
  <c r="R167" s="1"/>
  <c r="R157" i="10"/>
  <c r="R60" i="7"/>
  <c r="R97" i="8" s="1"/>
  <c r="R170" i="1"/>
  <c r="R171" s="1"/>
  <c r="W60" i="7"/>
  <c r="W97" i="8" s="1"/>
  <c r="W45" i="7"/>
  <c r="W82" i="8" s="1"/>
  <c r="W105" i="10"/>
  <c r="Q130" i="1"/>
  <c r="W129"/>
  <c r="R48" i="7"/>
  <c r="R85" i="8" s="1"/>
  <c r="R112" i="10"/>
  <c r="R125" i="1"/>
  <c r="R126" s="1"/>
  <c r="R120"/>
  <c r="H9" i="6"/>
  <c r="S110" i="1"/>
  <c r="Q122"/>
  <c r="W121"/>
  <c r="Q169"/>
  <c r="W168"/>
  <c r="R117" i="10"/>
  <c r="R165" i="1"/>
  <c r="Q128"/>
  <c r="W127"/>
  <c r="W150" i="10"/>
  <c r="W57" i="7"/>
  <c r="W94" i="8" s="1"/>
  <c r="Q126" i="1"/>
  <c r="W125"/>
  <c r="R108" i="10"/>
  <c r="R46" i="7"/>
  <c r="R83" i="8" s="1"/>
  <c r="R121" i="1"/>
  <c r="R122" s="1"/>
  <c r="R116" i="10"/>
  <c r="R50" i="7"/>
  <c r="R87" i="8" s="1"/>
  <c r="R129" i="1"/>
  <c r="R130" s="1"/>
  <c r="R47" i="7"/>
  <c r="R84" i="8" s="1"/>
  <c r="R123" i="1"/>
  <c r="R124" s="1"/>
  <c r="R110" i="10"/>
  <c r="R49" i="7"/>
  <c r="R86" i="8" s="1"/>
  <c r="R114" i="10"/>
  <c r="R127" i="1"/>
  <c r="R128" s="1"/>
  <c r="S119" i="10"/>
  <c r="S125"/>
  <c r="S45" i="7"/>
  <c r="S82" i="8" s="1"/>
  <c r="S127" i="10"/>
  <c r="S119" i="1"/>
  <c r="S123" i="10"/>
  <c r="S106"/>
  <c r="S121"/>
  <c r="S113"/>
  <c r="S109"/>
  <c r="S111"/>
  <c r="S107"/>
  <c r="S115"/>
  <c r="S151"/>
  <c r="S156"/>
  <c r="S57" i="7"/>
  <c r="S94" i="8" s="1"/>
  <c r="S152" i="10"/>
  <c r="S154"/>
  <c r="S164" i="1"/>
  <c r="W152" i="10"/>
  <c r="W58" i="7"/>
  <c r="W95" i="8" s="1"/>
  <c r="Q118" i="10"/>
  <c r="Q51" i="7"/>
  <c r="Q88" i="8" s="1"/>
  <c r="Q131" i="1"/>
  <c r="G7" i="6" s="1"/>
  <c r="W123" i="1"/>
  <c r="Q124"/>
  <c r="H8" i="6" l="1"/>
  <c r="K18"/>
  <c r="U326" i="8"/>
  <c r="U270" i="7"/>
  <c r="U327" i="8" s="1"/>
  <c r="U642" i="10"/>
  <c r="U595" i="1"/>
  <c r="U596" s="1"/>
  <c r="U272" i="7"/>
  <c r="U329" i="8" s="1"/>
  <c r="U646" i="10"/>
  <c r="U599" i="1"/>
  <c r="U600" s="1"/>
  <c r="X389" i="10"/>
  <c r="X164" i="7"/>
  <c r="X221" i="8" s="1"/>
  <c r="X177" i="1"/>
  <c r="V178"/>
  <c r="J17" i="6"/>
  <c r="U597" i="1"/>
  <c r="U598" s="1"/>
  <c r="U271" i="7"/>
  <c r="U328" i="8" s="1"/>
  <c r="U644" i="10"/>
  <c r="V641"/>
  <c r="V645"/>
  <c r="V643"/>
  <c r="V593" i="1"/>
  <c r="V640" i="10"/>
  <c r="V269" i="7"/>
  <c r="W131" i="1"/>
  <c r="Q132"/>
  <c r="S155" i="10"/>
  <c r="S59" i="7"/>
  <c r="S96" i="8" s="1"/>
  <c r="S168" i="1"/>
  <c r="S169" s="1"/>
  <c r="S108" i="10"/>
  <c r="S46" i="7"/>
  <c r="S83" i="8" s="1"/>
  <c r="S121" i="1"/>
  <c r="S122" s="1"/>
  <c r="S110" i="10"/>
  <c r="S123" i="1"/>
  <c r="S124" s="1"/>
  <c r="S47" i="7"/>
  <c r="S84" i="8" s="1"/>
  <c r="R131" i="1"/>
  <c r="R132" s="1"/>
  <c r="R51" i="7"/>
  <c r="R88" i="8" s="1"/>
  <c r="R118" i="10"/>
  <c r="T123"/>
  <c r="T106"/>
  <c r="T127"/>
  <c r="T119" i="1"/>
  <c r="T45" i="7"/>
  <c r="T82" i="8" s="1"/>
  <c r="T119" i="10"/>
  <c r="T125"/>
  <c r="T121"/>
  <c r="T115"/>
  <c r="T107"/>
  <c r="T113"/>
  <c r="T109"/>
  <c r="T111"/>
  <c r="U40" i="7"/>
  <c r="U52" i="8" s="1"/>
  <c r="U105" i="10"/>
  <c r="V83"/>
  <c r="U150"/>
  <c r="U109" i="1"/>
  <c r="T151" i="10"/>
  <c r="T57" i="7"/>
  <c r="T94" i="8" s="1"/>
  <c r="T152" i="10"/>
  <c r="T156"/>
  <c r="T154"/>
  <c r="T164" i="1"/>
  <c r="S117" i="10"/>
  <c r="W47" i="7"/>
  <c r="W84" i="8" s="1"/>
  <c r="W109" i="10"/>
  <c r="S165" i="1"/>
  <c r="S166"/>
  <c r="S167" s="1"/>
  <c r="S58" i="7"/>
  <c r="S95" i="8" s="1"/>
  <c r="S153" i="10"/>
  <c r="S157"/>
  <c r="S170" i="1"/>
  <c r="S171" s="1"/>
  <c r="S60" i="7"/>
  <c r="S97" i="8" s="1"/>
  <c r="S116" i="10"/>
  <c r="S50" i="7"/>
  <c r="S87" i="8" s="1"/>
  <c r="S129" i="1"/>
  <c r="S130" s="1"/>
  <c r="S112" i="10"/>
  <c r="S48" i="7"/>
  <c r="S85" i="8" s="1"/>
  <c r="S125" i="1"/>
  <c r="S126" s="1"/>
  <c r="S49" i="7"/>
  <c r="S86" i="8" s="1"/>
  <c r="S127" i="1"/>
  <c r="S128" s="1"/>
  <c r="S114" i="10"/>
  <c r="S120" i="1"/>
  <c r="I9" i="6"/>
  <c r="W111" i="10"/>
  <c r="W48" i="7"/>
  <c r="W85" i="8" s="1"/>
  <c r="W49" i="7"/>
  <c r="W86" i="8" s="1"/>
  <c r="W113" i="10"/>
  <c r="W154"/>
  <c r="W59" i="7"/>
  <c r="W96" i="8" s="1"/>
  <c r="W46" i="7"/>
  <c r="W83" i="8" s="1"/>
  <c r="W107" i="10"/>
  <c r="W115"/>
  <c r="W50" i="7"/>
  <c r="W87" i="8" s="1"/>
  <c r="T110" i="1"/>
  <c r="V326" i="8" l="1"/>
  <c r="L18" i="6"/>
  <c r="X593" i="1"/>
  <c r="V594"/>
  <c r="V599"/>
  <c r="V272" i="7"/>
  <c r="V329" i="8" s="1"/>
  <c r="V646" i="10"/>
  <c r="K17" i="6"/>
  <c r="V271" i="7"/>
  <c r="V328" i="8" s="1"/>
  <c r="V644" i="10"/>
  <c r="V597" i="1"/>
  <c r="V595"/>
  <c r="V270" i="7"/>
  <c r="V327" i="8" s="1"/>
  <c r="V642" i="10"/>
  <c r="X163"/>
  <c r="X61" i="7"/>
  <c r="X118" i="8" s="1"/>
  <c r="H7" i="6"/>
  <c r="V40" i="7"/>
  <c r="V52" i="8" s="1"/>
  <c r="V105" i="10"/>
  <c r="V150"/>
  <c r="V109" i="1"/>
  <c r="T165"/>
  <c r="T157" i="10"/>
  <c r="T60" i="7"/>
  <c r="T97" i="8" s="1"/>
  <c r="T170" i="1"/>
  <c r="T171" s="1"/>
  <c r="U110"/>
  <c r="T47" i="7"/>
  <c r="T84" i="8" s="1"/>
  <c r="T110" i="10"/>
  <c r="T123" i="1"/>
  <c r="T124" s="1"/>
  <c r="T46" i="7"/>
  <c r="T83" i="8" s="1"/>
  <c r="T108" i="10"/>
  <c r="T121" i="1"/>
  <c r="T122" s="1"/>
  <c r="W117" i="10"/>
  <c r="W51" i="7"/>
  <c r="W88" i="8" s="1"/>
  <c r="T117" i="10"/>
  <c r="S118"/>
  <c r="S51" i="7"/>
  <c r="S88" i="8" s="1"/>
  <c r="S131" i="1"/>
  <c r="S132" s="1"/>
  <c r="T59" i="7"/>
  <c r="T96" i="8" s="1"/>
  <c r="T155" i="10"/>
  <c r="T168" i="1"/>
  <c r="T169" s="1"/>
  <c r="T153" i="10"/>
  <c r="T58" i="7"/>
  <c r="T95" i="8" s="1"/>
  <c r="T166" i="1"/>
  <c r="T167" s="1"/>
  <c r="U57" i="7"/>
  <c r="U94" i="8" s="1"/>
  <c r="U152" i="10"/>
  <c r="U164" i="1"/>
  <c r="U154" i="10"/>
  <c r="U151"/>
  <c r="U156"/>
  <c r="U127"/>
  <c r="U45" i="7"/>
  <c r="U82" i="8" s="1"/>
  <c r="U121" i="10"/>
  <c r="U119" i="1"/>
  <c r="U113" i="10"/>
  <c r="U115"/>
  <c r="U106"/>
  <c r="U123"/>
  <c r="U119"/>
  <c r="U125"/>
  <c r="U109"/>
  <c r="U111"/>
  <c r="U107"/>
  <c r="T48" i="7"/>
  <c r="T85" i="8" s="1"/>
  <c r="T112" i="10"/>
  <c r="T125" i="1"/>
  <c r="T126" s="1"/>
  <c r="T114" i="10"/>
  <c r="T49" i="7"/>
  <c r="T86" i="8" s="1"/>
  <c r="T127" i="1"/>
  <c r="T128" s="1"/>
  <c r="T50" i="7"/>
  <c r="T87" i="8" s="1"/>
  <c r="T116" i="10"/>
  <c r="T129" i="1"/>
  <c r="T130" s="1"/>
  <c r="J9" i="6"/>
  <c r="T120" i="1"/>
  <c r="I8" i="6"/>
  <c r="L17" l="1"/>
  <c r="V598" i="1"/>
  <c r="X597"/>
  <c r="X599"/>
  <c r="V600"/>
  <c r="X639" i="10"/>
  <c r="X269" i="7"/>
  <c r="X326" i="8" s="1"/>
  <c r="X595" i="1"/>
  <c r="V596"/>
  <c r="I7" i="6"/>
  <c r="U108" i="10"/>
  <c r="U121" i="1"/>
  <c r="U122" s="1"/>
  <c r="U46" i="7"/>
  <c r="U83" i="8" s="1"/>
  <c r="U116" i="10"/>
  <c r="U50" i="7"/>
  <c r="U87" i="8" s="1"/>
  <c r="U129" i="1"/>
  <c r="U130" s="1"/>
  <c r="U120"/>
  <c r="K9" i="6"/>
  <c r="U157" i="10"/>
  <c r="U60" i="7"/>
  <c r="U97" i="8" s="1"/>
  <c r="U170" i="1"/>
  <c r="U171" s="1"/>
  <c r="U155" i="10"/>
  <c r="U168" i="1"/>
  <c r="U169" s="1"/>
  <c r="U59" i="7"/>
  <c r="U96" i="8" s="1"/>
  <c r="U58" i="7"/>
  <c r="U95" i="8" s="1"/>
  <c r="U153" i="10"/>
  <c r="U166" i="1"/>
  <c r="U167" s="1"/>
  <c r="T51" i="7"/>
  <c r="T88" i="8" s="1"/>
  <c r="T131" i="1"/>
  <c r="T118" i="10"/>
  <c r="V151"/>
  <c r="V154"/>
  <c r="V57" i="7"/>
  <c r="V94" i="8" s="1"/>
  <c r="V152" i="10"/>
  <c r="V164" i="1"/>
  <c r="V156" i="10"/>
  <c r="U117"/>
  <c r="J8" i="6"/>
  <c r="U125" i="1"/>
  <c r="U126" s="1"/>
  <c r="U112" i="10"/>
  <c r="U48" i="7"/>
  <c r="U85" i="8" s="1"/>
  <c r="U47" i="7"/>
  <c r="U84" i="8" s="1"/>
  <c r="U123" i="1"/>
  <c r="U124" s="1"/>
  <c r="U110" i="10"/>
  <c r="U114"/>
  <c r="U49" i="7"/>
  <c r="U86" i="8" s="1"/>
  <c r="U127" i="1"/>
  <c r="U128" s="1"/>
  <c r="U165"/>
  <c r="K8" i="6"/>
  <c r="X109" i="1"/>
  <c r="V110"/>
  <c r="V123" i="10"/>
  <c r="V45" i="7"/>
  <c r="V82" i="8" s="1"/>
  <c r="V125" i="10"/>
  <c r="V109"/>
  <c r="V113"/>
  <c r="V119"/>
  <c r="V127"/>
  <c r="V121"/>
  <c r="V106"/>
  <c r="V119" i="1"/>
  <c r="V107" i="10"/>
  <c r="V111"/>
  <c r="V115"/>
  <c r="L9" i="6" l="1"/>
  <c r="X270" i="7"/>
  <c r="X327" i="8" s="1"/>
  <c r="X641" i="10"/>
  <c r="X272" i="7"/>
  <c r="X329" i="8" s="1"/>
  <c r="X645" i="10"/>
  <c r="X643"/>
  <c r="X271" i="7"/>
  <c r="X328" i="8" s="1"/>
  <c r="V116" i="10"/>
  <c r="V129" i="1"/>
  <c r="V50" i="7"/>
  <c r="V87" i="8" s="1"/>
  <c r="V108" i="10"/>
  <c r="V121" i="1"/>
  <c r="V46" i="7"/>
  <c r="V83" i="8" s="1"/>
  <c r="V114" i="10"/>
  <c r="V49" i="7"/>
  <c r="V86" i="8" s="1"/>
  <c r="V127" i="1"/>
  <c r="X40" i="7"/>
  <c r="X52" i="8" s="1"/>
  <c r="X83" i="10"/>
  <c r="V60" i="7"/>
  <c r="V97" i="8" s="1"/>
  <c r="V170" i="1"/>
  <c r="V157" i="10"/>
  <c r="V153"/>
  <c r="V166" i="1"/>
  <c r="V58" i="7"/>
  <c r="V95" i="8" s="1"/>
  <c r="V59" i="7"/>
  <c r="V96" i="8" s="1"/>
  <c r="V155" i="10"/>
  <c r="V168" i="1"/>
  <c r="T132"/>
  <c r="J7" i="6"/>
  <c r="V117" i="10"/>
  <c r="V112"/>
  <c r="V125" i="1"/>
  <c r="V48" i="7"/>
  <c r="V85" i="8" s="1"/>
  <c r="V120" i="1"/>
  <c r="X119"/>
  <c r="V47" i="7"/>
  <c r="V84" i="8" s="1"/>
  <c r="V110" i="10"/>
  <c r="V123" i="1"/>
  <c r="U51" i="7"/>
  <c r="U88" i="8" s="1"/>
  <c r="U131" i="1"/>
  <c r="U132" s="1"/>
  <c r="U118" i="10"/>
  <c r="X164" i="1"/>
  <c r="V165"/>
  <c r="L8" i="6" l="1"/>
  <c r="K7"/>
  <c r="V124" i="1"/>
  <c r="X123"/>
  <c r="V126"/>
  <c r="X125"/>
  <c r="X168"/>
  <c r="V169"/>
  <c r="V167"/>
  <c r="X166"/>
  <c r="X127"/>
  <c r="V128"/>
  <c r="V122"/>
  <c r="X121"/>
  <c r="X57" i="7"/>
  <c r="X94" i="8" s="1"/>
  <c r="X150" i="10"/>
  <c r="X105"/>
  <c r="X45" i="7"/>
  <c r="X82" i="8" s="1"/>
  <c r="V118" i="10"/>
  <c r="V51" i="7"/>
  <c r="V88" i="8" s="1"/>
  <c r="V131" i="1"/>
  <c r="L7" i="6" s="1"/>
  <c r="V171" i="1"/>
  <c r="X170"/>
  <c r="V130"/>
  <c r="X129"/>
  <c r="X115" i="10" l="1"/>
  <c r="X50" i="7"/>
  <c r="X87" i="8" s="1"/>
  <c r="X131" i="1"/>
  <c r="X51" i="7" s="1"/>
  <c r="V132" i="1"/>
  <c r="X113" i="10"/>
  <c r="X49" i="7"/>
  <c r="X86" i="8" s="1"/>
  <c r="X59" i="7"/>
  <c r="X96" i="8" s="1"/>
  <c r="X154" i="10"/>
  <c r="X156"/>
  <c r="X60" i="7"/>
  <c r="X97" i="8" s="1"/>
  <c r="X107" i="10"/>
  <c r="X46" i="7"/>
  <c r="X83" i="8" s="1"/>
  <c r="X58" i="7"/>
  <c r="X95" i="8" s="1"/>
  <c r="X152" i="10"/>
  <c r="X111"/>
  <c r="X48" i="7"/>
  <c r="X85" i="8" s="1"/>
  <c r="X109" i="10"/>
  <c r="X47" i="7"/>
  <c r="X84" i="8" s="1"/>
  <c r="X117" i="10" l="1"/>
  <c r="X88" i="8"/>
  <c r="D413" i="29"/>
  <c r="D404"/>
  <c r="J413" l="1"/>
  <c r="N1020" i="1"/>
  <c r="K413" i="29"/>
  <c r="D414"/>
  <c r="N902" i="1" s="1"/>
  <c r="N812" l="1"/>
  <c r="N988" i="10"/>
  <c r="N421" i="7"/>
  <c r="O903" i="1"/>
  <c r="O989" i="10" s="1"/>
  <c r="N903" i="1"/>
  <c r="N989" i="10" s="1"/>
  <c r="K414" i="29"/>
  <c r="J414"/>
  <c r="N944" i="1"/>
  <c r="N480" i="7"/>
  <c r="N1148" i="10"/>
  <c r="O1021" i="1"/>
  <c r="O1149" i="10" s="1"/>
  <c r="N1021" i="1"/>
  <c r="N1149" i="10" s="1"/>
  <c r="D415" i="29"/>
  <c r="N606" i="1" l="1"/>
  <c r="O487" i="8"/>
  <c r="N487"/>
  <c r="N884" i="10"/>
  <c r="N376" i="7"/>
  <c r="O813" i="1"/>
  <c r="O885" i="10" s="1"/>
  <c r="N813" i="1"/>
  <c r="N885" i="10" s="1"/>
  <c r="N1058"/>
  <c r="N442" i="7"/>
  <c r="N945" i="1"/>
  <c r="N1059" i="10" s="1"/>
  <c r="O945" i="1"/>
  <c r="O1059" i="10" s="1"/>
  <c r="J415" i="29"/>
  <c r="K415"/>
  <c r="O546" i="8"/>
  <c r="N546"/>
  <c r="N1024" i="1" l="1"/>
  <c r="N111"/>
  <c r="N1030"/>
  <c r="N1028"/>
  <c r="N1026"/>
  <c r="N1152" i="10"/>
  <c r="N481" i="7"/>
  <c r="O1025" i="1"/>
  <c r="O1153" i="10" s="1"/>
  <c r="N1025" i="1"/>
  <c r="N1153" i="10" s="1"/>
  <c r="N652"/>
  <c r="N273" i="7"/>
  <c r="N607" i="1"/>
  <c r="N653" i="10" s="1"/>
  <c r="O607" i="1"/>
  <c r="O653" i="10" s="1"/>
  <c r="W898"/>
  <c r="W894"/>
  <c r="W890"/>
  <c r="W892"/>
  <c r="W888"/>
  <c r="W896"/>
  <c r="O442" i="8"/>
  <c r="N442"/>
  <c r="D22" i="6"/>
  <c r="W1070" i="10"/>
  <c r="W1072"/>
  <c r="W1066"/>
  <c r="W1068"/>
  <c r="W1062"/>
  <c r="W1064"/>
  <c r="N508" i="8"/>
  <c r="O508"/>
  <c r="D19" i="6"/>
  <c r="D25"/>
  <c r="N1039" i="1" l="1"/>
  <c r="N107"/>
  <c r="N112"/>
  <c r="N98" i="10" s="1"/>
  <c r="O112" i="1"/>
  <c r="O98" i="10" s="1"/>
  <c r="N41" i="7"/>
  <c r="N97" i="10"/>
  <c r="N1154"/>
  <c r="N482" i="7"/>
  <c r="O1027" i="1"/>
  <c r="O1155" i="10" s="1"/>
  <c r="N1027" i="1"/>
  <c r="N1155" i="10" s="1"/>
  <c r="N1158"/>
  <c r="N484" i="7"/>
  <c r="N1031" i="1"/>
  <c r="N1159" i="10" s="1"/>
  <c r="O1031" i="1"/>
  <c r="O1159" i="10" s="1"/>
  <c r="N1156"/>
  <c r="N483" i="7"/>
  <c r="N1029" i="1"/>
  <c r="N1157" i="10" s="1"/>
  <c r="O1029" i="1"/>
  <c r="O1157" i="10" s="1"/>
  <c r="O547" i="8"/>
  <c r="N547"/>
  <c r="N339"/>
  <c r="O339"/>
  <c r="D27" i="6"/>
  <c r="W899" i="10"/>
  <c r="E893" s="1"/>
  <c r="W1073"/>
  <c r="E1071" s="1"/>
  <c r="N53" i="8" l="1"/>
  <c r="O53"/>
  <c r="N1037" i="1"/>
  <c r="N1167" i="10"/>
  <c r="N486" i="7"/>
  <c r="O1040" i="1"/>
  <c r="O1168" i="10" s="1"/>
  <c r="N1040" i="1"/>
  <c r="N1168" i="10" s="1"/>
  <c r="N90" i="1"/>
  <c r="N108"/>
  <c r="N82" i="10" s="1"/>
  <c r="O108" i="1"/>
  <c r="O82" i="10" s="1"/>
  <c r="N81"/>
  <c r="N39" i="7"/>
  <c r="D6" i="6"/>
  <c r="D26"/>
  <c r="O549" i="8"/>
  <c r="N549"/>
  <c r="O550"/>
  <c r="N550"/>
  <c r="N548"/>
  <c r="O548"/>
  <c r="E891" i="10"/>
  <c r="E895"/>
  <c r="E897"/>
  <c r="E889"/>
  <c r="E887"/>
  <c r="E1067"/>
  <c r="E1063"/>
  <c r="E1069"/>
  <c r="E1065"/>
  <c r="E1061"/>
  <c r="S885" l="1"/>
  <c r="T885"/>
  <c r="U885"/>
  <c r="V885"/>
  <c r="R885"/>
  <c r="N1165"/>
  <c r="N485" i="7"/>
  <c r="O1038" i="1"/>
  <c r="O1166" i="10" s="1"/>
  <c r="N1038" i="1"/>
  <c r="N1166" i="10" s="1"/>
  <c r="R1059"/>
  <c r="S1059"/>
  <c r="O51" i="8"/>
  <c r="N51"/>
  <c r="N92" i="1"/>
  <c r="N98"/>
  <c r="N96"/>
  <c r="N94"/>
  <c r="O91"/>
  <c r="O65" i="10" s="1"/>
  <c r="N91" i="1"/>
  <c r="N65" i="10" s="1"/>
  <c r="N64"/>
  <c r="N34" i="7"/>
  <c r="D5" i="6"/>
  <c r="E899" i="10"/>
  <c r="E1073"/>
  <c r="N46" i="8" l="1"/>
  <c r="O46"/>
  <c r="N95" i="1"/>
  <c r="N69" i="10" s="1"/>
  <c r="O95" i="1"/>
  <c r="O69" i="10" s="1"/>
  <c r="N36" i="7"/>
  <c r="N68" i="10"/>
  <c r="O99" i="1"/>
  <c r="O73" i="10" s="1"/>
  <c r="N99" i="1"/>
  <c r="N73" i="10" s="1"/>
  <c r="N72"/>
  <c r="N38" i="7"/>
  <c r="N97" i="1"/>
  <c r="N71" i="10" s="1"/>
  <c r="O97" i="1"/>
  <c r="O71" i="10" s="1"/>
  <c r="N37" i="7"/>
  <c r="N70" i="10"/>
  <c r="O93" i="1"/>
  <c r="O67" i="10" s="1"/>
  <c r="N93" i="1"/>
  <c r="N67" i="10" s="1"/>
  <c r="N66"/>
  <c r="N35" i="7"/>
  <c r="Q376"/>
  <c r="Q442" i="8" s="1"/>
  <c r="R884" i="10"/>
  <c r="Q652"/>
  <c r="R1058"/>
  <c r="T1059" s="1"/>
  <c r="Q442" i="7"/>
  <c r="Q508" i="8" s="1"/>
  <c r="N49" l="1"/>
  <c r="O49"/>
  <c r="N48"/>
  <c r="O48"/>
  <c r="O47"/>
  <c r="N47"/>
  <c r="N50"/>
  <c r="O50"/>
  <c r="S884" i="10"/>
  <c r="R812" i="1"/>
  <c r="R813" s="1"/>
  <c r="R815" s="1"/>
  <c r="R817" s="1"/>
  <c r="R376" i="7"/>
  <c r="R442" i="8" s="1"/>
  <c r="Q97" i="10"/>
  <c r="Q111" i="1" s="1"/>
  <c r="Q273" i="7"/>
  <c r="Q653" i="10"/>
  <c r="R652"/>
  <c r="S1058"/>
  <c r="R944" i="1"/>
  <c r="R945" s="1"/>
  <c r="R947" s="1"/>
  <c r="R442" i="7"/>
  <c r="R508" i="8" s="1"/>
  <c r="V1059" i="10" l="1"/>
  <c r="U1059"/>
  <c r="T884"/>
  <c r="S812" i="1"/>
  <c r="S813" s="1"/>
  <c r="S376" i="7"/>
  <c r="S442" i="8" s="1"/>
  <c r="S652" i="10"/>
  <c r="T1058"/>
  <c r="S944" i="1"/>
  <c r="S945" s="1"/>
  <c r="S947" s="1"/>
  <c r="S949" s="1"/>
  <c r="S442" i="7"/>
  <c r="S508" i="8" s="1"/>
  <c r="W606" i="1"/>
  <c r="Q607"/>
  <c r="G19" i="6"/>
  <c r="Q339" i="8"/>
  <c r="Q481" i="7"/>
  <c r="R1152" i="10"/>
  <c r="R606" i="1"/>
  <c r="R607" s="1"/>
  <c r="R653" i="10"/>
  <c r="R273" i="7"/>
  <c r="R97" i="10"/>
  <c r="Q98"/>
  <c r="Q41" i="7"/>
  <c r="Q53" i="8" s="1"/>
  <c r="Q81" i="10"/>
  <c r="T376" i="7" l="1"/>
  <c r="T442" i="8" s="1"/>
  <c r="U884" i="10"/>
  <c r="T812" i="1"/>
  <c r="T813" s="1"/>
  <c r="T815" s="1"/>
  <c r="Q82" i="10"/>
  <c r="Q39" i="7"/>
  <c r="Q51" i="8" s="1"/>
  <c r="Q64" i="10"/>
  <c r="Q107" i="1"/>
  <c r="W111"/>
  <c r="Q1039"/>
  <c r="Q112"/>
  <c r="R98" i="10"/>
  <c r="R41" i="7"/>
  <c r="R53" i="8" s="1"/>
  <c r="R111" i="1"/>
  <c r="R81" i="10"/>
  <c r="R481" i="7"/>
  <c r="R1158" i="10"/>
  <c r="R1024" i="1"/>
  <c r="R1025" s="1"/>
  <c r="R1156" i="10"/>
  <c r="R1153"/>
  <c r="R1154"/>
  <c r="Q547" i="8"/>
  <c r="G27" i="6"/>
  <c r="W652" i="10"/>
  <c r="W273" i="7"/>
  <c r="W339" i="8" s="1"/>
  <c r="S1152" i="10"/>
  <c r="S653"/>
  <c r="S606" i="1"/>
  <c r="S607" s="1"/>
  <c r="S97" i="10"/>
  <c r="S273" i="7"/>
  <c r="H19" i="6"/>
  <c r="R339" i="8"/>
  <c r="W1024" i="1"/>
  <c r="Q1025"/>
  <c r="Q1153" i="10" s="1"/>
  <c r="T652"/>
  <c r="U1058"/>
  <c r="T944" i="1"/>
  <c r="T945" s="1"/>
  <c r="T442" i="7"/>
  <c r="T508" i="8" s="1"/>
  <c r="V884" i="10" l="1"/>
  <c r="U812" i="1"/>
  <c r="U813" s="1"/>
  <c r="U376" i="7"/>
  <c r="U442" i="8" s="1"/>
  <c r="T1152" i="10"/>
  <c r="T606" i="1"/>
  <c r="T607" s="1"/>
  <c r="T97" i="10"/>
  <c r="T273" i="7"/>
  <c r="T653" i="10"/>
  <c r="I19" i="6"/>
  <c r="S339" i="8"/>
  <c r="S1156" i="10"/>
  <c r="S1153"/>
  <c r="S1154"/>
  <c r="S481" i="7"/>
  <c r="S1158" i="10"/>
  <c r="S1024" i="1"/>
  <c r="S1025" s="1"/>
  <c r="R482" i="7"/>
  <c r="R1026" i="1"/>
  <c r="R483" i="7"/>
  <c r="R1028" i="1"/>
  <c r="R484" i="7"/>
  <c r="R1030" i="1"/>
  <c r="R82" i="10"/>
  <c r="R64"/>
  <c r="R107" i="1"/>
  <c r="R39" i="7"/>
  <c r="R51" i="8" s="1"/>
  <c r="W97" i="10"/>
  <c r="W41" i="7"/>
  <c r="W53" i="8" s="1"/>
  <c r="Q68" i="10"/>
  <c r="Q34" i="7"/>
  <c r="Q46" i="8" s="1"/>
  <c r="Q72" i="10"/>
  <c r="Q90" i="1"/>
  <c r="Q66" i="10"/>
  <c r="Q70"/>
  <c r="Q65"/>
  <c r="V1058"/>
  <c r="U944" i="1"/>
  <c r="U945" s="1"/>
  <c r="U947" s="1"/>
  <c r="U652" i="10"/>
  <c r="U442" i="7"/>
  <c r="U508" i="8" s="1"/>
  <c r="W481" i="7"/>
  <c r="W547" i="8" s="1"/>
  <c r="W1152" i="10"/>
  <c r="S98"/>
  <c r="S111" i="1"/>
  <c r="S41" i="7"/>
  <c r="S53" i="8" s="1"/>
  <c r="S81" i="10"/>
  <c r="R547" i="8"/>
  <c r="H27" i="6"/>
  <c r="R1039" i="1"/>
  <c r="R112"/>
  <c r="Q486" i="7"/>
  <c r="Q1167" i="10"/>
  <c r="W1039" i="1"/>
  <c r="Q1040"/>
  <c r="Q1168" i="10" s="1"/>
  <c r="G6" i="6"/>
  <c r="Q108" i="1"/>
  <c r="W107"/>
  <c r="V812" l="1"/>
  <c r="V376" i="7"/>
  <c r="V442" i="8" s="1"/>
  <c r="H26" i="6"/>
  <c r="W81" i="10"/>
  <c r="W39" i="7"/>
  <c r="W51" i="8" s="1"/>
  <c r="W486" i="7"/>
  <c r="W1167" i="10"/>
  <c r="R1167"/>
  <c r="R486" i="7"/>
  <c r="R1040" i="1"/>
  <c r="R1168" i="10" s="1"/>
  <c r="S82"/>
  <c r="S107" i="1"/>
  <c r="S64" i="10"/>
  <c r="S39" i="7"/>
  <c r="S51" i="8" s="1"/>
  <c r="S1039" i="1"/>
  <c r="S112"/>
  <c r="Q35" i="7"/>
  <c r="Q47" i="8" s="1"/>
  <c r="Q67" i="10"/>
  <c r="Q92" i="1"/>
  <c r="Q98"/>
  <c r="Q73" i="10"/>
  <c r="Q38" i="7"/>
  <c r="Q50" i="8" s="1"/>
  <c r="Q69" i="10"/>
  <c r="Q36" i="7"/>
  <c r="Q48" i="8" s="1"/>
  <c r="Q94" i="1"/>
  <c r="H6" i="6"/>
  <c r="R108" i="1"/>
  <c r="S547" i="8"/>
  <c r="I27" i="6"/>
  <c r="T98" i="10"/>
  <c r="T111" i="1"/>
  <c r="T41" i="7"/>
  <c r="T53" i="8" s="1"/>
  <c r="T81" i="10"/>
  <c r="T1153"/>
  <c r="T1154"/>
  <c r="T1156"/>
  <c r="T1024" i="1"/>
  <c r="T1025" s="1"/>
  <c r="T481" i="7"/>
  <c r="T1158" i="10"/>
  <c r="U1152"/>
  <c r="U97"/>
  <c r="U606" i="1"/>
  <c r="U607" s="1"/>
  <c r="U653" i="10"/>
  <c r="U273" i="7"/>
  <c r="V944" i="1"/>
  <c r="V442" i="7"/>
  <c r="V508" i="8" s="1"/>
  <c r="V652" i="10"/>
  <c r="Q96" i="1"/>
  <c r="Q71" i="10"/>
  <c r="Q37" i="7"/>
  <c r="Q49" i="8" s="1"/>
  <c r="W90" i="1"/>
  <c r="Q91"/>
  <c r="R66" i="10"/>
  <c r="R68"/>
  <c r="R70"/>
  <c r="R65"/>
  <c r="R72"/>
  <c r="R34" i="7"/>
  <c r="R46" i="8" s="1"/>
  <c r="R90" i="1"/>
  <c r="S484" i="7"/>
  <c r="S550" i="8" s="1"/>
  <c r="S1159" i="10"/>
  <c r="S1030" i="1"/>
  <c r="S1031" s="1"/>
  <c r="S1155" i="10"/>
  <c r="S1026" i="1"/>
  <c r="S1027" s="1"/>
  <c r="S482" i="7"/>
  <c r="S548" i="8" s="1"/>
  <c r="S1157" i="10"/>
  <c r="S483" i="7"/>
  <c r="S549" i="8" s="1"/>
  <c r="S1028" i="1"/>
  <c r="S1029" s="1"/>
  <c r="J19" i="6"/>
  <c r="T339" i="8"/>
  <c r="G5" i="6" l="1"/>
  <c r="X812" i="1"/>
  <c r="V813"/>
  <c r="R36" i="7"/>
  <c r="R48" i="8" s="1"/>
  <c r="R69" i="10"/>
  <c r="R94" i="1"/>
  <c r="R95" s="1"/>
  <c r="W64" i="10"/>
  <c r="W34" i="7"/>
  <c r="W46" i="8" s="1"/>
  <c r="V606" i="1"/>
  <c r="V653" i="10"/>
  <c r="V273" i="7"/>
  <c r="V1152" i="10"/>
  <c r="V97"/>
  <c r="X944" i="1"/>
  <c r="V945"/>
  <c r="U98" i="10"/>
  <c r="U41" i="7"/>
  <c r="U53" i="8" s="1"/>
  <c r="U111" i="1"/>
  <c r="U81" i="10"/>
  <c r="T547" i="8"/>
  <c r="J27" i="6"/>
  <c r="T1028" i="1"/>
  <c r="T1157" i="10"/>
  <c r="T483" i="7"/>
  <c r="T549" i="8" s="1"/>
  <c r="Q95" i="1"/>
  <c r="W94"/>
  <c r="W92"/>
  <c r="Q93"/>
  <c r="S1167" i="10"/>
  <c r="S486" i="7"/>
  <c r="S1040" i="1"/>
  <c r="S1168" i="10" s="1"/>
  <c r="S65"/>
  <c r="S70"/>
  <c r="S66"/>
  <c r="S34" i="7"/>
  <c r="S46" i="8" s="1"/>
  <c r="S68" i="10"/>
  <c r="S72"/>
  <c r="S90" i="1"/>
  <c r="R91"/>
  <c r="R38" i="7"/>
  <c r="R50" i="8" s="1"/>
  <c r="R73" i="10"/>
  <c r="R98" i="1"/>
  <c r="R99" s="1"/>
  <c r="R96"/>
  <c r="R97" s="1"/>
  <c r="R37" i="7"/>
  <c r="R49" i="8" s="1"/>
  <c r="R71" i="10"/>
  <c r="R67"/>
  <c r="R35" i="7"/>
  <c r="R47" i="8" s="1"/>
  <c r="R92" i="1"/>
  <c r="R93" s="1"/>
  <c r="W96"/>
  <c r="Q97"/>
  <c r="K19" i="6"/>
  <c r="U339" i="8"/>
  <c r="U1156" i="10"/>
  <c r="U1153"/>
  <c r="U1154"/>
  <c r="U481" i="7"/>
  <c r="U1158" i="10"/>
  <c r="U1024" i="1"/>
  <c r="U1025" s="1"/>
  <c r="T484" i="7"/>
  <c r="T550" i="8" s="1"/>
  <c r="T1030" i="1"/>
  <c r="T1031" s="1"/>
  <c r="T1159" i="10"/>
  <c r="T482" i="7"/>
  <c r="T548" i="8" s="1"/>
  <c r="T1026" i="1"/>
  <c r="T1027" s="1"/>
  <c r="T1155" i="10"/>
  <c r="T39" i="7"/>
  <c r="T51" i="8" s="1"/>
  <c r="T82" i="10"/>
  <c r="T107" i="1"/>
  <c r="T64" i="10"/>
  <c r="T1039" i="1"/>
  <c r="T112"/>
  <c r="Q99"/>
  <c r="W98"/>
  <c r="I6" i="6"/>
  <c r="S108" i="1"/>
  <c r="I26" i="6"/>
  <c r="V339" i="8" l="1"/>
  <c r="L19" i="6"/>
  <c r="T1029" i="1"/>
  <c r="X376" i="7"/>
  <c r="X442" i="8" s="1"/>
  <c r="X884" i="10"/>
  <c r="T486" i="7"/>
  <c r="T1167" i="10"/>
  <c r="T1040" i="1"/>
  <c r="T1168" i="10" s="1"/>
  <c r="J6" i="6"/>
  <c r="T108" i="1"/>
  <c r="U1030"/>
  <c r="U1159" i="10"/>
  <c r="U484" i="7"/>
  <c r="U550" i="8" s="1"/>
  <c r="U1155" i="10"/>
  <c r="U1026" i="1"/>
  <c r="U1027" s="1"/>
  <c r="U482" i="7"/>
  <c r="U548" i="8" s="1"/>
  <c r="U1157" i="10"/>
  <c r="U1028" i="1"/>
  <c r="U1029" s="1"/>
  <c r="U483" i="7"/>
  <c r="U549" i="8" s="1"/>
  <c r="W70" i="10"/>
  <c r="W37" i="7"/>
  <c r="W49" i="8" s="1"/>
  <c r="S91" i="1"/>
  <c r="S94"/>
  <c r="S95" s="1"/>
  <c r="S69" i="10"/>
  <c r="S36" i="7"/>
  <c r="S48" i="8" s="1"/>
  <c r="S67" i="10"/>
  <c r="S35" i="7"/>
  <c r="S47" i="8" s="1"/>
  <c r="S92" i="1"/>
  <c r="S93" s="1"/>
  <c r="W66" i="10"/>
  <c r="W35" i="7"/>
  <c r="W47" i="8" s="1"/>
  <c r="U1039" i="1"/>
  <c r="U112"/>
  <c r="X442" i="7"/>
  <c r="X508" i="8" s="1"/>
  <c r="X1058" i="10"/>
  <c r="V1153"/>
  <c r="V1158"/>
  <c r="V1024" i="1"/>
  <c r="V1154" i="10"/>
  <c r="V481" i="7"/>
  <c r="V1156" i="10"/>
  <c r="H5" i="6"/>
  <c r="J26"/>
  <c r="W38" i="7"/>
  <c r="W50" i="8" s="1"/>
  <c r="W72" i="10"/>
  <c r="T68"/>
  <c r="T65"/>
  <c r="T70"/>
  <c r="T66"/>
  <c r="T90" i="1"/>
  <c r="T34" i="7"/>
  <c r="T46" i="8" s="1"/>
  <c r="T72" i="10"/>
  <c r="U547" i="8"/>
  <c r="K27" i="6"/>
  <c r="S73" i="10"/>
  <c r="S98" i="1"/>
  <c r="S99" s="1"/>
  <c r="S38" i="7"/>
  <c r="S50" i="8" s="1"/>
  <c r="S71" i="10"/>
  <c r="S96" i="1"/>
  <c r="S97" s="1"/>
  <c r="S37" i="7"/>
  <c r="S49" i="8" s="1"/>
  <c r="W36" i="7"/>
  <c r="W48" i="8" s="1"/>
  <c r="W68" i="10"/>
  <c r="U107" i="1"/>
  <c r="U82" i="10"/>
  <c r="U39" i="7"/>
  <c r="U51" i="8" s="1"/>
  <c r="U64" i="10"/>
  <c r="V111" i="1"/>
  <c r="V98" i="10"/>
  <c r="V41" i="7"/>
  <c r="V53" i="8" s="1"/>
  <c r="V81" i="10"/>
  <c r="X606" i="1"/>
  <c r="V607"/>
  <c r="V547" i="8" l="1"/>
  <c r="L27" i="6"/>
  <c r="K26"/>
  <c r="U1031" i="1"/>
  <c r="X652" i="10"/>
  <c r="X273" i="7"/>
  <c r="X339" i="8" s="1"/>
  <c r="V112" i="1"/>
  <c r="X111"/>
  <c r="V1039"/>
  <c r="U108"/>
  <c r="K6" i="6"/>
  <c r="T67" i="10"/>
  <c r="T92" i="1"/>
  <c r="T93" s="1"/>
  <c r="T35" i="7"/>
  <c r="T47" i="8" s="1"/>
  <c r="V1028" i="1"/>
  <c r="V483" i="7"/>
  <c r="V549" i="8" s="1"/>
  <c r="V1157" i="10"/>
  <c r="V1026" i="1"/>
  <c r="V482" i="7"/>
  <c r="V548" i="8" s="1"/>
  <c r="V1155" i="10"/>
  <c r="V1030" i="1"/>
  <c r="V484" i="7"/>
  <c r="V550" i="8" s="1"/>
  <c r="V1159" i="10"/>
  <c r="I5" i="6"/>
  <c r="V107" i="1"/>
  <c r="L6" i="6" s="1"/>
  <c r="V39" i="7"/>
  <c r="V51" i="8" s="1"/>
  <c r="V82" i="10"/>
  <c r="V64"/>
  <c r="U65"/>
  <c r="U90" i="1"/>
  <c r="U68" i="10"/>
  <c r="U70"/>
  <c r="U66"/>
  <c r="U72"/>
  <c r="U34" i="7"/>
  <c r="U46" i="8" s="1"/>
  <c r="T73" i="10"/>
  <c r="T38" i="7"/>
  <c r="T50" i="8" s="1"/>
  <c r="T98" i="1"/>
  <c r="T99" s="1"/>
  <c r="T91"/>
  <c r="T71" i="10"/>
  <c r="T96" i="1"/>
  <c r="T97" s="1"/>
  <c r="T37" i="7"/>
  <c r="T49" i="8" s="1"/>
  <c r="T69" i="10"/>
  <c r="T36" i="7"/>
  <c r="T48" i="8" s="1"/>
  <c r="T94" i="1"/>
  <c r="T95" s="1"/>
  <c r="V1025"/>
  <c r="X1024"/>
  <c r="U486" i="7"/>
  <c r="U1167" i="10"/>
  <c r="U1040" i="1"/>
  <c r="U1168" i="10" s="1"/>
  <c r="L26" i="6" l="1"/>
  <c r="X481" i="7"/>
  <c r="X547" i="8" s="1"/>
  <c r="X1152" i="10"/>
  <c r="U67"/>
  <c r="U35" i="7"/>
  <c r="U47" i="8" s="1"/>
  <c r="U92" i="1"/>
  <c r="U93" s="1"/>
  <c r="U36" i="7"/>
  <c r="U48" i="8" s="1"/>
  <c r="U69" i="10"/>
  <c r="U94" i="1"/>
  <c r="U95" s="1"/>
  <c r="V108"/>
  <c r="X107"/>
  <c r="V1031"/>
  <c r="V1029"/>
  <c r="V486" i="7"/>
  <c r="X1039" i="1"/>
  <c r="V1040"/>
  <c r="V1168" i="10" s="1"/>
  <c r="V1167"/>
  <c r="U98" i="1"/>
  <c r="U99" s="1"/>
  <c r="U38" i="7"/>
  <c r="U50" i="8" s="1"/>
  <c r="U73" i="10"/>
  <c r="U71"/>
  <c r="U96" i="1"/>
  <c r="U97" s="1"/>
  <c r="U37" i="7"/>
  <c r="U49" i="8" s="1"/>
  <c r="U91" i="1"/>
  <c r="V72" i="10"/>
  <c r="V90" i="1"/>
  <c r="V68" i="10"/>
  <c r="V65"/>
  <c r="V34" i="7"/>
  <c r="V46" i="8" s="1"/>
  <c r="V70" i="10"/>
  <c r="V66"/>
  <c r="V1027" i="1"/>
  <c r="X41" i="7"/>
  <c r="X53" i="8" s="1"/>
  <c r="X97" i="10"/>
  <c r="J5" i="6"/>
  <c r="K5" l="1"/>
  <c r="V71" i="10"/>
  <c r="V37" i="7"/>
  <c r="V49" i="8" s="1"/>
  <c r="V96" i="1"/>
  <c r="V92"/>
  <c r="V67" i="10"/>
  <c r="V35" i="7"/>
  <c r="V47" i="8" s="1"/>
  <c r="V69" i="10"/>
  <c r="V36" i="7"/>
  <c r="V48" i="8" s="1"/>
  <c r="V94" i="1"/>
  <c r="V38" i="7"/>
  <c r="V50" i="8" s="1"/>
  <c r="V73" i="10"/>
  <c r="V98" i="1"/>
  <c r="X90"/>
  <c r="V91"/>
  <c r="X486" i="7"/>
  <c r="X1167" i="10"/>
  <c r="X39" i="7"/>
  <c r="X51" i="8" s="1"/>
  <c r="X81" i="10"/>
  <c r="L5" i="6" l="1"/>
  <c r="X34" i="7"/>
  <c r="X46" i="8" s="1"/>
  <c r="X64" i="10"/>
  <c r="V95" i="1"/>
  <c r="X94"/>
  <c r="X96"/>
  <c r="V97"/>
  <c r="X98"/>
  <c r="V99"/>
  <c r="X92"/>
  <c r="V93"/>
  <c r="X66" i="10" l="1"/>
  <c r="X35" i="7"/>
  <c r="X47" i="8" s="1"/>
  <c r="X38" i="7"/>
  <c r="X50" i="8" s="1"/>
  <c r="X72" i="10"/>
  <c r="X70"/>
  <c r="X37" i="7"/>
  <c r="X49" i="8" s="1"/>
  <c r="X68" i="10"/>
  <c r="X36" i="7"/>
  <c r="X48" i="8" s="1"/>
  <c r="Q102" i="10"/>
  <c r="R102"/>
  <c r="Q43" i="7"/>
  <c r="Q55" i="8" s="1"/>
  <c r="Q115" i="1"/>
  <c r="Q1041" s="1"/>
  <c r="Q487" i="7" l="1"/>
  <c r="W1041" i="1"/>
  <c r="Q1169" i="10"/>
  <c r="Q1042" i="1"/>
  <c r="Q1170" i="10" s="1"/>
  <c r="Q1037" i="1"/>
  <c r="Q116"/>
  <c r="R43" i="7"/>
  <c r="R55" i="8" s="1"/>
  <c r="W115" i="1"/>
  <c r="R115"/>
  <c r="R116" l="1"/>
  <c r="R1041"/>
  <c r="W101" i="10"/>
  <c r="W43" i="7"/>
  <c r="W55" i="8" s="1"/>
  <c r="Q485" i="7"/>
  <c r="Q1038" i="1"/>
  <c r="Q1166" i="10" s="1"/>
  <c r="Q1165"/>
  <c r="W1037" i="1"/>
  <c r="S102" i="10"/>
  <c r="S43" i="7"/>
  <c r="S55" i="8" s="1"/>
  <c r="S115" i="1"/>
  <c r="W487" i="7"/>
  <c r="W1169" i="10"/>
  <c r="S116" i="1" l="1"/>
  <c r="S1041"/>
  <c r="T102" i="10"/>
  <c r="T43" i="7"/>
  <c r="T55" i="8" s="1"/>
  <c r="T115" i="1"/>
  <c r="W1165" i="10"/>
  <c r="W485" i="7"/>
  <c r="R1169" i="10"/>
  <c r="R1037" i="1"/>
  <c r="R487" i="7"/>
  <c r="R1042" i="1"/>
  <c r="R1170" i="10" s="1"/>
  <c r="R1165" l="1"/>
  <c r="R485" i="7"/>
  <c r="R1038" i="1"/>
  <c r="R1166" i="10" s="1"/>
  <c r="T1041" i="1"/>
  <c r="T116"/>
  <c r="U102" i="10"/>
  <c r="U43" i="7"/>
  <c r="U55" i="8" s="1"/>
  <c r="U115" i="1"/>
  <c r="S487" i="7"/>
  <c r="S1042" i="1"/>
  <c r="S1170" i="10" s="1"/>
  <c r="S1169"/>
  <c r="S1037" i="1"/>
  <c r="V43" i="7" l="1"/>
  <c r="V55" i="8" s="1"/>
  <c r="V115" i="1"/>
  <c r="V102" i="10"/>
  <c r="S1165"/>
  <c r="S1038" i="1"/>
  <c r="S1166" i="10" s="1"/>
  <c r="S485" i="7"/>
  <c r="U116" i="1"/>
  <c r="U1041"/>
  <c r="T1169" i="10"/>
  <c r="T487" i="7"/>
  <c r="T1042" i="1"/>
  <c r="T1170" i="10" s="1"/>
  <c r="T1037" i="1"/>
  <c r="T1165" i="10" l="1"/>
  <c r="T1038" i="1"/>
  <c r="T1166" i="10" s="1"/>
  <c r="T485" i="7"/>
  <c r="U1169" i="10"/>
  <c r="U1037" i="1"/>
  <c r="U1042"/>
  <c r="U1170" i="10" s="1"/>
  <c r="U487" i="7"/>
  <c r="V1041" i="1"/>
  <c r="V116"/>
  <c r="X115"/>
  <c r="U485" i="7" l="1"/>
  <c r="U1165" i="10"/>
  <c r="U1038" i="1"/>
  <c r="U1166" i="10" s="1"/>
  <c r="X43" i="7"/>
  <c r="X55" i="8" s="1"/>
  <c r="X101" i="10"/>
  <c r="V1169"/>
  <c r="V1042" i="1"/>
  <c r="V1170" i="10" s="1"/>
  <c r="V1037" i="1"/>
  <c r="V487" i="7"/>
  <c r="X1041" i="1"/>
  <c r="X487" i="7" l="1"/>
  <c r="X1169" i="10"/>
  <c r="V1165"/>
  <c r="X1037" i="1"/>
  <c r="V485" i="7"/>
  <c r="V1038" i="1"/>
  <c r="V1166" i="10" s="1"/>
  <c r="X485" i="7" l="1"/>
  <c r="X1165" i="10"/>
  <c r="R1027" i="1"/>
  <c r="Q1027"/>
  <c r="Q1155" i="10" s="1"/>
  <c r="W1026" i="1"/>
  <c r="W1154" i="10" s="1"/>
  <c r="Q1154"/>
  <c r="R1155" s="1"/>
  <c r="X1026" i="1"/>
  <c r="X1154" i="10" s="1"/>
  <c r="X482" i="7" l="1"/>
  <c r="X548" i="8" s="1"/>
  <c r="Q482" i="7"/>
  <c r="W482"/>
  <c r="W548" i="8" s="1"/>
  <c r="Q548" l="1"/>
  <c r="R548"/>
  <c r="R1029" i="1"/>
  <c r="W1028"/>
  <c r="W1156" i="10" s="1"/>
  <c r="Q1029" i="1"/>
  <c r="Q1157" i="10" s="1"/>
  <c r="Q1156"/>
  <c r="Q483" i="7" s="1"/>
  <c r="X1028" i="1"/>
  <c r="X1156" i="10" s="1"/>
  <c r="Q549" i="8" l="1"/>
  <c r="R549"/>
  <c r="X483" i="7"/>
  <c r="X549" i="8" s="1"/>
  <c r="W483" i="7"/>
  <c r="W549" i="8" s="1"/>
  <c r="R1157" i="10"/>
  <c r="R1031" i="1"/>
  <c r="X1030"/>
  <c r="X1158" i="10" s="1"/>
  <c r="W1030" i="1"/>
  <c r="W1158" i="10" s="1"/>
  <c r="Q1158"/>
  <c r="R1159" s="1"/>
  <c r="Q1031" i="1"/>
  <c r="Q1159" i="10" s="1"/>
  <c r="W484" i="7" l="1"/>
  <c r="W550" i="8" s="1"/>
  <c r="X484" i="7"/>
  <c r="X550" i="8" s="1"/>
  <c r="Q484" i="7"/>
  <c r="R550" i="8" l="1"/>
  <c r="G26" i="6"/>
  <c r="Q550" i="8"/>
</calcChain>
</file>

<file path=xl/comments1.xml><?xml version="1.0" encoding="utf-8"?>
<comments xmlns="http://schemas.openxmlformats.org/spreadsheetml/2006/main">
  <authors>
    <author>vagarwal</author>
    <author>carunasree</author>
    <author>mshajie</author>
  </authors>
  <commentList>
    <comment ref="K6" authorId="0">
      <text>
        <r>
          <rPr>
            <b/>
            <sz val="8"/>
            <color indexed="81"/>
            <rFont val="Tahoma"/>
            <family val="2"/>
          </rPr>
          <t>vagarwal:</t>
        </r>
        <r>
          <rPr>
            <sz val="8"/>
            <color indexed="81"/>
            <rFont val="Tahoma"/>
            <family val="2"/>
          </rPr>
          <t xml:space="preserve">
http://www.law.harvard.edu/programs/lwp/papers/No_Holidays.pdf</t>
        </r>
      </text>
    </comment>
    <comment ref="K8" authorId="0">
      <text>
        <r>
          <rPr>
            <b/>
            <sz val="8"/>
            <color indexed="81"/>
            <rFont val="Tahoma"/>
            <family val="2"/>
          </rPr>
          <t>vagarwal:</t>
        </r>
        <r>
          <rPr>
            <sz val="8"/>
            <color indexed="81"/>
            <rFont val="Tahoma"/>
            <family val="2"/>
          </rPr>
          <t xml:space="preserve">
http://www.law.harvard.edu/programs/lwp/papers/No_Holidays.pdf</t>
        </r>
      </text>
    </comment>
    <comment ref="O88" authorId="1">
      <text>
        <r>
          <rPr>
            <b/>
            <sz val="8"/>
            <color indexed="81"/>
            <rFont val="Tahoma"/>
            <family val="2"/>
          </rPr>
          <t>http://www.stat.gov.pl/cps/rde/xbcr/gus/LC__incomes_lilving_conditions_report_2011(2).pdf. Pg. 21. Given in Zlotys.</t>
        </r>
        <r>
          <rPr>
            <sz val="8"/>
            <color indexed="81"/>
            <rFont val="Tahoma"/>
            <family val="2"/>
          </rPr>
          <t xml:space="preserve">
</t>
        </r>
      </text>
    </comment>
    <comment ref="M89" authorId="1">
      <text>
        <r>
          <rPr>
            <b/>
            <sz val="8"/>
            <color indexed="81"/>
            <rFont val="Tahoma"/>
            <family val="2"/>
          </rPr>
          <t>This is the growth rate of value obtained by dividing annual disposable income with households.</t>
        </r>
        <r>
          <rPr>
            <sz val="8"/>
            <color indexed="81"/>
            <rFont val="Tahoma"/>
            <family val="2"/>
          </rPr>
          <t xml:space="preserve">
</t>
        </r>
      </text>
    </comment>
    <comment ref="K119" authorId="2">
      <text>
        <r>
          <rPr>
            <b/>
            <sz val="8"/>
            <color indexed="81"/>
            <rFont val="Tahoma"/>
            <family val="2"/>
          </rPr>
          <t>mshajie:</t>
        </r>
        <r>
          <rPr>
            <sz val="8"/>
            <color indexed="81"/>
            <rFont val="Tahoma"/>
            <family val="2"/>
          </rPr>
          <t xml:space="preserve">
S:\Projects\PDM etracks\Travel &amp; Tourism\US\Archives\Demand\Domestic\US Travel Association</t>
        </r>
      </text>
    </comment>
    <comment ref="K164" authorId="2">
      <text>
        <r>
          <rPr>
            <b/>
            <sz val="8"/>
            <color indexed="81"/>
            <rFont val="Tahoma"/>
            <family val="2"/>
          </rPr>
          <t>mshajie:</t>
        </r>
        <r>
          <rPr>
            <sz val="8"/>
            <color indexed="81"/>
            <rFont val="Tahoma"/>
            <family val="2"/>
          </rPr>
          <t xml:space="preserve">
S:\Projects\PDM etracks\Travel &amp; Tourism\US\Archives\Demand\Domestic\US Travel Association</t>
        </r>
      </text>
    </comment>
    <comment ref="K166" authorId="2">
      <text>
        <r>
          <rPr>
            <b/>
            <sz val="8"/>
            <color indexed="81"/>
            <rFont val="Tahoma"/>
            <family val="2"/>
          </rPr>
          <t>mshajie:</t>
        </r>
        <r>
          <rPr>
            <sz val="8"/>
            <color indexed="81"/>
            <rFont val="Tahoma"/>
            <family val="2"/>
          </rPr>
          <t xml:space="preserve">
S:\Projects\PDM etracks\Travel &amp; Tourism\US\Archives\Demand\Domestic\US Travel Association</t>
        </r>
      </text>
    </comment>
    <comment ref="K168" authorId="2">
      <text>
        <r>
          <rPr>
            <b/>
            <sz val="8"/>
            <color indexed="81"/>
            <rFont val="Tahoma"/>
            <family val="2"/>
          </rPr>
          <t>mshajie:</t>
        </r>
        <r>
          <rPr>
            <sz val="8"/>
            <color indexed="81"/>
            <rFont val="Tahoma"/>
            <family val="2"/>
          </rPr>
          <t xml:space="preserve">
Estimated using inbound ratios and US Travel Association. (
S:\Projects\PDM etracks\Travel &amp; Tourism\US\Archives\Demand\Domestic\US Travel Association)</t>
        </r>
      </text>
    </comment>
    <comment ref="K170" authorId="2">
      <text>
        <r>
          <rPr>
            <b/>
            <sz val="8"/>
            <color indexed="81"/>
            <rFont val="Tahoma"/>
            <family val="2"/>
          </rPr>
          <t>mshajie:</t>
        </r>
        <r>
          <rPr>
            <sz val="8"/>
            <color indexed="81"/>
            <rFont val="Tahoma"/>
            <family val="2"/>
          </rPr>
          <t xml:space="preserve">
Estimated using inbound ratios and US Travel Association. (
S:\Projects\PDM etracks\Travel &amp; Tourism\US\Archives\Demand\Domestic\US Travel Association)</t>
        </r>
      </text>
    </comment>
    <comment ref="K595" authorId="2">
      <text>
        <r>
          <rPr>
            <b/>
            <sz val="8"/>
            <color indexed="81"/>
            <rFont val="Tahoma"/>
            <family val="2"/>
          </rPr>
          <t>mshajie:</t>
        </r>
        <r>
          <rPr>
            <sz val="8"/>
            <color indexed="81"/>
            <rFont val="Tahoma"/>
            <family val="2"/>
          </rPr>
          <t xml:space="preserve">
C:\Documents and Settings\mshajie\Desktop\T&amp;T\US\Sources\Demand\Indbound\2006_Inbound_Profile
</t>
        </r>
      </text>
    </comment>
    <comment ref="K597" authorId="2">
      <text>
        <r>
          <rPr>
            <b/>
            <sz val="8"/>
            <color indexed="81"/>
            <rFont val="Tahoma"/>
            <family val="2"/>
          </rPr>
          <t>mshajie:</t>
        </r>
        <r>
          <rPr>
            <sz val="8"/>
            <color indexed="81"/>
            <rFont val="Tahoma"/>
            <family val="2"/>
          </rPr>
          <t xml:space="preserve">
C:\Documents and Settings\mshajie\Desktop\T&amp;T\US\Sources\Demand\Indbound\2006_Inbound_Profile
</t>
        </r>
      </text>
    </comment>
    <comment ref="K599" authorId="2">
      <text>
        <r>
          <rPr>
            <b/>
            <sz val="8"/>
            <color indexed="81"/>
            <rFont val="Tahoma"/>
            <family val="2"/>
          </rPr>
          <t>mshajie:</t>
        </r>
        <r>
          <rPr>
            <sz val="8"/>
            <color indexed="81"/>
            <rFont val="Tahoma"/>
            <family val="2"/>
          </rPr>
          <t xml:space="preserve">
C:\Documents and Settings\mshajie\Desktop\T&amp;T\US\Sources\Demand\Indbound\2006_Inbound_Profile
</t>
        </r>
      </text>
    </comment>
  </commentList>
</comments>
</file>

<file path=xl/comments2.xml><?xml version="1.0" encoding="utf-8"?>
<comments xmlns="http://schemas.openxmlformats.org/spreadsheetml/2006/main">
  <authors>
    <author>vagarwal</author>
    <author>mshajie</author>
  </authors>
  <commentList>
    <comment ref="K4" authorId="0">
      <text>
        <r>
          <rPr>
            <b/>
            <sz val="8"/>
            <color indexed="81"/>
            <rFont val="Tahoma"/>
            <family val="2"/>
          </rPr>
          <t>vagarwal:</t>
        </r>
        <r>
          <rPr>
            <sz val="8"/>
            <color indexed="81"/>
            <rFont val="Tahoma"/>
            <family val="2"/>
          </rPr>
          <t xml:space="preserve">
http://www.law.harvard.edu/programs/lwp/papers/No_Holidays.pdf</t>
        </r>
      </text>
    </comment>
    <comment ref="N4" authorId="0">
      <text>
        <r>
          <rPr>
            <b/>
            <sz val="8"/>
            <color indexed="81"/>
            <rFont val="Tahoma"/>
            <family val="2"/>
          </rPr>
          <t>vagarwal:</t>
        </r>
        <r>
          <rPr>
            <sz val="8"/>
            <color indexed="81"/>
            <rFont val="Tahoma"/>
            <family val="2"/>
          </rPr>
          <t xml:space="preserve">
http://www.mercer.com/press-releases/holiday-entitlements-around-the-world</t>
        </r>
      </text>
    </comment>
    <comment ref="P4" authorId="0">
      <text>
        <r>
          <rPr>
            <b/>
            <sz val="8"/>
            <color indexed="81"/>
            <rFont val="Tahoma"/>
            <family val="2"/>
          </rPr>
          <t>vagarwal:</t>
        </r>
        <r>
          <rPr>
            <sz val="8"/>
            <color indexed="81"/>
            <rFont val="Tahoma"/>
            <family val="2"/>
          </rPr>
          <t xml:space="preserve">
http://www.mercer.com/press-releases/holiday-entitlements-around-the-world</t>
        </r>
      </text>
    </comment>
    <comment ref="K5" authorId="0">
      <text>
        <r>
          <rPr>
            <b/>
            <sz val="8"/>
            <color indexed="81"/>
            <rFont val="Tahoma"/>
            <family val="2"/>
          </rPr>
          <t>vagarwal:</t>
        </r>
        <r>
          <rPr>
            <sz val="8"/>
            <color indexed="81"/>
            <rFont val="Tahoma"/>
            <family val="2"/>
          </rPr>
          <t xml:space="preserve">
http://www.law.harvard.edu/programs/lwp/papers/No_Holidays.pdf</t>
        </r>
      </text>
    </comment>
    <comment ref="N5" authorId="0">
      <text>
        <r>
          <rPr>
            <b/>
            <sz val="8"/>
            <color indexed="81"/>
            <rFont val="Tahoma"/>
            <family val="2"/>
          </rPr>
          <t>vagarwal:</t>
        </r>
        <r>
          <rPr>
            <sz val="8"/>
            <color indexed="81"/>
            <rFont val="Tahoma"/>
            <family val="2"/>
          </rPr>
          <t xml:space="preserve">
http://www.mercer.com/press-releases/holiday-entitlements-around-the-world</t>
        </r>
      </text>
    </comment>
    <comment ref="P5" authorId="0">
      <text>
        <r>
          <rPr>
            <b/>
            <sz val="8"/>
            <color indexed="81"/>
            <rFont val="Tahoma"/>
            <family val="2"/>
          </rPr>
          <t>vagarwal:</t>
        </r>
        <r>
          <rPr>
            <sz val="8"/>
            <color indexed="81"/>
            <rFont val="Tahoma"/>
            <family val="2"/>
          </rPr>
          <t xml:space="preserve">
http://www.mercer.com/press-releases/holiday-entitlements-around-the-world</t>
        </r>
      </text>
    </comment>
    <comment ref="L7" authorId="0">
      <text>
        <r>
          <rPr>
            <b/>
            <sz val="8"/>
            <color indexed="81"/>
            <rFont val="Tahoma"/>
            <family val="2"/>
          </rPr>
          <t>vagarwal:</t>
        </r>
        <r>
          <rPr>
            <sz val="8"/>
            <color indexed="81"/>
            <rFont val="Tahoma"/>
            <family val="2"/>
          </rPr>
          <t xml:space="preserve">
world bank</t>
        </r>
      </text>
    </comment>
    <comment ref="M7" authorId="0">
      <text>
        <r>
          <rPr>
            <b/>
            <sz val="8"/>
            <color indexed="81"/>
            <rFont val="Tahoma"/>
            <family val="2"/>
          </rPr>
          <t>vagarwal:</t>
        </r>
        <r>
          <rPr>
            <sz val="8"/>
            <color indexed="81"/>
            <rFont val="Tahoma"/>
            <family val="2"/>
          </rPr>
          <t xml:space="preserve">
world bank</t>
        </r>
      </text>
    </comment>
    <comment ref="N7" authorId="0">
      <text>
        <r>
          <rPr>
            <b/>
            <sz val="8"/>
            <color indexed="81"/>
            <rFont val="Tahoma"/>
            <family val="2"/>
          </rPr>
          <t>vagarwal:</t>
        </r>
        <r>
          <rPr>
            <sz val="8"/>
            <color indexed="81"/>
            <rFont val="Tahoma"/>
            <family val="2"/>
          </rPr>
          <t xml:space="preserve">
world bank</t>
        </r>
      </text>
    </comment>
    <comment ref="O7" authorId="0">
      <text>
        <r>
          <rPr>
            <b/>
            <sz val="8"/>
            <color indexed="81"/>
            <rFont val="Tahoma"/>
            <family val="2"/>
          </rPr>
          <t>vagarwal:</t>
        </r>
        <r>
          <rPr>
            <sz val="8"/>
            <color indexed="81"/>
            <rFont val="Tahoma"/>
            <family val="2"/>
          </rPr>
          <t xml:space="preserve">
world bank</t>
        </r>
      </text>
    </comment>
    <comment ref="P7" authorId="0">
      <text>
        <r>
          <rPr>
            <b/>
            <sz val="8"/>
            <color indexed="81"/>
            <rFont val="Tahoma"/>
            <family val="2"/>
          </rPr>
          <t>vagarwal:</t>
        </r>
        <r>
          <rPr>
            <sz val="8"/>
            <color indexed="81"/>
            <rFont val="Tahoma"/>
            <family val="2"/>
          </rPr>
          <t xml:space="preserve">
world bank</t>
        </r>
      </text>
    </comment>
    <comment ref="Q7" authorId="0">
      <text>
        <r>
          <rPr>
            <b/>
            <sz val="8"/>
            <color indexed="81"/>
            <rFont val="Tahoma"/>
            <family val="2"/>
          </rPr>
          <t>vagarwal:</t>
        </r>
        <r>
          <rPr>
            <sz val="8"/>
            <color indexed="81"/>
            <rFont val="Tahoma"/>
            <family val="2"/>
          </rPr>
          <t xml:space="preserve">
world bank</t>
        </r>
      </text>
    </comment>
    <comment ref="R7" authorId="0">
      <text>
        <r>
          <rPr>
            <b/>
            <sz val="8"/>
            <color indexed="81"/>
            <rFont val="Tahoma"/>
            <family val="2"/>
          </rPr>
          <t>vagarwal:</t>
        </r>
        <r>
          <rPr>
            <sz val="8"/>
            <color indexed="81"/>
            <rFont val="Tahoma"/>
            <family val="2"/>
          </rPr>
          <t xml:space="preserve">
world bank</t>
        </r>
      </text>
    </comment>
    <comment ref="S7" authorId="0">
      <text>
        <r>
          <rPr>
            <b/>
            <sz val="8"/>
            <color indexed="81"/>
            <rFont val="Tahoma"/>
            <family val="2"/>
          </rPr>
          <t>vagarwal:</t>
        </r>
        <r>
          <rPr>
            <sz val="8"/>
            <color indexed="81"/>
            <rFont val="Tahoma"/>
            <family val="2"/>
          </rPr>
          <t xml:space="preserve">
world bank</t>
        </r>
      </text>
    </comment>
    <comment ref="T7" authorId="0">
      <text>
        <r>
          <rPr>
            <b/>
            <sz val="8"/>
            <color indexed="81"/>
            <rFont val="Tahoma"/>
            <family val="2"/>
          </rPr>
          <t>vagarwal:</t>
        </r>
        <r>
          <rPr>
            <sz val="8"/>
            <color indexed="81"/>
            <rFont val="Tahoma"/>
            <family val="2"/>
          </rPr>
          <t xml:space="preserve">
world bank</t>
        </r>
      </text>
    </comment>
    <comment ref="L8" authorId="0">
      <text>
        <r>
          <rPr>
            <b/>
            <sz val="8"/>
            <color indexed="81"/>
            <rFont val="Tahoma"/>
            <family val="2"/>
          </rPr>
          <t>vagarwal:</t>
        </r>
        <r>
          <rPr>
            <sz val="8"/>
            <color indexed="81"/>
            <rFont val="Tahoma"/>
            <family val="2"/>
          </rPr>
          <t xml:space="preserve">
world bank</t>
        </r>
      </text>
    </comment>
    <comment ref="M8" authorId="0">
      <text>
        <r>
          <rPr>
            <b/>
            <sz val="8"/>
            <color indexed="81"/>
            <rFont val="Tahoma"/>
            <family val="2"/>
          </rPr>
          <t>vagarwal:</t>
        </r>
        <r>
          <rPr>
            <sz val="8"/>
            <color indexed="81"/>
            <rFont val="Tahoma"/>
            <family val="2"/>
          </rPr>
          <t xml:space="preserve">
world bank</t>
        </r>
      </text>
    </comment>
    <comment ref="N8" authorId="0">
      <text>
        <r>
          <rPr>
            <b/>
            <sz val="8"/>
            <color indexed="81"/>
            <rFont val="Tahoma"/>
            <family val="2"/>
          </rPr>
          <t>vagarwal:</t>
        </r>
        <r>
          <rPr>
            <sz val="8"/>
            <color indexed="81"/>
            <rFont val="Tahoma"/>
            <family val="2"/>
          </rPr>
          <t xml:space="preserve">
world bank</t>
        </r>
      </text>
    </comment>
    <comment ref="O8" authorId="0">
      <text>
        <r>
          <rPr>
            <b/>
            <sz val="8"/>
            <color indexed="81"/>
            <rFont val="Tahoma"/>
            <family val="2"/>
          </rPr>
          <t>vagarwal:</t>
        </r>
        <r>
          <rPr>
            <sz val="8"/>
            <color indexed="81"/>
            <rFont val="Tahoma"/>
            <family val="2"/>
          </rPr>
          <t xml:space="preserve">
world bank</t>
        </r>
      </text>
    </comment>
    <comment ref="P8" authorId="0">
      <text>
        <r>
          <rPr>
            <b/>
            <sz val="8"/>
            <color indexed="81"/>
            <rFont val="Tahoma"/>
            <family val="2"/>
          </rPr>
          <t>vagarwal:</t>
        </r>
        <r>
          <rPr>
            <sz val="8"/>
            <color indexed="81"/>
            <rFont val="Tahoma"/>
            <family val="2"/>
          </rPr>
          <t xml:space="preserve">
world bank</t>
        </r>
      </text>
    </comment>
    <comment ref="Q8" authorId="0">
      <text>
        <r>
          <rPr>
            <b/>
            <sz val="8"/>
            <color indexed="81"/>
            <rFont val="Tahoma"/>
            <family val="2"/>
          </rPr>
          <t>vagarwal:</t>
        </r>
        <r>
          <rPr>
            <sz val="8"/>
            <color indexed="81"/>
            <rFont val="Tahoma"/>
            <family val="2"/>
          </rPr>
          <t xml:space="preserve">
world bank</t>
        </r>
      </text>
    </comment>
    <comment ref="R8" authorId="0">
      <text>
        <r>
          <rPr>
            <b/>
            <sz val="8"/>
            <color indexed="81"/>
            <rFont val="Tahoma"/>
            <family val="2"/>
          </rPr>
          <t>vagarwal:</t>
        </r>
        <r>
          <rPr>
            <sz val="8"/>
            <color indexed="81"/>
            <rFont val="Tahoma"/>
            <family val="2"/>
          </rPr>
          <t xml:space="preserve">
world bank</t>
        </r>
      </text>
    </comment>
    <comment ref="S8" authorId="0">
      <text>
        <r>
          <rPr>
            <b/>
            <sz val="8"/>
            <color indexed="81"/>
            <rFont val="Tahoma"/>
            <family val="2"/>
          </rPr>
          <t>vagarwal:</t>
        </r>
        <r>
          <rPr>
            <sz val="8"/>
            <color indexed="81"/>
            <rFont val="Tahoma"/>
            <family val="2"/>
          </rPr>
          <t xml:space="preserve">
world bank</t>
        </r>
      </text>
    </comment>
    <comment ref="T8" authorId="0">
      <text>
        <r>
          <rPr>
            <b/>
            <sz val="8"/>
            <color indexed="81"/>
            <rFont val="Tahoma"/>
            <family val="2"/>
          </rPr>
          <t>vagarwal:</t>
        </r>
        <r>
          <rPr>
            <sz val="8"/>
            <color indexed="81"/>
            <rFont val="Tahoma"/>
            <family val="2"/>
          </rPr>
          <t xml:space="preserve">
world bank</t>
        </r>
      </text>
    </comment>
    <comment ref="L9" authorId="0">
      <text>
        <r>
          <rPr>
            <b/>
            <sz val="8"/>
            <color indexed="81"/>
            <rFont val="Tahoma"/>
            <family val="2"/>
          </rPr>
          <t>vagarwal:</t>
        </r>
        <r>
          <rPr>
            <sz val="8"/>
            <color indexed="81"/>
            <rFont val="Tahoma"/>
            <family val="2"/>
          </rPr>
          <t xml:space="preserve">
world bank</t>
        </r>
      </text>
    </comment>
    <comment ref="M9" authorId="0">
      <text>
        <r>
          <rPr>
            <b/>
            <sz val="8"/>
            <color indexed="81"/>
            <rFont val="Tahoma"/>
            <family val="2"/>
          </rPr>
          <t>vagarwal:</t>
        </r>
        <r>
          <rPr>
            <sz val="8"/>
            <color indexed="81"/>
            <rFont val="Tahoma"/>
            <family val="2"/>
          </rPr>
          <t xml:space="preserve">
world bank</t>
        </r>
      </text>
    </comment>
    <comment ref="N9" authorId="0">
      <text>
        <r>
          <rPr>
            <b/>
            <sz val="8"/>
            <color indexed="81"/>
            <rFont val="Tahoma"/>
            <family val="2"/>
          </rPr>
          <t>vagarwal:</t>
        </r>
        <r>
          <rPr>
            <sz val="8"/>
            <color indexed="81"/>
            <rFont val="Tahoma"/>
            <family val="2"/>
          </rPr>
          <t xml:space="preserve">
world bank</t>
        </r>
      </text>
    </comment>
    <comment ref="O9" authorId="0">
      <text>
        <r>
          <rPr>
            <b/>
            <sz val="8"/>
            <color indexed="81"/>
            <rFont val="Tahoma"/>
            <family val="2"/>
          </rPr>
          <t>vagarwal:</t>
        </r>
        <r>
          <rPr>
            <sz val="8"/>
            <color indexed="81"/>
            <rFont val="Tahoma"/>
            <family val="2"/>
          </rPr>
          <t xml:space="preserve">
world bank</t>
        </r>
      </text>
    </comment>
    <comment ref="P9" authorId="0">
      <text>
        <r>
          <rPr>
            <b/>
            <sz val="8"/>
            <color indexed="81"/>
            <rFont val="Tahoma"/>
            <family val="2"/>
          </rPr>
          <t>vagarwal:</t>
        </r>
        <r>
          <rPr>
            <sz val="8"/>
            <color indexed="81"/>
            <rFont val="Tahoma"/>
            <family val="2"/>
          </rPr>
          <t xml:space="preserve">
world bank</t>
        </r>
      </text>
    </comment>
    <comment ref="Q9" authorId="0">
      <text>
        <r>
          <rPr>
            <b/>
            <sz val="8"/>
            <color indexed="81"/>
            <rFont val="Tahoma"/>
            <family val="2"/>
          </rPr>
          <t>vagarwal:</t>
        </r>
        <r>
          <rPr>
            <sz val="8"/>
            <color indexed="81"/>
            <rFont val="Tahoma"/>
            <family val="2"/>
          </rPr>
          <t xml:space="preserve">
world bank</t>
        </r>
      </text>
    </comment>
    <comment ref="R9" authorId="0">
      <text>
        <r>
          <rPr>
            <b/>
            <sz val="8"/>
            <color indexed="81"/>
            <rFont val="Tahoma"/>
            <family val="2"/>
          </rPr>
          <t>vagarwal:</t>
        </r>
        <r>
          <rPr>
            <sz val="8"/>
            <color indexed="81"/>
            <rFont val="Tahoma"/>
            <family val="2"/>
          </rPr>
          <t xml:space="preserve">
world bank</t>
        </r>
      </text>
    </comment>
    <comment ref="S9" authorId="0">
      <text>
        <r>
          <rPr>
            <b/>
            <sz val="8"/>
            <color indexed="81"/>
            <rFont val="Tahoma"/>
            <family val="2"/>
          </rPr>
          <t>vagarwal:</t>
        </r>
        <r>
          <rPr>
            <sz val="8"/>
            <color indexed="81"/>
            <rFont val="Tahoma"/>
            <family val="2"/>
          </rPr>
          <t xml:space="preserve">
world bank</t>
        </r>
      </text>
    </comment>
    <comment ref="T9" authorId="0">
      <text>
        <r>
          <rPr>
            <b/>
            <sz val="8"/>
            <color indexed="81"/>
            <rFont val="Tahoma"/>
            <family val="2"/>
          </rPr>
          <t>vagarwal:</t>
        </r>
        <r>
          <rPr>
            <sz val="8"/>
            <color indexed="81"/>
            <rFont val="Tahoma"/>
            <family val="2"/>
          </rPr>
          <t xml:space="preserve">
world bank</t>
        </r>
      </text>
    </comment>
    <comment ref="L10" authorId="0">
      <text>
        <r>
          <rPr>
            <b/>
            <sz val="8"/>
            <color indexed="81"/>
            <rFont val="Tahoma"/>
            <family val="2"/>
          </rPr>
          <t>vagarwal:</t>
        </r>
        <r>
          <rPr>
            <sz val="8"/>
            <color indexed="81"/>
            <rFont val="Tahoma"/>
            <family val="2"/>
          </rPr>
          <t xml:space="preserve">
world bank</t>
        </r>
      </text>
    </comment>
    <comment ref="M10" authorId="0">
      <text>
        <r>
          <rPr>
            <b/>
            <sz val="8"/>
            <color indexed="81"/>
            <rFont val="Tahoma"/>
            <family val="2"/>
          </rPr>
          <t>vagarwal:</t>
        </r>
        <r>
          <rPr>
            <sz val="8"/>
            <color indexed="81"/>
            <rFont val="Tahoma"/>
            <family val="2"/>
          </rPr>
          <t xml:space="preserve">
world bank</t>
        </r>
      </text>
    </comment>
    <comment ref="N10" authorId="0">
      <text>
        <r>
          <rPr>
            <b/>
            <sz val="8"/>
            <color indexed="81"/>
            <rFont val="Tahoma"/>
            <family val="2"/>
          </rPr>
          <t>vagarwal:</t>
        </r>
        <r>
          <rPr>
            <sz val="8"/>
            <color indexed="81"/>
            <rFont val="Tahoma"/>
            <family val="2"/>
          </rPr>
          <t xml:space="preserve">
world bank</t>
        </r>
      </text>
    </comment>
    <comment ref="O10" authorId="0">
      <text>
        <r>
          <rPr>
            <b/>
            <sz val="8"/>
            <color indexed="81"/>
            <rFont val="Tahoma"/>
            <family val="2"/>
          </rPr>
          <t>vagarwal:</t>
        </r>
        <r>
          <rPr>
            <sz val="8"/>
            <color indexed="81"/>
            <rFont val="Tahoma"/>
            <family val="2"/>
          </rPr>
          <t xml:space="preserve">
world bank</t>
        </r>
      </text>
    </comment>
    <comment ref="P10" authorId="0">
      <text>
        <r>
          <rPr>
            <b/>
            <sz val="8"/>
            <color indexed="81"/>
            <rFont val="Tahoma"/>
            <family val="2"/>
          </rPr>
          <t>vagarwal:</t>
        </r>
        <r>
          <rPr>
            <sz val="8"/>
            <color indexed="81"/>
            <rFont val="Tahoma"/>
            <family val="2"/>
          </rPr>
          <t xml:space="preserve">
world bank</t>
        </r>
      </text>
    </comment>
    <comment ref="Q10" authorId="0">
      <text>
        <r>
          <rPr>
            <b/>
            <sz val="8"/>
            <color indexed="81"/>
            <rFont val="Tahoma"/>
            <family val="2"/>
          </rPr>
          <t>vagarwal:</t>
        </r>
        <r>
          <rPr>
            <sz val="8"/>
            <color indexed="81"/>
            <rFont val="Tahoma"/>
            <family val="2"/>
          </rPr>
          <t xml:space="preserve">
world bank</t>
        </r>
      </text>
    </comment>
    <comment ref="R10" authorId="0">
      <text>
        <r>
          <rPr>
            <b/>
            <sz val="8"/>
            <color indexed="81"/>
            <rFont val="Tahoma"/>
            <family val="2"/>
          </rPr>
          <t>vagarwal:</t>
        </r>
        <r>
          <rPr>
            <sz val="8"/>
            <color indexed="81"/>
            <rFont val="Tahoma"/>
            <family val="2"/>
          </rPr>
          <t xml:space="preserve">
world bank</t>
        </r>
      </text>
    </comment>
    <comment ref="S10" authorId="0">
      <text>
        <r>
          <rPr>
            <b/>
            <sz val="8"/>
            <color indexed="81"/>
            <rFont val="Tahoma"/>
            <family val="2"/>
          </rPr>
          <t>vagarwal:</t>
        </r>
        <r>
          <rPr>
            <sz val="8"/>
            <color indexed="81"/>
            <rFont val="Tahoma"/>
            <family val="2"/>
          </rPr>
          <t xml:space="preserve">
world bank</t>
        </r>
      </text>
    </comment>
    <comment ref="T10" authorId="0">
      <text>
        <r>
          <rPr>
            <b/>
            <sz val="8"/>
            <color indexed="81"/>
            <rFont val="Tahoma"/>
            <family val="2"/>
          </rPr>
          <t>vagarwal:</t>
        </r>
        <r>
          <rPr>
            <sz val="8"/>
            <color indexed="81"/>
            <rFont val="Tahoma"/>
            <family val="2"/>
          </rPr>
          <t xml:space="preserve">
world bank</t>
        </r>
      </text>
    </comment>
    <comment ref="L11" authorId="0">
      <text>
        <r>
          <rPr>
            <b/>
            <sz val="8"/>
            <color indexed="81"/>
            <rFont val="Tahoma"/>
            <family val="2"/>
          </rPr>
          <t>vagarwal:</t>
        </r>
        <r>
          <rPr>
            <sz val="8"/>
            <color indexed="81"/>
            <rFont val="Tahoma"/>
            <family val="2"/>
          </rPr>
          <t xml:space="preserve">
world bank</t>
        </r>
      </text>
    </comment>
    <comment ref="M11" authorId="0">
      <text>
        <r>
          <rPr>
            <b/>
            <sz val="8"/>
            <color indexed="81"/>
            <rFont val="Tahoma"/>
            <family val="2"/>
          </rPr>
          <t>vagarwal:</t>
        </r>
        <r>
          <rPr>
            <sz val="8"/>
            <color indexed="81"/>
            <rFont val="Tahoma"/>
            <family val="2"/>
          </rPr>
          <t xml:space="preserve">
world bank</t>
        </r>
      </text>
    </comment>
    <comment ref="N11" authorId="0">
      <text>
        <r>
          <rPr>
            <b/>
            <sz val="8"/>
            <color indexed="81"/>
            <rFont val="Tahoma"/>
            <family val="2"/>
          </rPr>
          <t>vagarwal:</t>
        </r>
        <r>
          <rPr>
            <sz val="8"/>
            <color indexed="81"/>
            <rFont val="Tahoma"/>
            <family val="2"/>
          </rPr>
          <t xml:space="preserve">
world bank</t>
        </r>
      </text>
    </comment>
    <comment ref="O11" authorId="0">
      <text>
        <r>
          <rPr>
            <b/>
            <sz val="8"/>
            <color indexed="81"/>
            <rFont val="Tahoma"/>
            <family val="2"/>
          </rPr>
          <t>vagarwal:</t>
        </r>
        <r>
          <rPr>
            <sz val="8"/>
            <color indexed="81"/>
            <rFont val="Tahoma"/>
            <family val="2"/>
          </rPr>
          <t xml:space="preserve">
world bank</t>
        </r>
      </text>
    </comment>
    <comment ref="P11" authorId="0">
      <text>
        <r>
          <rPr>
            <b/>
            <sz val="8"/>
            <color indexed="81"/>
            <rFont val="Tahoma"/>
            <family val="2"/>
          </rPr>
          <t>vagarwal:</t>
        </r>
        <r>
          <rPr>
            <sz val="8"/>
            <color indexed="81"/>
            <rFont val="Tahoma"/>
            <family val="2"/>
          </rPr>
          <t xml:space="preserve">
world bank</t>
        </r>
      </text>
    </comment>
    <comment ref="Q11" authorId="0">
      <text>
        <r>
          <rPr>
            <b/>
            <sz val="8"/>
            <color indexed="81"/>
            <rFont val="Tahoma"/>
            <family val="2"/>
          </rPr>
          <t>vagarwal:</t>
        </r>
        <r>
          <rPr>
            <sz val="8"/>
            <color indexed="81"/>
            <rFont val="Tahoma"/>
            <family val="2"/>
          </rPr>
          <t xml:space="preserve">
world bank</t>
        </r>
      </text>
    </comment>
    <comment ref="R11" authorId="0">
      <text>
        <r>
          <rPr>
            <b/>
            <sz val="8"/>
            <color indexed="81"/>
            <rFont val="Tahoma"/>
            <family val="2"/>
          </rPr>
          <t>vagarwal:</t>
        </r>
        <r>
          <rPr>
            <sz val="8"/>
            <color indexed="81"/>
            <rFont val="Tahoma"/>
            <family val="2"/>
          </rPr>
          <t xml:space="preserve">
world bank</t>
        </r>
      </text>
    </comment>
    <comment ref="S11" authorId="0">
      <text>
        <r>
          <rPr>
            <b/>
            <sz val="8"/>
            <color indexed="81"/>
            <rFont val="Tahoma"/>
            <family val="2"/>
          </rPr>
          <t>vagarwal:</t>
        </r>
        <r>
          <rPr>
            <sz val="8"/>
            <color indexed="81"/>
            <rFont val="Tahoma"/>
            <family val="2"/>
          </rPr>
          <t xml:space="preserve">
world bank</t>
        </r>
      </text>
    </comment>
    <comment ref="T11" authorId="0">
      <text>
        <r>
          <rPr>
            <b/>
            <sz val="8"/>
            <color indexed="81"/>
            <rFont val="Tahoma"/>
            <family val="2"/>
          </rPr>
          <t>vagarwal:</t>
        </r>
        <r>
          <rPr>
            <sz val="8"/>
            <color indexed="81"/>
            <rFont val="Tahoma"/>
            <family val="2"/>
          </rPr>
          <t xml:space="preserve">
world bank</t>
        </r>
      </text>
    </comment>
    <comment ref="L12" authorId="0">
      <text>
        <r>
          <rPr>
            <b/>
            <sz val="8"/>
            <color indexed="81"/>
            <rFont val="Tahoma"/>
            <family val="2"/>
          </rPr>
          <t>vagarwal:</t>
        </r>
        <r>
          <rPr>
            <sz val="8"/>
            <color indexed="81"/>
            <rFont val="Tahoma"/>
            <family val="2"/>
          </rPr>
          <t xml:space="preserve">
world bank</t>
        </r>
      </text>
    </comment>
    <comment ref="M12" authorId="0">
      <text>
        <r>
          <rPr>
            <b/>
            <sz val="8"/>
            <color indexed="81"/>
            <rFont val="Tahoma"/>
            <family val="2"/>
          </rPr>
          <t>vagarwal:</t>
        </r>
        <r>
          <rPr>
            <sz val="8"/>
            <color indexed="81"/>
            <rFont val="Tahoma"/>
            <family val="2"/>
          </rPr>
          <t xml:space="preserve">
world bank</t>
        </r>
      </text>
    </comment>
    <comment ref="N12" authorId="0">
      <text>
        <r>
          <rPr>
            <b/>
            <sz val="8"/>
            <color indexed="81"/>
            <rFont val="Tahoma"/>
            <family val="2"/>
          </rPr>
          <t>vagarwal:</t>
        </r>
        <r>
          <rPr>
            <sz val="8"/>
            <color indexed="81"/>
            <rFont val="Tahoma"/>
            <family val="2"/>
          </rPr>
          <t xml:space="preserve">
world bank</t>
        </r>
      </text>
    </comment>
    <comment ref="O12" authorId="0">
      <text>
        <r>
          <rPr>
            <b/>
            <sz val="8"/>
            <color indexed="81"/>
            <rFont val="Tahoma"/>
            <family val="2"/>
          </rPr>
          <t>vagarwal:</t>
        </r>
        <r>
          <rPr>
            <sz val="8"/>
            <color indexed="81"/>
            <rFont val="Tahoma"/>
            <family val="2"/>
          </rPr>
          <t xml:space="preserve">
world bank</t>
        </r>
      </text>
    </comment>
    <comment ref="P12" authorId="0">
      <text>
        <r>
          <rPr>
            <b/>
            <sz val="8"/>
            <color indexed="81"/>
            <rFont val="Tahoma"/>
            <family val="2"/>
          </rPr>
          <t>vagarwal:</t>
        </r>
        <r>
          <rPr>
            <sz val="8"/>
            <color indexed="81"/>
            <rFont val="Tahoma"/>
            <family val="2"/>
          </rPr>
          <t xml:space="preserve">
world bank</t>
        </r>
      </text>
    </comment>
    <comment ref="Q12" authorId="0">
      <text>
        <r>
          <rPr>
            <b/>
            <sz val="8"/>
            <color indexed="81"/>
            <rFont val="Tahoma"/>
            <family val="2"/>
          </rPr>
          <t>vagarwal:</t>
        </r>
        <r>
          <rPr>
            <sz val="8"/>
            <color indexed="81"/>
            <rFont val="Tahoma"/>
            <family val="2"/>
          </rPr>
          <t xml:space="preserve">
world bank</t>
        </r>
      </text>
    </comment>
    <comment ref="R12" authorId="0">
      <text>
        <r>
          <rPr>
            <b/>
            <sz val="8"/>
            <color indexed="81"/>
            <rFont val="Tahoma"/>
            <family val="2"/>
          </rPr>
          <t>vagarwal:</t>
        </r>
        <r>
          <rPr>
            <sz val="8"/>
            <color indexed="81"/>
            <rFont val="Tahoma"/>
            <family val="2"/>
          </rPr>
          <t xml:space="preserve">
world bank</t>
        </r>
      </text>
    </comment>
    <comment ref="S12" authorId="0">
      <text>
        <r>
          <rPr>
            <b/>
            <sz val="8"/>
            <color indexed="81"/>
            <rFont val="Tahoma"/>
            <family val="2"/>
          </rPr>
          <t>vagarwal:</t>
        </r>
        <r>
          <rPr>
            <sz val="8"/>
            <color indexed="81"/>
            <rFont val="Tahoma"/>
            <family val="2"/>
          </rPr>
          <t xml:space="preserve">
world bank</t>
        </r>
      </text>
    </comment>
    <comment ref="T12" authorId="0">
      <text>
        <r>
          <rPr>
            <b/>
            <sz val="8"/>
            <color indexed="81"/>
            <rFont val="Tahoma"/>
            <family val="2"/>
          </rPr>
          <t>vagarwal:</t>
        </r>
        <r>
          <rPr>
            <sz val="8"/>
            <color indexed="81"/>
            <rFont val="Tahoma"/>
            <family val="2"/>
          </rPr>
          <t xml:space="preserve">
world bank</t>
        </r>
      </text>
    </comment>
    <comment ref="L13" authorId="0">
      <text>
        <r>
          <rPr>
            <b/>
            <sz val="8"/>
            <color indexed="81"/>
            <rFont val="Tahoma"/>
            <family val="2"/>
          </rPr>
          <t>vagarwal:</t>
        </r>
        <r>
          <rPr>
            <sz val="8"/>
            <color indexed="81"/>
            <rFont val="Tahoma"/>
            <family val="2"/>
          </rPr>
          <t xml:space="preserve">
world bank</t>
        </r>
      </text>
    </comment>
    <comment ref="M13" authorId="0">
      <text>
        <r>
          <rPr>
            <b/>
            <sz val="8"/>
            <color indexed="81"/>
            <rFont val="Tahoma"/>
            <family val="2"/>
          </rPr>
          <t>vagarwal:</t>
        </r>
        <r>
          <rPr>
            <sz val="8"/>
            <color indexed="81"/>
            <rFont val="Tahoma"/>
            <family val="2"/>
          </rPr>
          <t xml:space="preserve">
world bank</t>
        </r>
      </text>
    </comment>
    <comment ref="N13" authorId="0">
      <text>
        <r>
          <rPr>
            <b/>
            <sz val="8"/>
            <color indexed="81"/>
            <rFont val="Tahoma"/>
            <family val="2"/>
          </rPr>
          <t>vagarwal:</t>
        </r>
        <r>
          <rPr>
            <sz val="8"/>
            <color indexed="81"/>
            <rFont val="Tahoma"/>
            <family val="2"/>
          </rPr>
          <t xml:space="preserve">
world bank</t>
        </r>
      </text>
    </comment>
    <comment ref="O13" authorId="0">
      <text>
        <r>
          <rPr>
            <b/>
            <sz val="8"/>
            <color indexed="81"/>
            <rFont val="Tahoma"/>
            <family val="2"/>
          </rPr>
          <t>vagarwal:</t>
        </r>
        <r>
          <rPr>
            <sz val="8"/>
            <color indexed="81"/>
            <rFont val="Tahoma"/>
            <family val="2"/>
          </rPr>
          <t xml:space="preserve">
world bank</t>
        </r>
      </text>
    </comment>
    <comment ref="P13" authorId="0">
      <text>
        <r>
          <rPr>
            <b/>
            <sz val="8"/>
            <color indexed="81"/>
            <rFont val="Tahoma"/>
            <family val="2"/>
          </rPr>
          <t>vagarwal:</t>
        </r>
        <r>
          <rPr>
            <sz val="8"/>
            <color indexed="81"/>
            <rFont val="Tahoma"/>
            <family val="2"/>
          </rPr>
          <t xml:space="preserve">
world bank</t>
        </r>
      </text>
    </comment>
    <comment ref="Q13" authorId="0">
      <text>
        <r>
          <rPr>
            <b/>
            <sz val="8"/>
            <color indexed="81"/>
            <rFont val="Tahoma"/>
            <family val="2"/>
          </rPr>
          <t>vagarwal:</t>
        </r>
        <r>
          <rPr>
            <sz val="8"/>
            <color indexed="81"/>
            <rFont val="Tahoma"/>
            <family val="2"/>
          </rPr>
          <t xml:space="preserve">
world bank</t>
        </r>
      </text>
    </comment>
    <comment ref="R13" authorId="0">
      <text>
        <r>
          <rPr>
            <b/>
            <sz val="8"/>
            <color indexed="81"/>
            <rFont val="Tahoma"/>
            <family val="2"/>
          </rPr>
          <t>vagarwal:</t>
        </r>
        <r>
          <rPr>
            <sz val="8"/>
            <color indexed="81"/>
            <rFont val="Tahoma"/>
            <family val="2"/>
          </rPr>
          <t xml:space="preserve">
world bank</t>
        </r>
      </text>
    </comment>
    <comment ref="S13" authorId="0">
      <text>
        <r>
          <rPr>
            <b/>
            <sz val="8"/>
            <color indexed="81"/>
            <rFont val="Tahoma"/>
            <family val="2"/>
          </rPr>
          <t>vagarwal:</t>
        </r>
        <r>
          <rPr>
            <sz val="8"/>
            <color indexed="81"/>
            <rFont val="Tahoma"/>
            <family val="2"/>
          </rPr>
          <t xml:space="preserve">
world bank</t>
        </r>
      </text>
    </comment>
    <comment ref="T13" authorId="0">
      <text>
        <r>
          <rPr>
            <b/>
            <sz val="8"/>
            <color indexed="81"/>
            <rFont val="Tahoma"/>
            <family val="2"/>
          </rPr>
          <t>vagarwal:</t>
        </r>
        <r>
          <rPr>
            <sz val="8"/>
            <color indexed="81"/>
            <rFont val="Tahoma"/>
            <family val="2"/>
          </rPr>
          <t xml:space="preserve">
world bank</t>
        </r>
      </text>
    </comment>
    <comment ref="L14" authorId="0">
      <text>
        <r>
          <rPr>
            <b/>
            <sz val="8"/>
            <color indexed="81"/>
            <rFont val="Tahoma"/>
            <family val="2"/>
          </rPr>
          <t>vagarwal:</t>
        </r>
        <r>
          <rPr>
            <sz val="8"/>
            <color indexed="81"/>
            <rFont val="Tahoma"/>
            <family val="2"/>
          </rPr>
          <t xml:space="preserve">
world bank</t>
        </r>
      </text>
    </comment>
    <comment ref="M14" authorId="0">
      <text>
        <r>
          <rPr>
            <b/>
            <sz val="8"/>
            <color indexed="81"/>
            <rFont val="Tahoma"/>
            <family val="2"/>
          </rPr>
          <t>vagarwal:</t>
        </r>
        <r>
          <rPr>
            <sz val="8"/>
            <color indexed="81"/>
            <rFont val="Tahoma"/>
            <family val="2"/>
          </rPr>
          <t xml:space="preserve">
world bank</t>
        </r>
      </text>
    </comment>
    <comment ref="N14" authorId="0">
      <text>
        <r>
          <rPr>
            <b/>
            <sz val="8"/>
            <color indexed="81"/>
            <rFont val="Tahoma"/>
            <family val="2"/>
          </rPr>
          <t>vagarwal:</t>
        </r>
        <r>
          <rPr>
            <sz val="8"/>
            <color indexed="81"/>
            <rFont val="Tahoma"/>
            <family val="2"/>
          </rPr>
          <t xml:space="preserve">
world bank</t>
        </r>
      </text>
    </comment>
    <comment ref="O14" authorId="0">
      <text>
        <r>
          <rPr>
            <b/>
            <sz val="8"/>
            <color indexed="81"/>
            <rFont val="Tahoma"/>
            <family val="2"/>
          </rPr>
          <t>vagarwal:</t>
        </r>
        <r>
          <rPr>
            <sz val="8"/>
            <color indexed="81"/>
            <rFont val="Tahoma"/>
            <family val="2"/>
          </rPr>
          <t xml:space="preserve">
world bank</t>
        </r>
      </text>
    </comment>
    <comment ref="P14" authorId="0">
      <text>
        <r>
          <rPr>
            <b/>
            <sz val="8"/>
            <color indexed="81"/>
            <rFont val="Tahoma"/>
            <family val="2"/>
          </rPr>
          <t>vagarwal:</t>
        </r>
        <r>
          <rPr>
            <sz val="8"/>
            <color indexed="81"/>
            <rFont val="Tahoma"/>
            <family val="2"/>
          </rPr>
          <t xml:space="preserve">
world bank</t>
        </r>
      </text>
    </comment>
    <comment ref="Q14" authorId="0">
      <text>
        <r>
          <rPr>
            <b/>
            <sz val="8"/>
            <color indexed="81"/>
            <rFont val="Tahoma"/>
            <family val="2"/>
          </rPr>
          <t>vagarwal:</t>
        </r>
        <r>
          <rPr>
            <sz val="8"/>
            <color indexed="81"/>
            <rFont val="Tahoma"/>
            <family val="2"/>
          </rPr>
          <t xml:space="preserve">
world bank</t>
        </r>
      </text>
    </comment>
    <comment ref="R14" authorId="0">
      <text>
        <r>
          <rPr>
            <b/>
            <sz val="8"/>
            <color indexed="81"/>
            <rFont val="Tahoma"/>
            <family val="2"/>
          </rPr>
          <t>vagarwal:</t>
        </r>
        <r>
          <rPr>
            <sz val="8"/>
            <color indexed="81"/>
            <rFont val="Tahoma"/>
            <family val="2"/>
          </rPr>
          <t xml:space="preserve">
world bank</t>
        </r>
      </text>
    </comment>
    <comment ref="S14" authorId="0">
      <text>
        <r>
          <rPr>
            <b/>
            <sz val="8"/>
            <color indexed="81"/>
            <rFont val="Tahoma"/>
            <family val="2"/>
          </rPr>
          <t>vagarwal:</t>
        </r>
        <r>
          <rPr>
            <sz val="8"/>
            <color indexed="81"/>
            <rFont val="Tahoma"/>
            <family val="2"/>
          </rPr>
          <t xml:space="preserve">
world bank</t>
        </r>
      </text>
    </comment>
    <comment ref="T14" authorId="0">
      <text>
        <r>
          <rPr>
            <b/>
            <sz val="8"/>
            <color indexed="81"/>
            <rFont val="Tahoma"/>
            <family val="2"/>
          </rPr>
          <t>vagarwal:</t>
        </r>
        <r>
          <rPr>
            <sz val="8"/>
            <color indexed="81"/>
            <rFont val="Tahoma"/>
            <family val="2"/>
          </rPr>
          <t xml:space="preserve">
world bank</t>
        </r>
      </text>
    </comment>
    <comment ref="L15" authorId="0">
      <text>
        <r>
          <rPr>
            <b/>
            <sz val="8"/>
            <color indexed="81"/>
            <rFont val="Tahoma"/>
            <family val="2"/>
          </rPr>
          <t>vagarwal:</t>
        </r>
        <r>
          <rPr>
            <sz val="8"/>
            <color indexed="81"/>
            <rFont val="Tahoma"/>
            <family val="2"/>
          </rPr>
          <t xml:space="preserve">
world bank</t>
        </r>
      </text>
    </comment>
    <comment ref="M15" authorId="0">
      <text>
        <r>
          <rPr>
            <b/>
            <sz val="8"/>
            <color indexed="81"/>
            <rFont val="Tahoma"/>
            <family val="2"/>
          </rPr>
          <t>vagarwal:</t>
        </r>
        <r>
          <rPr>
            <sz val="8"/>
            <color indexed="81"/>
            <rFont val="Tahoma"/>
            <family val="2"/>
          </rPr>
          <t xml:space="preserve">
world bank</t>
        </r>
      </text>
    </comment>
    <comment ref="N15" authorId="0">
      <text>
        <r>
          <rPr>
            <b/>
            <sz val="8"/>
            <color indexed="81"/>
            <rFont val="Tahoma"/>
            <family val="2"/>
          </rPr>
          <t>vagarwal:</t>
        </r>
        <r>
          <rPr>
            <sz val="8"/>
            <color indexed="81"/>
            <rFont val="Tahoma"/>
            <family val="2"/>
          </rPr>
          <t xml:space="preserve">
world bank</t>
        </r>
      </text>
    </comment>
    <comment ref="O15" authorId="0">
      <text>
        <r>
          <rPr>
            <b/>
            <sz val="8"/>
            <color indexed="81"/>
            <rFont val="Tahoma"/>
            <family val="2"/>
          </rPr>
          <t>vagarwal:</t>
        </r>
        <r>
          <rPr>
            <sz val="8"/>
            <color indexed="81"/>
            <rFont val="Tahoma"/>
            <family val="2"/>
          </rPr>
          <t xml:space="preserve">
world bank</t>
        </r>
      </text>
    </comment>
    <comment ref="P15" authorId="0">
      <text>
        <r>
          <rPr>
            <b/>
            <sz val="8"/>
            <color indexed="81"/>
            <rFont val="Tahoma"/>
            <family val="2"/>
          </rPr>
          <t>vagarwal:</t>
        </r>
        <r>
          <rPr>
            <sz val="8"/>
            <color indexed="81"/>
            <rFont val="Tahoma"/>
            <family val="2"/>
          </rPr>
          <t xml:space="preserve">
world bank</t>
        </r>
      </text>
    </comment>
    <comment ref="Q15" authorId="0">
      <text>
        <r>
          <rPr>
            <b/>
            <sz val="8"/>
            <color indexed="81"/>
            <rFont val="Tahoma"/>
            <family val="2"/>
          </rPr>
          <t>vagarwal:</t>
        </r>
        <r>
          <rPr>
            <sz val="8"/>
            <color indexed="81"/>
            <rFont val="Tahoma"/>
            <family val="2"/>
          </rPr>
          <t xml:space="preserve">
world bank</t>
        </r>
      </text>
    </comment>
    <comment ref="R15" authorId="0">
      <text>
        <r>
          <rPr>
            <b/>
            <sz val="8"/>
            <color indexed="81"/>
            <rFont val="Tahoma"/>
            <family val="2"/>
          </rPr>
          <t>vagarwal:</t>
        </r>
        <r>
          <rPr>
            <sz val="8"/>
            <color indexed="81"/>
            <rFont val="Tahoma"/>
            <family val="2"/>
          </rPr>
          <t xml:space="preserve">
world bank</t>
        </r>
      </text>
    </comment>
    <comment ref="S15" authorId="0">
      <text>
        <r>
          <rPr>
            <b/>
            <sz val="8"/>
            <color indexed="81"/>
            <rFont val="Tahoma"/>
            <family val="2"/>
          </rPr>
          <t>vagarwal:</t>
        </r>
        <r>
          <rPr>
            <sz val="8"/>
            <color indexed="81"/>
            <rFont val="Tahoma"/>
            <family val="2"/>
          </rPr>
          <t xml:space="preserve">
world bank</t>
        </r>
      </text>
    </comment>
    <comment ref="T15" authorId="0">
      <text>
        <r>
          <rPr>
            <b/>
            <sz val="8"/>
            <color indexed="81"/>
            <rFont val="Tahoma"/>
            <family val="2"/>
          </rPr>
          <t>vagarwal:</t>
        </r>
        <r>
          <rPr>
            <sz val="8"/>
            <color indexed="81"/>
            <rFont val="Tahoma"/>
            <family val="2"/>
          </rPr>
          <t xml:space="preserve">
world bank</t>
        </r>
      </text>
    </comment>
    <comment ref="L16" authorId="0">
      <text>
        <r>
          <rPr>
            <b/>
            <sz val="8"/>
            <color indexed="81"/>
            <rFont val="Tahoma"/>
            <family val="2"/>
          </rPr>
          <t>vagarwal:</t>
        </r>
        <r>
          <rPr>
            <sz val="8"/>
            <color indexed="81"/>
            <rFont val="Tahoma"/>
            <family val="2"/>
          </rPr>
          <t xml:space="preserve">
world bank</t>
        </r>
      </text>
    </comment>
    <comment ref="M16" authorId="0">
      <text>
        <r>
          <rPr>
            <b/>
            <sz val="8"/>
            <color indexed="81"/>
            <rFont val="Tahoma"/>
            <family val="2"/>
          </rPr>
          <t>vagarwal:</t>
        </r>
        <r>
          <rPr>
            <sz val="8"/>
            <color indexed="81"/>
            <rFont val="Tahoma"/>
            <family val="2"/>
          </rPr>
          <t xml:space="preserve">
world bank</t>
        </r>
      </text>
    </comment>
    <comment ref="N16" authorId="0">
      <text>
        <r>
          <rPr>
            <b/>
            <sz val="8"/>
            <color indexed="81"/>
            <rFont val="Tahoma"/>
            <family val="2"/>
          </rPr>
          <t>vagarwal:</t>
        </r>
        <r>
          <rPr>
            <sz val="8"/>
            <color indexed="81"/>
            <rFont val="Tahoma"/>
            <family val="2"/>
          </rPr>
          <t xml:space="preserve">
world bank</t>
        </r>
      </text>
    </comment>
    <comment ref="O16" authorId="0">
      <text>
        <r>
          <rPr>
            <b/>
            <sz val="8"/>
            <color indexed="81"/>
            <rFont val="Tahoma"/>
            <family val="2"/>
          </rPr>
          <t>vagarwal:</t>
        </r>
        <r>
          <rPr>
            <sz val="8"/>
            <color indexed="81"/>
            <rFont val="Tahoma"/>
            <family val="2"/>
          </rPr>
          <t xml:space="preserve">
world bank</t>
        </r>
      </text>
    </comment>
    <comment ref="P16" authorId="0">
      <text>
        <r>
          <rPr>
            <b/>
            <sz val="8"/>
            <color indexed="81"/>
            <rFont val="Tahoma"/>
            <family val="2"/>
          </rPr>
          <t>vagarwal:</t>
        </r>
        <r>
          <rPr>
            <sz val="8"/>
            <color indexed="81"/>
            <rFont val="Tahoma"/>
            <family val="2"/>
          </rPr>
          <t xml:space="preserve">
world bank</t>
        </r>
      </text>
    </comment>
    <comment ref="Q16" authorId="0">
      <text>
        <r>
          <rPr>
            <b/>
            <sz val="8"/>
            <color indexed="81"/>
            <rFont val="Tahoma"/>
            <family val="2"/>
          </rPr>
          <t>vagarwal:</t>
        </r>
        <r>
          <rPr>
            <sz val="8"/>
            <color indexed="81"/>
            <rFont val="Tahoma"/>
            <family val="2"/>
          </rPr>
          <t xml:space="preserve">
world bank</t>
        </r>
      </text>
    </comment>
    <comment ref="R16" authorId="0">
      <text>
        <r>
          <rPr>
            <b/>
            <sz val="8"/>
            <color indexed="81"/>
            <rFont val="Tahoma"/>
            <family val="2"/>
          </rPr>
          <t>vagarwal:</t>
        </r>
        <r>
          <rPr>
            <sz val="8"/>
            <color indexed="81"/>
            <rFont val="Tahoma"/>
            <family val="2"/>
          </rPr>
          <t xml:space="preserve">
world bank</t>
        </r>
      </text>
    </comment>
    <comment ref="S16" authorId="0">
      <text>
        <r>
          <rPr>
            <b/>
            <sz val="8"/>
            <color indexed="81"/>
            <rFont val="Tahoma"/>
            <family val="2"/>
          </rPr>
          <t>vagarwal:</t>
        </r>
        <r>
          <rPr>
            <sz val="8"/>
            <color indexed="81"/>
            <rFont val="Tahoma"/>
            <family val="2"/>
          </rPr>
          <t xml:space="preserve">
world bank</t>
        </r>
      </text>
    </comment>
    <comment ref="T16" authorId="0">
      <text>
        <r>
          <rPr>
            <b/>
            <sz val="8"/>
            <color indexed="81"/>
            <rFont val="Tahoma"/>
            <family val="2"/>
          </rPr>
          <t>vagarwal:</t>
        </r>
        <r>
          <rPr>
            <sz val="8"/>
            <color indexed="81"/>
            <rFont val="Tahoma"/>
            <family val="2"/>
          </rPr>
          <t xml:space="preserve">
world bank</t>
        </r>
      </text>
    </comment>
    <comment ref="L17" authorId="0">
      <text>
        <r>
          <rPr>
            <b/>
            <sz val="8"/>
            <color indexed="81"/>
            <rFont val="Tahoma"/>
            <family val="2"/>
          </rPr>
          <t>vagarwal:</t>
        </r>
        <r>
          <rPr>
            <sz val="8"/>
            <color indexed="81"/>
            <rFont val="Tahoma"/>
            <family val="2"/>
          </rPr>
          <t xml:space="preserve">
world bank</t>
        </r>
      </text>
    </comment>
    <comment ref="M17" authorId="0">
      <text>
        <r>
          <rPr>
            <b/>
            <sz val="8"/>
            <color indexed="81"/>
            <rFont val="Tahoma"/>
            <family val="2"/>
          </rPr>
          <t>vagarwal:</t>
        </r>
        <r>
          <rPr>
            <sz val="8"/>
            <color indexed="81"/>
            <rFont val="Tahoma"/>
            <family val="2"/>
          </rPr>
          <t xml:space="preserve">
world bank</t>
        </r>
      </text>
    </comment>
    <comment ref="N17" authorId="0">
      <text>
        <r>
          <rPr>
            <b/>
            <sz val="8"/>
            <color indexed="81"/>
            <rFont val="Tahoma"/>
            <family val="2"/>
          </rPr>
          <t>vagarwal:</t>
        </r>
        <r>
          <rPr>
            <sz val="8"/>
            <color indexed="81"/>
            <rFont val="Tahoma"/>
            <family val="2"/>
          </rPr>
          <t xml:space="preserve">
world bank</t>
        </r>
      </text>
    </comment>
    <comment ref="O17" authorId="0">
      <text>
        <r>
          <rPr>
            <b/>
            <sz val="8"/>
            <color indexed="81"/>
            <rFont val="Tahoma"/>
            <family val="2"/>
          </rPr>
          <t>vagarwal:</t>
        </r>
        <r>
          <rPr>
            <sz val="8"/>
            <color indexed="81"/>
            <rFont val="Tahoma"/>
            <family val="2"/>
          </rPr>
          <t xml:space="preserve">
world bank</t>
        </r>
      </text>
    </comment>
    <comment ref="P17" authorId="0">
      <text>
        <r>
          <rPr>
            <b/>
            <sz val="8"/>
            <color indexed="81"/>
            <rFont val="Tahoma"/>
            <family val="2"/>
          </rPr>
          <t>vagarwal:</t>
        </r>
        <r>
          <rPr>
            <sz val="8"/>
            <color indexed="81"/>
            <rFont val="Tahoma"/>
            <family val="2"/>
          </rPr>
          <t xml:space="preserve">
world bank</t>
        </r>
      </text>
    </comment>
    <comment ref="Q17" authorId="0">
      <text>
        <r>
          <rPr>
            <b/>
            <sz val="8"/>
            <color indexed="81"/>
            <rFont val="Tahoma"/>
            <family val="2"/>
          </rPr>
          <t>vagarwal:</t>
        </r>
        <r>
          <rPr>
            <sz val="8"/>
            <color indexed="81"/>
            <rFont val="Tahoma"/>
            <family val="2"/>
          </rPr>
          <t xml:space="preserve">
world bank</t>
        </r>
      </text>
    </comment>
    <comment ref="R17" authorId="0">
      <text>
        <r>
          <rPr>
            <b/>
            <sz val="8"/>
            <color indexed="81"/>
            <rFont val="Tahoma"/>
            <family val="2"/>
          </rPr>
          <t>vagarwal:</t>
        </r>
        <r>
          <rPr>
            <sz val="8"/>
            <color indexed="81"/>
            <rFont val="Tahoma"/>
            <family val="2"/>
          </rPr>
          <t xml:space="preserve">
world bank</t>
        </r>
      </text>
    </comment>
    <comment ref="S17" authorId="0">
      <text>
        <r>
          <rPr>
            <b/>
            <sz val="8"/>
            <color indexed="81"/>
            <rFont val="Tahoma"/>
            <family val="2"/>
          </rPr>
          <t>vagarwal:</t>
        </r>
        <r>
          <rPr>
            <sz val="8"/>
            <color indexed="81"/>
            <rFont val="Tahoma"/>
            <family val="2"/>
          </rPr>
          <t xml:space="preserve">
world bank</t>
        </r>
      </text>
    </comment>
    <comment ref="T17" authorId="0">
      <text>
        <r>
          <rPr>
            <b/>
            <sz val="8"/>
            <color indexed="81"/>
            <rFont val="Tahoma"/>
            <family val="2"/>
          </rPr>
          <t>vagarwal:</t>
        </r>
        <r>
          <rPr>
            <sz val="8"/>
            <color indexed="81"/>
            <rFont val="Tahoma"/>
            <family val="2"/>
          </rPr>
          <t xml:space="preserve">
world bank</t>
        </r>
      </text>
    </comment>
    <comment ref="L18" authorId="0">
      <text>
        <r>
          <rPr>
            <b/>
            <sz val="8"/>
            <color indexed="81"/>
            <rFont val="Tahoma"/>
            <family val="2"/>
          </rPr>
          <t>vagarwal:</t>
        </r>
        <r>
          <rPr>
            <sz val="8"/>
            <color indexed="81"/>
            <rFont val="Tahoma"/>
            <family val="2"/>
          </rPr>
          <t xml:space="preserve">
world bank</t>
        </r>
      </text>
    </comment>
    <comment ref="M18" authorId="0">
      <text>
        <r>
          <rPr>
            <b/>
            <sz val="8"/>
            <color indexed="81"/>
            <rFont val="Tahoma"/>
            <family val="2"/>
          </rPr>
          <t>vagarwal:</t>
        </r>
        <r>
          <rPr>
            <sz val="8"/>
            <color indexed="81"/>
            <rFont val="Tahoma"/>
            <family val="2"/>
          </rPr>
          <t xml:space="preserve">
world bank</t>
        </r>
      </text>
    </comment>
    <comment ref="N18" authorId="0">
      <text>
        <r>
          <rPr>
            <b/>
            <sz val="8"/>
            <color indexed="81"/>
            <rFont val="Tahoma"/>
            <family val="2"/>
          </rPr>
          <t>vagarwal:</t>
        </r>
        <r>
          <rPr>
            <sz val="8"/>
            <color indexed="81"/>
            <rFont val="Tahoma"/>
            <family val="2"/>
          </rPr>
          <t xml:space="preserve">
world bank</t>
        </r>
      </text>
    </comment>
    <comment ref="O18" authorId="0">
      <text>
        <r>
          <rPr>
            <b/>
            <sz val="8"/>
            <color indexed="81"/>
            <rFont val="Tahoma"/>
            <family val="2"/>
          </rPr>
          <t>vagarwal:</t>
        </r>
        <r>
          <rPr>
            <sz val="8"/>
            <color indexed="81"/>
            <rFont val="Tahoma"/>
            <family val="2"/>
          </rPr>
          <t xml:space="preserve">
world bank</t>
        </r>
      </text>
    </comment>
    <comment ref="P18" authorId="0">
      <text>
        <r>
          <rPr>
            <b/>
            <sz val="8"/>
            <color indexed="81"/>
            <rFont val="Tahoma"/>
            <family val="2"/>
          </rPr>
          <t>vagarwal:</t>
        </r>
        <r>
          <rPr>
            <sz val="8"/>
            <color indexed="81"/>
            <rFont val="Tahoma"/>
            <family val="2"/>
          </rPr>
          <t xml:space="preserve">
world bank</t>
        </r>
      </text>
    </comment>
    <comment ref="Q18" authorId="0">
      <text>
        <r>
          <rPr>
            <b/>
            <sz val="8"/>
            <color indexed="81"/>
            <rFont val="Tahoma"/>
            <family val="2"/>
          </rPr>
          <t>vagarwal:</t>
        </r>
        <r>
          <rPr>
            <sz val="8"/>
            <color indexed="81"/>
            <rFont val="Tahoma"/>
            <family val="2"/>
          </rPr>
          <t xml:space="preserve">
world bank</t>
        </r>
      </text>
    </comment>
    <comment ref="R18" authorId="0">
      <text>
        <r>
          <rPr>
            <b/>
            <sz val="8"/>
            <color indexed="81"/>
            <rFont val="Tahoma"/>
            <family val="2"/>
          </rPr>
          <t>vagarwal:</t>
        </r>
        <r>
          <rPr>
            <sz val="8"/>
            <color indexed="81"/>
            <rFont val="Tahoma"/>
            <family val="2"/>
          </rPr>
          <t xml:space="preserve">
world bank</t>
        </r>
      </text>
    </comment>
    <comment ref="S18" authorId="0">
      <text>
        <r>
          <rPr>
            <b/>
            <sz val="8"/>
            <color indexed="81"/>
            <rFont val="Tahoma"/>
            <family val="2"/>
          </rPr>
          <t>vagarwal:</t>
        </r>
        <r>
          <rPr>
            <sz val="8"/>
            <color indexed="81"/>
            <rFont val="Tahoma"/>
            <family val="2"/>
          </rPr>
          <t xml:space="preserve">
world bank</t>
        </r>
      </text>
    </comment>
    <comment ref="T18" authorId="0">
      <text>
        <r>
          <rPr>
            <b/>
            <sz val="8"/>
            <color indexed="81"/>
            <rFont val="Tahoma"/>
            <family val="2"/>
          </rPr>
          <t>vagarwal:</t>
        </r>
        <r>
          <rPr>
            <sz val="8"/>
            <color indexed="81"/>
            <rFont val="Tahoma"/>
            <family val="2"/>
          </rPr>
          <t xml:space="preserve">
world bank</t>
        </r>
      </text>
    </comment>
    <comment ref="L19" authorId="0">
      <text>
        <r>
          <rPr>
            <b/>
            <sz val="8"/>
            <color indexed="81"/>
            <rFont val="Tahoma"/>
            <family val="2"/>
          </rPr>
          <t>vagarwal:</t>
        </r>
        <r>
          <rPr>
            <sz val="8"/>
            <color indexed="81"/>
            <rFont val="Tahoma"/>
            <family val="2"/>
          </rPr>
          <t xml:space="preserve">
world bank</t>
        </r>
      </text>
    </comment>
    <comment ref="M19" authorId="0">
      <text>
        <r>
          <rPr>
            <b/>
            <sz val="8"/>
            <color indexed="81"/>
            <rFont val="Tahoma"/>
            <family val="2"/>
          </rPr>
          <t>vagarwal:</t>
        </r>
        <r>
          <rPr>
            <sz val="8"/>
            <color indexed="81"/>
            <rFont val="Tahoma"/>
            <family val="2"/>
          </rPr>
          <t xml:space="preserve">
world bank</t>
        </r>
      </text>
    </comment>
    <comment ref="N19" authorId="0">
      <text>
        <r>
          <rPr>
            <b/>
            <sz val="8"/>
            <color indexed="81"/>
            <rFont val="Tahoma"/>
            <family val="2"/>
          </rPr>
          <t>vagarwal:</t>
        </r>
        <r>
          <rPr>
            <sz val="8"/>
            <color indexed="81"/>
            <rFont val="Tahoma"/>
            <family val="2"/>
          </rPr>
          <t xml:space="preserve">
world bank</t>
        </r>
      </text>
    </comment>
    <comment ref="O19" authorId="0">
      <text>
        <r>
          <rPr>
            <b/>
            <sz val="8"/>
            <color indexed="81"/>
            <rFont val="Tahoma"/>
            <family val="2"/>
          </rPr>
          <t>vagarwal:</t>
        </r>
        <r>
          <rPr>
            <sz val="8"/>
            <color indexed="81"/>
            <rFont val="Tahoma"/>
            <family val="2"/>
          </rPr>
          <t xml:space="preserve">
world bank</t>
        </r>
      </text>
    </comment>
    <comment ref="P19" authorId="0">
      <text>
        <r>
          <rPr>
            <b/>
            <sz val="8"/>
            <color indexed="81"/>
            <rFont val="Tahoma"/>
            <family val="2"/>
          </rPr>
          <t>vagarwal:</t>
        </r>
        <r>
          <rPr>
            <sz val="8"/>
            <color indexed="81"/>
            <rFont val="Tahoma"/>
            <family val="2"/>
          </rPr>
          <t xml:space="preserve">
world bank</t>
        </r>
      </text>
    </comment>
    <comment ref="Q19" authorId="0">
      <text>
        <r>
          <rPr>
            <b/>
            <sz val="8"/>
            <color indexed="81"/>
            <rFont val="Tahoma"/>
            <family val="2"/>
          </rPr>
          <t>vagarwal:</t>
        </r>
        <r>
          <rPr>
            <sz val="8"/>
            <color indexed="81"/>
            <rFont val="Tahoma"/>
            <family val="2"/>
          </rPr>
          <t xml:space="preserve">
world bank</t>
        </r>
      </text>
    </comment>
    <comment ref="R19" authorId="0">
      <text>
        <r>
          <rPr>
            <b/>
            <sz val="8"/>
            <color indexed="81"/>
            <rFont val="Tahoma"/>
            <family val="2"/>
          </rPr>
          <t>vagarwal:</t>
        </r>
        <r>
          <rPr>
            <sz val="8"/>
            <color indexed="81"/>
            <rFont val="Tahoma"/>
            <family val="2"/>
          </rPr>
          <t xml:space="preserve">
world bank</t>
        </r>
      </text>
    </comment>
    <comment ref="S19" authorId="0">
      <text>
        <r>
          <rPr>
            <b/>
            <sz val="8"/>
            <color indexed="81"/>
            <rFont val="Tahoma"/>
            <family val="2"/>
          </rPr>
          <t>vagarwal:</t>
        </r>
        <r>
          <rPr>
            <sz val="8"/>
            <color indexed="81"/>
            <rFont val="Tahoma"/>
            <family val="2"/>
          </rPr>
          <t xml:space="preserve">
world bank</t>
        </r>
      </text>
    </comment>
    <comment ref="T19" authorId="0">
      <text>
        <r>
          <rPr>
            <b/>
            <sz val="8"/>
            <color indexed="81"/>
            <rFont val="Tahoma"/>
            <family val="2"/>
          </rPr>
          <t>vagarwal:</t>
        </r>
        <r>
          <rPr>
            <sz val="8"/>
            <color indexed="81"/>
            <rFont val="Tahoma"/>
            <family val="2"/>
          </rPr>
          <t xml:space="preserve">
world bank</t>
        </r>
      </text>
    </comment>
    <comment ref="L20" authorId="0">
      <text>
        <r>
          <rPr>
            <b/>
            <sz val="8"/>
            <color indexed="81"/>
            <rFont val="Tahoma"/>
            <family val="2"/>
          </rPr>
          <t>vagarwal:</t>
        </r>
        <r>
          <rPr>
            <sz val="8"/>
            <color indexed="81"/>
            <rFont val="Tahoma"/>
            <family val="2"/>
          </rPr>
          <t xml:space="preserve">
world bank</t>
        </r>
      </text>
    </comment>
    <comment ref="M20" authorId="0">
      <text>
        <r>
          <rPr>
            <b/>
            <sz val="8"/>
            <color indexed="81"/>
            <rFont val="Tahoma"/>
            <family val="2"/>
          </rPr>
          <t>vagarwal:</t>
        </r>
        <r>
          <rPr>
            <sz val="8"/>
            <color indexed="81"/>
            <rFont val="Tahoma"/>
            <family val="2"/>
          </rPr>
          <t xml:space="preserve">
world bank</t>
        </r>
      </text>
    </comment>
    <comment ref="N20" authorId="0">
      <text>
        <r>
          <rPr>
            <b/>
            <sz val="8"/>
            <color indexed="81"/>
            <rFont val="Tahoma"/>
            <family val="2"/>
          </rPr>
          <t>vagarwal:</t>
        </r>
        <r>
          <rPr>
            <sz val="8"/>
            <color indexed="81"/>
            <rFont val="Tahoma"/>
            <family val="2"/>
          </rPr>
          <t xml:space="preserve">
world bank</t>
        </r>
      </text>
    </comment>
    <comment ref="O20" authorId="0">
      <text>
        <r>
          <rPr>
            <b/>
            <sz val="8"/>
            <color indexed="81"/>
            <rFont val="Tahoma"/>
            <family val="2"/>
          </rPr>
          <t>vagarwal:</t>
        </r>
        <r>
          <rPr>
            <sz val="8"/>
            <color indexed="81"/>
            <rFont val="Tahoma"/>
            <family val="2"/>
          </rPr>
          <t xml:space="preserve">
world bank</t>
        </r>
      </text>
    </comment>
    <comment ref="P20" authorId="0">
      <text>
        <r>
          <rPr>
            <b/>
            <sz val="8"/>
            <color indexed="81"/>
            <rFont val="Tahoma"/>
            <family val="2"/>
          </rPr>
          <t>vagarwal:</t>
        </r>
        <r>
          <rPr>
            <sz val="8"/>
            <color indexed="81"/>
            <rFont val="Tahoma"/>
            <family val="2"/>
          </rPr>
          <t xml:space="preserve">
world bank</t>
        </r>
      </text>
    </comment>
    <comment ref="Q20" authorId="0">
      <text>
        <r>
          <rPr>
            <b/>
            <sz val="8"/>
            <color indexed="81"/>
            <rFont val="Tahoma"/>
            <family val="2"/>
          </rPr>
          <t>vagarwal:</t>
        </r>
        <r>
          <rPr>
            <sz val="8"/>
            <color indexed="81"/>
            <rFont val="Tahoma"/>
            <family val="2"/>
          </rPr>
          <t xml:space="preserve">
world bank</t>
        </r>
      </text>
    </comment>
    <comment ref="R20" authorId="0">
      <text>
        <r>
          <rPr>
            <b/>
            <sz val="8"/>
            <color indexed="81"/>
            <rFont val="Tahoma"/>
            <family val="2"/>
          </rPr>
          <t>vagarwal:</t>
        </r>
        <r>
          <rPr>
            <sz val="8"/>
            <color indexed="81"/>
            <rFont val="Tahoma"/>
            <family val="2"/>
          </rPr>
          <t xml:space="preserve">
world bank</t>
        </r>
      </text>
    </comment>
    <comment ref="S20" authorId="0">
      <text>
        <r>
          <rPr>
            <b/>
            <sz val="8"/>
            <color indexed="81"/>
            <rFont val="Tahoma"/>
            <family val="2"/>
          </rPr>
          <t>vagarwal:</t>
        </r>
        <r>
          <rPr>
            <sz val="8"/>
            <color indexed="81"/>
            <rFont val="Tahoma"/>
            <family val="2"/>
          </rPr>
          <t xml:space="preserve">
world bank</t>
        </r>
      </text>
    </comment>
    <comment ref="T20" authorId="0">
      <text>
        <r>
          <rPr>
            <b/>
            <sz val="8"/>
            <color indexed="81"/>
            <rFont val="Tahoma"/>
            <family val="2"/>
          </rPr>
          <t>vagarwal:</t>
        </r>
        <r>
          <rPr>
            <sz val="8"/>
            <color indexed="81"/>
            <rFont val="Tahoma"/>
            <family val="2"/>
          </rPr>
          <t xml:space="preserve">
world bank</t>
        </r>
      </text>
    </comment>
    <comment ref="L21" authorId="0">
      <text>
        <r>
          <rPr>
            <b/>
            <sz val="8"/>
            <color indexed="81"/>
            <rFont val="Tahoma"/>
            <family val="2"/>
          </rPr>
          <t>vagarwal:</t>
        </r>
        <r>
          <rPr>
            <sz val="8"/>
            <color indexed="81"/>
            <rFont val="Tahoma"/>
            <family val="2"/>
          </rPr>
          <t xml:space="preserve">
world bank</t>
        </r>
      </text>
    </comment>
    <comment ref="M21" authorId="0">
      <text>
        <r>
          <rPr>
            <b/>
            <sz val="8"/>
            <color indexed="81"/>
            <rFont val="Tahoma"/>
            <family val="2"/>
          </rPr>
          <t>vagarwal:</t>
        </r>
        <r>
          <rPr>
            <sz val="8"/>
            <color indexed="81"/>
            <rFont val="Tahoma"/>
            <family val="2"/>
          </rPr>
          <t xml:space="preserve">
world bank</t>
        </r>
      </text>
    </comment>
    <comment ref="N21" authorId="0">
      <text>
        <r>
          <rPr>
            <b/>
            <sz val="8"/>
            <color indexed="81"/>
            <rFont val="Tahoma"/>
            <family val="2"/>
          </rPr>
          <t>vagarwal:</t>
        </r>
        <r>
          <rPr>
            <sz val="8"/>
            <color indexed="81"/>
            <rFont val="Tahoma"/>
            <family val="2"/>
          </rPr>
          <t xml:space="preserve">
world bank</t>
        </r>
      </text>
    </comment>
    <comment ref="O21" authorId="0">
      <text>
        <r>
          <rPr>
            <b/>
            <sz val="8"/>
            <color indexed="81"/>
            <rFont val="Tahoma"/>
            <family val="2"/>
          </rPr>
          <t>vagarwal:</t>
        </r>
        <r>
          <rPr>
            <sz val="8"/>
            <color indexed="81"/>
            <rFont val="Tahoma"/>
            <family val="2"/>
          </rPr>
          <t xml:space="preserve">
world bank</t>
        </r>
      </text>
    </comment>
    <comment ref="P21" authorId="0">
      <text>
        <r>
          <rPr>
            <b/>
            <sz val="8"/>
            <color indexed="81"/>
            <rFont val="Tahoma"/>
            <family val="2"/>
          </rPr>
          <t>vagarwal:</t>
        </r>
        <r>
          <rPr>
            <sz val="8"/>
            <color indexed="81"/>
            <rFont val="Tahoma"/>
            <family val="2"/>
          </rPr>
          <t xml:space="preserve">
world bank</t>
        </r>
      </text>
    </comment>
    <comment ref="Q21" authorId="0">
      <text>
        <r>
          <rPr>
            <b/>
            <sz val="8"/>
            <color indexed="81"/>
            <rFont val="Tahoma"/>
            <family val="2"/>
          </rPr>
          <t>vagarwal:</t>
        </r>
        <r>
          <rPr>
            <sz val="8"/>
            <color indexed="81"/>
            <rFont val="Tahoma"/>
            <family val="2"/>
          </rPr>
          <t xml:space="preserve">
world bank</t>
        </r>
      </text>
    </comment>
    <comment ref="R21" authorId="0">
      <text>
        <r>
          <rPr>
            <b/>
            <sz val="8"/>
            <color indexed="81"/>
            <rFont val="Tahoma"/>
            <family val="2"/>
          </rPr>
          <t>vagarwal:</t>
        </r>
        <r>
          <rPr>
            <sz val="8"/>
            <color indexed="81"/>
            <rFont val="Tahoma"/>
            <family val="2"/>
          </rPr>
          <t xml:space="preserve">
world bank</t>
        </r>
      </text>
    </comment>
    <comment ref="S21" authorId="0">
      <text>
        <r>
          <rPr>
            <b/>
            <sz val="8"/>
            <color indexed="81"/>
            <rFont val="Tahoma"/>
            <family val="2"/>
          </rPr>
          <t>vagarwal:</t>
        </r>
        <r>
          <rPr>
            <sz val="8"/>
            <color indexed="81"/>
            <rFont val="Tahoma"/>
            <family val="2"/>
          </rPr>
          <t xml:space="preserve">
world bank</t>
        </r>
      </text>
    </comment>
    <comment ref="T21" authorId="0">
      <text>
        <r>
          <rPr>
            <b/>
            <sz val="8"/>
            <color indexed="81"/>
            <rFont val="Tahoma"/>
            <family val="2"/>
          </rPr>
          <t>vagarwal:</t>
        </r>
        <r>
          <rPr>
            <sz val="8"/>
            <color indexed="81"/>
            <rFont val="Tahoma"/>
            <family val="2"/>
          </rPr>
          <t xml:space="preserve">
world bank</t>
        </r>
      </text>
    </comment>
    <comment ref="L22" authorId="0">
      <text>
        <r>
          <rPr>
            <b/>
            <sz val="8"/>
            <color indexed="81"/>
            <rFont val="Tahoma"/>
            <family val="2"/>
          </rPr>
          <t>vagarwal:</t>
        </r>
        <r>
          <rPr>
            <sz val="8"/>
            <color indexed="81"/>
            <rFont val="Tahoma"/>
            <family val="2"/>
          </rPr>
          <t xml:space="preserve">
world bank</t>
        </r>
      </text>
    </comment>
    <comment ref="M22" authorId="0">
      <text>
        <r>
          <rPr>
            <b/>
            <sz val="8"/>
            <color indexed="81"/>
            <rFont val="Tahoma"/>
            <family val="2"/>
          </rPr>
          <t>vagarwal:</t>
        </r>
        <r>
          <rPr>
            <sz val="8"/>
            <color indexed="81"/>
            <rFont val="Tahoma"/>
            <family val="2"/>
          </rPr>
          <t xml:space="preserve">
world bank</t>
        </r>
      </text>
    </comment>
    <comment ref="N22" authorId="0">
      <text>
        <r>
          <rPr>
            <b/>
            <sz val="8"/>
            <color indexed="81"/>
            <rFont val="Tahoma"/>
            <family val="2"/>
          </rPr>
          <t>vagarwal:</t>
        </r>
        <r>
          <rPr>
            <sz val="8"/>
            <color indexed="81"/>
            <rFont val="Tahoma"/>
            <family val="2"/>
          </rPr>
          <t xml:space="preserve">
world bank</t>
        </r>
      </text>
    </comment>
    <comment ref="O22" authorId="0">
      <text>
        <r>
          <rPr>
            <b/>
            <sz val="8"/>
            <color indexed="81"/>
            <rFont val="Tahoma"/>
            <family val="2"/>
          </rPr>
          <t>vagarwal:</t>
        </r>
        <r>
          <rPr>
            <sz val="8"/>
            <color indexed="81"/>
            <rFont val="Tahoma"/>
            <family val="2"/>
          </rPr>
          <t xml:space="preserve">
world bank</t>
        </r>
      </text>
    </comment>
    <comment ref="P22" authorId="0">
      <text>
        <r>
          <rPr>
            <b/>
            <sz val="8"/>
            <color indexed="81"/>
            <rFont val="Tahoma"/>
            <family val="2"/>
          </rPr>
          <t>vagarwal:</t>
        </r>
        <r>
          <rPr>
            <sz val="8"/>
            <color indexed="81"/>
            <rFont val="Tahoma"/>
            <family val="2"/>
          </rPr>
          <t xml:space="preserve">
world bank</t>
        </r>
      </text>
    </comment>
    <comment ref="Q22" authorId="0">
      <text>
        <r>
          <rPr>
            <b/>
            <sz val="8"/>
            <color indexed="81"/>
            <rFont val="Tahoma"/>
            <family val="2"/>
          </rPr>
          <t>vagarwal:</t>
        </r>
        <r>
          <rPr>
            <sz val="8"/>
            <color indexed="81"/>
            <rFont val="Tahoma"/>
            <family val="2"/>
          </rPr>
          <t xml:space="preserve">
world bank</t>
        </r>
      </text>
    </comment>
    <comment ref="R22" authorId="0">
      <text>
        <r>
          <rPr>
            <b/>
            <sz val="8"/>
            <color indexed="81"/>
            <rFont val="Tahoma"/>
            <family val="2"/>
          </rPr>
          <t>vagarwal:</t>
        </r>
        <r>
          <rPr>
            <sz val="8"/>
            <color indexed="81"/>
            <rFont val="Tahoma"/>
            <family val="2"/>
          </rPr>
          <t xml:space="preserve">
world bank</t>
        </r>
      </text>
    </comment>
    <comment ref="S22" authorId="0">
      <text>
        <r>
          <rPr>
            <b/>
            <sz val="8"/>
            <color indexed="81"/>
            <rFont val="Tahoma"/>
            <family val="2"/>
          </rPr>
          <t>vagarwal:</t>
        </r>
        <r>
          <rPr>
            <sz val="8"/>
            <color indexed="81"/>
            <rFont val="Tahoma"/>
            <family val="2"/>
          </rPr>
          <t xml:space="preserve">
world bank</t>
        </r>
      </text>
    </comment>
    <comment ref="T22" authorId="0">
      <text>
        <r>
          <rPr>
            <b/>
            <sz val="8"/>
            <color indexed="81"/>
            <rFont val="Tahoma"/>
            <family val="2"/>
          </rPr>
          <t>vagarwal:</t>
        </r>
        <r>
          <rPr>
            <sz val="8"/>
            <color indexed="81"/>
            <rFont val="Tahoma"/>
            <family val="2"/>
          </rPr>
          <t xml:space="preserve">
world bank</t>
        </r>
      </text>
    </comment>
    <comment ref="L23" authorId="0">
      <text>
        <r>
          <rPr>
            <b/>
            <sz val="8"/>
            <color indexed="81"/>
            <rFont val="Tahoma"/>
            <family val="2"/>
          </rPr>
          <t>vagarwal:</t>
        </r>
        <r>
          <rPr>
            <sz val="8"/>
            <color indexed="81"/>
            <rFont val="Tahoma"/>
            <family val="2"/>
          </rPr>
          <t xml:space="preserve">
world bank</t>
        </r>
      </text>
    </comment>
    <comment ref="M23" authorId="0">
      <text>
        <r>
          <rPr>
            <b/>
            <sz val="8"/>
            <color indexed="81"/>
            <rFont val="Tahoma"/>
            <family val="2"/>
          </rPr>
          <t>vagarwal:</t>
        </r>
        <r>
          <rPr>
            <sz val="8"/>
            <color indexed="81"/>
            <rFont val="Tahoma"/>
            <family val="2"/>
          </rPr>
          <t xml:space="preserve">
world bank</t>
        </r>
      </text>
    </comment>
    <comment ref="N23" authorId="0">
      <text>
        <r>
          <rPr>
            <b/>
            <sz val="8"/>
            <color indexed="81"/>
            <rFont val="Tahoma"/>
            <family val="2"/>
          </rPr>
          <t>vagarwal:</t>
        </r>
        <r>
          <rPr>
            <sz val="8"/>
            <color indexed="81"/>
            <rFont val="Tahoma"/>
            <family val="2"/>
          </rPr>
          <t xml:space="preserve">
world bank</t>
        </r>
      </text>
    </comment>
    <comment ref="O23" authorId="0">
      <text>
        <r>
          <rPr>
            <b/>
            <sz val="8"/>
            <color indexed="81"/>
            <rFont val="Tahoma"/>
            <family val="2"/>
          </rPr>
          <t>vagarwal:</t>
        </r>
        <r>
          <rPr>
            <sz val="8"/>
            <color indexed="81"/>
            <rFont val="Tahoma"/>
            <family val="2"/>
          </rPr>
          <t xml:space="preserve">
world bank</t>
        </r>
      </text>
    </comment>
    <comment ref="P23" authorId="0">
      <text>
        <r>
          <rPr>
            <b/>
            <sz val="8"/>
            <color indexed="81"/>
            <rFont val="Tahoma"/>
            <family val="2"/>
          </rPr>
          <t>vagarwal:</t>
        </r>
        <r>
          <rPr>
            <sz val="8"/>
            <color indexed="81"/>
            <rFont val="Tahoma"/>
            <family val="2"/>
          </rPr>
          <t xml:space="preserve">
world bank</t>
        </r>
      </text>
    </comment>
    <comment ref="Q23" authorId="0">
      <text>
        <r>
          <rPr>
            <b/>
            <sz val="8"/>
            <color indexed="81"/>
            <rFont val="Tahoma"/>
            <family val="2"/>
          </rPr>
          <t>vagarwal:</t>
        </r>
        <r>
          <rPr>
            <sz val="8"/>
            <color indexed="81"/>
            <rFont val="Tahoma"/>
            <family val="2"/>
          </rPr>
          <t xml:space="preserve">
world bank</t>
        </r>
      </text>
    </comment>
    <comment ref="R23" authorId="0">
      <text>
        <r>
          <rPr>
            <b/>
            <sz val="8"/>
            <color indexed="81"/>
            <rFont val="Tahoma"/>
            <family val="2"/>
          </rPr>
          <t>vagarwal:</t>
        </r>
        <r>
          <rPr>
            <sz val="8"/>
            <color indexed="81"/>
            <rFont val="Tahoma"/>
            <family val="2"/>
          </rPr>
          <t xml:space="preserve">
world bank</t>
        </r>
      </text>
    </comment>
    <comment ref="S23" authorId="0">
      <text>
        <r>
          <rPr>
            <b/>
            <sz val="8"/>
            <color indexed="81"/>
            <rFont val="Tahoma"/>
            <family val="2"/>
          </rPr>
          <t>vagarwal:</t>
        </r>
        <r>
          <rPr>
            <sz val="8"/>
            <color indexed="81"/>
            <rFont val="Tahoma"/>
            <family val="2"/>
          </rPr>
          <t xml:space="preserve">
world bank</t>
        </r>
      </text>
    </comment>
    <comment ref="T23" authorId="0">
      <text>
        <r>
          <rPr>
            <b/>
            <sz val="8"/>
            <color indexed="81"/>
            <rFont val="Tahoma"/>
            <family val="2"/>
          </rPr>
          <t>vagarwal:</t>
        </r>
        <r>
          <rPr>
            <sz val="8"/>
            <color indexed="81"/>
            <rFont val="Tahoma"/>
            <family val="2"/>
          </rPr>
          <t xml:space="preserve">
world bank</t>
        </r>
      </text>
    </comment>
    <comment ref="L24" authorId="0">
      <text>
        <r>
          <rPr>
            <b/>
            <sz val="8"/>
            <color indexed="81"/>
            <rFont val="Tahoma"/>
            <family val="2"/>
          </rPr>
          <t>vagarwal:</t>
        </r>
        <r>
          <rPr>
            <sz val="8"/>
            <color indexed="81"/>
            <rFont val="Tahoma"/>
            <family val="2"/>
          </rPr>
          <t xml:space="preserve">
world bank</t>
        </r>
      </text>
    </comment>
    <comment ref="M24" authorId="0">
      <text>
        <r>
          <rPr>
            <b/>
            <sz val="8"/>
            <color indexed="81"/>
            <rFont val="Tahoma"/>
            <family val="2"/>
          </rPr>
          <t>vagarwal:</t>
        </r>
        <r>
          <rPr>
            <sz val="8"/>
            <color indexed="81"/>
            <rFont val="Tahoma"/>
            <family val="2"/>
          </rPr>
          <t xml:space="preserve">
world bank</t>
        </r>
      </text>
    </comment>
    <comment ref="N24" authorId="0">
      <text>
        <r>
          <rPr>
            <b/>
            <sz val="8"/>
            <color indexed="81"/>
            <rFont val="Tahoma"/>
            <family val="2"/>
          </rPr>
          <t>vagarwal:</t>
        </r>
        <r>
          <rPr>
            <sz val="8"/>
            <color indexed="81"/>
            <rFont val="Tahoma"/>
            <family val="2"/>
          </rPr>
          <t xml:space="preserve">
world bank</t>
        </r>
      </text>
    </comment>
    <comment ref="O24" authorId="0">
      <text>
        <r>
          <rPr>
            <b/>
            <sz val="8"/>
            <color indexed="81"/>
            <rFont val="Tahoma"/>
            <family val="2"/>
          </rPr>
          <t>vagarwal:</t>
        </r>
        <r>
          <rPr>
            <sz val="8"/>
            <color indexed="81"/>
            <rFont val="Tahoma"/>
            <family val="2"/>
          </rPr>
          <t xml:space="preserve">
world bank</t>
        </r>
      </text>
    </comment>
    <comment ref="P24" authorId="0">
      <text>
        <r>
          <rPr>
            <b/>
            <sz val="8"/>
            <color indexed="81"/>
            <rFont val="Tahoma"/>
            <family val="2"/>
          </rPr>
          <t>vagarwal:</t>
        </r>
        <r>
          <rPr>
            <sz val="8"/>
            <color indexed="81"/>
            <rFont val="Tahoma"/>
            <family val="2"/>
          </rPr>
          <t xml:space="preserve">
world bank</t>
        </r>
      </text>
    </comment>
    <comment ref="Q24" authorId="0">
      <text>
        <r>
          <rPr>
            <b/>
            <sz val="8"/>
            <color indexed="81"/>
            <rFont val="Tahoma"/>
            <family val="2"/>
          </rPr>
          <t>vagarwal:</t>
        </r>
        <r>
          <rPr>
            <sz val="8"/>
            <color indexed="81"/>
            <rFont val="Tahoma"/>
            <family val="2"/>
          </rPr>
          <t xml:space="preserve">
world bank</t>
        </r>
      </text>
    </comment>
    <comment ref="R24" authorId="0">
      <text>
        <r>
          <rPr>
            <b/>
            <sz val="8"/>
            <color indexed="81"/>
            <rFont val="Tahoma"/>
            <family val="2"/>
          </rPr>
          <t>vagarwal:</t>
        </r>
        <r>
          <rPr>
            <sz val="8"/>
            <color indexed="81"/>
            <rFont val="Tahoma"/>
            <family val="2"/>
          </rPr>
          <t xml:space="preserve">
world bank</t>
        </r>
      </text>
    </comment>
    <comment ref="S24" authorId="0">
      <text>
        <r>
          <rPr>
            <b/>
            <sz val="8"/>
            <color indexed="81"/>
            <rFont val="Tahoma"/>
            <family val="2"/>
          </rPr>
          <t>vagarwal:</t>
        </r>
        <r>
          <rPr>
            <sz val="8"/>
            <color indexed="81"/>
            <rFont val="Tahoma"/>
            <family val="2"/>
          </rPr>
          <t xml:space="preserve">
world bank</t>
        </r>
      </text>
    </comment>
    <comment ref="T24" authorId="0">
      <text>
        <r>
          <rPr>
            <b/>
            <sz val="8"/>
            <color indexed="81"/>
            <rFont val="Tahoma"/>
            <family val="2"/>
          </rPr>
          <t>vagarwal:</t>
        </r>
        <r>
          <rPr>
            <sz val="8"/>
            <color indexed="81"/>
            <rFont val="Tahoma"/>
            <family val="2"/>
          </rPr>
          <t xml:space="preserve">
world bank</t>
        </r>
      </text>
    </comment>
    <comment ref="L25" authorId="0">
      <text>
        <r>
          <rPr>
            <b/>
            <sz val="8"/>
            <color indexed="81"/>
            <rFont val="Tahoma"/>
            <family val="2"/>
          </rPr>
          <t>vagarwal:</t>
        </r>
        <r>
          <rPr>
            <sz val="8"/>
            <color indexed="81"/>
            <rFont val="Tahoma"/>
            <family val="2"/>
          </rPr>
          <t xml:space="preserve">
world bank</t>
        </r>
      </text>
    </comment>
    <comment ref="M25" authorId="0">
      <text>
        <r>
          <rPr>
            <b/>
            <sz val="8"/>
            <color indexed="81"/>
            <rFont val="Tahoma"/>
            <family val="2"/>
          </rPr>
          <t>vagarwal:</t>
        </r>
        <r>
          <rPr>
            <sz val="8"/>
            <color indexed="81"/>
            <rFont val="Tahoma"/>
            <family val="2"/>
          </rPr>
          <t xml:space="preserve">
world bank</t>
        </r>
      </text>
    </comment>
    <comment ref="N25" authorId="0">
      <text>
        <r>
          <rPr>
            <b/>
            <sz val="8"/>
            <color indexed="81"/>
            <rFont val="Tahoma"/>
            <family val="2"/>
          </rPr>
          <t>vagarwal:</t>
        </r>
        <r>
          <rPr>
            <sz val="8"/>
            <color indexed="81"/>
            <rFont val="Tahoma"/>
            <family val="2"/>
          </rPr>
          <t xml:space="preserve">
world bank</t>
        </r>
      </text>
    </comment>
    <comment ref="O25" authorId="0">
      <text>
        <r>
          <rPr>
            <b/>
            <sz val="8"/>
            <color indexed="81"/>
            <rFont val="Tahoma"/>
            <family val="2"/>
          </rPr>
          <t>vagarwal:</t>
        </r>
        <r>
          <rPr>
            <sz val="8"/>
            <color indexed="81"/>
            <rFont val="Tahoma"/>
            <family val="2"/>
          </rPr>
          <t xml:space="preserve">
world bank</t>
        </r>
      </text>
    </comment>
    <comment ref="P25" authorId="0">
      <text>
        <r>
          <rPr>
            <b/>
            <sz val="8"/>
            <color indexed="81"/>
            <rFont val="Tahoma"/>
            <family val="2"/>
          </rPr>
          <t>vagarwal:</t>
        </r>
        <r>
          <rPr>
            <sz val="8"/>
            <color indexed="81"/>
            <rFont val="Tahoma"/>
            <family val="2"/>
          </rPr>
          <t xml:space="preserve">
world bank</t>
        </r>
      </text>
    </comment>
    <comment ref="Q25" authorId="0">
      <text>
        <r>
          <rPr>
            <b/>
            <sz val="8"/>
            <color indexed="81"/>
            <rFont val="Tahoma"/>
            <family val="2"/>
          </rPr>
          <t>vagarwal:</t>
        </r>
        <r>
          <rPr>
            <sz val="8"/>
            <color indexed="81"/>
            <rFont val="Tahoma"/>
            <family val="2"/>
          </rPr>
          <t xml:space="preserve">
world bank</t>
        </r>
      </text>
    </comment>
    <comment ref="R25" authorId="0">
      <text>
        <r>
          <rPr>
            <b/>
            <sz val="8"/>
            <color indexed="81"/>
            <rFont val="Tahoma"/>
            <family val="2"/>
          </rPr>
          <t>vagarwal:</t>
        </r>
        <r>
          <rPr>
            <sz val="8"/>
            <color indexed="81"/>
            <rFont val="Tahoma"/>
            <family val="2"/>
          </rPr>
          <t xml:space="preserve">
world bank</t>
        </r>
      </text>
    </comment>
    <comment ref="S25" authorId="0">
      <text>
        <r>
          <rPr>
            <b/>
            <sz val="8"/>
            <color indexed="81"/>
            <rFont val="Tahoma"/>
            <family val="2"/>
          </rPr>
          <t>vagarwal:</t>
        </r>
        <r>
          <rPr>
            <sz val="8"/>
            <color indexed="81"/>
            <rFont val="Tahoma"/>
            <family val="2"/>
          </rPr>
          <t xml:space="preserve">
world bank</t>
        </r>
      </text>
    </comment>
    <comment ref="T25" authorId="0">
      <text>
        <r>
          <rPr>
            <b/>
            <sz val="8"/>
            <color indexed="81"/>
            <rFont val="Tahoma"/>
            <family val="2"/>
          </rPr>
          <t>vagarwal:</t>
        </r>
        <r>
          <rPr>
            <sz val="8"/>
            <color indexed="81"/>
            <rFont val="Tahoma"/>
            <family val="2"/>
          </rPr>
          <t xml:space="preserve">
world bank</t>
        </r>
      </text>
    </comment>
    <comment ref="L26" authorId="0">
      <text>
        <r>
          <rPr>
            <b/>
            <sz val="8"/>
            <color indexed="81"/>
            <rFont val="Tahoma"/>
            <family val="2"/>
          </rPr>
          <t>vagarwal:</t>
        </r>
        <r>
          <rPr>
            <sz val="8"/>
            <color indexed="81"/>
            <rFont val="Tahoma"/>
            <family val="2"/>
          </rPr>
          <t xml:space="preserve">
world bank</t>
        </r>
      </text>
    </comment>
    <comment ref="M26" authorId="0">
      <text>
        <r>
          <rPr>
            <b/>
            <sz val="8"/>
            <color indexed="81"/>
            <rFont val="Tahoma"/>
            <family val="2"/>
          </rPr>
          <t>vagarwal:</t>
        </r>
        <r>
          <rPr>
            <sz val="8"/>
            <color indexed="81"/>
            <rFont val="Tahoma"/>
            <family val="2"/>
          </rPr>
          <t xml:space="preserve">
world bank</t>
        </r>
      </text>
    </comment>
    <comment ref="N26" authorId="0">
      <text>
        <r>
          <rPr>
            <b/>
            <sz val="8"/>
            <color indexed="81"/>
            <rFont val="Tahoma"/>
            <family val="2"/>
          </rPr>
          <t>vagarwal:</t>
        </r>
        <r>
          <rPr>
            <sz val="8"/>
            <color indexed="81"/>
            <rFont val="Tahoma"/>
            <family val="2"/>
          </rPr>
          <t xml:space="preserve">
world bank</t>
        </r>
      </text>
    </comment>
    <comment ref="O26" authorId="0">
      <text>
        <r>
          <rPr>
            <b/>
            <sz val="8"/>
            <color indexed="81"/>
            <rFont val="Tahoma"/>
            <family val="2"/>
          </rPr>
          <t>vagarwal:</t>
        </r>
        <r>
          <rPr>
            <sz val="8"/>
            <color indexed="81"/>
            <rFont val="Tahoma"/>
            <family val="2"/>
          </rPr>
          <t xml:space="preserve">
world bank</t>
        </r>
      </text>
    </comment>
    <comment ref="P26" authorId="0">
      <text>
        <r>
          <rPr>
            <b/>
            <sz val="8"/>
            <color indexed="81"/>
            <rFont val="Tahoma"/>
            <family val="2"/>
          </rPr>
          <t>vagarwal:</t>
        </r>
        <r>
          <rPr>
            <sz val="8"/>
            <color indexed="81"/>
            <rFont val="Tahoma"/>
            <family val="2"/>
          </rPr>
          <t xml:space="preserve">
world bank</t>
        </r>
      </text>
    </comment>
    <comment ref="Q26" authorId="0">
      <text>
        <r>
          <rPr>
            <b/>
            <sz val="8"/>
            <color indexed="81"/>
            <rFont val="Tahoma"/>
            <family val="2"/>
          </rPr>
          <t>vagarwal:</t>
        </r>
        <r>
          <rPr>
            <sz val="8"/>
            <color indexed="81"/>
            <rFont val="Tahoma"/>
            <family val="2"/>
          </rPr>
          <t xml:space="preserve">
world bank</t>
        </r>
      </text>
    </comment>
    <comment ref="R26" authorId="0">
      <text>
        <r>
          <rPr>
            <b/>
            <sz val="8"/>
            <color indexed="81"/>
            <rFont val="Tahoma"/>
            <family val="2"/>
          </rPr>
          <t>vagarwal:</t>
        </r>
        <r>
          <rPr>
            <sz val="8"/>
            <color indexed="81"/>
            <rFont val="Tahoma"/>
            <family val="2"/>
          </rPr>
          <t xml:space="preserve">
world bank</t>
        </r>
      </text>
    </comment>
    <comment ref="S26" authorId="0">
      <text>
        <r>
          <rPr>
            <b/>
            <sz val="8"/>
            <color indexed="81"/>
            <rFont val="Tahoma"/>
            <family val="2"/>
          </rPr>
          <t>vagarwal:</t>
        </r>
        <r>
          <rPr>
            <sz val="8"/>
            <color indexed="81"/>
            <rFont val="Tahoma"/>
            <family val="2"/>
          </rPr>
          <t xml:space="preserve">
world bank</t>
        </r>
      </text>
    </comment>
    <comment ref="T26" authorId="0">
      <text>
        <r>
          <rPr>
            <b/>
            <sz val="8"/>
            <color indexed="81"/>
            <rFont val="Tahoma"/>
            <family val="2"/>
          </rPr>
          <t>vagarwal:</t>
        </r>
        <r>
          <rPr>
            <sz val="8"/>
            <color indexed="81"/>
            <rFont val="Tahoma"/>
            <family val="2"/>
          </rPr>
          <t xml:space="preserve">
world bank</t>
        </r>
      </text>
    </comment>
    <comment ref="L27" authorId="0">
      <text>
        <r>
          <rPr>
            <b/>
            <sz val="8"/>
            <color indexed="81"/>
            <rFont val="Tahoma"/>
            <family val="2"/>
          </rPr>
          <t>vagarwal:</t>
        </r>
        <r>
          <rPr>
            <sz val="8"/>
            <color indexed="81"/>
            <rFont val="Tahoma"/>
            <family val="2"/>
          </rPr>
          <t xml:space="preserve">
world bank</t>
        </r>
      </text>
    </comment>
    <comment ref="M27" authorId="0">
      <text>
        <r>
          <rPr>
            <b/>
            <sz val="8"/>
            <color indexed="81"/>
            <rFont val="Tahoma"/>
            <family val="2"/>
          </rPr>
          <t>vagarwal:</t>
        </r>
        <r>
          <rPr>
            <sz val="8"/>
            <color indexed="81"/>
            <rFont val="Tahoma"/>
            <family val="2"/>
          </rPr>
          <t xml:space="preserve">
world bank</t>
        </r>
      </text>
    </comment>
    <comment ref="N27" authorId="0">
      <text>
        <r>
          <rPr>
            <b/>
            <sz val="8"/>
            <color indexed="81"/>
            <rFont val="Tahoma"/>
            <family val="2"/>
          </rPr>
          <t>vagarwal:</t>
        </r>
        <r>
          <rPr>
            <sz val="8"/>
            <color indexed="81"/>
            <rFont val="Tahoma"/>
            <family val="2"/>
          </rPr>
          <t xml:space="preserve">
world bank</t>
        </r>
      </text>
    </comment>
    <comment ref="O27" authorId="0">
      <text>
        <r>
          <rPr>
            <b/>
            <sz val="8"/>
            <color indexed="81"/>
            <rFont val="Tahoma"/>
            <family val="2"/>
          </rPr>
          <t>vagarwal:</t>
        </r>
        <r>
          <rPr>
            <sz val="8"/>
            <color indexed="81"/>
            <rFont val="Tahoma"/>
            <family val="2"/>
          </rPr>
          <t xml:space="preserve">
world bank</t>
        </r>
      </text>
    </comment>
    <comment ref="P27" authorId="0">
      <text>
        <r>
          <rPr>
            <b/>
            <sz val="8"/>
            <color indexed="81"/>
            <rFont val="Tahoma"/>
            <family val="2"/>
          </rPr>
          <t>vagarwal:</t>
        </r>
        <r>
          <rPr>
            <sz val="8"/>
            <color indexed="81"/>
            <rFont val="Tahoma"/>
            <family val="2"/>
          </rPr>
          <t xml:space="preserve">
world bank</t>
        </r>
      </text>
    </comment>
    <comment ref="Q27" authorId="0">
      <text>
        <r>
          <rPr>
            <b/>
            <sz val="8"/>
            <color indexed="81"/>
            <rFont val="Tahoma"/>
            <family val="2"/>
          </rPr>
          <t>vagarwal:</t>
        </r>
        <r>
          <rPr>
            <sz val="8"/>
            <color indexed="81"/>
            <rFont val="Tahoma"/>
            <family val="2"/>
          </rPr>
          <t xml:space="preserve">
world bank</t>
        </r>
      </text>
    </comment>
    <comment ref="R27" authorId="0">
      <text>
        <r>
          <rPr>
            <b/>
            <sz val="8"/>
            <color indexed="81"/>
            <rFont val="Tahoma"/>
            <family val="2"/>
          </rPr>
          <t>vagarwal:</t>
        </r>
        <r>
          <rPr>
            <sz val="8"/>
            <color indexed="81"/>
            <rFont val="Tahoma"/>
            <family val="2"/>
          </rPr>
          <t xml:space="preserve">
world bank</t>
        </r>
      </text>
    </comment>
    <comment ref="S27" authorId="0">
      <text>
        <r>
          <rPr>
            <b/>
            <sz val="8"/>
            <color indexed="81"/>
            <rFont val="Tahoma"/>
            <family val="2"/>
          </rPr>
          <t>vagarwal:</t>
        </r>
        <r>
          <rPr>
            <sz val="8"/>
            <color indexed="81"/>
            <rFont val="Tahoma"/>
            <family val="2"/>
          </rPr>
          <t xml:space="preserve">
world bank</t>
        </r>
      </text>
    </comment>
    <comment ref="T27" authorId="0">
      <text>
        <r>
          <rPr>
            <b/>
            <sz val="8"/>
            <color indexed="81"/>
            <rFont val="Tahoma"/>
            <family val="2"/>
          </rPr>
          <t>vagarwal:</t>
        </r>
        <r>
          <rPr>
            <sz val="8"/>
            <color indexed="81"/>
            <rFont val="Tahoma"/>
            <family val="2"/>
          </rPr>
          <t xml:space="preserve">
world bank</t>
        </r>
      </text>
    </comment>
    <comment ref="L28" authorId="0">
      <text>
        <r>
          <rPr>
            <b/>
            <sz val="8"/>
            <color indexed="81"/>
            <rFont val="Tahoma"/>
            <family val="2"/>
          </rPr>
          <t>vagarwal:</t>
        </r>
        <r>
          <rPr>
            <sz val="8"/>
            <color indexed="81"/>
            <rFont val="Tahoma"/>
            <family val="2"/>
          </rPr>
          <t xml:space="preserve">
world bank</t>
        </r>
      </text>
    </comment>
    <comment ref="M28" authorId="0">
      <text>
        <r>
          <rPr>
            <b/>
            <sz val="8"/>
            <color indexed="81"/>
            <rFont val="Tahoma"/>
            <family val="2"/>
          </rPr>
          <t>vagarwal:</t>
        </r>
        <r>
          <rPr>
            <sz val="8"/>
            <color indexed="81"/>
            <rFont val="Tahoma"/>
            <family val="2"/>
          </rPr>
          <t xml:space="preserve">
world bank</t>
        </r>
      </text>
    </comment>
    <comment ref="N28" authorId="0">
      <text>
        <r>
          <rPr>
            <b/>
            <sz val="8"/>
            <color indexed="81"/>
            <rFont val="Tahoma"/>
            <family val="2"/>
          </rPr>
          <t>vagarwal:</t>
        </r>
        <r>
          <rPr>
            <sz val="8"/>
            <color indexed="81"/>
            <rFont val="Tahoma"/>
            <family val="2"/>
          </rPr>
          <t xml:space="preserve">
world bank</t>
        </r>
      </text>
    </comment>
    <comment ref="O28" authorId="0">
      <text>
        <r>
          <rPr>
            <b/>
            <sz val="8"/>
            <color indexed="81"/>
            <rFont val="Tahoma"/>
            <family val="2"/>
          </rPr>
          <t>vagarwal:</t>
        </r>
        <r>
          <rPr>
            <sz val="8"/>
            <color indexed="81"/>
            <rFont val="Tahoma"/>
            <family val="2"/>
          </rPr>
          <t xml:space="preserve">
world bank</t>
        </r>
      </text>
    </comment>
    <comment ref="P28" authorId="0">
      <text>
        <r>
          <rPr>
            <b/>
            <sz val="8"/>
            <color indexed="81"/>
            <rFont val="Tahoma"/>
            <family val="2"/>
          </rPr>
          <t>vagarwal:</t>
        </r>
        <r>
          <rPr>
            <sz val="8"/>
            <color indexed="81"/>
            <rFont val="Tahoma"/>
            <family val="2"/>
          </rPr>
          <t xml:space="preserve">
world bank</t>
        </r>
      </text>
    </comment>
    <comment ref="Q28" authorId="0">
      <text>
        <r>
          <rPr>
            <b/>
            <sz val="8"/>
            <color indexed="81"/>
            <rFont val="Tahoma"/>
            <family val="2"/>
          </rPr>
          <t>vagarwal:</t>
        </r>
        <r>
          <rPr>
            <sz val="8"/>
            <color indexed="81"/>
            <rFont val="Tahoma"/>
            <family val="2"/>
          </rPr>
          <t xml:space="preserve">
world bank</t>
        </r>
      </text>
    </comment>
    <comment ref="R28" authorId="0">
      <text>
        <r>
          <rPr>
            <b/>
            <sz val="8"/>
            <color indexed="81"/>
            <rFont val="Tahoma"/>
            <family val="2"/>
          </rPr>
          <t>vagarwal:</t>
        </r>
        <r>
          <rPr>
            <sz val="8"/>
            <color indexed="81"/>
            <rFont val="Tahoma"/>
            <family val="2"/>
          </rPr>
          <t xml:space="preserve">
world bank</t>
        </r>
      </text>
    </comment>
    <comment ref="S28" authorId="0">
      <text>
        <r>
          <rPr>
            <b/>
            <sz val="8"/>
            <color indexed="81"/>
            <rFont val="Tahoma"/>
            <family val="2"/>
          </rPr>
          <t>vagarwal:</t>
        </r>
        <r>
          <rPr>
            <sz val="8"/>
            <color indexed="81"/>
            <rFont val="Tahoma"/>
            <family val="2"/>
          </rPr>
          <t xml:space="preserve">
world bank</t>
        </r>
      </text>
    </comment>
    <comment ref="T28" authorId="0">
      <text>
        <r>
          <rPr>
            <b/>
            <sz val="8"/>
            <color indexed="81"/>
            <rFont val="Tahoma"/>
            <family val="2"/>
          </rPr>
          <t>vagarwal:</t>
        </r>
        <r>
          <rPr>
            <sz val="8"/>
            <color indexed="81"/>
            <rFont val="Tahoma"/>
            <family val="2"/>
          </rPr>
          <t xml:space="preserve">
world bank</t>
        </r>
      </text>
    </comment>
    <comment ref="L29" authorId="0">
      <text>
        <r>
          <rPr>
            <b/>
            <sz val="8"/>
            <color indexed="81"/>
            <rFont val="Tahoma"/>
            <family val="2"/>
          </rPr>
          <t>vagarwal:</t>
        </r>
        <r>
          <rPr>
            <sz val="8"/>
            <color indexed="81"/>
            <rFont val="Tahoma"/>
            <family val="2"/>
          </rPr>
          <t xml:space="preserve">
world bank</t>
        </r>
      </text>
    </comment>
    <comment ref="M29" authorId="0">
      <text>
        <r>
          <rPr>
            <b/>
            <sz val="8"/>
            <color indexed="81"/>
            <rFont val="Tahoma"/>
            <family val="2"/>
          </rPr>
          <t>vagarwal:</t>
        </r>
        <r>
          <rPr>
            <sz val="8"/>
            <color indexed="81"/>
            <rFont val="Tahoma"/>
            <family val="2"/>
          </rPr>
          <t xml:space="preserve">
world bank</t>
        </r>
      </text>
    </comment>
    <comment ref="N29" authorId="0">
      <text>
        <r>
          <rPr>
            <b/>
            <sz val="8"/>
            <color indexed="81"/>
            <rFont val="Tahoma"/>
            <family val="2"/>
          </rPr>
          <t>vagarwal:</t>
        </r>
        <r>
          <rPr>
            <sz val="8"/>
            <color indexed="81"/>
            <rFont val="Tahoma"/>
            <family val="2"/>
          </rPr>
          <t xml:space="preserve">
world bank</t>
        </r>
      </text>
    </comment>
    <comment ref="O29" authorId="0">
      <text>
        <r>
          <rPr>
            <b/>
            <sz val="8"/>
            <color indexed="81"/>
            <rFont val="Tahoma"/>
            <family val="2"/>
          </rPr>
          <t>vagarwal:</t>
        </r>
        <r>
          <rPr>
            <sz val="8"/>
            <color indexed="81"/>
            <rFont val="Tahoma"/>
            <family val="2"/>
          </rPr>
          <t xml:space="preserve">
world bank</t>
        </r>
      </text>
    </comment>
    <comment ref="P29" authorId="0">
      <text>
        <r>
          <rPr>
            <b/>
            <sz val="8"/>
            <color indexed="81"/>
            <rFont val="Tahoma"/>
            <family val="2"/>
          </rPr>
          <t>vagarwal:</t>
        </r>
        <r>
          <rPr>
            <sz val="8"/>
            <color indexed="81"/>
            <rFont val="Tahoma"/>
            <family val="2"/>
          </rPr>
          <t xml:space="preserve">
world bank</t>
        </r>
      </text>
    </comment>
    <comment ref="Q29" authorId="0">
      <text>
        <r>
          <rPr>
            <b/>
            <sz val="8"/>
            <color indexed="81"/>
            <rFont val="Tahoma"/>
            <family val="2"/>
          </rPr>
          <t>vagarwal:</t>
        </r>
        <r>
          <rPr>
            <sz val="8"/>
            <color indexed="81"/>
            <rFont val="Tahoma"/>
            <family val="2"/>
          </rPr>
          <t xml:space="preserve">
world bank</t>
        </r>
      </text>
    </comment>
    <comment ref="R29" authorId="0">
      <text>
        <r>
          <rPr>
            <b/>
            <sz val="8"/>
            <color indexed="81"/>
            <rFont val="Tahoma"/>
            <family val="2"/>
          </rPr>
          <t>vagarwal:</t>
        </r>
        <r>
          <rPr>
            <sz val="8"/>
            <color indexed="81"/>
            <rFont val="Tahoma"/>
            <family val="2"/>
          </rPr>
          <t xml:space="preserve">
world bank</t>
        </r>
      </text>
    </comment>
    <comment ref="S29" authorId="0">
      <text>
        <r>
          <rPr>
            <b/>
            <sz val="8"/>
            <color indexed="81"/>
            <rFont val="Tahoma"/>
            <family val="2"/>
          </rPr>
          <t>vagarwal:</t>
        </r>
        <r>
          <rPr>
            <sz val="8"/>
            <color indexed="81"/>
            <rFont val="Tahoma"/>
            <family val="2"/>
          </rPr>
          <t xml:space="preserve">
world bank</t>
        </r>
      </text>
    </comment>
    <comment ref="T29" authorId="0">
      <text>
        <r>
          <rPr>
            <b/>
            <sz val="8"/>
            <color indexed="81"/>
            <rFont val="Tahoma"/>
            <family val="2"/>
          </rPr>
          <t>vagarwal:</t>
        </r>
        <r>
          <rPr>
            <sz val="8"/>
            <color indexed="81"/>
            <rFont val="Tahoma"/>
            <family val="2"/>
          </rPr>
          <t xml:space="preserve">
world bank</t>
        </r>
      </text>
    </comment>
    <comment ref="L30" authorId="0">
      <text>
        <r>
          <rPr>
            <b/>
            <sz val="8"/>
            <color indexed="81"/>
            <rFont val="Tahoma"/>
            <family val="2"/>
          </rPr>
          <t>vagarwal:</t>
        </r>
        <r>
          <rPr>
            <sz val="8"/>
            <color indexed="81"/>
            <rFont val="Tahoma"/>
            <family val="2"/>
          </rPr>
          <t xml:space="preserve">
world bank</t>
        </r>
      </text>
    </comment>
    <comment ref="M30" authorId="0">
      <text>
        <r>
          <rPr>
            <b/>
            <sz val="8"/>
            <color indexed="81"/>
            <rFont val="Tahoma"/>
            <family val="2"/>
          </rPr>
          <t>vagarwal:</t>
        </r>
        <r>
          <rPr>
            <sz val="8"/>
            <color indexed="81"/>
            <rFont val="Tahoma"/>
            <family val="2"/>
          </rPr>
          <t xml:space="preserve">
world bank</t>
        </r>
      </text>
    </comment>
    <comment ref="N30" authorId="0">
      <text>
        <r>
          <rPr>
            <b/>
            <sz val="8"/>
            <color indexed="81"/>
            <rFont val="Tahoma"/>
            <family val="2"/>
          </rPr>
          <t>vagarwal:</t>
        </r>
        <r>
          <rPr>
            <sz val="8"/>
            <color indexed="81"/>
            <rFont val="Tahoma"/>
            <family val="2"/>
          </rPr>
          <t xml:space="preserve">
world bank</t>
        </r>
      </text>
    </comment>
    <comment ref="O30" authorId="0">
      <text>
        <r>
          <rPr>
            <b/>
            <sz val="8"/>
            <color indexed="81"/>
            <rFont val="Tahoma"/>
            <family val="2"/>
          </rPr>
          <t>vagarwal:</t>
        </r>
        <r>
          <rPr>
            <sz val="8"/>
            <color indexed="81"/>
            <rFont val="Tahoma"/>
            <family val="2"/>
          </rPr>
          <t xml:space="preserve">
world bank</t>
        </r>
      </text>
    </comment>
    <comment ref="P30" authorId="0">
      <text>
        <r>
          <rPr>
            <b/>
            <sz val="8"/>
            <color indexed="81"/>
            <rFont val="Tahoma"/>
            <family val="2"/>
          </rPr>
          <t>vagarwal:</t>
        </r>
        <r>
          <rPr>
            <sz val="8"/>
            <color indexed="81"/>
            <rFont val="Tahoma"/>
            <family val="2"/>
          </rPr>
          <t xml:space="preserve">
world bank</t>
        </r>
      </text>
    </comment>
    <comment ref="Q30" authorId="0">
      <text>
        <r>
          <rPr>
            <b/>
            <sz val="8"/>
            <color indexed="81"/>
            <rFont val="Tahoma"/>
            <family val="2"/>
          </rPr>
          <t>vagarwal:</t>
        </r>
        <r>
          <rPr>
            <sz val="8"/>
            <color indexed="81"/>
            <rFont val="Tahoma"/>
            <family val="2"/>
          </rPr>
          <t xml:space="preserve">
world bank</t>
        </r>
      </text>
    </comment>
    <comment ref="R30" authorId="0">
      <text>
        <r>
          <rPr>
            <b/>
            <sz val="8"/>
            <color indexed="81"/>
            <rFont val="Tahoma"/>
            <family val="2"/>
          </rPr>
          <t>vagarwal:</t>
        </r>
        <r>
          <rPr>
            <sz val="8"/>
            <color indexed="81"/>
            <rFont val="Tahoma"/>
            <family val="2"/>
          </rPr>
          <t xml:space="preserve">
world bank</t>
        </r>
      </text>
    </comment>
    <comment ref="S30" authorId="0">
      <text>
        <r>
          <rPr>
            <b/>
            <sz val="8"/>
            <color indexed="81"/>
            <rFont val="Tahoma"/>
            <family val="2"/>
          </rPr>
          <t>vagarwal:</t>
        </r>
        <r>
          <rPr>
            <sz val="8"/>
            <color indexed="81"/>
            <rFont val="Tahoma"/>
            <family val="2"/>
          </rPr>
          <t xml:space="preserve">
world bank</t>
        </r>
      </text>
    </comment>
    <comment ref="T30" authorId="0">
      <text>
        <r>
          <rPr>
            <b/>
            <sz val="8"/>
            <color indexed="81"/>
            <rFont val="Tahoma"/>
            <family val="2"/>
          </rPr>
          <t>vagarwal:</t>
        </r>
        <r>
          <rPr>
            <sz val="8"/>
            <color indexed="81"/>
            <rFont val="Tahoma"/>
            <family val="2"/>
          </rPr>
          <t xml:space="preserve">
world bank</t>
        </r>
      </text>
    </comment>
    <comment ref="L31" authorId="0">
      <text>
        <r>
          <rPr>
            <b/>
            <sz val="8"/>
            <color indexed="81"/>
            <rFont val="Tahoma"/>
            <family val="2"/>
          </rPr>
          <t>vagarwal:</t>
        </r>
        <r>
          <rPr>
            <sz val="8"/>
            <color indexed="81"/>
            <rFont val="Tahoma"/>
            <family val="2"/>
          </rPr>
          <t xml:space="preserve">
world bank</t>
        </r>
      </text>
    </comment>
    <comment ref="M31" authorId="0">
      <text>
        <r>
          <rPr>
            <b/>
            <sz val="8"/>
            <color indexed="81"/>
            <rFont val="Tahoma"/>
            <family val="2"/>
          </rPr>
          <t>vagarwal:</t>
        </r>
        <r>
          <rPr>
            <sz val="8"/>
            <color indexed="81"/>
            <rFont val="Tahoma"/>
            <family val="2"/>
          </rPr>
          <t xml:space="preserve">
world bank</t>
        </r>
      </text>
    </comment>
    <comment ref="N31" authorId="0">
      <text>
        <r>
          <rPr>
            <b/>
            <sz val="8"/>
            <color indexed="81"/>
            <rFont val="Tahoma"/>
            <family val="2"/>
          </rPr>
          <t>vagarwal:</t>
        </r>
        <r>
          <rPr>
            <sz val="8"/>
            <color indexed="81"/>
            <rFont val="Tahoma"/>
            <family val="2"/>
          </rPr>
          <t xml:space="preserve">
world bank</t>
        </r>
      </text>
    </comment>
    <comment ref="O31" authorId="0">
      <text>
        <r>
          <rPr>
            <b/>
            <sz val="8"/>
            <color indexed="81"/>
            <rFont val="Tahoma"/>
            <family val="2"/>
          </rPr>
          <t>vagarwal:</t>
        </r>
        <r>
          <rPr>
            <sz val="8"/>
            <color indexed="81"/>
            <rFont val="Tahoma"/>
            <family val="2"/>
          </rPr>
          <t xml:space="preserve">
world bank</t>
        </r>
      </text>
    </comment>
    <comment ref="P31" authorId="0">
      <text>
        <r>
          <rPr>
            <b/>
            <sz val="8"/>
            <color indexed="81"/>
            <rFont val="Tahoma"/>
            <family val="2"/>
          </rPr>
          <t>vagarwal:</t>
        </r>
        <r>
          <rPr>
            <sz val="8"/>
            <color indexed="81"/>
            <rFont val="Tahoma"/>
            <family val="2"/>
          </rPr>
          <t xml:space="preserve">
world bank</t>
        </r>
      </text>
    </comment>
    <comment ref="Q31" authorId="0">
      <text>
        <r>
          <rPr>
            <b/>
            <sz val="8"/>
            <color indexed="81"/>
            <rFont val="Tahoma"/>
            <family val="2"/>
          </rPr>
          <t>vagarwal:</t>
        </r>
        <r>
          <rPr>
            <sz val="8"/>
            <color indexed="81"/>
            <rFont val="Tahoma"/>
            <family val="2"/>
          </rPr>
          <t xml:space="preserve">
world bank</t>
        </r>
      </text>
    </comment>
    <comment ref="R31" authorId="0">
      <text>
        <r>
          <rPr>
            <b/>
            <sz val="8"/>
            <color indexed="81"/>
            <rFont val="Tahoma"/>
            <family val="2"/>
          </rPr>
          <t>vagarwal:</t>
        </r>
        <r>
          <rPr>
            <sz val="8"/>
            <color indexed="81"/>
            <rFont val="Tahoma"/>
            <family val="2"/>
          </rPr>
          <t xml:space="preserve">
world bank</t>
        </r>
      </text>
    </comment>
    <comment ref="S31" authorId="0">
      <text>
        <r>
          <rPr>
            <b/>
            <sz val="8"/>
            <color indexed="81"/>
            <rFont val="Tahoma"/>
            <family val="2"/>
          </rPr>
          <t>vagarwal:</t>
        </r>
        <r>
          <rPr>
            <sz val="8"/>
            <color indexed="81"/>
            <rFont val="Tahoma"/>
            <family val="2"/>
          </rPr>
          <t xml:space="preserve">
world bank</t>
        </r>
      </text>
    </comment>
    <comment ref="T31" authorId="0">
      <text>
        <r>
          <rPr>
            <b/>
            <sz val="8"/>
            <color indexed="81"/>
            <rFont val="Tahoma"/>
            <family val="2"/>
          </rPr>
          <t>vagarwal:</t>
        </r>
        <r>
          <rPr>
            <sz val="8"/>
            <color indexed="81"/>
            <rFont val="Tahoma"/>
            <family val="2"/>
          </rPr>
          <t xml:space="preserve">
world bank</t>
        </r>
      </text>
    </comment>
    <comment ref="L46" authorId="0">
      <text>
        <r>
          <rPr>
            <b/>
            <sz val="8"/>
            <color indexed="81"/>
            <rFont val="Tahoma"/>
            <family val="2"/>
          </rPr>
          <t>vagarwal:</t>
        </r>
        <r>
          <rPr>
            <sz val="8"/>
            <color indexed="81"/>
            <rFont val="Tahoma"/>
            <family val="2"/>
          </rPr>
          <t xml:space="preserve">
eurostat</t>
        </r>
      </text>
    </comment>
    <comment ref="M46" authorId="0">
      <text>
        <r>
          <rPr>
            <b/>
            <sz val="8"/>
            <color indexed="81"/>
            <rFont val="Tahoma"/>
            <family val="2"/>
          </rPr>
          <t>vagarwal:</t>
        </r>
        <r>
          <rPr>
            <sz val="8"/>
            <color indexed="81"/>
            <rFont val="Tahoma"/>
            <family val="2"/>
          </rPr>
          <t xml:space="preserve">
eurostat</t>
        </r>
      </text>
    </comment>
    <comment ref="N46" authorId="0">
      <text>
        <r>
          <rPr>
            <b/>
            <sz val="8"/>
            <color indexed="81"/>
            <rFont val="Tahoma"/>
            <family val="2"/>
          </rPr>
          <t>vagarwal:</t>
        </r>
        <r>
          <rPr>
            <sz val="8"/>
            <color indexed="81"/>
            <rFont val="Tahoma"/>
            <family val="2"/>
          </rPr>
          <t xml:space="preserve">
eurostat</t>
        </r>
      </text>
    </comment>
    <comment ref="O46" authorId="0">
      <text>
        <r>
          <rPr>
            <b/>
            <sz val="8"/>
            <color indexed="81"/>
            <rFont val="Tahoma"/>
            <family val="2"/>
          </rPr>
          <t>vagarwal:</t>
        </r>
        <r>
          <rPr>
            <sz val="8"/>
            <color indexed="81"/>
            <rFont val="Tahoma"/>
            <family val="2"/>
          </rPr>
          <t xml:space="preserve">
eurostat</t>
        </r>
      </text>
    </comment>
    <comment ref="L47" authorId="0">
      <text>
        <r>
          <rPr>
            <b/>
            <sz val="8"/>
            <color indexed="81"/>
            <rFont val="Tahoma"/>
            <family val="2"/>
          </rPr>
          <t>vagarwal:</t>
        </r>
        <r>
          <rPr>
            <sz val="8"/>
            <color indexed="81"/>
            <rFont val="Tahoma"/>
            <family val="2"/>
          </rPr>
          <t xml:space="preserve">
eurostat</t>
        </r>
      </text>
    </comment>
    <comment ref="M47" authorId="0">
      <text>
        <r>
          <rPr>
            <b/>
            <sz val="8"/>
            <color indexed="81"/>
            <rFont val="Tahoma"/>
            <family val="2"/>
          </rPr>
          <t>vagarwal:</t>
        </r>
        <r>
          <rPr>
            <sz val="8"/>
            <color indexed="81"/>
            <rFont val="Tahoma"/>
            <family val="2"/>
          </rPr>
          <t xml:space="preserve">
eurostat</t>
        </r>
      </text>
    </comment>
    <comment ref="N47" authorId="0">
      <text>
        <r>
          <rPr>
            <b/>
            <sz val="8"/>
            <color indexed="81"/>
            <rFont val="Tahoma"/>
            <family val="2"/>
          </rPr>
          <t>vagarwal:</t>
        </r>
        <r>
          <rPr>
            <sz val="8"/>
            <color indexed="81"/>
            <rFont val="Tahoma"/>
            <family val="2"/>
          </rPr>
          <t xml:space="preserve">
eurostat</t>
        </r>
      </text>
    </comment>
    <comment ref="O47" authorId="0">
      <text>
        <r>
          <rPr>
            <b/>
            <sz val="8"/>
            <color indexed="81"/>
            <rFont val="Tahoma"/>
            <family val="2"/>
          </rPr>
          <t>vagarwal:</t>
        </r>
        <r>
          <rPr>
            <sz val="8"/>
            <color indexed="81"/>
            <rFont val="Tahoma"/>
            <family val="2"/>
          </rPr>
          <t xml:space="preserve">
eurostat</t>
        </r>
      </text>
    </comment>
    <comment ref="L48" authorId="0">
      <text>
        <r>
          <rPr>
            <b/>
            <sz val="8"/>
            <color indexed="81"/>
            <rFont val="Tahoma"/>
            <family val="2"/>
          </rPr>
          <t>vagarwal:</t>
        </r>
        <r>
          <rPr>
            <sz val="8"/>
            <color indexed="81"/>
            <rFont val="Tahoma"/>
            <family val="2"/>
          </rPr>
          <t xml:space="preserve">
eurostat</t>
        </r>
      </text>
    </comment>
    <comment ref="M48" authorId="0">
      <text>
        <r>
          <rPr>
            <b/>
            <sz val="8"/>
            <color indexed="81"/>
            <rFont val="Tahoma"/>
            <family val="2"/>
          </rPr>
          <t>vagarwal:</t>
        </r>
        <r>
          <rPr>
            <sz val="8"/>
            <color indexed="81"/>
            <rFont val="Tahoma"/>
            <family val="2"/>
          </rPr>
          <t xml:space="preserve">
eurostat</t>
        </r>
      </text>
    </comment>
    <comment ref="N48" authorId="0">
      <text>
        <r>
          <rPr>
            <b/>
            <sz val="8"/>
            <color indexed="81"/>
            <rFont val="Tahoma"/>
            <family val="2"/>
          </rPr>
          <t>vagarwal:</t>
        </r>
        <r>
          <rPr>
            <sz val="8"/>
            <color indexed="81"/>
            <rFont val="Tahoma"/>
            <family val="2"/>
          </rPr>
          <t xml:space="preserve">
eurostat</t>
        </r>
      </text>
    </comment>
    <comment ref="O48" authorId="0">
      <text>
        <r>
          <rPr>
            <b/>
            <sz val="8"/>
            <color indexed="81"/>
            <rFont val="Tahoma"/>
            <family val="2"/>
          </rPr>
          <t>vagarwal:</t>
        </r>
        <r>
          <rPr>
            <sz val="8"/>
            <color indexed="81"/>
            <rFont val="Tahoma"/>
            <family val="2"/>
          </rPr>
          <t xml:space="preserve">
eurostat</t>
        </r>
      </text>
    </comment>
    <comment ref="L49" authorId="0">
      <text>
        <r>
          <rPr>
            <b/>
            <sz val="8"/>
            <color indexed="81"/>
            <rFont val="Tahoma"/>
            <family val="2"/>
          </rPr>
          <t>vagarwal:</t>
        </r>
        <r>
          <rPr>
            <sz val="8"/>
            <color indexed="81"/>
            <rFont val="Tahoma"/>
            <family val="2"/>
          </rPr>
          <t xml:space="preserve">
eurostat</t>
        </r>
      </text>
    </comment>
    <comment ref="M49" authorId="0">
      <text>
        <r>
          <rPr>
            <b/>
            <sz val="8"/>
            <color indexed="81"/>
            <rFont val="Tahoma"/>
            <family val="2"/>
          </rPr>
          <t>vagarwal:</t>
        </r>
        <r>
          <rPr>
            <sz val="8"/>
            <color indexed="81"/>
            <rFont val="Tahoma"/>
            <family val="2"/>
          </rPr>
          <t xml:space="preserve">
eurostat</t>
        </r>
      </text>
    </comment>
    <comment ref="N49" authorId="0">
      <text>
        <r>
          <rPr>
            <b/>
            <sz val="8"/>
            <color indexed="81"/>
            <rFont val="Tahoma"/>
            <family val="2"/>
          </rPr>
          <t>vagarwal:</t>
        </r>
        <r>
          <rPr>
            <sz val="8"/>
            <color indexed="81"/>
            <rFont val="Tahoma"/>
            <family val="2"/>
          </rPr>
          <t xml:space="preserve">
eurostat</t>
        </r>
      </text>
    </comment>
    <comment ref="O49" authorId="0">
      <text>
        <r>
          <rPr>
            <b/>
            <sz val="8"/>
            <color indexed="81"/>
            <rFont val="Tahoma"/>
            <family val="2"/>
          </rPr>
          <t>vagarwal:</t>
        </r>
        <r>
          <rPr>
            <sz val="8"/>
            <color indexed="81"/>
            <rFont val="Tahoma"/>
            <family val="2"/>
          </rPr>
          <t xml:space="preserve">
eurostat</t>
        </r>
      </text>
    </comment>
    <comment ref="L51" authorId="0">
      <text>
        <r>
          <rPr>
            <b/>
            <sz val="8"/>
            <color indexed="81"/>
            <rFont val="Tahoma"/>
            <family val="2"/>
          </rPr>
          <t>vagarwal:</t>
        </r>
        <r>
          <rPr>
            <sz val="8"/>
            <color indexed="81"/>
            <rFont val="Tahoma"/>
            <family val="2"/>
          </rPr>
          <t xml:space="preserve">
http://www.intur.com.pl/itenglish/poles.php?o=1&amp;t1=10</t>
        </r>
      </text>
    </comment>
    <comment ref="M51" authorId="0">
      <text>
        <r>
          <rPr>
            <b/>
            <sz val="8"/>
            <color indexed="81"/>
            <rFont val="Tahoma"/>
            <family val="2"/>
          </rPr>
          <t>vagarwal:</t>
        </r>
        <r>
          <rPr>
            <sz val="8"/>
            <color indexed="81"/>
            <rFont val="Tahoma"/>
            <family val="2"/>
          </rPr>
          <t xml:space="preserve">
http://www.intur.com.pl/itenglish/poles.php?o=1&amp;t1=10</t>
        </r>
      </text>
    </comment>
    <comment ref="N51" authorId="0">
      <text>
        <r>
          <rPr>
            <b/>
            <sz val="8"/>
            <color indexed="81"/>
            <rFont val="Tahoma"/>
            <family val="2"/>
          </rPr>
          <t>vagarwal:</t>
        </r>
        <r>
          <rPr>
            <sz val="8"/>
            <color indexed="81"/>
            <rFont val="Tahoma"/>
            <family val="2"/>
          </rPr>
          <t xml:space="preserve">
http://www.intur.com.pl/itenglish/poles.php?o=1&amp;t1=10</t>
        </r>
      </text>
    </comment>
    <comment ref="O51" authorId="0">
      <text>
        <r>
          <rPr>
            <b/>
            <sz val="8"/>
            <color indexed="81"/>
            <rFont val="Tahoma"/>
            <family val="2"/>
          </rPr>
          <t>vagarwal:</t>
        </r>
        <r>
          <rPr>
            <sz val="8"/>
            <color indexed="81"/>
            <rFont val="Tahoma"/>
            <family val="2"/>
          </rPr>
          <t xml:space="preserve">
http://www.intur.com.pl/itenglish/poles.php?o=1&amp;t1=10</t>
        </r>
      </text>
    </comment>
    <comment ref="L52" authorId="0">
      <text>
        <r>
          <rPr>
            <b/>
            <sz val="8"/>
            <color indexed="81"/>
            <rFont val="Tahoma"/>
            <family val="2"/>
          </rPr>
          <t>vagarwal:</t>
        </r>
        <r>
          <rPr>
            <sz val="8"/>
            <color indexed="81"/>
            <rFont val="Tahoma"/>
            <family val="2"/>
          </rPr>
          <t xml:space="preserve">
http://www.intur.com.pl/itenglish/poles.php?o=1&amp;t1=10</t>
        </r>
      </text>
    </comment>
    <comment ref="M52" authorId="0">
      <text>
        <r>
          <rPr>
            <b/>
            <sz val="8"/>
            <color indexed="81"/>
            <rFont val="Tahoma"/>
            <family val="2"/>
          </rPr>
          <t>vagarwal:</t>
        </r>
        <r>
          <rPr>
            <sz val="8"/>
            <color indexed="81"/>
            <rFont val="Tahoma"/>
            <family val="2"/>
          </rPr>
          <t xml:space="preserve">
http://www.intur.com.pl/itenglish/poles.php?o=1&amp;t1=10</t>
        </r>
      </text>
    </comment>
    <comment ref="N52" authorId="0">
      <text>
        <r>
          <rPr>
            <b/>
            <sz val="8"/>
            <color indexed="81"/>
            <rFont val="Tahoma"/>
            <family val="2"/>
          </rPr>
          <t>vagarwal:</t>
        </r>
        <r>
          <rPr>
            <sz val="8"/>
            <color indexed="81"/>
            <rFont val="Tahoma"/>
            <family val="2"/>
          </rPr>
          <t xml:space="preserve">
http://www.intur.com.pl/itenglish/poles.php?o=1&amp;t1=10</t>
        </r>
      </text>
    </comment>
    <comment ref="O52" authorId="0">
      <text>
        <r>
          <rPr>
            <b/>
            <sz val="8"/>
            <color indexed="81"/>
            <rFont val="Tahoma"/>
            <family val="2"/>
          </rPr>
          <t>vagarwal:</t>
        </r>
        <r>
          <rPr>
            <sz val="8"/>
            <color indexed="81"/>
            <rFont val="Tahoma"/>
            <family val="2"/>
          </rPr>
          <t xml:space="preserve">
http://www.intur.com.pl/itenglish/poles.php?o=1&amp;t1=10</t>
        </r>
      </text>
    </comment>
    <comment ref="N54" authorId="0">
      <text>
        <r>
          <rPr>
            <b/>
            <sz val="8"/>
            <color indexed="81"/>
            <rFont val="Tahoma"/>
            <family val="2"/>
          </rPr>
          <t>vagarwal:</t>
        </r>
        <r>
          <rPr>
            <sz val="8"/>
            <color indexed="81"/>
            <rFont val="Tahoma"/>
            <family val="2"/>
          </rPr>
          <t xml:space="preserve">
http://www.eregion.wzp.pl/turystyka/ruch%20turystyczny.html</t>
        </r>
      </text>
    </comment>
    <comment ref="M55" authorId="0">
      <text>
        <r>
          <rPr>
            <b/>
            <sz val="8"/>
            <color indexed="81"/>
            <rFont val="Tahoma"/>
            <family val="2"/>
          </rPr>
          <t>vagarwal:</t>
        </r>
        <r>
          <rPr>
            <sz val="8"/>
            <color indexed="81"/>
            <rFont val="Tahoma"/>
            <family val="2"/>
          </rPr>
          <t xml:space="preserve">
http://www.intur.com.pl/itenglish/inboundtourism.php?r=1&amp;t1=4</t>
        </r>
      </text>
    </comment>
    <comment ref="N55" authorId="0">
      <text>
        <r>
          <rPr>
            <b/>
            <sz val="8"/>
            <color indexed="81"/>
            <rFont val="Tahoma"/>
            <family val="2"/>
          </rPr>
          <t>vagarwal:</t>
        </r>
        <r>
          <rPr>
            <sz val="8"/>
            <color indexed="81"/>
            <rFont val="Tahoma"/>
            <family val="2"/>
          </rPr>
          <t xml:space="preserve">
http://www.intur.com.pl/itenglish/inboundtourism.php?r=1&amp;t1=4</t>
        </r>
      </text>
    </comment>
    <comment ref="O55" authorId="0">
      <text>
        <r>
          <rPr>
            <b/>
            <sz val="8"/>
            <color indexed="81"/>
            <rFont val="Tahoma"/>
            <family val="2"/>
          </rPr>
          <t>vagarwal:</t>
        </r>
        <r>
          <rPr>
            <sz val="8"/>
            <color indexed="81"/>
            <rFont val="Tahoma"/>
            <family val="2"/>
          </rPr>
          <t xml:space="preserve">
http://www.intur.com.pl/itenglish/inboundtourism.php?r=1&amp;t1=4</t>
        </r>
      </text>
    </comment>
    <comment ref="K63" authorId="0">
      <text>
        <r>
          <rPr>
            <b/>
            <sz val="8"/>
            <color indexed="81"/>
            <rFont val="Tahoma"/>
            <family val="2"/>
          </rPr>
          <t>vagarwal:</t>
        </r>
        <r>
          <rPr>
            <sz val="8"/>
            <color indexed="81"/>
            <rFont val="Tahoma"/>
            <family val="2"/>
          </rPr>
          <t xml:space="preserve">
http://www.bea.gov/scb/pdf/2011/06%20June/0611_travel.pdf</t>
        </r>
      </text>
    </comment>
    <comment ref="L63" authorId="0">
      <text>
        <r>
          <rPr>
            <b/>
            <sz val="8"/>
            <color indexed="81"/>
            <rFont val="Tahoma"/>
            <family val="2"/>
          </rPr>
          <t>vagarwal:</t>
        </r>
        <r>
          <rPr>
            <sz val="8"/>
            <color indexed="81"/>
            <rFont val="Tahoma"/>
            <family val="2"/>
          </rPr>
          <t xml:space="preserve">
http://www.intur.com.pl/itenglish/poles.php?o=1&amp;t1=14</t>
        </r>
      </text>
    </comment>
    <comment ref="M63" authorId="0">
      <text>
        <r>
          <rPr>
            <b/>
            <sz val="8"/>
            <color indexed="81"/>
            <rFont val="Tahoma"/>
            <family val="2"/>
          </rPr>
          <t>vagarwal:</t>
        </r>
        <r>
          <rPr>
            <sz val="8"/>
            <color indexed="81"/>
            <rFont val="Tahoma"/>
            <family val="2"/>
          </rPr>
          <t xml:space="preserve">
http://www.intur.com.pl/itenglish/poles.php?o=1&amp;t1=14</t>
        </r>
      </text>
    </comment>
    <comment ref="N63" authorId="0">
      <text>
        <r>
          <rPr>
            <b/>
            <sz val="8"/>
            <color indexed="81"/>
            <rFont val="Tahoma"/>
            <family val="2"/>
          </rPr>
          <t>vagarwal:</t>
        </r>
        <r>
          <rPr>
            <sz val="8"/>
            <color indexed="81"/>
            <rFont val="Tahoma"/>
            <family val="2"/>
          </rPr>
          <t xml:space="preserve">
http://www.intur.com.pl/itenglish/poles.php?o=1&amp;t1=14</t>
        </r>
      </text>
    </comment>
    <comment ref="O63" authorId="0">
      <text>
        <r>
          <rPr>
            <b/>
            <sz val="8"/>
            <color indexed="81"/>
            <rFont val="Tahoma"/>
            <family val="2"/>
          </rPr>
          <t>vagarwal:</t>
        </r>
        <r>
          <rPr>
            <sz val="8"/>
            <color indexed="81"/>
            <rFont val="Tahoma"/>
            <family val="2"/>
          </rPr>
          <t xml:space="preserve">
http://www.intur.com.pl/itenglish/poles.php?o=1&amp;t1=14</t>
        </r>
      </text>
    </comment>
    <comment ref="K64" authorId="0">
      <text>
        <r>
          <rPr>
            <b/>
            <sz val="8"/>
            <color indexed="81"/>
            <rFont val="Tahoma"/>
            <family val="2"/>
          </rPr>
          <t>vagarwal:</t>
        </r>
        <r>
          <rPr>
            <sz val="8"/>
            <color indexed="81"/>
            <rFont val="Tahoma"/>
            <family val="2"/>
          </rPr>
          <t xml:space="preserve">
http://www.bea.gov/scb/pdf/2011/06%20June/0611_travel.pdf</t>
        </r>
      </text>
    </comment>
    <comment ref="L64" authorId="0">
      <text>
        <r>
          <rPr>
            <b/>
            <sz val="8"/>
            <color indexed="81"/>
            <rFont val="Tahoma"/>
            <family val="2"/>
          </rPr>
          <t>vagarwal:</t>
        </r>
        <r>
          <rPr>
            <sz val="8"/>
            <color indexed="81"/>
            <rFont val="Tahoma"/>
            <family val="2"/>
          </rPr>
          <t xml:space="preserve">
http://www.intur.com.pl/itenglish/poles.php?o=1&amp;t1=14</t>
        </r>
      </text>
    </comment>
    <comment ref="M64" authorId="0">
      <text>
        <r>
          <rPr>
            <b/>
            <sz val="8"/>
            <color indexed="81"/>
            <rFont val="Tahoma"/>
            <family val="2"/>
          </rPr>
          <t>vagarwal:</t>
        </r>
        <r>
          <rPr>
            <sz val="8"/>
            <color indexed="81"/>
            <rFont val="Tahoma"/>
            <family val="2"/>
          </rPr>
          <t xml:space="preserve">
http://www.intur.com.pl/itenglish/poles.php?o=1&amp;t1=14</t>
        </r>
      </text>
    </comment>
    <comment ref="N64" authorId="0">
      <text>
        <r>
          <rPr>
            <b/>
            <sz val="8"/>
            <color indexed="81"/>
            <rFont val="Tahoma"/>
            <family val="2"/>
          </rPr>
          <t>vagarwal:</t>
        </r>
        <r>
          <rPr>
            <sz val="8"/>
            <color indexed="81"/>
            <rFont val="Tahoma"/>
            <family val="2"/>
          </rPr>
          <t xml:space="preserve">
http://www.intur.com.pl/itenglish/poles.php?o=1&amp;t1=14</t>
        </r>
      </text>
    </comment>
    <comment ref="O64" authorId="0">
      <text>
        <r>
          <rPr>
            <b/>
            <sz val="8"/>
            <color indexed="81"/>
            <rFont val="Tahoma"/>
            <family val="2"/>
          </rPr>
          <t>vagarwal:</t>
        </r>
        <r>
          <rPr>
            <sz val="8"/>
            <color indexed="81"/>
            <rFont val="Tahoma"/>
            <family val="2"/>
          </rPr>
          <t xml:space="preserve">
http://www.intur.com.pl/itenglish/poles.php?o=1&amp;t1=14</t>
        </r>
      </text>
    </comment>
    <comment ref="K82" authorId="1">
      <text>
        <r>
          <rPr>
            <b/>
            <sz val="8"/>
            <color indexed="81"/>
            <rFont val="Tahoma"/>
            <family val="2"/>
          </rPr>
          <t>mshajie:</t>
        </r>
        <r>
          <rPr>
            <sz val="8"/>
            <color indexed="81"/>
            <rFont val="Tahoma"/>
            <family val="2"/>
          </rPr>
          <t xml:space="preserve">
S:\Projects\PDM etracks\Travel &amp; Tourism\US\Archives\Demand\Domestic\US Travel Association</t>
        </r>
      </text>
    </comment>
    <comment ref="L83" authorId="0">
      <text>
        <r>
          <rPr>
            <b/>
            <sz val="8"/>
            <color indexed="81"/>
            <rFont val="Tahoma"/>
            <family val="2"/>
          </rPr>
          <t>vagarwal:</t>
        </r>
        <r>
          <rPr>
            <sz val="8"/>
            <color indexed="81"/>
            <rFont val="Tahoma"/>
            <family val="2"/>
          </rPr>
          <t xml:space="preserve">
http://www.intur.com.pl/itenglish/poles.php?o=1&amp;t1=7</t>
        </r>
      </text>
    </comment>
    <comment ref="M83" authorId="0">
      <text>
        <r>
          <rPr>
            <b/>
            <sz val="8"/>
            <color indexed="81"/>
            <rFont val="Tahoma"/>
            <family val="2"/>
          </rPr>
          <t>vagarwal:</t>
        </r>
        <r>
          <rPr>
            <sz val="8"/>
            <color indexed="81"/>
            <rFont val="Tahoma"/>
            <family val="2"/>
          </rPr>
          <t xml:space="preserve">
http://www.intur.com.pl/itenglish/poles.php?o=1&amp;t1=7</t>
        </r>
      </text>
    </comment>
    <comment ref="N83" authorId="0">
      <text>
        <r>
          <rPr>
            <b/>
            <sz val="8"/>
            <color indexed="81"/>
            <rFont val="Tahoma"/>
            <family val="2"/>
          </rPr>
          <t>vagarwal:</t>
        </r>
        <r>
          <rPr>
            <sz val="8"/>
            <color indexed="81"/>
            <rFont val="Tahoma"/>
            <family val="2"/>
          </rPr>
          <t xml:space="preserve">
http://www.intur.com.pl/itenglish/poles.php?o=1&amp;t1=7</t>
        </r>
      </text>
    </comment>
    <comment ref="O83" authorId="0">
      <text>
        <r>
          <rPr>
            <b/>
            <sz val="8"/>
            <color indexed="81"/>
            <rFont val="Tahoma"/>
            <family val="2"/>
          </rPr>
          <t>vagarwal:</t>
        </r>
        <r>
          <rPr>
            <sz val="8"/>
            <color indexed="81"/>
            <rFont val="Tahoma"/>
            <family val="2"/>
          </rPr>
          <t xml:space="preserve">
http://www.intur.com.pl/itenglish/poles.php?o=1&amp;t1=7</t>
        </r>
      </text>
    </comment>
    <comment ref="L84" authorId="0">
      <text>
        <r>
          <rPr>
            <b/>
            <sz val="8"/>
            <color indexed="81"/>
            <rFont val="Tahoma"/>
            <family val="2"/>
          </rPr>
          <t>vagarwal:</t>
        </r>
        <r>
          <rPr>
            <sz val="8"/>
            <color indexed="81"/>
            <rFont val="Tahoma"/>
            <family val="2"/>
          </rPr>
          <t xml:space="preserve">
http://www.intur.com.pl/itenglish/poles.php?o=1&amp;t1=7</t>
        </r>
      </text>
    </comment>
    <comment ref="M84" authorId="0">
      <text>
        <r>
          <rPr>
            <b/>
            <sz val="8"/>
            <color indexed="81"/>
            <rFont val="Tahoma"/>
            <family val="2"/>
          </rPr>
          <t>vagarwal:</t>
        </r>
        <r>
          <rPr>
            <sz val="8"/>
            <color indexed="81"/>
            <rFont val="Tahoma"/>
            <family val="2"/>
          </rPr>
          <t xml:space="preserve">
http://www.intur.com.pl/itenglish/poles.php?o=1&amp;t1=7</t>
        </r>
      </text>
    </comment>
    <comment ref="N84" authorId="0">
      <text>
        <r>
          <rPr>
            <b/>
            <sz val="8"/>
            <color indexed="81"/>
            <rFont val="Tahoma"/>
            <family val="2"/>
          </rPr>
          <t>vagarwal:</t>
        </r>
        <r>
          <rPr>
            <sz val="8"/>
            <color indexed="81"/>
            <rFont val="Tahoma"/>
            <family val="2"/>
          </rPr>
          <t xml:space="preserve">
http://www.intur.com.pl/itenglish/poles.php?o=1&amp;t1=7</t>
        </r>
      </text>
    </comment>
    <comment ref="O84" authorId="0">
      <text>
        <r>
          <rPr>
            <b/>
            <sz val="8"/>
            <color indexed="81"/>
            <rFont val="Tahoma"/>
            <family val="2"/>
          </rPr>
          <t>vagarwal:</t>
        </r>
        <r>
          <rPr>
            <sz val="8"/>
            <color indexed="81"/>
            <rFont val="Tahoma"/>
            <family val="2"/>
          </rPr>
          <t xml:space="preserve">
http://www.intur.com.pl/itenglish/poles.php?o=1&amp;t1=7</t>
        </r>
      </text>
    </comment>
    <comment ref="L85" authorId="0">
      <text>
        <r>
          <rPr>
            <b/>
            <sz val="8"/>
            <color indexed="81"/>
            <rFont val="Tahoma"/>
            <family val="2"/>
          </rPr>
          <t>vagarwal:</t>
        </r>
        <r>
          <rPr>
            <sz val="8"/>
            <color indexed="81"/>
            <rFont val="Tahoma"/>
            <family val="2"/>
          </rPr>
          <t xml:space="preserve">
http://www.intur.com.pl/itenglish/poles.php?o=1&amp;t1=7</t>
        </r>
      </text>
    </comment>
    <comment ref="M85" authorId="0">
      <text>
        <r>
          <rPr>
            <b/>
            <sz val="8"/>
            <color indexed="81"/>
            <rFont val="Tahoma"/>
            <family val="2"/>
          </rPr>
          <t>vagarwal:</t>
        </r>
        <r>
          <rPr>
            <sz val="8"/>
            <color indexed="81"/>
            <rFont val="Tahoma"/>
            <family val="2"/>
          </rPr>
          <t xml:space="preserve">
http://www.intur.com.pl/itenglish/poles.php?o=1&amp;t1=7</t>
        </r>
      </text>
    </comment>
    <comment ref="N85" authorId="0">
      <text>
        <r>
          <rPr>
            <b/>
            <sz val="8"/>
            <color indexed="81"/>
            <rFont val="Tahoma"/>
            <family val="2"/>
          </rPr>
          <t>vagarwal:</t>
        </r>
        <r>
          <rPr>
            <sz val="8"/>
            <color indexed="81"/>
            <rFont val="Tahoma"/>
            <family val="2"/>
          </rPr>
          <t xml:space="preserve">
http://www.intur.com.pl/itenglish/poles.php?o=1&amp;t1=7</t>
        </r>
      </text>
    </comment>
    <comment ref="O85" authorId="0">
      <text>
        <r>
          <rPr>
            <b/>
            <sz val="8"/>
            <color indexed="81"/>
            <rFont val="Tahoma"/>
            <family val="2"/>
          </rPr>
          <t>vagarwal:</t>
        </r>
        <r>
          <rPr>
            <sz val="8"/>
            <color indexed="81"/>
            <rFont val="Tahoma"/>
            <family val="2"/>
          </rPr>
          <t xml:space="preserve">
http://www.intur.com.pl/itenglish/poles.php?o=1&amp;t1=7</t>
        </r>
      </text>
    </comment>
    <comment ref="L86" authorId="0">
      <text>
        <r>
          <rPr>
            <b/>
            <sz val="8"/>
            <color indexed="81"/>
            <rFont val="Tahoma"/>
            <family val="2"/>
          </rPr>
          <t>vagarwal:</t>
        </r>
        <r>
          <rPr>
            <sz val="8"/>
            <color indexed="81"/>
            <rFont val="Tahoma"/>
            <family val="2"/>
          </rPr>
          <t xml:space="preserve">
http://www.intur.com.pl/itenglish/poles.php?o=1&amp;t1=7</t>
        </r>
      </text>
    </comment>
    <comment ref="M86" authorId="0">
      <text>
        <r>
          <rPr>
            <b/>
            <sz val="8"/>
            <color indexed="81"/>
            <rFont val="Tahoma"/>
            <family val="2"/>
          </rPr>
          <t>vagarwal:</t>
        </r>
        <r>
          <rPr>
            <sz val="8"/>
            <color indexed="81"/>
            <rFont val="Tahoma"/>
            <family val="2"/>
          </rPr>
          <t xml:space="preserve">
http://www.intur.com.pl/itenglish/poles.php?o=1&amp;t1=7</t>
        </r>
      </text>
    </comment>
    <comment ref="N86" authorId="0">
      <text>
        <r>
          <rPr>
            <b/>
            <sz val="8"/>
            <color indexed="81"/>
            <rFont val="Tahoma"/>
            <family val="2"/>
          </rPr>
          <t>vagarwal:</t>
        </r>
        <r>
          <rPr>
            <sz val="8"/>
            <color indexed="81"/>
            <rFont val="Tahoma"/>
            <family val="2"/>
          </rPr>
          <t xml:space="preserve">
http://www.intur.com.pl/itenglish/poles.php?o=1&amp;t1=7</t>
        </r>
      </text>
    </comment>
    <comment ref="O86" authorId="0">
      <text>
        <r>
          <rPr>
            <b/>
            <sz val="8"/>
            <color indexed="81"/>
            <rFont val="Tahoma"/>
            <family val="2"/>
          </rPr>
          <t>vagarwal:</t>
        </r>
        <r>
          <rPr>
            <sz val="8"/>
            <color indexed="81"/>
            <rFont val="Tahoma"/>
            <family val="2"/>
          </rPr>
          <t xml:space="preserve">
http://www.intur.com.pl/itenglish/poles.php?o=1&amp;t1=7</t>
        </r>
      </text>
    </comment>
    <comment ref="L87" authorId="0">
      <text>
        <r>
          <rPr>
            <b/>
            <sz val="8"/>
            <color indexed="81"/>
            <rFont val="Tahoma"/>
            <family val="2"/>
          </rPr>
          <t>vagarwal:</t>
        </r>
        <r>
          <rPr>
            <sz val="8"/>
            <color indexed="81"/>
            <rFont val="Tahoma"/>
            <family val="2"/>
          </rPr>
          <t xml:space="preserve">
http://www.intur.com.pl/itenglish/poles.php?o=1&amp;t1=7</t>
        </r>
      </text>
    </comment>
    <comment ref="M87" authorId="0">
      <text>
        <r>
          <rPr>
            <b/>
            <sz val="8"/>
            <color indexed="81"/>
            <rFont val="Tahoma"/>
            <family val="2"/>
          </rPr>
          <t>vagarwal:</t>
        </r>
        <r>
          <rPr>
            <sz val="8"/>
            <color indexed="81"/>
            <rFont val="Tahoma"/>
            <family val="2"/>
          </rPr>
          <t xml:space="preserve">
http://www.intur.com.pl/itenglish/poles.php?o=1&amp;t1=7</t>
        </r>
      </text>
    </comment>
    <comment ref="N87" authorId="0">
      <text>
        <r>
          <rPr>
            <b/>
            <sz val="8"/>
            <color indexed="81"/>
            <rFont val="Tahoma"/>
            <family val="2"/>
          </rPr>
          <t>vagarwal:</t>
        </r>
        <r>
          <rPr>
            <sz val="8"/>
            <color indexed="81"/>
            <rFont val="Tahoma"/>
            <family val="2"/>
          </rPr>
          <t xml:space="preserve">
http://www.intur.com.pl/itenglish/poles.php?o=1&amp;t1=7</t>
        </r>
      </text>
    </comment>
    <comment ref="O87" authorId="0">
      <text>
        <r>
          <rPr>
            <b/>
            <sz val="8"/>
            <color indexed="81"/>
            <rFont val="Tahoma"/>
            <family val="2"/>
          </rPr>
          <t>vagarwal:</t>
        </r>
        <r>
          <rPr>
            <sz val="8"/>
            <color indexed="81"/>
            <rFont val="Tahoma"/>
            <family val="2"/>
          </rPr>
          <t xml:space="preserve">
http://www.intur.com.pl/itenglish/poles.php?o=1&amp;t1=7</t>
        </r>
      </text>
    </comment>
    <comment ref="K88" authorId="1">
      <text>
        <r>
          <rPr>
            <b/>
            <sz val="8"/>
            <color indexed="81"/>
            <rFont val="Tahoma"/>
            <family val="2"/>
          </rPr>
          <t>mshajie:</t>
        </r>
        <r>
          <rPr>
            <sz val="8"/>
            <color indexed="81"/>
            <rFont val="Tahoma"/>
            <family val="2"/>
          </rPr>
          <t xml:space="preserve">
S:\Projects\PDM etracks\Travel &amp; Tourism\US\Archives\Demand\Domestic\US Travel Association</t>
        </r>
      </text>
    </comment>
    <comment ref="L88" authorId="0">
      <text>
        <r>
          <rPr>
            <b/>
            <sz val="8"/>
            <color indexed="81"/>
            <rFont val="Tahoma"/>
            <family val="2"/>
          </rPr>
          <t>vagarwal:</t>
        </r>
        <r>
          <rPr>
            <sz val="8"/>
            <color indexed="81"/>
            <rFont val="Tahoma"/>
            <family val="2"/>
          </rPr>
          <t xml:space="preserve">
http://www.intur.com.pl/itenglish/poles.php?o=1&amp;t1=5</t>
        </r>
      </text>
    </comment>
    <comment ref="M88" authorId="0">
      <text>
        <r>
          <rPr>
            <b/>
            <sz val="8"/>
            <color indexed="81"/>
            <rFont val="Tahoma"/>
            <family val="2"/>
          </rPr>
          <t>vagarwal:</t>
        </r>
        <r>
          <rPr>
            <sz val="8"/>
            <color indexed="81"/>
            <rFont val="Tahoma"/>
            <family val="2"/>
          </rPr>
          <t xml:space="preserve">
http://www.intur.com.pl/itenglish/poles.php?o=1&amp;t1=5</t>
        </r>
      </text>
    </comment>
    <comment ref="N88" authorId="0">
      <text>
        <r>
          <rPr>
            <b/>
            <sz val="8"/>
            <color indexed="81"/>
            <rFont val="Tahoma"/>
            <family val="2"/>
          </rPr>
          <t>vagarwal:</t>
        </r>
        <r>
          <rPr>
            <sz val="8"/>
            <color indexed="81"/>
            <rFont val="Tahoma"/>
            <family val="2"/>
          </rPr>
          <t xml:space="preserve">
http://www.intur.com.pl/itenglish/poles.php?o=1&amp;t1=5</t>
        </r>
      </text>
    </comment>
    <comment ref="O88" authorId="0">
      <text>
        <r>
          <rPr>
            <b/>
            <sz val="8"/>
            <color indexed="81"/>
            <rFont val="Tahoma"/>
            <family val="2"/>
          </rPr>
          <t>vagarwal:</t>
        </r>
        <r>
          <rPr>
            <sz val="8"/>
            <color indexed="81"/>
            <rFont val="Tahoma"/>
            <family val="2"/>
          </rPr>
          <t xml:space="preserve">
http://www.intur.com.pl/itenglish/poles.php?o=1&amp;t1=5</t>
        </r>
      </text>
    </comment>
    <comment ref="K89" authorId="1">
      <text>
        <r>
          <rPr>
            <b/>
            <sz val="8"/>
            <color indexed="81"/>
            <rFont val="Tahoma"/>
            <family val="2"/>
          </rPr>
          <t>mshajie:</t>
        </r>
        <r>
          <rPr>
            <sz val="8"/>
            <color indexed="81"/>
            <rFont val="Tahoma"/>
            <family val="2"/>
          </rPr>
          <t xml:space="preserve">
S:\Projects\PDM etracks\Travel &amp; Tourism\US\Archives\Demand\Domestic\US Travel Association</t>
        </r>
      </text>
    </comment>
    <comment ref="L89" authorId="0">
      <text>
        <r>
          <rPr>
            <b/>
            <sz val="8"/>
            <color indexed="81"/>
            <rFont val="Tahoma"/>
            <family val="2"/>
          </rPr>
          <t>vagarwal:</t>
        </r>
        <r>
          <rPr>
            <sz val="8"/>
            <color indexed="81"/>
            <rFont val="Tahoma"/>
            <family val="2"/>
          </rPr>
          <t xml:space="preserve">
http://www.intur.com.pl/itenglish/poles.php?o=1&amp;t1=3</t>
        </r>
      </text>
    </comment>
    <comment ref="M89" authorId="0">
      <text>
        <r>
          <rPr>
            <b/>
            <sz val="8"/>
            <color indexed="81"/>
            <rFont val="Tahoma"/>
            <family val="2"/>
          </rPr>
          <t>vagarwal:</t>
        </r>
        <r>
          <rPr>
            <sz val="8"/>
            <color indexed="81"/>
            <rFont val="Tahoma"/>
            <family val="2"/>
          </rPr>
          <t xml:space="preserve">
http://www.intur.com.pl/itenglish/poles.php?o=1&amp;t1=3</t>
        </r>
      </text>
    </comment>
    <comment ref="N89" authorId="0">
      <text>
        <r>
          <rPr>
            <b/>
            <sz val="8"/>
            <color indexed="81"/>
            <rFont val="Tahoma"/>
            <family val="2"/>
          </rPr>
          <t>vagarwal:</t>
        </r>
        <r>
          <rPr>
            <sz val="8"/>
            <color indexed="81"/>
            <rFont val="Tahoma"/>
            <family val="2"/>
          </rPr>
          <t xml:space="preserve">
http://www.intur.com.pl/itenglish/poles.php?o=1&amp;t1=3</t>
        </r>
      </text>
    </comment>
    <comment ref="O89" authorId="0">
      <text>
        <r>
          <rPr>
            <b/>
            <sz val="8"/>
            <color indexed="81"/>
            <rFont val="Tahoma"/>
            <family val="2"/>
          </rPr>
          <t>vagarwal:</t>
        </r>
        <r>
          <rPr>
            <sz val="8"/>
            <color indexed="81"/>
            <rFont val="Tahoma"/>
            <family val="2"/>
          </rPr>
          <t xml:space="preserve">
http://www.intur.com.pl/itenglish/poles.php?o=1&amp;t1=3</t>
        </r>
      </text>
    </comment>
    <comment ref="K90" authorId="1">
      <text>
        <r>
          <rPr>
            <b/>
            <sz val="8"/>
            <color indexed="81"/>
            <rFont val="Tahoma"/>
            <family val="2"/>
          </rPr>
          <t>mshajie:</t>
        </r>
        <r>
          <rPr>
            <sz val="8"/>
            <color indexed="81"/>
            <rFont val="Tahoma"/>
            <family val="2"/>
          </rPr>
          <t xml:space="preserve">
Estimated using inbound ratios and US Travel Association. (
S:\Projects\PDM etracks\Travel &amp; Tourism\US\Archives\Demand\Domestic\US Travel Association)</t>
        </r>
      </text>
    </comment>
    <comment ref="L90" authorId="0">
      <text>
        <r>
          <rPr>
            <b/>
            <sz val="8"/>
            <color indexed="81"/>
            <rFont val="Tahoma"/>
            <family val="2"/>
          </rPr>
          <t>vagarwal:</t>
        </r>
        <r>
          <rPr>
            <sz val="8"/>
            <color indexed="81"/>
            <rFont val="Tahoma"/>
            <family val="2"/>
          </rPr>
          <t xml:space="preserve">
http://www.intur.com.pl/itenglish/poles.php?o=1&amp;t1=3</t>
        </r>
      </text>
    </comment>
    <comment ref="M90" authorId="0">
      <text>
        <r>
          <rPr>
            <b/>
            <sz val="8"/>
            <color indexed="81"/>
            <rFont val="Tahoma"/>
            <family val="2"/>
          </rPr>
          <t>vagarwal:</t>
        </r>
        <r>
          <rPr>
            <sz val="8"/>
            <color indexed="81"/>
            <rFont val="Tahoma"/>
            <family val="2"/>
          </rPr>
          <t xml:space="preserve">
http://www.intur.com.pl/itenglish/poles.php?o=1&amp;t1=3</t>
        </r>
      </text>
    </comment>
    <comment ref="N90" authorId="0">
      <text>
        <r>
          <rPr>
            <b/>
            <sz val="8"/>
            <color indexed="81"/>
            <rFont val="Tahoma"/>
            <family val="2"/>
          </rPr>
          <t>vagarwal:</t>
        </r>
        <r>
          <rPr>
            <sz val="8"/>
            <color indexed="81"/>
            <rFont val="Tahoma"/>
            <family val="2"/>
          </rPr>
          <t xml:space="preserve">
http://www.intur.com.pl/itenglish/poles.php?o=1&amp;t1=3</t>
        </r>
      </text>
    </comment>
    <comment ref="O90" authorId="0">
      <text>
        <r>
          <rPr>
            <b/>
            <sz val="8"/>
            <color indexed="81"/>
            <rFont val="Tahoma"/>
            <family val="2"/>
          </rPr>
          <t>vagarwal:</t>
        </r>
        <r>
          <rPr>
            <sz val="8"/>
            <color indexed="81"/>
            <rFont val="Tahoma"/>
            <family val="2"/>
          </rPr>
          <t xml:space="preserve">
http://www.intur.com.pl/itenglish/poles.php?o=1&amp;t1=3</t>
        </r>
      </text>
    </comment>
    <comment ref="K91" authorId="1">
      <text>
        <r>
          <rPr>
            <b/>
            <sz val="8"/>
            <color indexed="81"/>
            <rFont val="Tahoma"/>
            <family val="2"/>
          </rPr>
          <t>mshajie:</t>
        </r>
        <r>
          <rPr>
            <sz val="8"/>
            <color indexed="81"/>
            <rFont val="Tahoma"/>
            <family val="2"/>
          </rPr>
          <t xml:space="preserve">
Estimated using inbound ratios and US Travel Association. (
S:\Projects\PDM etracks\Travel &amp; Tourism\US\Archives\Demand\Domestic\US Travel Association)</t>
        </r>
      </text>
    </comment>
    <comment ref="L91" authorId="0">
      <text>
        <r>
          <rPr>
            <b/>
            <sz val="8"/>
            <color indexed="81"/>
            <rFont val="Tahoma"/>
            <family val="2"/>
          </rPr>
          <t>vagarwal:</t>
        </r>
        <r>
          <rPr>
            <sz val="8"/>
            <color indexed="81"/>
            <rFont val="Tahoma"/>
            <family val="2"/>
          </rPr>
          <t xml:space="preserve">
http://www.intur.com.pl/itenglish/poles.php?o=1&amp;t1=3</t>
        </r>
      </text>
    </comment>
    <comment ref="M91" authorId="0">
      <text>
        <r>
          <rPr>
            <b/>
            <sz val="8"/>
            <color indexed="81"/>
            <rFont val="Tahoma"/>
            <family val="2"/>
          </rPr>
          <t>vagarwal:</t>
        </r>
        <r>
          <rPr>
            <sz val="8"/>
            <color indexed="81"/>
            <rFont val="Tahoma"/>
            <family val="2"/>
          </rPr>
          <t xml:space="preserve">
http://www.intur.com.pl/itenglish/poles.php?o=1&amp;t1=3</t>
        </r>
      </text>
    </comment>
    <comment ref="N91" authorId="0">
      <text>
        <r>
          <rPr>
            <b/>
            <sz val="8"/>
            <color indexed="81"/>
            <rFont val="Tahoma"/>
            <family val="2"/>
          </rPr>
          <t>vagarwal:</t>
        </r>
        <r>
          <rPr>
            <sz val="8"/>
            <color indexed="81"/>
            <rFont val="Tahoma"/>
            <family val="2"/>
          </rPr>
          <t xml:space="preserve">
http://www.intur.com.pl/itenglish/poles.php?o=1&amp;t1=3</t>
        </r>
      </text>
    </comment>
    <comment ref="O91" authorId="0">
      <text>
        <r>
          <rPr>
            <b/>
            <sz val="8"/>
            <color indexed="81"/>
            <rFont val="Tahoma"/>
            <family val="2"/>
          </rPr>
          <t>vagarwal:</t>
        </r>
        <r>
          <rPr>
            <sz val="8"/>
            <color indexed="81"/>
            <rFont val="Tahoma"/>
            <family val="2"/>
          </rPr>
          <t xml:space="preserve">
http://www.intur.com.pl/itenglish/poles.php?o=1&amp;t1=3</t>
        </r>
      </text>
    </comment>
    <comment ref="K92" authorId="1">
      <text>
        <r>
          <rPr>
            <b/>
            <sz val="8"/>
            <color indexed="81"/>
            <rFont val="Tahoma"/>
            <family val="2"/>
          </rPr>
          <t>mshajie:</t>
        </r>
        <r>
          <rPr>
            <sz val="8"/>
            <color indexed="81"/>
            <rFont val="Tahoma"/>
            <family val="2"/>
          </rPr>
          <t xml:space="preserve">
Estimated using drivers</t>
        </r>
      </text>
    </comment>
    <comment ref="L112" authorId="0">
      <text>
        <r>
          <rPr>
            <b/>
            <sz val="8"/>
            <color indexed="81"/>
            <rFont val="Tahoma"/>
            <family val="2"/>
          </rPr>
          <t>vagarwal:</t>
        </r>
        <r>
          <rPr>
            <sz val="8"/>
            <color indexed="81"/>
            <rFont val="Tahoma"/>
            <family val="2"/>
          </rPr>
          <t xml:space="preserve">
world tourism file
</t>
        </r>
      </text>
    </comment>
    <comment ref="M112" authorId="0">
      <text>
        <r>
          <rPr>
            <b/>
            <sz val="8"/>
            <color indexed="81"/>
            <rFont val="Tahoma"/>
            <family val="2"/>
          </rPr>
          <t>vagarwal:</t>
        </r>
        <r>
          <rPr>
            <sz val="8"/>
            <color indexed="81"/>
            <rFont val="Tahoma"/>
            <family val="2"/>
          </rPr>
          <t xml:space="preserve">
http://www.intur.com.pl/itenglish/arrivals.php?r=15</t>
        </r>
      </text>
    </comment>
    <comment ref="N112" authorId="0">
      <text>
        <r>
          <rPr>
            <b/>
            <sz val="8"/>
            <color indexed="81"/>
            <rFont val="Tahoma"/>
            <family val="2"/>
          </rPr>
          <t>vagarwal:</t>
        </r>
        <r>
          <rPr>
            <sz val="8"/>
            <color indexed="81"/>
            <rFont val="Tahoma"/>
            <family val="2"/>
          </rPr>
          <t xml:space="preserve">
http://www.intur.com.pl/itenglish/arrivals.php?r=15</t>
        </r>
      </text>
    </comment>
    <comment ref="O112" authorId="0">
      <text>
        <r>
          <rPr>
            <b/>
            <sz val="8"/>
            <color indexed="81"/>
            <rFont val="Tahoma"/>
            <family val="2"/>
          </rPr>
          <t>vagarwal:</t>
        </r>
        <r>
          <rPr>
            <sz val="8"/>
            <color indexed="81"/>
            <rFont val="Tahoma"/>
            <family val="2"/>
          </rPr>
          <t xml:space="preserve">
http://www.intur.com.pl/itenglish/arrivals.php?r=15</t>
        </r>
      </text>
    </comment>
    <comment ref="X157" authorId="1">
      <text>
        <r>
          <rPr>
            <b/>
            <sz val="8"/>
            <color indexed="81"/>
            <rFont val="Tahoma"/>
            <family val="2"/>
          </rPr>
          <t>mshajie:</t>
        </r>
        <r>
          <rPr>
            <sz val="8"/>
            <color indexed="81"/>
            <rFont val="Tahoma"/>
            <family val="2"/>
          </rPr>
          <t xml:space="preserve">
S:\Projects\PDM etracks\Travel &amp; Tourism\US\NEW\Total Visitatiion by country</t>
        </r>
      </text>
    </comment>
    <comment ref="L171" authorId="0">
      <text>
        <r>
          <rPr>
            <b/>
            <sz val="8"/>
            <color indexed="81"/>
            <rFont val="Tahoma"/>
            <family val="2"/>
          </rPr>
          <t>vagarwal:</t>
        </r>
        <r>
          <rPr>
            <sz val="8"/>
            <color indexed="81"/>
            <rFont val="Tahoma"/>
            <family val="2"/>
          </rPr>
          <t xml:space="preserve">
http://www.intur.com.pl/inne/turzag2009.pdf</t>
        </r>
      </text>
    </comment>
    <comment ref="M171" authorId="0">
      <text>
        <r>
          <rPr>
            <b/>
            <sz val="8"/>
            <color indexed="81"/>
            <rFont val="Tahoma"/>
            <family val="2"/>
          </rPr>
          <t>vagarwal:</t>
        </r>
        <r>
          <rPr>
            <sz val="8"/>
            <color indexed="81"/>
            <rFont val="Tahoma"/>
            <family val="2"/>
          </rPr>
          <t xml:space="preserve">
http://www.intur.com.pl/inne/turzag2009.pdf</t>
        </r>
      </text>
    </comment>
    <comment ref="N171" authorId="0">
      <text>
        <r>
          <rPr>
            <b/>
            <sz val="8"/>
            <color indexed="81"/>
            <rFont val="Tahoma"/>
            <family val="2"/>
          </rPr>
          <t>vagarwal:</t>
        </r>
        <r>
          <rPr>
            <sz val="8"/>
            <color indexed="81"/>
            <rFont val="Tahoma"/>
            <family val="2"/>
          </rPr>
          <t xml:space="preserve">
http://www.intur.com.pl/inne/turzag2009.pdf</t>
        </r>
      </text>
    </comment>
    <comment ref="X171" authorId="1">
      <text>
        <r>
          <rPr>
            <b/>
            <sz val="8"/>
            <color indexed="81"/>
            <rFont val="Tahoma"/>
            <family val="2"/>
          </rPr>
          <t>mshajie:</t>
        </r>
        <r>
          <rPr>
            <sz val="8"/>
            <color indexed="81"/>
            <rFont val="Tahoma"/>
            <family val="2"/>
          </rPr>
          <t xml:space="preserve">
S:\Projects\PDM etracks\Travel &amp; Tourism\US\NEW\Total Visitatiion by country</t>
        </r>
      </text>
    </comment>
    <comment ref="X177" authorId="1">
      <text>
        <r>
          <rPr>
            <b/>
            <sz val="8"/>
            <color indexed="81"/>
            <rFont val="Tahoma"/>
            <family val="2"/>
          </rPr>
          <t>mshajie:</t>
        </r>
        <r>
          <rPr>
            <sz val="8"/>
            <color indexed="81"/>
            <rFont val="Tahoma"/>
            <family val="2"/>
          </rPr>
          <t xml:space="preserve">
S:\Projects\PDM etracks\Travel &amp; Tourism\US\NEW\Total Visitatiion by country</t>
        </r>
      </text>
    </comment>
    <comment ref="X178" authorId="1">
      <text>
        <r>
          <rPr>
            <b/>
            <sz val="8"/>
            <color indexed="81"/>
            <rFont val="Tahoma"/>
            <family val="2"/>
          </rPr>
          <t>mshajie:</t>
        </r>
        <r>
          <rPr>
            <sz val="8"/>
            <color indexed="81"/>
            <rFont val="Tahoma"/>
            <family val="2"/>
          </rPr>
          <t xml:space="preserve">
S:\Projects\PDM etracks\Travel &amp; Tourism\US\NEW\Total Visitatiion by country</t>
        </r>
      </text>
    </comment>
    <comment ref="X184" authorId="1">
      <text>
        <r>
          <rPr>
            <b/>
            <sz val="8"/>
            <color indexed="81"/>
            <rFont val="Tahoma"/>
            <family val="2"/>
          </rPr>
          <t>mshajie:</t>
        </r>
        <r>
          <rPr>
            <sz val="8"/>
            <color indexed="81"/>
            <rFont val="Tahoma"/>
            <family val="2"/>
          </rPr>
          <t xml:space="preserve">
S:\Projects\PDM etracks\Travel &amp; Tourism\US\NEW\Total Visitatiion by country</t>
        </r>
      </text>
    </comment>
    <comment ref="X186" authorId="1">
      <text>
        <r>
          <rPr>
            <b/>
            <sz val="8"/>
            <color indexed="81"/>
            <rFont val="Tahoma"/>
            <family val="2"/>
          </rPr>
          <t>mshajie:</t>
        </r>
        <r>
          <rPr>
            <sz val="8"/>
            <color indexed="81"/>
            <rFont val="Tahoma"/>
            <family val="2"/>
          </rPr>
          <t xml:space="preserve">
S:\Projects\PDM etracks\Travel &amp; Tourism\US\NEW\Total Visitatiion by country</t>
        </r>
      </text>
    </comment>
    <comment ref="X198" authorId="1">
      <text>
        <r>
          <rPr>
            <b/>
            <sz val="8"/>
            <color indexed="81"/>
            <rFont val="Tahoma"/>
            <family val="2"/>
          </rPr>
          <t>mshajie:</t>
        </r>
        <r>
          <rPr>
            <sz val="8"/>
            <color indexed="81"/>
            <rFont val="Tahoma"/>
            <family val="2"/>
          </rPr>
          <t xml:space="preserve">
S:\Projects\PDM etracks\Travel &amp; Tourism\US\NEW\Total Visitatiion by country</t>
        </r>
      </text>
    </comment>
    <comment ref="X201" authorId="1">
      <text>
        <r>
          <rPr>
            <b/>
            <sz val="8"/>
            <color indexed="81"/>
            <rFont val="Tahoma"/>
            <family val="2"/>
          </rPr>
          <t>mshajie:</t>
        </r>
        <r>
          <rPr>
            <sz val="8"/>
            <color indexed="81"/>
            <rFont val="Tahoma"/>
            <family val="2"/>
          </rPr>
          <t xml:space="preserve">
S:\Projects\PDM etracks\Travel &amp; Tourism\US\NEW\Total Visitatiion by country</t>
        </r>
      </text>
    </comment>
    <comment ref="X202" authorId="1">
      <text>
        <r>
          <rPr>
            <b/>
            <sz val="8"/>
            <color indexed="81"/>
            <rFont val="Tahoma"/>
            <family val="2"/>
          </rPr>
          <t>mshajie:</t>
        </r>
        <r>
          <rPr>
            <sz val="8"/>
            <color indexed="81"/>
            <rFont val="Tahoma"/>
            <family val="2"/>
          </rPr>
          <t xml:space="preserve">
S:\Projects\PDM etracks\Travel &amp; Tourism\US\NEW\Total Visitatiion by country</t>
        </r>
      </text>
    </comment>
    <comment ref="X204" authorId="1">
      <text>
        <r>
          <rPr>
            <b/>
            <sz val="8"/>
            <color indexed="81"/>
            <rFont val="Tahoma"/>
            <family val="2"/>
          </rPr>
          <t>mshajie:</t>
        </r>
        <r>
          <rPr>
            <sz val="8"/>
            <color indexed="81"/>
            <rFont val="Tahoma"/>
            <family val="2"/>
          </rPr>
          <t xml:space="preserve">
S:\Projects\PDM etracks\Travel &amp; Tourism\US\NEW\Total Visitatiion by country</t>
        </r>
      </text>
    </comment>
    <comment ref="X218" authorId="1">
      <text>
        <r>
          <rPr>
            <b/>
            <sz val="8"/>
            <color indexed="81"/>
            <rFont val="Tahoma"/>
            <family val="2"/>
          </rPr>
          <t>mshajie:</t>
        </r>
        <r>
          <rPr>
            <sz val="8"/>
            <color indexed="81"/>
            <rFont val="Tahoma"/>
            <family val="2"/>
          </rPr>
          <t xml:space="preserve">
S:\Projects\PDM etracks\Travel &amp; Tourism\US\NEW\Total Visitatiion by country</t>
        </r>
      </text>
    </comment>
    <comment ref="X220" authorId="1">
      <text>
        <r>
          <rPr>
            <b/>
            <sz val="8"/>
            <color indexed="81"/>
            <rFont val="Tahoma"/>
            <family val="2"/>
          </rPr>
          <t>mshajie:</t>
        </r>
        <r>
          <rPr>
            <sz val="8"/>
            <color indexed="81"/>
            <rFont val="Tahoma"/>
            <family val="2"/>
          </rPr>
          <t xml:space="preserve">
S:\Projects\PDM etracks\Travel &amp; Tourism\US\NEW\Total Visitatiion by country</t>
        </r>
      </text>
    </comment>
    <comment ref="X227" authorId="1">
      <text>
        <r>
          <rPr>
            <b/>
            <sz val="8"/>
            <color indexed="81"/>
            <rFont val="Tahoma"/>
            <family val="2"/>
          </rPr>
          <t>mshajie:</t>
        </r>
        <r>
          <rPr>
            <sz val="8"/>
            <color indexed="81"/>
            <rFont val="Tahoma"/>
            <family val="2"/>
          </rPr>
          <t xml:space="preserve">
S:\Projects\PDM etracks\Travel &amp; Tourism\US\NEW\Total Visitatiion by country</t>
        </r>
      </text>
    </comment>
    <comment ref="X229" authorId="1">
      <text>
        <r>
          <rPr>
            <b/>
            <sz val="8"/>
            <color indexed="81"/>
            <rFont val="Tahoma"/>
            <family val="2"/>
          </rPr>
          <t>mshajie:</t>
        </r>
        <r>
          <rPr>
            <sz val="8"/>
            <color indexed="81"/>
            <rFont val="Tahoma"/>
            <family val="2"/>
          </rPr>
          <t xml:space="preserve">
S:\Projects\PDM etracks\Travel &amp; Tourism\US\NEW\Total Visitatiion by country</t>
        </r>
      </text>
    </comment>
    <comment ref="X230" authorId="1">
      <text>
        <r>
          <rPr>
            <b/>
            <sz val="8"/>
            <color indexed="81"/>
            <rFont val="Tahoma"/>
            <family val="2"/>
          </rPr>
          <t>mshajie:</t>
        </r>
        <r>
          <rPr>
            <sz val="8"/>
            <color indexed="81"/>
            <rFont val="Tahoma"/>
            <family val="2"/>
          </rPr>
          <t xml:space="preserve">
S:\Projects\PDM etracks\Travel &amp; Tourism\US\NEW\Total Visitatiion by country</t>
        </r>
      </text>
    </comment>
    <comment ref="X232" authorId="1">
      <text>
        <r>
          <rPr>
            <b/>
            <sz val="8"/>
            <color indexed="81"/>
            <rFont val="Tahoma"/>
            <family val="2"/>
          </rPr>
          <t>mshajie:</t>
        </r>
        <r>
          <rPr>
            <sz val="8"/>
            <color indexed="81"/>
            <rFont val="Tahoma"/>
            <family val="2"/>
          </rPr>
          <t xml:space="preserve">
S:\Projects\PDM etracks\Travel &amp; Tourism\US\NEW\Total Visitatiion by country</t>
        </r>
      </text>
    </comment>
    <comment ref="X236" authorId="1">
      <text>
        <r>
          <rPr>
            <b/>
            <sz val="8"/>
            <color indexed="81"/>
            <rFont val="Tahoma"/>
            <family val="2"/>
          </rPr>
          <t>mshajie:</t>
        </r>
        <r>
          <rPr>
            <sz val="8"/>
            <color indexed="81"/>
            <rFont val="Tahoma"/>
            <family val="2"/>
          </rPr>
          <t xml:space="preserve">
S:\Projects\PDM etracks\Travel &amp; Tourism\US\NEW\Total Visitatiion by country</t>
        </r>
      </text>
    </comment>
    <comment ref="X237" authorId="1">
      <text>
        <r>
          <rPr>
            <b/>
            <sz val="8"/>
            <color indexed="81"/>
            <rFont val="Tahoma"/>
            <family val="2"/>
          </rPr>
          <t>mshajie:</t>
        </r>
        <r>
          <rPr>
            <sz val="8"/>
            <color indexed="81"/>
            <rFont val="Tahoma"/>
            <family val="2"/>
          </rPr>
          <t xml:space="preserve">
S:\Projects\PDM etracks\Travel &amp; Tourism\US\NEW\Total Visitatiion by country</t>
        </r>
      </text>
    </comment>
    <comment ref="X243" authorId="1">
      <text>
        <r>
          <rPr>
            <b/>
            <sz val="8"/>
            <color indexed="81"/>
            <rFont val="Tahoma"/>
            <family val="2"/>
          </rPr>
          <t>mshajie:</t>
        </r>
        <r>
          <rPr>
            <sz val="8"/>
            <color indexed="81"/>
            <rFont val="Tahoma"/>
            <family val="2"/>
          </rPr>
          <t xml:space="preserve">
S:\Projects\PDM etracks\Travel &amp; Tourism\US\NEW\Total Visitatiion by country</t>
        </r>
      </text>
    </comment>
    <comment ref="X244" authorId="1">
      <text>
        <r>
          <rPr>
            <b/>
            <sz val="8"/>
            <color indexed="81"/>
            <rFont val="Tahoma"/>
            <family val="2"/>
          </rPr>
          <t>mshajie:</t>
        </r>
        <r>
          <rPr>
            <sz val="8"/>
            <color indexed="81"/>
            <rFont val="Tahoma"/>
            <family val="2"/>
          </rPr>
          <t xml:space="preserve">
S:\Projects\PDM etracks\Travel &amp; Tourism\US\NEW\Total Visitatiion by country</t>
        </r>
      </text>
    </comment>
    <comment ref="X245" authorId="1">
      <text>
        <r>
          <rPr>
            <b/>
            <sz val="8"/>
            <color indexed="81"/>
            <rFont val="Tahoma"/>
            <family val="2"/>
          </rPr>
          <t>mshajie:</t>
        </r>
        <r>
          <rPr>
            <sz val="8"/>
            <color indexed="81"/>
            <rFont val="Tahoma"/>
            <family val="2"/>
          </rPr>
          <t xml:space="preserve">
S:\Projects\PDM etracks\Travel &amp; Tourism\US\NEW\Total Visitatiion by country</t>
        </r>
      </text>
    </comment>
    <comment ref="X246" authorId="1">
      <text>
        <r>
          <rPr>
            <b/>
            <sz val="8"/>
            <color indexed="81"/>
            <rFont val="Tahoma"/>
            <family val="2"/>
          </rPr>
          <t>mshajie:</t>
        </r>
        <r>
          <rPr>
            <sz val="8"/>
            <color indexed="81"/>
            <rFont val="Tahoma"/>
            <family val="2"/>
          </rPr>
          <t xml:space="preserve">
S:\Projects\PDM etracks\Travel &amp; Tourism\US\NEW\Total Visitatiion by country</t>
        </r>
      </text>
    </comment>
    <comment ref="X249" authorId="1">
      <text>
        <r>
          <rPr>
            <b/>
            <sz val="8"/>
            <color indexed="81"/>
            <rFont val="Tahoma"/>
            <family val="2"/>
          </rPr>
          <t>mshajie:</t>
        </r>
        <r>
          <rPr>
            <sz val="8"/>
            <color indexed="81"/>
            <rFont val="Tahoma"/>
            <family val="2"/>
          </rPr>
          <t xml:space="preserve">
S:\Projects\PDM etracks\Travel &amp; Tourism\US\NEW\Total Visitatiion by country</t>
        </r>
      </text>
    </comment>
    <comment ref="X253" authorId="1">
      <text>
        <r>
          <rPr>
            <b/>
            <sz val="8"/>
            <color indexed="81"/>
            <rFont val="Tahoma"/>
            <family val="2"/>
          </rPr>
          <t>mshajie:</t>
        </r>
        <r>
          <rPr>
            <sz val="8"/>
            <color indexed="81"/>
            <rFont val="Tahoma"/>
            <family val="2"/>
          </rPr>
          <t xml:space="preserve">
S:\Projects\PDM etracks\Travel &amp; Tourism\US\NEW\Total Visitatiion by country</t>
        </r>
      </text>
    </comment>
    <comment ref="X254" authorId="1">
      <text>
        <r>
          <rPr>
            <b/>
            <sz val="8"/>
            <color indexed="81"/>
            <rFont val="Tahoma"/>
            <family val="2"/>
          </rPr>
          <t>mshajie:</t>
        </r>
        <r>
          <rPr>
            <sz val="8"/>
            <color indexed="81"/>
            <rFont val="Tahoma"/>
            <family val="2"/>
          </rPr>
          <t xml:space="preserve">
S:\Projects\PDM etracks\Travel &amp; Tourism\US\NEW\Total Visitatiion by country</t>
        </r>
      </text>
    </comment>
    <comment ref="X255" authorId="1">
      <text>
        <r>
          <rPr>
            <b/>
            <sz val="8"/>
            <color indexed="81"/>
            <rFont val="Tahoma"/>
            <family val="2"/>
          </rPr>
          <t>mshajie:</t>
        </r>
        <r>
          <rPr>
            <sz val="8"/>
            <color indexed="81"/>
            <rFont val="Tahoma"/>
            <family val="2"/>
          </rPr>
          <t xml:space="preserve">
S:\Projects\PDM etracks\Travel &amp; Tourism\US\NEW\Total Visitatiion by country</t>
        </r>
      </text>
    </comment>
    <comment ref="X257" authorId="1">
      <text>
        <r>
          <rPr>
            <b/>
            <sz val="8"/>
            <color indexed="81"/>
            <rFont val="Tahoma"/>
            <family val="2"/>
          </rPr>
          <t>mshajie:</t>
        </r>
        <r>
          <rPr>
            <sz val="8"/>
            <color indexed="81"/>
            <rFont val="Tahoma"/>
            <family val="2"/>
          </rPr>
          <t xml:space="preserve">
S:\Projects\PDM etracks\Travel &amp; Tourism\US\NEW\Total Visitatiion by country</t>
        </r>
      </text>
    </comment>
    <comment ref="X259" authorId="1">
      <text>
        <r>
          <rPr>
            <b/>
            <sz val="8"/>
            <color indexed="81"/>
            <rFont val="Tahoma"/>
            <family val="2"/>
          </rPr>
          <t>mshajie:</t>
        </r>
        <r>
          <rPr>
            <sz val="8"/>
            <color indexed="81"/>
            <rFont val="Tahoma"/>
            <family val="2"/>
          </rPr>
          <t xml:space="preserve">
S:\Projects\PDM etracks\Travel &amp; Tourism\US\NEW\Total Visitatiion by country</t>
        </r>
      </text>
    </comment>
    <comment ref="X265" authorId="1">
      <text>
        <r>
          <rPr>
            <b/>
            <sz val="8"/>
            <color indexed="81"/>
            <rFont val="Tahoma"/>
            <family val="2"/>
          </rPr>
          <t>mshajie:</t>
        </r>
        <r>
          <rPr>
            <sz val="8"/>
            <color indexed="81"/>
            <rFont val="Tahoma"/>
            <family val="2"/>
          </rPr>
          <t xml:space="preserve">
S:\Projects\PDM etracks\Travel &amp; Tourism\US\NEW\Total Visitatiion by country</t>
        </r>
      </text>
    </comment>
    <comment ref="X272" authorId="1">
      <text>
        <r>
          <rPr>
            <b/>
            <sz val="8"/>
            <color indexed="81"/>
            <rFont val="Tahoma"/>
            <family val="2"/>
          </rPr>
          <t>mshajie:</t>
        </r>
        <r>
          <rPr>
            <sz val="8"/>
            <color indexed="81"/>
            <rFont val="Tahoma"/>
            <family val="2"/>
          </rPr>
          <t xml:space="preserve">
S:\Projects\PDM etracks\Travel &amp; Tourism\US\NEW\Total Visitatiion by country</t>
        </r>
      </text>
    </comment>
    <comment ref="X278" authorId="1">
      <text>
        <r>
          <rPr>
            <b/>
            <sz val="8"/>
            <color indexed="81"/>
            <rFont val="Tahoma"/>
            <family val="2"/>
          </rPr>
          <t>mshajie:</t>
        </r>
        <r>
          <rPr>
            <sz val="8"/>
            <color indexed="81"/>
            <rFont val="Tahoma"/>
            <family val="2"/>
          </rPr>
          <t xml:space="preserve">
S:\Projects\PDM etracks\Travel &amp; Tourism\US\NEW\Total Visitatiion by country</t>
        </r>
      </text>
    </comment>
    <comment ref="X279" authorId="1">
      <text>
        <r>
          <rPr>
            <b/>
            <sz val="8"/>
            <color indexed="81"/>
            <rFont val="Tahoma"/>
            <family val="2"/>
          </rPr>
          <t>mshajie:</t>
        </r>
        <r>
          <rPr>
            <sz val="8"/>
            <color indexed="81"/>
            <rFont val="Tahoma"/>
            <family val="2"/>
          </rPr>
          <t xml:space="preserve">
S:\Projects\PDM etracks\Travel &amp; Tourism\US\NEW\Total Visitatiion by country</t>
        </r>
      </text>
    </comment>
    <comment ref="X282" authorId="1">
      <text>
        <r>
          <rPr>
            <b/>
            <sz val="8"/>
            <color indexed="81"/>
            <rFont val="Tahoma"/>
            <family val="2"/>
          </rPr>
          <t>mshajie:</t>
        </r>
        <r>
          <rPr>
            <sz val="8"/>
            <color indexed="81"/>
            <rFont val="Tahoma"/>
            <family val="2"/>
          </rPr>
          <t xml:space="preserve">
S:\Projects\PDM etracks\Travel &amp; Tourism\US\NEW\Total Visitatiion by country</t>
        </r>
      </text>
    </comment>
    <comment ref="X284" authorId="1">
      <text>
        <r>
          <rPr>
            <b/>
            <sz val="8"/>
            <color indexed="81"/>
            <rFont val="Tahoma"/>
            <family val="2"/>
          </rPr>
          <t>mshajie:</t>
        </r>
        <r>
          <rPr>
            <sz val="8"/>
            <color indexed="81"/>
            <rFont val="Tahoma"/>
            <family val="2"/>
          </rPr>
          <t xml:space="preserve">
S:\Projects\PDM etracks\Travel &amp; Tourism\US\NEW\Total Visitatiion by country</t>
        </r>
      </text>
    </comment>
    <comment ref="X288" authorId="1">
      <text>
        <r>
          <rPr>
            <b/>
            <sz val="8"/>
            <color indexed="81"/>
            <rFont val="Tahoma"/>
            <family val="2"/>
          </rPr>
          <t>mshajie:</t>
        </r>
        <r>
          <rPr>
            <sz val="8"/>
            <color indexed="81"/>
            <rFont val="Tahoma"/>
            <family val="2"/>
          </rPr>
          <t xml:space="preserve">
S:\Projects\PDM etracks\Travel &amp; Tourism\US\NEW\Total Visitatiion by country</t>
        </r>
      </text>
    </comment>
    <comment ref="X289" authorId="1">
      <text>
        <r>
          <rPr>
            <b/>
            <sz val="8"/>
            <color indexed="81"/>
            <rFont val="Tahoma"/>
            <family val="2"/>
          </rPr>
          <t>mshajie:</t>
        </r>
        <r>
          <rPr>
            <sz val="8"/>
            <color indexed="81"/>
            <rFont val="Tahoma"/>
            <family val="2"/>
          </rPr>
          <t xml:space="preserve">
S:\Projects\PDM etracks\Travel &amp; Tourism\US\NEW\Total Visitatiion by country</t>
        </r>
      </text>
    </comment>
    <comment ref="X290" authorId="1">
      <text>
        <r>
          <rPr>
            <b/>
            <sz val="8"/>
            <color indexed="81"/>
            <rFont val="Tahoma"/>
            <family val="2"/>
          </rPr>
          <t>mshajie:</t>
        </r>
        <r>
          <rPr>
            <sz val="8"/>
            <color indexed="81"/>
            <rFont val="Tahoma"/>
            <family val="2"/>
          </rPr>
          <t xml:space="preserve">
S:\Projects\PDM etracks\Travel &amp; Tourism\US\NEW\Total Visitatiion by country</t>
        </r>
      </text>
    </comment>
    <comment ref="X291" authorId="1">
      <text>
        <r>
          <rPr>
            <b/>
            <sz val="8"/>
            <color indexed="81"/>
            <rFont val="Tahoma"/>
            <family val="2"/>
          </rPr>
          <t>mshajie:</t>
        </r>
        <r>
          <rPr>
            <sz val="8"/>
            <color indexed="81"/>
            <rFont val="Tahoma"/>
            <family val="2"/>
          </rPr>
          <t xml:space="preserve">
S:\Projects\PDM etracks\Travel &amp; Tourism\US\NEW\Total Visitatiion by country</t>
        </r>
      </text>
    </comment>
    <comment ref="X293" authorId="1">
      <text>
        <r>
          <rPr>
            <b/>
            <sz val="8"/>
            <color indexed="81"/>
            <rFont val="Tahoma"/>
            <family val="2"/>
          </rPr>
          <t>mshajie:</t>
        </r>
        <r>
          <rPr>
            <sz val="8"/>
            <color indexed="81"/>
            <rFont val="Tahoma"/>
            <family val="2"/>
          </rPr>
          <t xml:space="preserve">
S:\Projects\PDM etracks\Travel &amp; Tourism\US\NEW\Total Visitatiion by country</t>
        </r>
      </text>
    </comment>
    <comment ref="X294" authorId="1">
      <text>
        <r>
          <rPr>
            <b/>
            <sz val="8"/>
            <color indexed="81"/>
            <rFont val="Tahoma"/>
            <family val="2"/>
          </rPr>
          <t>mshajie:</t>
        </r>
        <r>
          <rPr>
            <sz val="8"/>
            <color indexed="81"/>
            <rFont val="Tahoma"/>
            <family val="2"/>
          </rPr>
          <t xml:space="preserve">
S:\Projects\PDM etracks\Travel &amp; Tourism\US\NEW\Total Visitatiion by country</t>
        </r>
      </text>
    </comment>
    <comment ref="X295" authorId="1">
      <text>
        <r>
          <rPr>
            <b/>
            <sz val="8"/>
            <color indexed="81"/>
            <rFont val="Tahoma"/>
            <family val="2"/>
          </rPr>
          <t>mshajie:</t>
        </r>
        <r>
          <rPr>
            <sz val="8"/>
            <color indexed="81"/>
            <rFont val="Tahoma"/>
            <family val="2"/>
          </rPr>
          <t xml:space="preserve">
S:\Projects\PDM etracks\Travel &amp; Tourism\US\NEW\Total Visitatiion by country</t>
        </r>
      </text>
    </comment>
    <comment ref="X299" authorId="1">
      <text>
        <r>
          <rPr>
            <b/>
            <sz val="8"/>
            <color indexed="81"/>
            <rFont val="Tahoma"/>
            <family val="2"/>
          </rPr>
          <t>mshajie:</t>
        </r>
        <r>
          <rPr>
            <sz val="8"/>
            <color indexed="81"/>
            <rFont val="Tahoma"/>
            <family val="2"/>
          </rPr>
          <t xml:space="preserve">
S:\Projects\PDM etracks\Travel &amp; Tourism\US\NEW\Total Visitatiion by country</t>
        </r>
      </text>
    </comment>
    <comment ref="X301" authorId="1">
      <text>
        <r>
          <rPr>
            <b/>
            <sz val="8"/>
            <color indexed="81"/>
            <rFont val="Tahoma"/>
            <family val="2"/>
          </rPr>
          <t>mshajie:</t>
        </r>
        <r>
          <rPr>
            <sz val="8"/>
            <color indexed="81"/>
            <rFont val="Tahoma"/>
            <family val="2"/>
          </rPr>
          <t xml:space="preserve">
S:\Projects\PDM etracks\Travel &amp; Tourism\US\NEW\Total Visitatiion by country</t>
        </r>
      </text>
    </comment>
    <comment ref="X302" authorId="1">
      <text>
        <r>
          <rPr>
            <b/>
            <sz val="8"/>
            <color indexed="81"/>
            <rFont val="Tahoma"/>
            <family val="2"/>
          </rPr>
          <t>mshajie:</t>
        </r>
        <r>
          <rPr>
            <sz val="8"/>
            <color indexed="81"/>
            <rFont val="Tahoma"/>
            <family val="2"/>
          </rPr>
          <t xml:space="preserve">
S:\Projects\PDM etracks\Travel &amp; Tourism\US\NEW\Total Visitatiion by country</t>
        </r>
      </text>
    </comment>
    <comment ref="X303" authorId="1">
      <text>
        <r>
          <rPr>
            <b/>
            <sz val="8"/>
            <color indexed="81"/>
            <rFont val="Tahoma"/>
            <family val="2"/>
          </rPr>
          <t>mshajie:</t>
        </r>
        <r>
          <rPr>
            <sz val="8"/>
            <color indexed="81"/>
            <rFont val="Tahoma"/>
            <family val="2"/>
          </rPr>
          <t xml:space="preserve">
S:\Projects\PDM etracks\Travel &amp; Tourism\US\NEW\Total Visitatiion by country</t>
        </r>
      </text>
    </comment>
    <comment ref="X307" authorId="1">
      <text>
        <r>
          <rPr>
            <b/>
            <sz val="8"/>
            <color indexed="81"/>
            <rFont val="Tahoma"/>
            <family val="2"/>
          </rPr>
          <t>mshajie:</t>
        </r>
        <r>
          <rPr>
            <sz val="8"/>
            <color indexed="81"/>
            <rFont val="Tahoma"/>
            <family val="2"/>
          </rPr>
          <t xml:space="preserve">
S:\Projects\PDM etracks\Travel &amp; Tourism\US\NEW\Total Visitatiion by country</t>
        </r>
      </text>
    </comment>
    <comment ref="X309" authorId="1">
      <text>
        <r>
          <rPr>
            <b/>
            <sz val="8"/>
            <color indexed="81"/>
            <rFont val="Tahoma"/>
            <family val="2"/>
          </rPr>
          <t>mshajie:</t>
        </r>
        <r>
          <rPr>
            <sz val="8"/>
            <color indexed="81"/>
            <rFont val="Tahoma"/>
            <family val="2"/>
          </rPr>
          <t xml:space="preserve">
S:\Projects\PDM etracks\Travel &amp; Tourism\US\NEW\Total Visitatiion by country</t>
        </r>
      </text>
    </comment>
    <comment ref="X315" authorId="1">
      <text>
        <r>
          <rPr>
            <b/>
            <sz val="8"/>
            <color indexed="81"/>
            <rFont val="Tahoma"/>
            <family val="2"/>
          </rPr>
          <t>mshajie:</t>
        </r>
        <r>
          <rPr>
            <sz val="8"/>
            <color indexed="81"/>
            <rFont val="Tahoma"/>
            <family val="2"/>
          </rPr>
          <t xml:space="preserve">
S:\Projects\PDM etracks\Travel &amp; Tourism\US\NEW\Total Visitatiion by country</t>
        </r>
      </text>
    </comment>
    <comment ref="X318" authorId="1">
      <text>
        <r>
          <rPr>
            <b/>
            <sz val="8"/>
            <color indexed="81"/>
            <rFont val="Tahoma"/>
            <family val="2"/>
          </rPr>
          <t>mshajie:</t>
        </r>
        <r>
          <rPr>
            <sz val="8"/>
            <color indexed="81"/>
            <rFont val="Tahoma"/>
            <family val="2"/>
          </rPr>
          <t xml:space="preserve">
S:\Projects\PDM etracks\Travel &amp; Tourism\US\NEW\Total Visitatiion by country</t>
        </r>
      </text>
    </comment>
    <comment ref="L320" authorId="0">
      <text>
        <r>
          <rPr>
            <b/>
            <sz val="8"/>
            <color indexed="81"/>
            <rFont val="Tahoma"/>
            <family val="2"/>
          </rPr>
          <t>vagarwal:</t>
        </r>
        <r>
          <rPr>
            <sz val="8"/>
            <color indexed="81"/>
            <rFont val="Tahoma"/>
            <family val="2"/>
          </rPr>
          <t xml:space="preserve">
http://www.intur.com.pl/inne/turzag2009.pdf</t>
        </r>
      </text>
    </comment>
    <comment ref="M320" authorId="0">
      <text>
        <r>
          <rPr>
            <b/>
            <sz val="8"/>
            <color indexed="81"/>
            <rFont val="Tahoma"/>
            <family val="2"/>
          </rPr>
          <t>vagarwal:</t>
        </r>
        <r>
          <rPr>
            <sz val="8"/>
            <color indexed="81"/>
            <rFont val="Tahoma"/>
            <family val="2"/>
          </rPr>
          <t xml:space="preserve">
http://www.intur.com.pl/inne/turzag2009.pdf</t>
        </r>
      </text>
    </comment>
    <comment ref="N320" authorId="0">
      <text>
        <r>
          <rPr>
            <b/>
            <sz val="8"/>
            <color indexed="81"/>
            <rFont val="Tahoma"/>
            <family val="2"/>
          </rPr>
          <t>vagarwal:</t>
        </r>
        <r>
          <rPr>
            <sz val="8"/>
            <color indexed="81"/>
            <rFont val="Tahoma"/>
            <family val="2"/>
          </rPr>
          <t xml:space="preserve">
http://www.intur.com.pl/inne/turzag2009.pdf</t>
        </r>
      </text>
    </comment>
    <comment ref="L321" authorId="0">
      <text>
        <r>
          <rPr>
            <b/>
            <sz val="8"/>
            <color indexed="81"/>
            <rFont val="Tahoma"/>
            <family val="2"/>
          </rPr>
          <t>vagarwal:</t>
        </r>
        <r>
          <rPr>
            <sz val="8"/>
            <color indexed="81"/>
            <rFont val="Tahoma"/>
            <family val="2"/>
          </rPr>
          <t xml:space="preserve">
http://www.intur.com.pl/inne/turzag2009.pdf</t>
        </r>
      </text>
    </comment>
    <comment ref="M321" authorId="0">
      <text>
        <r>
          <rPr>
            <b/>
            <sz val="8"/>
            <color indexed="81"/>
            <rFont val="Tahoma"/>
            <family val="2"/>
          </rPr>
          <t>vagarwal:</t>
        </r>
        <r>
          <rPr>
            <sz val="8"/>
            <color indexed="81"/>
            <rFont val="Tahoma"/>
            <family val="2"/>
          </rPr>
          <t xml:space="preserve">
http://www.intur.com.pl/inne/turzag2009.pdf</t>
        </r>
      </text>
    </comment>
    <comment ref="N321" authorId="0">
      <text>
        <r>
          <rPr>
            <b/>
            <sz val="8"/>
            <color indexed="81"/>
            <rFont val="Tahoma"/>
            <family val="2"/>
          </rPr>
          <t>vagarwal:</t>
        </r>
        <r>
          <rPr>
            <sz val="8"/>
            <color indexed="81"/>
            <rFont val="Tahoma"/>
            <family val="2"/>
          </rPr>
          <t xml:space="preserve">
http://www.intur.com.pl/inne/turzag2009.pdf</t>
        </r>
      </text>
    </comment>
    <comment ref="K322" authorId="1">
      <text>
        <r>
          <rPr>
            <b/>
            <sz val="8"/>
            <color indexed="81"/>
            <rFont val="Tahoma"/>
            <family val="2"/>
          </rPr>
          <t>mshajie:</t>
        </r>
        <r>
          <rPr>
            <sz val="8"/>
            <color indexed="81"/>
            <rFont val="Tahoma"/>
            <family val="2"/>
          </rPr>
          <t xml:space="preserve">
C:\Documents and Settings\mshajie\Desktop\T&amp;T\US\Sources\Demand\Indbound\2006_Inbound_Profile
</t>
        </r>
      </text>
    </comment>
    <comment ref="L322" authorId="0">
      <text>
        <r>
          <rPr>
            <b/>
            <sz val="8"/>
            <color indexed="81"/>
            <rFont val="Tahoma"/>
            <family val="2"/>
          </rPr>
          <t>vagarwal:</t>
        </r>
        <r>
          <rPr>
            <sz val="8"/>
            <color indexed="81"/>
            <rFont val="Tahoma"/>
            <family val="2"/>
          </rPr>
          <t xml:space="preserve">
http://www.intur.com.pl/itenglish/inboundtourism.php?r=1&amp;t1=3</t>
        </r>
      </text>
    </comment>
    <comment ref="M322" authorId="0">
      <text>
        <r>
          <rPr>
            <b/>
            <sz val="8"/>
            <color indexed="81"/>
            <rFont val="Tahoma"/>
            <family val="2"/>
          </rPr>
          <t>vagarwal:</t>
        </r>
        <r>
          <rPr>
            <sz val="8"/>
            <color indexed="81"/>
            <rFont val="Tahoma"/>
            <family val="2"/>
          </rPr>
          <t xml:space="preserve">
http://www.intur.com.pl/itenglish/inboundtourism.php?r=1&amp;t1=3</t>
        </r>
      </text>
    </comment>
    <comment ref="N322" authorId="0">
      <text>
        <r>
          <rPr>
            <b/>
            <sz val="8"/>
            <color indexed="81"/>
            <rFont val="Tahoma"/>
            <family val="2"/>
          </rPr>
          <t>vagarwal:</t>
        </r>
        <r>
          <rPr>
            <sz val="8"/>
            <color indexed="81"/>
            <rFont val="Tahoma"/>
            <family val="2"/>
          </rPr>
          <t xml:space="preserve">
http://www.intur.com.pl/itenglish/inboundtourism.php?r=1&amp;t1=3</t>
        </r>
      </text>
    </comment>
    <comment ref="O322" authorId="0">
      <text>
        <r>
          <rPr>
            <b/>
            <sz val="8"/>
            <color indexed="81"/>
            <rFont val="Tahoma"/>
            <family val="2"/>
          </rPr>
          <t>vagarwal:</t>
        </r>
        <r>
          <rPr>
            <sz val="8"/>
            <color indexed="81"/>
            <rFont val="Tahoma"/>
            <family val="2"/>
          </rPr>
          <t xml:space="preserve">
http://www.intur.com.pl/itenglish/inboundtourism.php?r=1&amp;t1=3</t>
        </r>
      </text>
    </comment>
    <comment ref="X322" authorId="1">
      <text>
        <r>
          <rPr>
            <b/>
            <sz val="8"/>
            <color indexed="81"/>
            <rFont val="Tahoma"/>
            <family val="2"/>
          </rPr>
          <t>mshajie:</t>
        </r>
        <r>
          <rPr>
            <sz val="8"/>
            <color indexed="81"/>
            <rFont val="Tahoma"/>
            <family val="2"/>
          </rPr>
          <t xml:space="preserve">
C:\Documents and Settings\mshajie\Desktop\T&amp;T\US\Sources\Demand\By purpose\By purpose
</t>
        </r>
      </text>
    </comment>
    <comment ref="K323" authorId="1">
      <text>
        <r>
          <rPr>
            <b/>
            <sz val="8"/>
            <color indexed="81"/>
            <rFont val="Tahoma"/>
            <family val="2"/>
          </rPr>
          <t>mshajie:</t>
        </r>
        <r>
          <rPr>
            <sz val="8"/>
            <color indexed="81"/>
            <rFont val="Tahoma"/>
            <family val="2"/>
          </rPr>
          <t xml:space="preserve">
C:\Documents and Settings\mshajie\Desktop\T&amp;T\US\Sources\Demand\Indbound\2006_Inbound_Profile
</t>
        </r>
      </text>
    </comment>
    <comment ref="L323" authorId="0">
      <text>
        <r>
          <rPr>
            <b/>
            <sz val="8"/>
            <color indexed="81"/>
            <rFont val="Tahoma"/>
            <family val="2"/>
          </rPr>
          <t>vagarwal:</t>
        </r>
        <r>
          <rPr>
            <sz val="8"/>
            <color indexed="81"/>
            <rFont val="Tahoma"/>
            <family val="2"/>
          </rPr>
          <t xml:space="preserve">
http://www.intur.com.pl/itenglish/inboundtourism.php?r=1&amp;t1=3</t>
        </r>
      </text>
    </comment>
    <comment ref="M323" authorId="0">
      <text>
        <r>
          <rPr>
            <b/>
            <sz val="8"/>
            <color indexed="81"/>
            <rFont val="Tahoma"/>
            <family val="2"/>
          </rPr>
          <t>vagarwal:</t>
        </r>
        <r>
          <rPr>
            <sz val="8"/>
            <color indexed="81"/>
            <rFont val="Tahoma"/>
            <family val="2"/>
          </rPr>
          <t xml:space="preserve">
http://www.intur.com.pl/itenglish/inboundtourism.php?r=1&amp;t1=3</t>
        </r>
      </text>
    </comment>
    <comment ref="N323" authorId="0">
      <text>
        <r>
          <rPr>
            <b/>
            <sz val="8"/>
            <color indexed="81"/>
            <rFont val="Tahoma"/>
            <family val="2"/>
          </rPr>
          <t>vagarwal:</t>
        </r>
        <r>
          <rPr>
            <sz val="8"/>
            <color indexed="81"/>
            <rFont val="Tahoma"/>
            <family val="2"/>
          </rPr>
          <t xml:space="preserve">
http://www.intur.com.pl/itenglish/inboundtourism.php?r=1&amp;t1=3</t>
        </r>
      </text>
    </comment>
    <comment ref="O323" authorId="0">
      <text>
        <r>
          <rPr>
            <b/>
            <sz val="8"/>
            <color indexed="81"/>
            <rFont val="Tahoma"/>
            <family val="2"/>
          </rPr>
          <t>vagarwal:</t>
        </r>
        <r>
          <rPr>
            <sz val="8"/>
            <color indexed="81"/>
            <rFont val="Tahoma"/>
            <family val="2"/>
          </rPr>
          <t xml:space="preserve">
http://www.intur.com.pl/itenglish/inboundtourism.php?r=1&amp;t1=3</t>
        </r>
      </text>
    </comment>
    <comment ref="X323" authorId="1">
      <text>
        <r>
          <rPr>
            <b/>
            <sz val="8"/>
            <color indexed="81"/>
            <rFont val="Tahoma"/>
            <family val="2"/>
          </rPr>
          <t>mshajie:</t>
        </r>
        <r>
          <rPr>
            <sz val="8"/>
            <color indexed="81"/>
            <rFont val="Tahoma"/>
            <family val="2"/>
          </rPr>
          <t xml:space="preserve">
C:\Documents and Settings\mshajie\Desktop\T&amp;T\US\Sources\Demand\By purpose\By purpose
</t>
        </r>
      </text>
    </comment>
    <comment ref="K324" authorId="1">
      <text>
        <r>
          <rPr>
            <b/>
            <sz val="8"/>
            <color indexed="81"/>
            <rFont val="Tahoma"/>
            <family val="2"/>
          </rPr>
          <t>mshajie:</t>
        </r>
        <r>
          <rPr>
            <sz val="8"/>
            <color indexed="81"/>
            <rFont val="Tahoma"/>
            <family val="2"/>
          </rPr>
          <t xml:space="preserve">
C:\Documents and Settings\mshajie\Desktop\T&amp;T\US\Sources\Demand\Indbound\2006_Inbound_Profile
</t>
        </r>
      </text>
    </comment>
    <comment ref="L324" authorId="0">
      <text>
        <r>
          <rPr>
            <b/>
            <sz val="8"/>
            <color indexed="81"/>
            <rFont val="Tahoma"/>
            <family val="2"/>
          </rPr>
          <t>vagarwal:</t>
        </r>
        <r>
          <rPr>
            <sz val="8"/>
            <color indexed="81"/>
            <rFont val="Tahoma"/>
            <family val="2"/>
          </rPr>
          <t xml:space="preserve">
http://www.intur.com.pl/itenglish/inboundtourism.php?r=1&amp;t1=3</t>
        </r>
      </text>
    </comment>
    <comment ref="M324" authorId="0">
      <text>
        <r>
          <rPr>
            <b/>
            <sz val="8"/>
            <color indexed="81"/>
            <rFont val="Tahoma"/>
            <family val="2"/>
          </rPr>
          <t>vagarwal:</t>
        </r>
        <r>
          <rPr>
            <sz val="8"/>
            <color indexed="81"/>
            <rFont val="Tahoma"/>
            <family val="2"/>
          </rPr>
          <t xml:space="preserve">
http://www.intur.com.pl/itenglish/inboundtourism.php?r=1&amp;t1=3</t>
        </r>
      </text>
    </comment>
    <comment ref="N324" authorId="0">
      <text>
        <r>
          <rPr>
            <b/>
            <sz val="8"/>
            <color indexed="81"/>
            <rFont val="Tahoma"/>
            <family val="2"/>
          </rPr>
          <t>vagarwal:</t>
        </r>
        <r>
          <rPr>
            <sz val="8"/>
            <color indexed="81"/>
            <rFont val="Tahoma"/>
            <family val="2"/>
          </rPr>
          <t xml:space="preserve">
http://www.intur.com.pl/itenglish/inboundtourism.php?r=1&amp;t1=3</t>
        </r>
      </text>
    </comment>
    <comment ref="O324" authorId="0">
      <text>
        <r>
          <rPr>
            <b/>
            <sz val="8"/>
            <color indexed="81"/>
            <rFont val="Tahoma"/>
            <family val="2"/>
          </rPr>
          <t>vagarwal:</t>
        </r>
        <r>
          <rPr>
            <sz val="8"/>
            <color indexed="81"/>
            <rFont val="Tahoma"/>
            <family val="2"/>
          </rPr>
          <t xml:space="preserve">
http://www.intur.com.pl/itenglish/inboundtourism.php?r=1&amp;t1=3</t>
        </r>
      </text>
    </comment>
    <comment ref="X324" authorId="1">
      <text>
        <r>
          <rPr>
            <b/>
            <sz val="8"/>
            <color indexed="81"/>
            <rFont val="Tahoma"/>
            <family val="2"/>
          </rPr>
          <t>mshajie:</t>
        </r>
        <r>
          <rPr>
            <sz val="8"/>
            <color indexed="81"/>
            <rFont val="Tahoma"/>
            <family val="2"/>
          </rPr>
          <t xml:space="preserve">
C:\Documents and Settings\mshajie\Desktop\T&amp;T\US\Sources\Demand\By purpose\By purpose
</t>
        </r>
      </text>
    </comment>
    <comment ref="X326" authorId="1">
      <text>
        <r>
          <rPr>
            <b/>
            <sz val="8"/>
            <color indexed="81"/>
            <rFont val="Tahoma"/>
            <family val="2"/>
          </rPr>
          <t>mshajie:</t>
        </r>
        <r>
          <rPr>
            <sz val="8"/>
            <color indexed="81"/>
            <rFont val="Tahoma"/>
            <family val="2"/>
          </rPr>
          <t xml:space="preserve">
C:\Documents and Settings\mshajie\Desktop\T&amp;T\US\Sources\Demand\By purpose\By purpose
</t>
        </r>
        <r>
          <rPr>
            <b/>
            <sz val="8"/>
            <color indexed="81"/>
            <rFont val="Tahoma"/>
            <family val="2"/>
          </rPr>
          <t>Pg:5</t>
        </r>
      </text>
    </comment>
    <comment ref="D327" authorId="1">
      <text>
        <r>
          <rPr>
            <b/>
            <sz val="8"/>
            <color indexed="81"/>
            <rFont val="Tahoma"/>
            <family val="2"/>
          </rPr>
          <t>mshajie:</t>
        </r>
        <r>
          <rPr>
            <sz val="8"/>
            <color indexed="81"/>
            <rFont val="Tahoma"/>
            <family val="2"/>
          </rPr>
          <t xml:space="preserve">
Lodging</t>
        </r>
      </text>
    </comment>
    <comment ref="X327" authorId="1">
      <text>
        <r>
          <rPr>
            <b/>
            <sz val="8"/>
            <color indexed="81"/>
            <rFont val="Tahoma"/>
            <family val="2"/>
          </rPr>
          <t>mshajie:</t>
        </r>
        <r>
          <rPr>
            <sz val="8"/>
            <color indexed="81"/>
            <rFont val="Tahoma"/>
            <family val="2"/>
          </rPr>
          <t xml:space="preserve">
C:\Documents and Settings\mshajie\Desktop\T&amp;T\US\Sources\Demand\By purpose\By purpose
</t>
        </r>
        <r>
          <rPr>
            <b/>
            <sz val="8"/>
            <color indexed="81"/>
            <rFont val="Tahoma"/>
            <family val="2"/>
          </rPr>
          <t>Pg:5</t>
        </r>
      </text>
    </comment>
    <comment ref="X328" authorId="1">
      <text>
        <r>
          <rPr>
            <b/>
            <sz val="8"/>
            <color indexed="81"/>
            <rFont val="Tahoma"/>
            <family val="2"/>
          </rPr>
          <t>mshajie:</t>
        </r>
        <r>
          <rPr>
            <sz val="8"/>
            <color indexed="81"/>
            <rFont val="Tahoma"/>
            <family val="2"/>
          </rPr>
          <t xml:space="preserve">
C:\Documents and Settings\mshajie\Desktop\T&amp;T\US\Sources\Demand\By purpose\By purpose
</t>
        </r>
        <r>
          <rPr>
            <b/>
            <sz val="8"/>
            <color indexed="81"/>
            <rFont val="Tahoma"/>
            <family val="2"/>
          </rPr>
          <t>Pg:5</t>
        </r>
      </text>
    </comment>
    <comment ref="X329" authorId="1">
      <text>
        <r>
          <rPr>
            <b/>
            <sz val="8"/>
            <color indexed="81"/>
            <rFont val="Tahoma"/>
            <family val="2"/>
          </rPr>
          <t>mshajie:</t>
        </r>
        <r>
          <rPr>
            <sz val="8"/>
            <color indexed="81"/>
            <rFont val="Tahoma"/>
            <family val="2"/>
          </rPr>
          <t xml:space="preserve">
C:\Documents and Settings\mshajie\Desktop\T&amp;T\US\Sources\Demand\By purpose\By purpose
</t>
        </r>
        <r>
          <rPr>
            <b/>
            <sz val="8"/>
            <color indexed="81"/>
            <rFont val="Tahoma"/>
            <family val="2"/>
          </rPr>
          <t>Pg:5</t>
        </r>
      </text>
    </comment>
    <comment ref="D330" authorId="1">
      <text>
        <r>
          <rPr>
            <b/>
            <sz val="8"/>
            <color indexed="81"/>
            <rFont val="Tahoma"/>
            <family val="2"/>
          </rPr>
          <t>mshajie:</t>
        </r>
        <r>
          <rPr>
            <sz val="8"/>
            <color indexed="81"/>
            <rFont val="Tahoma"/>
            <family val="2"/>
          </rPr>
          <t xml:space="preserve">
Gifts/Souvenirs</t>
        </r>
      </text>
    </comment>
    <comment ref="X330" authorId="1">
      <text>
        <r>
          <rPr>
            <b/>
            <sz val="8"/>
            <color indexed="81"/>
            <rFont val="Tahoma"/>
            <family val="2"/>
          </rPr>
          <t>mshajie:</t>
        </r>
        <r>
          <rPr>
            <sz val="8"/>
            <color indexed="81"/>
            <rFont val="Tahoma"/>
            <family val="2"/>
          </rPr>
          <t xml:space="preserve">
C:\Documents and Settings\mshajie\Desktop\T&amp;T\US\Sources\Demand\By purpose\By purpose
</t>
        </r>
        <r>
          <rPr>
            <b/>
            <sz val="8"/>
            <color indexed="81"/>
            <rFont val="Tahoma"/>
            <family val="2"/>
          </rPr>
          <t>Pg:5</t>
        </r>
      </text>
    </comment>
    <comment ref="D331" authorId="1">
      <text>
        <r>
          <rPr>
            <b/>
            <sz val="8"/>
            <color indexed="81"/>
            <rFont val="Tahoma"/>
            <family val="2"/>
          </rPr>
          <t>mshajie:</t>
        </r>
        <r>
          <rPr>
            <sz val="8"/>
            <color indexed="81"/>
            <rFont val="Tahoma"/>
            <family val="2"/>
          </rPr>
          <t xml:space="preserve">
US Airport</t>
        </r>
      </text>
    </comment>
    <comment ref="X331" authorId="1">
      <text>
        <r>
          <rPr>
            <b/>
            <sz val="8"/>
            <color indexed="81"/>
            <rFont val="Tahoma"/>
            <family val="2"/>
          </rPr>
          <t>mshajie:</t>
        </r>
        <r>
          <rPr>
            <sz val="8"/>
            <color indexed="81"/>
            <rFont val="Tahoma"/>
            <family val="2"/>
          </rPr>
          <t xml:space="preserve">
C:\Documents and Settings\mshajie\Desktop\T&amp;T\US\Sources\Demand\By purpose\By purpose
</t>
        </r>
        <r>
          <rPr>
            <b/>
            <sz val="8"/>
            <color indexed="81"/>
            <rFont val="Tahoma"/>
            <family val="2"/>
          </rPr>
          <t>Pg:5</t>
        </r>
      </text>
    </comment>
    <comment ref="D332" authorId="1">
      <text>
        <r>
          <rPr>
            <b/>
            <sz val="8"/>
            <color indexed="81"/>
            <rFont val="Tahoma"/>
            <family val="2"/>
          </rPr>
          <t>mshajie:</t>
        </r>
        <r>
          <rPr>
            <sz val="8"/>
            <color indexed="81"/>
            <rFont val="Tahoma"/>
            <family val="2"/>
          </rPr>
          <t xml:space="preserve">
Transportation</t>
        </r>
      </text>
    </comment>
    <comment ref="X332" authorId="1">
      <text>
        <r>
          <rPr>
            <b/>
            <sz val="8"/>
            <color indexed="81"/>
            <rFont val="Tahoma"/>
            <family val="2"/>
          </rPr>
          <t>mshajie:</t>
        </r>
        <r>
          <rPr>
            <sz val="8"/>
            <color indexed="81"/>
            <rFont val="Tahoma"/>
            <family val="2"/>
          </rPr>
          <t xml:space="preserve">
C:\Documents and Settings\mshajie\Desktop\T&amp;T\US\Sources\Demand\By purpose\By purpose
</t>
        </r>
        <r>
          <rPr>
            <b/>
            <sz val="8"/>
            <color indexed="81"/>
            <rFont val="Tahoma"/>
            <family val="2"/>
          </rPr>
          <t>Pg:5</t>
        </r>
      </text>
    </comment>
    <comment ref="X333" authorId="1">
      <text>
        <r>
          <rPr>
            <b/>
            <sz val="8"/>
            <color indexed="81"/>
            <rFont val="Tahoma"/>
            <family val="2"/>
          </rPr>
          <t>mshajie:</t>
        </r>
        <r>
          <rPr>
            <sz val="8"/>
            <color indexed="81"/>
            <rFont val="Tahoma"/>
            <family val="2"/>
          </rPr>
          <t xml:space="preserve">
C:\Documents and Settings\mshajie\Desktop\T&amp;T\US\Sources\Demand\By purpose\By purpose
</t>
        </r>
        <r>
          <rPr>
            <b/>
            <sz val="8"/>
            <color indexed="81"/>
            <rFont val="Tahoma"/>
            <family val="2"/>
          </rPr>
          <t>Pg:5</t>
        </r>
      </text>
    </comment>
    <comment ref="L334" authorId="0">
      <text>
        <r>
          <rPr>
            <b/>
            <sz val="8"/>
            <color indexed="81"/>
            <rFont val="Tahoma"/>
            <family val="2"/>
          </rPr>
          <t>vagarwal:</t>
        </r>
        <r>
          <rPr>
            <sz val="8"/>
            <color indexed="81"/>
            <rFont val="Tahoma"/>
            <family val="2"/>
          </rPr>
          <t xml:space="preserve">
http://www.intur.com.pl/itenglish/poles.php?o=1&amp;t1=10</t>
        </r>
      </text>
    </comment>
    <comment ref="M334" authorId="0">
      <text>
        <r>
          <rPr>
            <b/>
            <sz val="8"/>
            <color indexed="81"/>
            <rFont val="Tahoma"/>
            <family val="2"/>
          </rPr>
          <t>vagarwal:</t>
        </r>
        <r>
          <rPr>
            <sz val="8"/>
            <color indexed="81"/>
            <rFont val="Tahoma"/>
            <family val="2"/>
          </rPr>
          <t xml:space="preserve">
http://www.intur.com.pl/itenglish/poles.php?o=1&amp;t1=10</t>
        </r>
      </text>
    </comment>
    <comment ref="N334" authorId="0">
      <text>
        <r>
          <rPr>
            <b/>
            <sz val="8"/>
            <color indexed="81"/>
            <rFont val="Tahoma"/>
            <family val="2"/>
          </rPr>
          <t>vagarwal:</t>
        </r>
        <r>
          <rPr>
            <sz val="8"/>
            <color indexed="81"/>
            <rFont val="Tahoma"/>
            <family val="2"/>
          </rPr>
          <t xml:space="preserve">
http://www.intur.com.pl/itenglish/poles.php?o=1&amp;t1=10</t>
        </r>
      </text>
    </comment>
    <comment ref="O334" authorId="0">
      <text>
        <r>
          <rPr>
            <b/>
            <sz val="8"/>
            <color indexed="81"/>
            <rFont val="Tahoma"/>
            <family val="2"/>
          </rPr>
          <t>vagarwal:</t>
        </r>
        <r>
          <rPr>
            <sz val="8"/>
            <color indexed="81"/>
            <rFont val="Tahoma"/>
            <family val="2"/>
          </rPr>
          <t xml:space="preserve">
http://www.intur.com.pl/itenglish/poles.php?o=1&amp;t1=10</t>
        </r>
      </text>
    </comment>
    <comment ref="L335" authorId="0">
      <text>
        <r>
          <rPr>
            <b/>
            <sz val="8"/>
            <color indexed="81"/>
            <rFont val="Tahoma"/>
            <family val="2"/>
          </rPr>
          <t>vagarwal:</t>
        </r>
        <r>
          <rPr>
            <sz val="8"/>
            <color indexed="81"/>
            <rFont val="Tahoma"/>
            <family val="2"/>
          </rPr>
          <t xml:space="preserve">
http://www.intur.com.pl/itenglish/poles.php?o=1&amp;t1=13</t>
        </r>
      </text>
    </comment>
    <comment ref="M335" authorId="0">
      <text>
        <r>
          <rPr>
            <b/>
            <sz val="8"/>
            <color indexed="81"/>
            <rFont val="Tahoma"/>
            <family val="2"/>
          </rPr>
          <t>vagarwal:</t>
        </r>
        <r>
          <rPr>
            <sz val="8"/>
            <color indexed="81"/>
            <rFont val="Tahoma"/>
            <family val="2"/>
          </rPr>
          <t xml:space="preserve">
http://www.intur.com.pl/itenglish/poles.php?o=1&amp;t1=13</t>
        </r>
      </text>
    </comment>
    <comment ref="N335" authorId="0">
      <text>
        <r>
          <rPr>
            <b/>
            <sz val="8"/>
            <color indexed="81"/>
            <rFont val="Tahoma"/>
            <family val="2"/>
          </rPr>
          <t>vagarwal:</t>
        </r>
        <r>
          <rPr>
            <sz val="8"/>
            <color indexed="81"/>
            <rFont val="Tahoma"/>
            <family val="2"/>
          </rPr>
          <t xml:space="preserve">
http://www.intur.com.pl/itenglish/poles.php?o=1&amp;t1=13</t>
        </r>
      </text>
    </comment>
    <comment ref="O335" authorId="0">
      <text>
        <r>
          <rPr>
            <b/>
            <sz val="8"/>
            <color indexed="81"/>
            <rFont val="Tahoma"/>
            <family val="2"/>
          </rPr>
          <t>vagarwal:</t>
        </r>
        <r>
          <rPr>
            <sz val="8"/>
            <color indexed="81"/>
            <rFont val="Tahoma"/>
            <family val="2"/>
          </rPr>
          <t xml:space="preserve">
http://www.intur.com.pl/itenglish/poles.php?o=1&amp;t1=13</t>
        </r>
      </text>
    </comment>
    <comment ref="P335" authorId="0">
      <text>
        <r>
          <rPr>
            <b/>
            <sz val="8"/>
            <color indexed="81"/>
            <rFont val="Tahoma"/>
            <family val="2"/>
          </rPr>
          <t>vagarwal:</t>
        </r>
        <r>
          <rPr>
            <sz val="8"/>
            <color indexed="81"/>
            <rFont val="Tahoma"/>
            <family val="2"/>
          </rPr>
          <t xml:space="preserve">
http://www.intur.com.pl/itenglish/poles.php?o=1&amp;t1=13</t>
        </r>
      </text>
    </comment>
    <comment ref="X351" authorId="1">
      <text>
        <r>
          <rPr>
            <b/>
            <sz val="8"/>
            <color indexed="81"/>
            <rFont val="Tahoma"/>
            <family val="2"/>
          </rPr>
          <t>mshajie:</t>
        </r>
        <r>
          <rPr>
            <sz val="8"/>
            <color indexed="81"/>
            <rFont val="Tahoma"/>
            <family val="2"/>
          </rPr>
          <t xml:space="preserve">
S:\Projects\PDM etracks\Travel &amp; Tourism\US\NEW\Outbound\2010_US_Travel_Abroad</t>
        </r>
      </text>
    </comment>
    <comment ref="X369" authorId="1">
      <text>
        <r>
          <rPr>
            <b/>
            <sz val="8"/>
            <color indexed="81"/>
            <rFont val="Tahoma"/>
            <family val="2"/>
          </rPr>
          <t>mshajie:</t>
        </r>
        <r>
          <rPr>
            <sz val="8"/>
            <color indexed="81"/>
            <rFont val="Tahoma"/>
            <family val="2"/>
          </rPr>
          <t xml:space="preserve">
S:\Projects\PDM etracks\Travel &amp; Tourism\US\NEW\Outbound\2010_US_Travel_Abroad</t>
        </r>
      </text>
    </comment>
    <comment ref="X379" authorId="1">
      <text>
        <r>
          <rPr>
            <b/>
            <sz val="8"/>
            <color indexed="81"/>
            <rFont val="Tahoma"/>
            <family val="2"/>
          </rPr>
          <t>mshajie:</t>
        </r>
        <r>
          <rPr>
            <sz val="8"/>
            <color indexed="81"/>
            <rFont val="Tahoma"/>
            <family val="2"/>
          </rPr>
          <t xml:space="preserve">
S:\Projects\PDM etracks\Travel &amp; Tourism\US\NEW\Outbound\2010_US_Travel_Abroad</t>
        </r>
      </text>
    </comment>
    <comment ref="X391" authorId="1">
      <text>
        <r>
          <rPr>
            <b/>
            <sz val="8"/>
            <color indexed="81"/>
            <rFont val="Tahoma"/>
            <family val="2"/>
          </rPr>
          <t>mshajie:</t>
        </r>
        <r>
          <rPr>
            <sz val="8"/>
            <color indexed="81"/>
            <rFont val="Tahoma"/>
            <family val="2"/>
          </rPr>
          <t xml:space="preserve">
S:\Projects\PDM etracks\Travel &amp; Tourism\US\NEW\Outbound\2010_US_Travel_Abroad</t>
        </r>
      </text>
    </comment>
    <comment ref="X393" authorId="1">
      <text>
        <r>
          <rPr>
            <b/>
            <sz val="8"/>
            <color indexed="81"/>
            <rFont val="Tahoma"/>
            <family val="2"/>
          </rPr>
          <t>mshajie:</t>
        </r>
        <r>
          <rPr>
            <sz val="8"/>
            <color indexed="81"/>
            <rFont val="Tahoma"/>
            <family val="2"/>
          </rPr>
          <t xml:space="preserve">
S:\Projects\PDM etracks\Travel &amp; Tourism\US\NEW\Outbound\2010_US_Travel_Abroad</t>
        </r>
      </text>
    </comment>
    <comment ref="X399" authorId="1">
      <text>
        <r>
          <rPr>
            <b/>
            <sz val="8"/>
            <color indexed="81"/>
            <rFont val="Tahoma"/>
            <family val="2"/>
          </rPr>
          <t>mshajie:</t>
        </r>
        <r>
          <rPr>
            <sz val="8"/>
            <color indexed="81"/>
            <rFont val="Tahoma"/>
            <family val="2"/>
          </rPr>
          <t xml:space="preserve">
S:\Projects\PDM etracks\Travel &amp; Tourism\US\NEW\Outbound\2010_US_Travel_Abroad</t>
        </r>
      </text>
    </comment>
    <comment ref="X400" authorId="1">
      <text>
        <r>
          <rPr>
            <b/>
            <sz val="8"/>
            <color indexed="81"/>
            <rFont val="Tahoma"/>
            <family val="2"/>
          </rPr>
          <t>mshajie:</t>
        </r>
        <r>
          <rPr>
            <sz val="8"/>
            <color indexed="81"/>
            <rFont val="Tahoma"/>
            <family val="2"/>
          </rPr>
          <t xml:space="preserve">
S:\Projects\PDM etracks\Travel &amp; Tourism\US\NEW\Outbound\2010_US_Travel_Abroad</t>
        </r>
      </text>
    </comment>
    <comment ref="X406" authorId="1">
      <text>
        <r>
          <rPr>
            <b/>
            <sz val="8"/>
            <color indexed="81"/>
            <rFont val="Tahoma"/>
            <family val="2"/>
          </rPr>
          <t>mshajie:</t>
        </r>
        <r>
          <rPr>
            <sz val="8"/>
            <color indexed="81"/>
            <rFont val="Tahoma"/>
            <family val="2"/>
          </rPr>
          <t xml:space="preserve">
S:\Projects\PDM etracks\Travel &amp; Tourism\US\NEW\Outbound\2010_US_Travel_Abroad</t>
        </r>
      </text>
    </comment>
    <comment ref="X407" authorId="1">
      <text>
        <r>
          <rPr>
            <b/>
            <sz val="8"/>
            <color indexed="81"/>
            <rFont val="Tahoma"/>
            <family val="2"/>
          </rPr>
          <t>mshajie:</t>
        </r>
        <r>
          <rPr>
            <sz val="8"/>
            <color indexed="81"/>
            <rFont val="Tahoma"/>
            <family val="2"/>
          </rPr>
          <t xml:space="preserve">
S:\Projects\PDM etracks\Travel &amp; Tourism\US\NEW\Outbound\2010_US_Travel_Abroad</t>
        </r>
      </text>
    </comment>
    <comment ref="X408" authorId="1">
      <text>
        <r>
          <rPr>
            <b/>
            <sz val="8"/>
            <color indexed="81"/>
            <rFont val="Tahoma"/>
            <family val="2"/>
          </rPr>
          <t>mshajie:</t>
        </r>
        <r>
          <rPr>
            <sz val="8"/>
            <color indexed="81"/>
            <rFont val="Tahoma"/>
            <family val="2"/>
          </rPr>
          <t xml:space="preserve">
S:\Projects\PDM etracks\Travel &amp; Tourism\US\NEW\Outbound\2010_US_Travel_Abroad</t>
        </r>
      </text>
    </comment>
    <comment ref="X412" authorId="1">
      <text>
        <r>
          <rPr>
            <b/>
            <sz val="8"/>
            <color indexed="81"/>
            <rFont val="Tahoma"/>
            <family val="2"/>
          </rPr>
          <t>mshajie:</t>
        </r>
        <r>
          <rPr>
            <sz val="8"/>
            <color indexed="81"/>
            <rFont val="Tahoma"/>
            <family val="2"/>
          </rPr>
          <t xml:space="preserve">
S:\Projects\PDM etracks\Travel &amp; Tourism\US\NEW\Outbound\2010_US_Travel_Abroad</t>
        </r>
      </text>
    </comment>
    <comment ref="X420" authorId="1">
      <text>
        <r>
          <rPr>
            <b/>
            <sz val="8"/>
            <color indexed="81"/>
            <rFont val="Tahoma"/>
            <family val="2"/>
          </rPr>
          <t>mshajie:</t>
        </r>
        <r>
          <rPr>
            <sz val="8"/>
            <color indexed="81"/>
            <rFont val="Tahoma"/>
            <family val="2"/>
          </rPr>
          <t xml:space="preserve">
S:\Projects\PDM etracks\Travel &amp; Tourism\US\NEW\Outbound\2010_US_Travel_Abroad</t>
        </r>
      </text>
    </comment>
    <comment ref="X423" authorId="1">
      <text>
        <r>
          <rPr>
            <b/>
            <sz val="8"/>
            <color indexed="81"/>
            <rFont val="Tahoma"/>
            <family val="2"/>
          </rPr>
          <t>mshajie:</t>
        </r>
        <r>
          <rPr>
            <sz val="8"/>
            <color indexed="81"/>
            <rFont val="Tahoma"/>
            <family val="2"/>
          </rPr>
          <t xml:space="preserve">
S:\Projects\PDM etracks\Travel &amp; Tourism\US\NEW\Outbound\2010_US_Travel_Abroad</t>
        </r>
      </text>
    </comment>
    <comment ref="X424" authorId="1">
      <text>
        <r>
          <rPr>
            <b/>
            <sz val="8"/>
            <color indexed="81"/>
            <rFont val="Tahoma"/>
            <family val="2"/>
          </rPr>
          <t>mshajie:</t>
        </r>
        <r>
          <rPr>
            <sz val="8"/>
            <color indexed="81"/>
            <rFont val="Tahoma"/>
            <family val="2"/>
          </rPr>
          <t xml:space="preserve">
S:\Projects\PDM etracks\Travel &amp; Tourism\US\NEW\Outbound\2010_US_Travel_Abroad</t>
        </r>
      </text>
    </comment>
    <comment ref="X426" authorId="1">
      <text>
        <r>
          <rPr>
            <b/>
            <sz val="8"/>
            <color indexed="81"/>
            <rFont val="Tahoma"/>
            <family val="2"/>
          </rPr>
          <t>mshajie:</t>
        </r>
        <r>
          <rPr>
            <sz val="8"/>
            <color indexed="81"/>
            <rFont val="Tahoma"/>
            <family val="2"/>
          </rPr>
          <t xml:space="preserve">
S:\Projects\PDM etracks\Travel &amp; Tourism\US\NEW\Outbound\2010_US_Travel_Abroad</t>
        </r>
      </text>
    </comment>
    <comment ref="X430" authorId="1">
      <text>
        <r>
          <rPr>
            <b/>
            <sz val="8"/>
            <color indexed="81"/>
            <rFont val="Tahoma"/>
            <family val="2"/>
          </rPr>
          <t>mshajie:</t>
        </r>
        <r>
          <rPr>
            <sz val="8"/>
            <color indexed="81"/>
            <rFont val="Tahoma"/>
            <family val="2"/>
          </rPr>
          <t xml:space="preserve">
S:\Projects\PDM etracks\Travel &amp; Tourism\US\NEW\Outbound\2010_US_Travel_Abroad</t>
        </r>
      </text>
    </comment>
    <comment ref="X435" authorId="1">
      <text>
        <r>
          <rPr>
            <b/>
            <sz val="8"/>
            <color indexed="81"/>
            <rFont val="Tahoma"/>
            <family val="2"/>
          </rPr>
          <t>mshajie:</t>
        </r>
        <r>
          <rPr>
            <sz val="8"/>
            <color indexed="81"/>
            <rFont val="Tahoma"/>
            <family val="2"/>
          </rPr>
          <t xml:space="preserve">
S:\Projects\PDM etracks\Travel &amp; Tourism\US\NEW\Outbound\2010_US_Travel_Abroad</t>
        </r>
      </text>
    </comment>
    <comment ref="X437" authorId="1">
      <text>
        <r>
          <rPr>
            <b/>
            <sz val="8"/>
            <color indexed="81"/>
            <rFont val="Tahoma"/>
            <family val="2"/>
          </rPr>
          <t>mshajie:</t>
        </r>
        <r>
          <rPr>
            <sz val="8"/>
            <color indexed="81"/>
            <rFont val="Tahoma"/>
            <family val="2"/>
          </rPr>
          <t xml:space="preserve">
S:\Projects\PDM etracks\Travel &amp; Tourism\US\NEW\Outbound\2010_US_Travel_Abroad</t>
        </r>
      </text>
    </comment>
    <comment ref="X440" authorId="1">
      <text>
        <r>
          <rPr>
            <b/>
            <sz val="8"/>
            <color indexed="81"/>
            <rFont val="Tahoma"/>
            <family val="2"/>
          </rPr>
          <t>mshajie:</t>
        </r>
        <r>
          <rPr>
            <sz val="8"/>
            <color indexed="81"/>
            <rFont val="Tahoma"/>
            <family val="2"/>
          </rPr>
          <t xml:space="preserve">
S:\Projects\PDM etracks\Travel &amp; Tourism\US\NEW\Outbound\2010_US_Travel_Abroad</t>
        </r>
      </text>
    </comment>
    <comment ref="X448" authorId="1">
      <text>
        <r>
          <rPr>
            <b/>
            <sz val="8"/>
            <color indexed="81"/>
            <rFont val="Tahoma"/>
            <family val="2"/>
          </rPr>
          <t>mshajie:</t>
        </r>
        <r>
          <rPr>
            <sz val="8"/>
            <color indexed="81"/>
            <rFont val="Tahoma"/>
            <family val="2"/>
          </rPr>
          <t xml:space="preserve">
S:\Projects\PDM etracks\Travel &amp; Tourism\US\NEW\Outbound\2010_US_Travel_Abroad</t>
        </r>
      </text>
    </comment>
    <comment ref="X452" authorId="1">
      <text>
        <r>
          <rPr>
            <b/>
            <sz val="8"/>
            <color indexed="81"/>
            <rFont val="Tahoma"/>
            <family val="2"/>
          </rPr>
          <t>mshajie:</t>
        </r>
        <r>
          <rPr>
            <sz val="8"/>
            <color indexed="81"/>
            <rFont val="Tahoma"/>
            <family val="2"/>
          </rPr>
          <t xml:space="preserve">
S:\Projects\PDM etracks\Travel &amp; Tourism\US\NEW\Outbound\2010_US_Travel_Abroad</t>
        </r>
      </text>
    </comment>
    <comment ref="X454" authorId="1">
      <text>
        <r>
          <rPr>
            <b/>
            <sz val="8"/>
            <color indexed="81"/>
            <rFont val="Tahoma"/>
            <family val="2"/>
          </rPr>
          <t>mshajie:</t>
        </r>
        <r>
          <rPr>
            <sz val="8"/>
            <color indexed="81"/>
            <rFont val="Tahoma"/>
            <family val="2"/>
          </rPr>
          <t xml:space="preserve">
S:\Projects\PDM etracks\Travel &amp; Tourism\US\NEW\Outbound\2010_US_Travel_Abroad</t>
        </r>
      </text>
    </comment>
    <comment ref="X455" authorId="1">
      <text>
        <r>
          <rPr>
            <b/>
            <sz val="8"/>
            <color indexed="81"/>
            <rFont val="Tahoma"/>
            <family val="2"/>
          </rPr>
          <t>mshajie:</t>
        </r>
        <r>
          <rPr>
            <sz val="8"/>
            <color indexed="81"/>
            <rFont val="Tahoma"/>
            <family val="2"/>
          </rPr>
          <t xml:space="preserve">
S:\Projects\PDM etracks\Travel &amp; Tourism\US\NEW\Outbound\2010_US_Travel_Abroad</t>
        </r>
      </text>
    </comment>
    <comment ref="X458" authorId="1">
      <text>
        <r>
          <rPr>
            <b/>
            <sz val="8"/>
            <color indexed="81"/>
            <rFont val="Tahoma"/>
            <family val="2"/>
          </rPr>
          <t>mshajie:</t>
        </r>
        <r>
          <rPr>
            <sz val="8"/>
            <color indexed="81"/>
            <rFont val="Tahoma"/>
            <family val="2"/>
          </rPr>
          <t xml:space="preserve">
S:\Projects\PDM etracks\Travel &amp; Tourism\US\NEW\Outbound\2010_US_Travel_Abroad</t>
        </r>
      </text>
    </comment>
    <comment ref="X459" authorId="1">
      <text>
        <r>
          <rPr>
            <b/>
            <sz val="8"/>
            <color indexed="81"/>
            <rFont val="Tahoma"/>
            <family val="2"/>
          </rPr>
          <t>mshajie:</t>
        </r>
        <r>
          <rPr>
            <sz val="8"/>
            <color indexed="81"/>
            <rFont val="Tahoma"/>
            <family val="2"/>
          </rPr>
          <t xml:space="preserve">
S:\Projects\PDM etracks\Travel &amp; Tourism\US\NEW\Outbound\2010_US_Travel_Abroad</t>
        </r>
      </text>
    </comment>
    <comment ref="X465" authorId="1">
      <text>
        <r>
          <rPr>
            <b/>
            <sz val="8"/>
            <color indexed="81"/>
            <rFont val="Tahoma"/>
            <family val="2"/>
          </rPr>
          <t>mshajie:</t>
        </r>
        <r>
          <rPr>
            <sz val="8"/>
            <color indexed="81"/>
            <rFont val="Tahoma"/>
            <family val="2"/>
          </rPr>
          <t xml:space="preserve">
S:\Projects\PDM etracks\Travel &amp; Tourism\US\NEW\Outbound\2010_US_Travel_Abroad</t>
        </r>
      </text>
    </comment>
    <comment ref="X467" authorId="1">
      <text>
        <r>
          <rPr>
            <b/>
            <sz val="8"/>
            <color indexed="81"/>
            <rFont val="Tahoma"/>
            <family val="2"/>
          </rPr>
          <t>mshajie:</t>
        </r>
        <r>
          <rPr>
            <sz val="8"/>
            <color indexed="81"/>
            <rFont val="Tahoma"/>
            <family val="2"/>
          </rPr>
          <t xml:space="preserve">
S:\Projects\PDM etracks\Travel &amp; Tourism\US\NEW\Outbound\2010_US_Travel_Abroad</t>
        </r>
      </text>
    </comment>
    <comment ref="X471" authorId="1">
      <text>
        <r>
          <rPr>
            <b/>
            <sz val="8"/>
            <color indexed="81"/>
            <rFont val="Tahoma"/>
            <family val="2"/>
          </rPr>
          <t>mshajie:</t>
        </r>
        <r>
          <rPr>
            <sz val="8"/>
            <color indexed="81"/>
            <rFont val="Tahoma"/>
            <family val="2"/>
          </rPr>
          <t xml:space="preserve">
S:\Projects\PDM etracks\Travel &amp; Tourism\US\NEW\Outbound\2010_US_Travel_Abroad</t>
        </r>
      </text>
    </comment>
    <comment ref="X475" authorId="1">
      <text>
        <r>
          <rPr>
            <b/>
            <sz val="8"/>
            <color indexed="81"/>
            <rFont val="Tahoma"/>
            <family val="2"/>
          </rPr>
          <t>mshajie:</t>
        </r>
        <r>
          <rPr>
            <sz val="8"/>
            <color indexed="81"/>
            <rFont val="Tahoma"/>
            <family val="2"/>
          </rPr>
          <t xml:space="preserve">
S:\Projects\PDM etracks\Travel &amp; Tourism\US\NEW\Outbound\2010_US_Travel_Abroad</t>
        </r>
      </text>
    </comment>
    <comment ref="X477" authorId="1">
      <text>
        <r>
          <rPr>
            <b/>
            <sz val="8"/>
            <color indexed="81"/>
            <rFont val="Tahoma"/>
            <family val="2"/>
          </rPr>
          <t>mshajie:</t>
        </r>
        <r>
          <rPr>
            <sz val="8"/>
            <color indexed="81"/>
            <rFont val="Tahoma"/>
            <family val="2"/>
          </rPr>
          <t xml:space="preserve">
S:\Projects\PDM etracks\Travel &amp; Tourism\US\NEW\Outbound\2010_US_Travel_Abroad</t>
        </r>
      </text>
    </comment>
    <comment ref="X479" authorId="1">
      <text>
        <r>
          <rPr>
            <b/>
            <sz val="8"/>
            <color indexed="81"/>
            <rFont val="Tahoma"/>
            <family val="2"/>
          </rPr>
          <t>mshajie:</t>
        </r>
        <r>
          <rPr>
            <sz val="8"/>
            <color indexed="81"/>
            <rFont val="Tahoma"/>
            <family val="2"/>
          </rPr>
          <t xml:space="preserve">
S:\Projects\PDM etracks\Travel &amp; Tourism\US\NEW\Outbound\2010_US_Travel_Abroad</t>
        </r>
      </text>
    </comment>
    <comment ref="X481" authorId="1">
      <text>
        <r>
          <rPr>
            <b/>
            <sz val="8"/>
            <color indexed="81"/>
            <rFont val="Tahoma"/>
            <family val="2"/>
          </rPr>
          <t>mshajie:</t>
        </r>
        <r>
          <rPr>
            <sz val="8"/>
            <color indexed="81"/>
            <rFont val="Tahoma"/>
            <family val="2"/>
          </rPr>
          <t xml:space="preserve">
S:\Projects\PDM etracks\Travel &amp; Tourism\US\NEW\Outbound\2010_US_Travel_Abroad</t>
        </r>
      </text>
    </comment>
    <comment ref="X483" authorId="1">
      <text>
        <r>
          <rPr>
            <b/>
            <sz val="8"/>
            <color indexed="81"/>
            <rFont val="Tahoma"/>
            <family val="2"/>
          </rPr>
          <t>mshajie:</t>
        </r>
        <r>
          <rPr>
            <sz val="8"/>
            <color indexed="81"/>
            <rFont val="Tahoma"/>
            <family val="2"/>
          </rPr>
          <t xml:space="preserve">
S:\Projects\PDM etracks\Travel &amp; Tourism\US\NEW\Outbound\2010_US_Travel_Abroad</t>
        </r>
      </text>
    </comment>
    <comment ref="X487" authorId="1">
      <text>
        <r>
          <rPr>
            <b/>
            <sz val="8"/>
            <color indexed="81"/>
            <rFont val="Tahoma"/>
            <family val="2"/>
          </rPr>
          <t>mshajie:</t>
        </r>
        <r>
          <rPr>
            <sz val="8"/>
            <color indexed="81"/>
            <rFont val="Tahoma"/>
            <family val="2"/>
          </rPr>
          <t xml:space="preserve">
S:\Projects\PDM etracks\Travel &amp; Tourism\US\NEW\Outbound\2010_US_Travel_Abroad</t>
        </r>
      </text>
    </comment>
    <comment ref="X499" authorId="1">
      <text>
        <r>
          <rPr>
            <b/>
            <sz val="8"/>
            <color indexed="81"/>
            <rFont val="Tahoma"/>
            <family val="2"/>
          </rPr>
          <t>mshajie:</t>
        </r>
        <r>
          <rPr>
            <sz val="8"/>
            <color indexed="81"/>
            <rFont val="Tahoma"/>
            <family val="2"/>
          </rPr>
          <t xml:space="preserve">
S:\Projects\PDM etracks\Travel &amp; Tourism\US\NEW\Outbound\2010_US_Travel_Abroad</t>
        </r>
      </text>
    </comment>
    <comment ref="X500" authorId="1">
      <text>
        <r>
          <rPr>
            <b/>
            <sz val="8"/>
            <color indexed="81"/>
            <rFont val="Tahoma"/>
            <family val="2"/>
          </rPr>
          <t>mshajie:</t>
        </r>
        <r>
          <rPr>
            <sz val="8"/>
            <color indexed="81"/>
            <rFont val="Tahoma"/>
            <family val="2"/>
          </rPr>
          <t xml:space="preserve">
S:\Projects\PDM etracks\Travel &amp; Tourism\US\NEW\Outbound\2010_US_Travel_Abroad</t>
        </r>
      </text>
    </comment>
    <comment ref="X501" authorId="1">
      <text>
        <r>
          <rPr>
            <b/>
            <sz val="8"/>
            <color indexed="81"/>
            <rFont val="Tahoma"/>
            <family val="2"/>
          </rPr>
          <t>mshajie:</t>
        </r>
        <r>
          <rPr>
            <sz val="8"/>
            <color indexed="81"/>
            <rFont val="Tahoma"/>
            <family val="2"/>
          </rPr>
          <t xml:space="preserve">
S:\Projects\PDM etracks\Travel &amp; Tourism\US\NEW\Outbound\2010_US_Travel_Abroad</t>
        </r>
      </text>
    </comment>
    <comment ref="X504" authorId="1">
      <text>
        <r>
          <rPr>
            <b/>
            <sz val="8"/>
            <color indexed="81"/>
            <rFont val="Tahoma"/>
            <family val="2"/>
          </rPr>
          <t>mshajie:</t>
        </r>
        <r>
          <rPr>
            <sz val="8"/>
            <color indexed="81"/>
            <rFont val="Tahoma"/>
            <family val="2"/>
          </rPr>
          <t xml:space="preserve">
S:\Projects\PDM etracks\Travel &amp; Tourism\US\NEW\Outbound\2010_US_Travel_Abroad</t>
        </r>
      </text>
    </comment>
    <comment ref="X506" authorId="1">
      <text>
        <r>
          <rPr>
            <b/>
            <sz val="8"/>
            <color indexed="81"/>
            <rFont val="Tahoma"/>
            <family val="2"/>
          </rPr>
          <t>mshajie:</t>
        </r>
        <r>
          <rPr>
            <sz val="8"/>
            <color indexed="81"/>
            <rFont val="Tahoma"/>
            <family val="2"/>
          </rPr>
          <t xml:space="preserve">
S:\Projects\PDM etracks\Travel &amp; Tourism\US\NEW\Outbound\2010_US_Travel_Abroad</t>
        </r>
      </text>
    </comment>
    <comment ref="X511" authorId="1">
      <text>
        <r>
          <rPr>
            <b/>
            <sz val="8"/>
            <color indexed="81"/>
            <rFont val="Tahoma"/>
            <family val="2"/>
          </rPr>
          <t>mshajie:</t>
        </r>
        <r>
          <rPr>
            <sz val="8"/>
            <color indexed="81"/>
            <rFont val="Tahoma"/>
            <family val="2"/>
          </rPr>
          <t xml:space="preserve">
S:\Projects\PDM etracks\Travel &amp; Tourism\US\NEW\Outbound\2010_US_Travel_Abroad</t>
        </r>
      </text>
    </comment>
    <comment ref="X513" authorId="1">
      <text>
        <r>
          <rPr>
            <b/>
            <sz val="8"/>
            <color indexed="81"/>
            <rFont val="Tahoma"/>
            <family val="2"/>
          </rPr>
          <t>mshajie:</t>
        </r>
        <r>
          <rPr>
            <sz val="8"/>
            <color indexed="81"/>
            <rFont val="Tahoma"/>
            <family val="2"/>
          </rPr>
          <t xml:space="preserve">
S:\Projects\PDM etracks\Travel &amp; Tourism\US\NEW\Outbound\2010_US_Travel_Abroad</t>
        </r>
      </text>
    </comment>
    <comment ref="X516" authorId="1">
      <text>
        <r>
          <rPr>
            <b/>
            <sz val="8"/>
            <color indexed="81"/>
            <rFont val="Tahoma"/>
            <family val="2"/>
          </rPr>
          <t>mshajie:</t>
        </r>
        <r>
          <rPr>
            <sz val="8"/>
            <color indexed="81"/>
            <rFont val="Tahoma"/>
            <family val="2"/>
          </rPr>
          <t xml:space="preserve">
S:\Projects\PDM etracks\Travel &amp; Tourism\US\NEW\Outbound\2010_US_Travel_Abroad</t>
        </r>
      </text>
    </comment>
    <comment ref="X526" authorId="1">
      <text>
        <r>
          <rPr>
            <b/>
            <sz val="8"/>
            <color indexed="81"/>
            <rFont val="Tahoma"/>
            <family val="2"/>
          </rPr>
          <t>mshajie:</t>
        </r>
        <r>
          <rPr>
            <sz val="8"/>
            <color indexed="81"/>
            <rFont val="Tahoma"/>
            <family val="2"/>
          </rPr>
          <t xml:space="preserve">
S:\Projects\PDM etracks\Travel &amp; Tourism\US\NEW\Outbound\2010_US_Travel_Abroad</t>
        </r>
      </text>
    </comment>
    <comment ref="X542" authorId="1">
      <text>
        <r>
          <rPr>
            <b/>
            <sz val="8"/>
            <color indexed="81"/>
            <rFont val="Tahoma"/>
            <family val="2"/>
          </rPr>
          <t>mshajie:</t>
        </r>
        <r>
          <rPr>
            <sz val="8"/>
            <color indexed="81"/>
            <rFont val="Tahoma"/>
            <family val="2"/>
          </rPr>
          <t xml:space="preserve">
S:\Projects\PDM etracks\Travel &amp; Tourism\US\NEW\Outbound\2010_US_Travel_Abroad</t>
        </r>
      </text>
    </comment>
    <comment ref="O544" authorId="0">
      <text>
        <r>
          <rPr>
            <b/>
            <sz val="8"/>
            <color indexed="81"/>
            <rFont val="Tahoma"/>
            <family val="2"/>
          </rPr>
          <t>vagarwal:</t>
        </r>
        <r>
          <rPr>
            <sz val="8"/>
            <color indexed="81"/>
            <rFont val="Tahoma"/>
            <family val="2"/>
          </rPr>
          <t xml:space="preserve">
http://www.intur.com.pl/itenglish/poles.php?o=1&amp;t1=10</t>
        </r>
      </text>
    </comment>
    <comment ref="L545" authorId="0">
      <text>
        <r>
          <rPr>
            <b/>
            <sz val="8"/>
            <color indexed="81"/>
            <rFont val="Tahoma"/>
            <family val="2"/>
          </rPr>
          <t>vagarwal:</t>
        </r>
        <r>
          <rPr>
            <sz val="8"/>
            <color indexed="81"/>
            <rFont val="Tahoma"/>
            <family val="2"/>
          </rPr>
          <t xml:space="preserve">
http://www.intur.com.pl/itenglish/poles.php?o=1&amp;t1=3</t>
        </r>
      </text>
    </comment>
    <comment ref="M545" authorId="0">
      <text>
        <r>
          <rPr>
            <b/>
            <sz val="8"/>
            <color indexed="81"/>
            <rFont val="Tahoma"/>
            <family val="2"/>
          </rPr>
          <t>vagarwal:</t>
        </r>
        <r>
          <rPr>
            <sz val="8"/>
            <color indexed="81"/>
            <rFont val="Tahoma"/>
            <family val="2"/>
          </rPr>
          <t xml:space="preserve">
http://www.intur.com.pl/itenglish/poles.php?o=1&amp;t1=3</t>
        </r>
      </text>
    </comment>
    <comment ref="N545" authorId="0">
      <text>
        <r>
          <rPr>
            <b/>
            <sz val="8"/>
            <color indexed="81"/>
            <rFont val="Tahoma"/>
            <family val="2"/>
          </rPr>
          <t>vagarwal:</t>
        </r>
        <r>
          <rPr>
            <sz val="8"/>
            <color indexed="81"/>
            <rFont val="Tahoma"/>
            <family val="2"/>
          </rPr>
          <t xml:space="preserve">
http://www.intur.com.pl/itenglish/poles.php?o=1&amp;t1=3</t>
        </r>
      </text>
    </comment>
    <comment ref="O545" authorId="0">
      <text>
        <r>
          <rPr>
            <b/>
            <sz val="8"/>
            <color indexed="81"/>
            <rFont val="Tahoma"/>
            <family val="2"/>
          </rPr>
          <t>vagarwal:</t>
        </r>
        <r>
          <rPr>
            <sz val="8"/>
            <color indexed="81"/>
            <rFont val="Tahoma"/>
            <family val="2"/>
          </rPr>
          <t xml:space="preserve">
http://www.intur.com.pl/itenglish/poles.php?o=1&amp;t1=3</t>
        </r>
      </text>
    </comment>
    <comment ref="L546" authorId="0">
      <text>
        <r>
          <rPr>
            <b/>
            <sz val="8"/>
            <color indexed="81"/>
            <rFont val="Tahoma"/>
            <family val="2"/>
          </rPr>
          <t>vagarwal:</t>
        </r>
        <r>
          <rPr>
            <sz val="8"/>
            <color indexed="81"/>
            <rFont val="Tahoma"/>
            <family val="2"/>
          </rPr>
          <t xml:space="preserve">
http://www.intur.com.pl/itenglish/poles.php?o=1&amp;t1=3</t>
        </r>
      </text>
    </comment>
    <comment ref="M546" authorId="0">
      <text>
        <r>
          <rPr>
            <b/>
            <sz val="8"/>
            <color indexed="81"/>
            <rFont val="Tahoma"/>
            <family val="2"/>
          </rPr>
          <t>vagarwal:</t>
        </r>
        <r>
          <rPr>
            <sz val="8"/>
            <color indexed="81"/>
            <rFont val="Tahoma"/>
            <family val="2"/>
          </rPr>
          <t xml:space="preserve">
http://www.intur.com.pl/itenglish/poles.php?o=1&amp;t1=3</t>
        </r>
      </text>
    </comment>
    <comment ref="N546" authorId="0">
      <text>
        <r>
          <rPr>
            <b/>
            <sz val="8"/>
            <color indexed="81"/>
            <rFont val="Tahoma"/>
            <family val="2"/>
          </rPr>
          <t>vagarwal:</t>
        </r>
        <r>
          <rPr>
            <sz val="8"/>
            <color indexed="81"/>
            <rFont val="Tahoma"/>
            <family val="2"/>
          </rPr>
          <t xml:space="preserve">
http://www.intur.com.pl/itenglish/poles.php?o=1&amp;t1=3</t>
        </r>
      </text>
    </comment>
    <comment ref="O546" authorId="0">
      <text>
        <r>
          <rPr>
            <b/>
            <sz val="8"/>
            <color indexed="81"/>
            <rFont val="Tahoma"/>
            <family val="2"/>
          </rPr>
          <t>vagarwal:</t>
        </r>
        <r>
          <rPr>
            <sz val="8"/>
            <color indexed="81"/>
            <rFont val="Tahoma"/>
            <family val="2"/>
          </rPr>
          <t xml:space="preserve">
http://www.intur.com.pl/itenglish/poles.php?o=1&amp;t1=3</t>
        </r>
      </text>
    </comment>
    <comment ref="X546" authorId="1">
      <text>
        <r>
          <rPr>
            <b/>
            <sz val="8"/>
            <color indexed="81"/>
            <rFont val="Tahoma"/>
            <family val="2"/>
          </rPr>
          <t>mshajie:</t>
        </r>
        <r>
          <rPr>
            <sz val="8"/>
            <color indexed="81"/>
            <rFont val="Tahoma"/>
            <family val="2"/>
          </rPr>
          <t xml:space="preserve">
S:\Projects\PDM etracks\Travel &amp; Tourism\US\Archives\Demand\Outbound</t>
        </r>
      </text>
    </comment>
    <comment ref="L547" authorId="0">
      <text>
        <r>
          <rPr>
            <b/>
            <sz val="8"/>
            <color indexed="81"/>
            <rFont val="Tahoma"/>
            <family val="2"/>
          </rPr>
          <t>vagarwal:</t>
        </r>
        <r>
          <rPr>
            <sz val="8"/>
            <color indexed="81"/>
            <rFont val="Tahoma"/>
            <family val="2"/>
          </rPr>
          <t xml:space="preserve">
http://www.intur.com.pl/itenglish/poles.php?o=1&amp;t1=3</t>
        </r>
      </text>
    </comment>
    <comment ref="M547" authorId="0">
      <text>
        <r>
          <rPr>
            <b/>
            <sz val="8"/>
            <color indexed="81"/>
            <rFont val="Tahoma"/>
            <family val="2"/>
          </rPr>
          <t>vagarwal:</t>
        </r>
        <r>
          <rPr>
            <sz val="8"/>
            <color indexed="81"/>
            <rFont val="Tahoma"/>
            <family val="2"/>
          </rPr>
          <t xml:space="preserve">
http://www.intur.com.pl/itenglish/poles.php?o=1&amp;t1=3</t>
        </r>
      </text>
    </comment>
    <comment ref="N547" authorId="0">
      <text>
        <r>
          <rPr>
            <b/>
            <sz val="8"/>
            <color indexed="81"/>
            <rFont val="Tahoma"/>
            <family val="2"/>
          </rPr>
          <t>vagarwal:</t>
        </r>
        <r>
          <rPr>
            <sz val="8"/>
            <color indexed="81"/>
            <rFont val="Tahoma"/>
            <family val="2"/>
          </rPr>
          <t xml:space="preserve">
http://www.intur.com.pl/itenglish/poles.php?o=1&amp;t1=3</t>
        </r>
      </text>
    </comment>
    <comment ref="O547" authorId="0">
      <text>
        <r>
          <rPr>
            <b/>
            <sz val="8"/>
            <color indexed="81"/>
            <rFont val="Tahoma"/>
            <family val="2"/>
          </rPr>
          <t>vagarwal:</t>
        </r>
        <r>
          <rPr>
            <sz val="8"/>
            <color indexed="81"/>
            <rFont val="Tahoma"/>
            <family val="2"/>
          </rPr>
          <t xml:space="preserve">
http://www.intur.com.pl/itenglish/poles.php?o=1&amp;t1=3</t>
        </r>
      </text>
    </comment>
    <comment ref="X547" authorId="1">
      <text>
        <r>
          <rPr>
            <b/>
            <sz val="8"/>
            <color indexed="81"/>
            <rFont val="Tahoma"/>
            <family val="2"/>
          </rPr>
          <t>mshajie:</t>
        </r>
        <r>
          <rPr>
            <sz val="8"/>
            <color indexed="81"/>
            <rFont val="Tahoma"/>
            <family val="2"/>
          </rPr>
          <t xml:space="preserve">
S:\Projects\PDM etracks\Travel &amp; Tourism\US\Archives\Demand\Outbound</t>
        </r>
      </text>
    </comment>
  </commentList>
</comments>
</file>

<file path=xl/comments3.xml><?xml version="1.0" encoding="utf-8"?>
<comments xmlns="http://schemas.openxmlformats.org/spreadsheetml/2006/main">
  <authors>
    <author>vagarwal</author>
  </authors>
  <commentList>
    <comment ref="B32" authorId="0">
      <text>
        <r>
          <rPr>
            <b/>
            <sz val="8"/>
            <color indexed="81"/>
            <rFont val="Tahoma"/>
            <family val="2"/>
          </rPr>
          <t>vagarwal:</t>
        </r>
        <r>
          <rPr>
            <sz val="8"/>
            <color indexed="81"/>
            <rFont val="Tahoma"/>
            <family val="2"/>
          </rPr>
          <t xml:space="preserve">
http://www.intur.com.pl/itenglish/departur.htm#char_out</t>
        </r>
      </text>
    </comment>
    <comment ref="C32" authorId="0">
      <text>
        <r>
          <rPr>
            <b/>
            <sz val="8"/>
            <color indexed="81"/>
            <rFont val="Tahoma"/>
            <family val="2"/>
          </rPr>
          <t>vagarwal:</t>
        </r>
        <r>
          <rPr>
            <sz val="8"/>
            <color indexed="81"/>
            <rFont val="Tahoma"/>
            <family val="2"/>
          </rPr>
          <t xml:space="preserve">
http://www.intur.com.pl/itenglish/departur.htm#char_out</t>
        </r>
      </text>
    </comment>
    <comment ref="D32" authorId="0">
      <text>
        <r>
          <rPr>
            <b/>
            <sz val="8"/>
            <color indexed="81"/>
            <rFont val="Tahoma"/>
            <family val="2"/>
          </rPr>
          <t>vagarwal:</t>
        </r>
        <r>
          <rPr>
            <sz val="8"/>
            <color indexed="81"/>
            <rFont val="Tahoma"/>
            <family val="2"/>
          </rPr>
          <t xml:space="preserve">
http://www.intur.com.pl/itenglish/departur.htm#char_out</t>
        </r>
      </text>
    </comment>
    <comment ref="B33" authorId="0">
      <text>
        <r>
          <rPr>
            <b/>
            <sz val="8"/>
            <color indexed="81"/>
            <rFont val="Tahoma"/>
            <family val="2"/>
          </rPr>
          <t>vagarwal:</t>
        </r>
        <r>
          <rPr>
            <sz val="8"/>
            <color indexed="81"/>
            <rFont val="Tahoma"/>
            <family val="2"/>
          </rPr>
          <t xml:space="preserve">
http://www.intur.com.pl/itenglish/departur.htm#char_out</t>
        </r>
      </text>
    </comment>
    <comment ref="C33" authorId="0">
      <text>
        <r>
          <rPr>
            <b/>
            <sz val="8"/>
            <color indexed="81"/>
            <rFont val="Tahoma"/>
            <family val="2"/>
          </rPr>
          <t>vagarwal:</t>
        </r>
        <r>
          <rPr>
            <sz val="8"/>
            <color indexed="81"/>
            <rFont val="Tahoma"/>
            <family val="2"/>
          </rPr>
          <t xml:space="preserve">
http://www.intur.com.pl/itenglish/departur.htm#char_out</t>
        </r>
      </text>
    </comment>
    <comment ref="D33" authorId="0">
      <text>
        <r>
          <rPr>
            <b/>
            <sz val="8"/>
            <color indexed="81"/>
            <rFont val="Tahoma"/>
            <family val="2"/>
          </rPr>
          <t>vagarwal:</t>
        </r>
        <r>
          <rPr>
            <sz val="8"/>
            <color indexed="81"/>
            <rFont val="Tahoma"/>
            <family val="2"/>
          </rPr>
          <t xml:space="preserve">
http://www.intur.com.pl/itenglish/departur.htm#char_out</t>
        </r>
      </text>
    </comment>
    <comment ref="B34" authorId="0">
      <text>
        <r>
          <rPr>
            <b/>
            <sz val="8"/>
            <color indexed="81"/>
            <rFont val="Tahoma"/>
            <family val="2"/>
          </rPr>
          <t>vagarwal:</t>
        </r>
        <r>
          <rPr>
            <sz val="8"/>
            <color indexed="81"/>
            <rFont val="Tahoma"/>
            <family val="2"/>
          </rPr>
          <t xml:space="preserve">
http://www.intur.com.pl/itenglish/departur.htm#char_out</t>
        </r>
      </text>
    </comment>
    <comment ref="C34" authorId="0">
      <text>
        <r>
          <rPr>
            <b/>
            <sz val="8"/>
            <color indexed="81"/>
            <rFont val="Tahoma"/>
            <family val="2"/>
          </rPr>
          <t>vagarwal:</t>
        </r>
        <r>
          <rPr>
            <sz val="8"/>
            <color indexed="81"/>
            <rFont val="Tahoma"/>
            <family val="2"/>
          </rPr>
          <t xml:space="preserve">
http://www.intur.com.pl/itenglish/departur.htm#char_out</t>
        </r>
      </text>
    </comment>
    <comment ref="D34" authorId="0">
      <text>
        <r>
          <rPr>
            <b/>
            <sz val="8"/>
            <color indexed="81"/>
            <rFont val="Tahoma"/>
            <family val="2"/>
          </rPr>
          <t>vagarwal:</t>
        </r>
        <r>
          <rPr>
            <sz val="8"/>
            <color indexed="81"/>
            <rFont val="Tahoma"/>
            <family val="2"/>
          </rPr>
          <t xml:space="preserve">
http://www.intur.com.pl/itenglish/departur.htm#char_out</t>
        </r>
      </text>
    </comment>
  </commentList>
</comments>
</file>

<file path=xl/comments4.xml><?xml version="1.0" encoding="utf-8"?>
<comments xmlns="http://schemas.openxmlformats.org/spreadsheetml/2006/main">
  <authors>
    <author>vagarwal</author>
  </authors>
  <commentList>
    <comment ref="B32" authorId="0">
      <text>
        <r>
          <rPr>
            <b/>
            <sz val="8"/>
            <color indexed="81"/>
            <rFont val="Tahoma"/>
            <family val="2"/>
          </rPr>
          <t>vagarwal:</t>
        </r>
        <r>
          <rPr>
            <sz val="8"/>
            <color indexed="81"/>
            <rFont val="Tahoma"/>
            <family val="2"/>
          </rPr>
          <t xml:space="preserve">
http://www.intur.com.pl/itenglish/departur.htm#char_out</t>
        </r>
      </text>
    </comment>
    <comment ref="C32" authorId="0">
      <text>
        <r>
          <rPr>
            <b/>
            <sz val="8"/>
            <color indexed="81"/>
            <rFont val="Tahoma"/>
            <family val="2"/>
          </rPr>
          <t>vagarwal:</t>
        </r>
        <r>
          <rPr>
            <sz val="8"/>
            <color indexed="81"/>
            <rFont val="Tahoma"/>
            <family val="2"/>
          </rPr>
          <t xml:space="preserve">
http://www.intur.com.pl/itenglish/departur.htm#char_out</t>
        </r>
      </text>
    </comment>
    <comment ref="D32" authorId="0">
      <text>
        <r>
          <rPr>
            <b/>
            <sz val="8"/>
            <color indexed="81"/>
            <rFont val="Tahoma"/>
            <family val="2"/>
          </rPr>
          <t>vagarwal:</t>
        </r>
        <r>
          <rPr>
            <sz val="8"/>
            <color indexed="81"/>
            <rFont val="Tahoma"/>
            <family val="2"/>
          </rPr>
          <t xml:space="preserve">
http://www.intur.com.pl/itenglish/departur.htm#char_out</t>
        </r>
      </text>
    </comment>
    <comment ref="B33" authorId="0">
      <text>
        <r>
          <rPr>
            <b/>
            <sz val="8"/>
            <color indexed="81"/>
            <rFont val="Tahoma"/>
            <family val="2"/>
          </rPr>
          <t>vagarwal:</t>
        </r>
        <r>
          <rPr>
            <sz val="8"/>
            <color indexed="81"/>
            <rFont val="Tahoma"/>
            <family val="2"/>
          </rPr>
          <t xml:space="preserve">
http://www.intur.com.pl/itenglish/departur.htm#char_out</t>
        </r>
      </text>
    </comment>
    <comment ref="C33" authorId="0">
      <text>
        <r>
          <rPr>
            <b/>
            <sz val="8"/>
            <color indexed="81"/>
            <rFont val="Tahoma"/>
            <family val="2"/>
          </rPr>
          <t>vagarwal:</t>
        </r>
        <r>
          <rPr>
            <sz val="8"/>
            <color indexed="81"/>
            <rFont val="Tahoma"/>
            <family val="2"/>
          </rPr>
          <t xml:space="preserve">
http://www.intur.com.pl/itenglish/departur.htm#char_out</t>
        </r>
      </text>
    </comment>
    <comment ref="D33" authorId="0">
      <text>
        <r>
          <rPr>
            <b/>
            <sz val="8"/>
            <color indexed="81"/>
            <rFont val="Tahoma"/>
            <family val="2"/>
          </rPr>
          <t>vagarwal:</t>
        </r>
        <r>
          <rPr>
            <sz val="8"/>
            <color indexed="81"/>
            <rFont val="Tahoma"/>
            <family val="2"/>
          </rPr>
          <t xml:space="preserve">
http://www.intur.com.pl/itenglish/departur.htm#char_out</t>
        </r>
      </text>
    </comment>
    <comment ref="B34" authorId="0">
      <text>
        <r>
          <rPr>
            <b/>
            <sz val="8"/>
            <color indexed="81"/>
            <rFont val="Tahoma"/>
            <family val="2"/>
          </rPr>
          <t>vagarwal:</t>
        </r>
        <r>
          <rPr>
            <sz val="8"/>
            <color indexed="81"/>
            <rFont val="Tahoma"/>
            <family val="2"/>
          </rPr>
          <t xml:space="preserve">
http://www.intur.com.pl/itenglish/departur.htm#char_out</t>
        </r>
      </text>
    </comment>
    <comment ref="C34" authorId="0">
      <text>
        <r>
          <rPr>
            <b/>
            <sz val="8"/>
            <color indexed="81"/>
            <rFont val="Tahoma"/>
            <family val="2"/>
          </rPr>
          <t>vagarwal:</t>
        </r>
        <r>
          <rPr>
            <sz val="8"/>
            <color indexed="81"/>
            <rFont val="Tahoma"/>
            <family val="2"/>
          </rPr>
          <t xml:space="preserve">
http://www.intur.com.pl/itenglish/departur.htm#char_out</t>
        </r>
      </text>
    </comment>
    <comment ref="D34" authorId="0">
      <text>
        <r>
          <rPr>
            <b/>
            <sz val="8"/>
            <color indexed="81"/>
            <rFont val="Tahoma"/>
            <family val="2"/>
          </rPr>
          <t>vagarwal:</t>
        </r>
        <r>
          <rPr>
            <sz val="8"/>
            <color indexed="81"/>
            <rFont val="Tahoma"/>
            <family val="2"/>
          </rPr>
          <t xml:space="preserve">
http://www.intur.com.pl/itenglish/departur.htm#char_out</t>
        </r>
      </text>
    </comment>
  </commentList>
</comments>
</file>

<file path=xl/sharedStrings.xml><?xml version="1.0" encoding="utf-8"?>
<sst xmlns="http://schemas.openxmlformats.org/spreadsheetml/2006/main" count="12280" uniqueCount="1413">
  <si>
    <t>Country</t>
  </si>
  <si>
    <t>Subject</t>
  </si>
  <si>
    <t>Metric</t>
  </si>
  <si>
    <t>Metric-1</t>
  </si>
  <si>
    <t>Metric-2</t>
  </si>
  <si>
    <t>Definitions</t>
  </si>
  <si>
    <t>Database</t>
  </si>
  <si>
    <t>Status</t>
  </si>
  <si>
    <t>Source</t>
  </si>
  <si>
    <t>Units</t>
  </si>
  <si>
    <t>CAGR 07-11</t>
  </si>
  <si>
    <t>Link</t>
  </si>
  <si>
    <t>Forecast</t>
  </si>
  <si>
    <t>Tourism Demand Factors</t>
  </si>
  <si>
    <t>Tourism demand factors are defined as the factors which influence the time and money spent on tourism by residents of a nation.</t>
  </si>
  <si>
    <t>Tourism Demand &amp; Flows Database</t>
  </si>
  <si>
    <t>New</t>
  </si>
  <si>
    <t>The number of potential tourist days the average resident of a country will accrue annually through entitled holidays (i.e. paid holidays and public holidays). Unpaid holidays and business trips are not included in this number.</t>
  </si>
  <si>
    <t>Days</t>
  </si>
  <si>
    <t>Paid Holidays</t>
  </si>
  <si>
    <t>The number of potential tourist days the average resident of a country will accrue annually through paid holidays i.e. The number of paid holidays the average resident is entitled to.</t>
  </si>
  <si>
    <t>Public Holidays</t>
  </si>
  <si>
    <t>The number of potential tourist days the average resident of a country will accrue annually through public holidays i.e. The number of statuatory holidays the average resident is entitled to.</t>
  </si>
  <si>
    <t>Domestic Trips</t>
  </si>
  <si>
    <t>International Trips</t>
  </si>
  <si>
    <t>Millions</t>
  </si>
  <si>
    <t>calculations</t>
  </si>
  <si>
    <t>Total by Age</t>
  </si>
  <si>
    <t>0-14</t>
  </si>
  <si>
    <t>15-24</t>
  </si>
  <si>
    <t>25-34</t>
  </si>
  <si>
    <t>35-44</t>
  </si>
  <si>
    <t>45-54</t>
  </si>
  <si>
    <t>55-64</t>
  </si>
  <si>
    <t>65+</t>
  </si>
  <si>
    <t>Males by Age</t>
  </si>
  <si>
    <t>Females by Age</t>
  </si>
  <si>
    <t>US$0-14,999</t>
  </si>
  <si>
    <t>US$15,000-24,999</t>
  </si>
  <si>
    <t>US$25,000-34,999</t>
  </si>
  <si>
    <t>US$35,000-44,999</t>
  </si>
  <si>
    <t>US$45,000-54,999</t>
  </si>
  <si>
    <t>US$55,000-64,999</t>
  </si>
  <si>
    <t>US$65,000-74,999</t>
  </si>
  <si>
    <t>US$75,000-99,999</t>
  </si>
  <si>
    <t>Number of Holiday Takers by Season</t>
  </si>
  <si>
    <t>January - March</t>
  </si>
  <si>
    <t>April - June</t>
  </si>
  <si>
    <t>July - September</t>
  </si>
  <si>
    <t>October - December</t>
  </si>
  <si>
    <t>Number of Return Trips by Residents by Length &amp; Type</t>
  </si>
  <si>
    <t>The number of trips undertaken by the residents of a country, segmented by the destination and length of the trip.</t>
  </si>
  <si>
    <t>Average National Tourism Spend per Day of Trip</t>
  </si>
  <si>
    <t>The average expenditure per day of a tourist trip for residents of a country</t>
  </si>
  <si>
    <t>The average expenditure per day of a domestic tourist trip for residents of a country</t>
  </si>
  <si>
    <t>The average expenditure per day of a international tourist trip for residents of a country</t>
  </si>
  <si>
    <t>Percentage of Total Resident Income Spent on Tourism</t>
  </si>
  <si>
    <t>The percentage of total annual income that the residents of a country spends on travel and tourism.</t>
  </si>
  <si>
    <t>%</t>
  </si>
  <si>
    <t>The percentage of total annual income that the residents of a country spends on domestic travel and tourism.</t>
  </si>
  <si>
    <t>The percentage of total annual income that the residents of a country spends on international travel and tourism.</t>
  </si>
  <si>
    <t>Total National Tourism Expenditure by Location</t>
  </si>
  <si>
    <t>The total value of expenditure on travel and tourism by the residents of a country, segmented by the destination of the tourism trip.</t>
  </si>
  <si>
    <t>The total value of expenditure on domestic travel and tourism by the residents of a country</t>
  </si>
  <si>
    <t>The total value of expenditure on international travel and tourism by the residents of a country</t>
  </si>
  <si>
    <t>Africa</t>
  </si>
  <si>
    <t>The total value of expenditure on international travel and tourism trips to Africa by the residents of a country</t>
  </si>
  <si>
    <t>Asia-Pacific</t>
  </si>
  <si>
    <t>The total value of expenditure on international travel and tourism trips to Asia-Pacific by the residents of a country</t>
  </si>
  <si>
    <t>Europe</t>
  </si>
  <si>
    <t>Middle East</t>
  </si>
  <si>
    <t>The total value of expenditure on international travel and tourism trips to the Middle East by the residents of a country</t>
  </si>
  <si>
    <t>North America</t>
  </si>
  <si>
    <t>The total value of expenditure on international travel and tourism trips to North America by the residents of a country</t>
  </si>
  <si>
    <t>South &amp; Central America</t>
  </si>
  <si>
    <t>The total value of expenditure on international travel and tourism trips to South &amp; Central America by the residents of a country</t>
  </si>
  <si>
    <t>Total National Tourism Expenditure by Tourism Product</t>
  </si>
  <si>
    <t>The total value of expenditure on travel and tourism activities by the residents of a country, segmented by the type of tourism product that the money was spent on.</t>
  </si>
  <si>
    <t>Tourism Packages</t>
  </si>
  <si>
    <t>The total value of expenditure on tourism packages by the residents of a country.</t>
  </si>
  <si>
    <t>Accommodation</t>
  </si>
  <si>
    <t>The total value of expenditure on accomodation used during tourism trips by the residents of a country. This excludes accommodation expenditure included within tourism packages.</t>
  </si>
  <si>
    <t>Entertainment &amp; Sightseeing</t>
  </si>
  <si>
    <t>The total value of expenditure on entertainment &amp; sightseeing during tourism trips by the residents of a country. This excludes entertainment &amp; sightseeing expenditure included within tourism packages.</t>
  </si>
  <si>
    <t>Food &amp; Beverage</t>
  </si>
  <si>
    <t>The total value of expenditure on food &amp; drink during tourism trips by the residents of a country. This excludes food &amp; drink expenditure included within tourism packages. This value will include expenditure at both foodservice and grocery retail outlets.</t>
  </si>
  <si>
    <t>Shopping</t>
  </si>
  <si>
    <t>The total value of expenditure on shopping during tourism trips by the residents of a country. This excludes shopping expenditure included within tourism packages.</t>
  </si>
  <si>
    <t>International Travel</t>
  </si>
  <si>
    <t>The total value of expenditure on tickets for international travel during tourism trips by the residents of a country. This excludes international travel expenditure included within tourism packages.</t>
  </si>
  <si>
    <t>Local Travel</t>
  </si>
  <si>
    <t>The total value of expenditure on tickets for local travel during tourism trips by the residents of a country. This excludes local travel expenditure included within tourism packages.</t>
  </si>
  <si>
    <t>Other Spending</t>
  </si>
  <si>
    <t>The total value of expenditure on any other form of travel &amp; tourism activity or product. Excludes expenditure on tourism packages, accommodation, entertainment, food &amp; beverages, shopping, sightseeing, international travel and local travel.</t>
  </si>
  <si>
    <t>Tourism Flows</t>
  </si>
  <si>
    <t>The flows of individuals and the money spent by those individuals from one location to another.</t>
  </si>
  <si>
    <t>N/A</t>
  </si>
  <si>
    <t>Number of Domestic Tourists by Region</t>
  </si>
  <si>
    <t>The total number of domestic tourists, segmented by the destination region within their country of residence.</t>
  </si>
  <si>
    <t>Thousand</t>
  </si>
  <si>
    <t>REGION 1</t>
  </si>
  <si>
    <t>REGION 2</t>
  </si>
  <si>
    <t>REGION 3</t>
  </si>
  <si>
    <t>REGION 4</t>
  </si>
  <si>
    <t>REGION 5</t>
  </si>
  <si>
    <t>REGION 6</t>
  </si>
  <si>
    <t>REGION 7</t>
  </si>
  <si>
    <t>REGION 8</t>
  </si>
  <si>
    <t>REGION 9</t>
  </si>
  <si>
    <t>REGION 10</t>
  </si>
  <si>
    <t>Other Regions</t>
  </si>
  <si>
    <t>Exists</t>
  </si>
  <si>
    <t>Business</t>
  </si>
  <si>
    <t>The number of domestic tourists who are engaging in travel &amp; tourism activities on behalf of their business or employer.</t>
  </si>
  <si>
    <t>UNWTO</t>
  </si>
  <si>
    <t>Leisure</t>
  </si>
  <si>
    <t>The number of domestic tourists who are engaging in travel &amp; tourism activities for personal reasons related to leisure.</t>
  </si>
  <si>
    <t>Other Personal</t>
  </si>
  <si>
    <t>The number of domestic tourists who are engaging in travel &amp; tourism activities for non-business or non-leisure related personal reasons, including for the purpose of pilgrimage, health and medical, education and training, transit, volunteer work (not included elsewhere), investigative work and migration possibilities, and the undertaking any other temporary non-remunerated activities not included elsewhere.</t>
  </si>
  <si>
    <t>Average Expenditure per Domestic Tourist by Tourism Product</t>
  </si>
  <si>
    <t>The average value of expenditure on domestic travel and tourism activities by a typical resident of a country, segmented by the type of tourism product that the money was spent on.</t>
  </si>
  <si>
    <t>The average value of expenditure on domestic tourism packages by the residents of a country.</t>
  </si>
  <si>
    <t>The average value of expenditure on accomodation used during domestic tourism trips by the residents of a country. This excludes accommodation expenditure included within tourism packages.</t>
  </si>
  <si>
    <t>The average value of expenditure on entertainment &amp; sightseeing during domestic tourism trips by the residents of a country. This excludes entertainment &amp; sightseeing expenditure included within tourism packages.</t>
  </si>
  <si>
    <t>The average value of expenditure on food &amp; drink during domestic tourism trips by the residents of a country. This excludes food &amp; drink expenditure included within tourism packages. This value will include expenditure at both foodservice and grocery retail outlets.</t>
  </si>
  <si>
    <t>The average value of expenditure on shopping during domestic tourism trips by the residents of a country. This excludes shopping expenditure included within tourism packages.</t>
  </si>
  <si>
    <t>The average value of expenditure on tickets for local travel during domestic tourism trips by the residents of a country. This excludes local travel expenditure included within tourism packages.</t>
  </si>
  <si>
    <t>The average value of expenditure on any other form of domestic travel &amp; tourism activity or product. Excludes expenditure on tourism packages, accommodation, entertainment, food &amp; beverages, shopping, sightseeing, international travel and local travel.</t>
  </si>
  <si>
    <t>International Arrivals by Region of Entry</t>
  </si>
  <si>
    <t>The total number of international arrivals to a country, segmented by the regional location of their port of entry.</t>
  </si>
  <si>
    <t>International Arrivals by Place of Origin</t>
  </si>
  <si>
    <t>The number of international arrivals to a country, segmented by their region and/or country of origin</t>
  </si>
  <si>
    <t>The number of international arrivals to a country originating from Africa</t>
  </si>
  <si>
    <t>Algeria</t>
  </si>
  <si>
    <t>The number of international arrivals to a country originating from Algeria</t>
  </si>
  <si>
    <t>Angola</t>
  </si>
  <si>
    <t>The number of international arrivals to a country originating from Angola</t>
  </si>
  <si>
    <t>Benin</t>
  </si>
  <si>
    <t>The number of international arrivals to a country originating from Benin</t>
  </si>
  <si>
    <t>Botswana</t>
  </si>
  <si>
    <t>The number of international arrivals to a country originating from Botswana</t>
  </si>
  <si>
    <t>Burkina Faso</t>
  </si>
  <si>
    <t>The number of international arrivals to a country originating from Burkina Faso</t>
  </si>
  <si>
    <t>Burundi</t>
  </si>
  <si>
    <t>The number of international arrivals to a country originating from Burundi</t>
  </si>
  <si>
    <t>Cameroon</t>
  </si>
  <si>
    <t>The number of international arrivals to a country originating from Cameroon</t>
  </si>
  <si>
    <t>Cape Verde</t>
  </si>
  <si>
    <t>The number of international arrivals to a country originating from Cape Verde</t>
  </si>
  <si>
    <t>Central African Republic</t>
  </si>
  <si>
    <t>The number of international arrivals to a country originating from Central African Republic</t>
  </si>
  <si>
    <t>Chad</t>
  </si>
  <si>
    <t>The number of international arrivals to a country originating from Chad</t>
  </si>
  <si>
    <t>Comoros</t>
  </si>
  <si>
    <t>The number of international arrivals to a country originating from Comoros</t>
  </si>
  <si>
    <t>Congo</t>
  </si>
  <si>
    <t>The number of international arrivals to a country originating from Congo</t>
  </si>
  <si>
    <t>Côte d'Ivoire</t>
  </si>
  <si>
    <t>The number of international arrivals to a country originating from Côte d'Ivoire</t>
  </si>
  <si>
    <t>Dem. Republic of the Congo</t>
  </si>
  <si>
    <t>The number of international arrivals to a country originating from Dem. Republic of the Congo</t>
  </si>
  <si>
    <t>Djibouti</t>
  </si>
  <si>
    <t>The number of international arrivals to a country originating from Djibouti</t>
  </si>
  <si>
    <t>Egypt</t>
  </si>
  <si>
    <t>The number of international arrivals to a country originating from Egypt</t>
  </si>
  <si>
    <t>Equatorial Guinea</t>
  </si>
  <si>
    <t>The number of international arrivals to a country originating from Equatorial Guinea</t>
  </si>
  <si>
    <t>Eritrea</t>
  </si>
  <si>
    <t>The number of international arrivals to a country originating from Eritrea</t>
  </si>
  <si>
    <t>Ethiopia</t>
  </si>
  <si>
    <t>The number of international arrivals to a country originating from Ethiopia</t>
  </si>
  <si>
    <t>Gabon</t>
  </si>
  <si>
    <t>The number of international arrivals to a country originating from Gabon</t>
  </si>
  <si>
    <t>Gambia</t>
  </si>
  <si>
    <t>The number of international arrivals to a country originating from Gambia</t>
  </si>
  <si>
    <t>Ghana</t>
  </si>
  <si>
    <t>The number of international arrivals to a country originating from Ghana</t>
  </si>
  <si>
    <t>Guinea</t>
  </si>
  <si>
    <t>The number of international arrivals to a country originating from Guinea</t>
  </si>
  <si>
    <t>Guinea-Bissau</t>
  </si>
  <si>
    <t>The number of international arrivals to a country originating from Guinea-Bissau</t>
  </si>
  <si>
    <t>Kenya</t>
  </si>
  <si>
    <t>The number of international arrivals to a country originating from Kenya</t>
  </si>
  <si>
    <t>Lesotho</t>
  </si>
  <si>
    <t>The number of international arrivals to a country originating from Lesotho</t>
  </si>
  <si>
    <t>Liberia</t>
  </si>
  <si>
    <t>The number of international arrivals to a country originating from Liberia</t>
  </si>
  <si>
    <t>Libyan Arab Jamahiriya</t>
  </si>
  <si>
    <t>The number of international arrivals to a country originating from Libyan Arab Jamahiriya</t>
  </si>
  <si>
    <t>Madagascar</t>
  </si>
  <si>
    <t>The number of international arrivals to a country originating from Madagascar</t>
  </si>
  <si>
    <t>Malawi</t>
  </si>
  <si>
    <t>The number of international arrivals to a country originating from Malawi</t>
  </si>
  <si>
    <t>Mali</t>
  </si>
  <si>
    <t>The number of international arrivals to a country originating from Mali</t>
  </si>
  <si>
    <t>Mauritania</t>
  </si>
  <si>
    <t>The number of international arrivals to a country originating from Mauritania</t>
  </si>
  <si>
    <t>Mayotte</t>
  </si>
  <si>
    <t>The number of international arrivals to a country originating from Mayotte</t>
  </si>
  <si>
    <t>Morocco</t>
  </si>
  <si>
    <t>The number of international arrivals to a country originating from Morocco</t>
  </si>
  <si>
    <t>Mozambique</t>
  </si>
  <si>
    <t>The number of international arrivals to a country originating from Mozambique</t>
  </si>
  <si>
    <t>Namibia</t>
  </si>
  <si>
    <t>The number of international arrivals to a country originating from Namibia</t>
  </si>
  <si>
    <t>Niger</t>
  </si>
  <si>
    <t>The number of international arrivals to a country originating from Niger</t>
  </si>
  <si>
    <t>Nigeria</t>
  </si>
  <si>
    <t>The number of international arrivals to a country originating from Nigeria</t>
  </si>
  <si>
    <t>Réunion</t>
  </si>
  <si>
    <t>The number of international arrivals to a country originating from Réunion</t>
  </si>
  <si>
    <t>Rwanda</t>
  </si>
  <si>
    <t>The number of international arrivals to a country originating from Rwanda</t>
  </si>
  <si>
    <t>Senegal</t>
  </si>
  <si>
    <t>The number of international arrivals to a country originating from Senegal</t>
  </si>
  <si>
    <t>Sierra Leone</t>
  </si>
  <si>
    <t>The number of international arrivals to a country originating from Sierra Leone</t>
  </si>
  <si>
    <t>Somalia</t>
  </si>
  <si>
    <t>The number of international arrivals to a country originating from Somalia</t>
  </si>
  <si>
    <t>South Africa</t>
  </si>
  <si>
    <t>The number of international arrivals to a country originating from South Africa</t>
  </si>
  <si>
    <t>Based on African tourist data obtained Office of Travel &amp; Tourism Industries, International Trade Administration, U.S. Department of Commerce.</t>
  </si>
  <si>
    <t>Sudan</t>
  </si>
  <si>
    <t>The number of international arrivals to a country originating from Sudan</t>
  </si>
  <si>
    <t>Swaziland</t>
  </si>
  <si>
    <t>The number of international arrivals to a country originating from Swaziland</t>
  </si>
  <si>
    <t>Togo</t>
  </si>
  <si>
    <t>The number of international arrivals to a country originating from Togo</t>
  </si>
  <si>
    <t>Tonga</t>
  </si>
  <si>
    <t>The number of international arrivals to a country originating from Tonga</t>
  </si>
  <si>
    <t>Tunisia</t>
  </si>
  <si>
    <t>The number of international arrivals to a country originating from Tunisia</t>
  </si>
  <si>
    <t>Uganda</t>
  </si>
  <si>
    <t>The number of international arrivals to a country originating from Uganda</t>
  </si>
  <si>
    <t>United Republic of Tanzania</t>
  </si>
  <si>
    <t>The number of international arrivals to a country originating from United Republic of Tanzania</t>
  </si>
  <si>
    <t>Western Sahara</t>
  </si>
  <si>
    <t>The number of international arrivals to a country originating from Western Sahara</t>
  </si>
  <si>
    <t>Zambia</t>
  </si>
  <si>
    <t>The number of international arrivals to a country originating from Zambia</t>
  </si>
  <si>
    <t>Zimbabwe</t>
  </si>
  <si>
    <t>The number of international arrivals to a country originating from Zimbabwe</t>
  </si>
  <si>
    <t>The number of international arrivals to a country originating from Asia-Pacific</t>
  </si>
  <si>
    <t>Based on Asia and Oceania tourist data obtained Office of Travel &amp; Tourism Industries, International Trade Administration, U.S. Department of Commerce.</t>
  </si>
  <si>
    <t>Afghanistan</t>
  </si>
  <si>
    <t>The number of international arrivals to a country originating from Afghanistan</t>
  </si>
  <si>
    <t>Australia</t>
  </si>
  <si>
    <t>The number of international arrivals to a country originating from Australia</t>
  </si>
  <si>
    <t>Azerbaijan</t>
  </si>
  <si>
    <t>The number of international arrivals to a country originating from Azerbaijan</t>
  </si>
  <si>
    <t>Bangladesh</t>
  </si>
  <si>
    <t>The number of international arrivals to a country originating from Bangladesh</t>
  </si>
  <si>
    <t>Bhutan</t>
  </si>
  <si>
    <t>The number of international arrivals to a country originating from Bhutan</t>
  </si>
  <si>
    <t>Brunei Darussalam</t>
  </si>
  <si>
    <t>The number of international arrivals to a country originating from Brunei Darussalam</t>
  </si>
  <si>
    <t>Cambodia</t>
  </si>
  <si>
    <t>The number of international arrivals to a country originating from Cambodia</t>
  </si>
  <si>
    <t>China</t>
  </si>
  <si>
    <t>The number of international arrivals to a country originating from China</t>
  </si>
  <si>
    <t>China, Hong Kong SAR</t>
  </si>
  <si>
    <t>The number of international arrivals to a country originating from China, Hong Kong SAR</t>
  </si>
  <si>
    <t>China, Macao SAR</t>
  </si>
  <si>
    <t>The number of international arrivals to a country originating from China, Macao SAR</t>
  </si>
  <si>
    <t>Dem. People's Rep. of Korea</t>
  </si>
  <si>
    <t>The number of international arrivals to a country originating from Dem. People's Rep. of Korea</t>
  </si>
  <si>
    <t>Fiji</t>
  </si>
  <si>
    <t>The number of international arrivals to a country originating from Fiji</t>
  </si>
  <si>
    <t>French Polynesia</t>
  </si>
  <si>
    <t>The number of international arrivals to a country originating from French Polynesia</t>
  </si>
  <si>
    <t>Guam</t>
  </si>
  <si>
    <t>The number of international arrivals to a country originating from Guam</t>
  </si>
  <si>
    <t>India</t>
  </si>
  <si>
    <t>The number of international arrivals to a country originating from India</t>
  </si>
  <si>
    <t>Indonesia</t>
  </si>
  <si>
    <t>The number of international arrivals to a country originating from Indonesia</t>
  </si>
  <si>
    <t>Japan</t>
  </si>
  <si>
    <t>The number of international arrivals to a country originating from Japan</t>
  </si>
  <si>
    <t>Kazakhstan</t>
  </si>
  <si>
    <t>The number of international arrivals to a country originating from Kazakhstan</t>
  </si>
  <si>
    <t>Kyrgyzstan</t>
  </si>
  <si>
    <t>The number of international arrivals to a country originating from Kyrgyzstan</t>
  </si>
  <si>
    <t>Lao People's Dem. Republic</t>
  </si>
  <si>
    <t>The number of international arrivals to a country originating from Lao People's Dem. Republic</t>
  </si>
  <si>
    <t>Malaysia</t>
  </si>
  <si>
    <t>The number of international arrivals to a country originating from Malaysia</t>
  </si>
  <si>
    <t>Maldives</t>
  </si>
  <si>
    <t>The number of international arrivals to a country originating from Maldives</t>
  </si>
  <si>
    <t>Mauritius</t>
  </si>
  <si>
    <t>The number of international arrivals to a country originating from Mauritius</t>
  </si>
  <si>
    <t>Micronesia (Fed. States of)</t>
  </si>
  <si>
    <t>The number of international arrivals to a country originating from Micronesia (Fed. States of)</t>
  </si>
  <si>
    <t>Mongolia</t>
  </si>
  <si>
    <t>The number of international arrivals to a country originating from Mongolia</t>
  </si>
  <si>
    <t>Myanmar</t>
  </si>
  <si>
    <t>The number of international arrivals to a country originating from Myanmar</t>
  </si>
  <si>
    <t>Nepal</t>
  </si>
  <si>
    <t>The number of international arrivals to a country originating from Nepal</t>
  </si>
  <si>
    <t>New Caledonia</t>
  </si>
  <si>
    <t>The number of international arrivals to a country originating from New Caledonia</t>
  </si>
  <si>
    <t>New Zealand</t>
  </si>
  <si>
    <t>The number of international arrivals to a country originating from New Zealand</t>
  </si>
  <si>
    <t>Pakistan</t>
  </si>
  <si>
    <t>The number of international arrivals to a country originating from Pakistan</t>
  </si>
  <si>
    <t>Papua New Guinea</t>
  </si>
  <si>
    <t>The number of international arrivals to a country originating from Papua New Guinea</t>
  </si>
  <si>
    <t>Philippines</t>
  </si>
  <si>
    <t>The number of international arrivals to a country originating from Philippines</t>
  </si>
  <si>
    <t>Republic of Korea</t>
  </si>
  <si>
    <t>The number of international arrivals to a country originating from Republic of Korea</t>
  </si>
  <si>
    <t>Samoa</t>
  </si>
  <si>
    <t>The number of international arrivals to a country originating from Samoa</t>
  </si>
  <si>
    <t>Singapore</t>
  </si>
  <si>
    <t>The number of international arrivals to a country originating from Singapore</t>
  </si>
  <si>
    <t>Solomon Islands</t>
  </si>
  <si>
    <t>The number of international arrivals to a country originating from Solomon Islands</t>
  </si>
  <si>
    <t>Sri Lanka</t>
  </si>
  <si>
    <t>The number of international arrivals to a country originating from Sri Lanka</t>
  </si>
  <si>
    <t>Tajikistan</t>
  </si>
  <si>
    <t>The number of international arrivals to a country originating from Tajikistan</t>
  </si>
  <si>
    <t>Thailand</t>
  </si>
  <si>
    <t>The number of international arrivals to a country originating from Thailand</t>
  </si>
  <si>
    <t>Timor-Leste</t>
  </si>
  <si>
    <t>The number of international arrivals to a country originating from Timor-Leste</t>
  </si>
  <si>
    <t>Turkmenistan</t>
  </si>
  <si>
    <t>The number of international arrivals to a country originating from Turkmenistan</t>
  </si>
  <si>
    <t>Uzbekistan</t>
  </si>
  <si>
    <t>The number of international arrivals to a country originating from Uzbekistan</t>
  </si>
  <si>
    <t>Vanuatu</t>
  </si>
  <si>
    <t>The number of international arrivals to a country originating from Vanuatu</t>
  </si>
  <si>
    <t>Vietnam</t>
  </si>
  <si>
    <t>The number of international arrivals to a country originating from Vietnam</t>
  </si>
  <si>
    <t>The number of international arrivals to a country originating from Europe</t>
  </si>
  <si>
    <t>Albania</t>
  </si>
  <si>
    <t>The number of international arrivals to a country originating from Albania</t>
  </si>
  <si>
    <t>Armenia</t>
  </si>
  <si>
    <t>The number of international arrivals to a country originating from Armenia</t>
  </si>
  <si>
    <t>Austria</t>
  </si>
  <si>
    <t>The number of international arrivals to a country originating from Austria</t>
  </si>
  <si>
    <t>Belarus</t>
  </si>
  <si>
    <t>The number of international arrivals to a country originating from Belarus</t>
  </si>
  <si>
    <t>Belgium</t>
  </si>
  <si>
    <t>The number of international arrivals to a country originating from Belgium</t>
  </si>
  <si>
    <t>Bosnia and Herzegovina</t>
  </si>
  <si>
    <t>The number of international arrivals to a country originating from Bosnia and Herzegovina</t>
  </si>
  <si>
    <t>Bulgaria</t>
  </si>
  <si>
    <t>The number of international arrivals to a country originating from Bulgaria</t>
  </si>
  <si>
    <t>Channel Islands</t>
  </si>
  <si>
    <t>The number of international arrivals to a country originating from Channel Islands</t>
  </si>
  <si>
    <t>Croatia</t>
  </si>
  <si>
    <t>The number of international arrivals to a country originating from Croatia</t>
  </si>
  <si>
    <t>Cyprus</t>
  </si>
  <si>
    <t>The number of international arrivals to a country originating from Cyprus</t>
  </si>
  <si>
    <t>Czech Republic</t>
  </si>
  <si>
    <t>The number of international arrivals to a country originating from Czech Republic</t>
  </si>
  <si>
    <t>Denmark</t>
  </si>
  <si>
    <t>The number of international arrivals to a country originating from Denmark</t>
  </si>
  <si>
    <t>Estonia</t>
  </si>
  <si>
    <t>The number of international arrivals to a country originating from Estonia</t>
  </si>
  <si>
    <t>Finland</t>
  </si>
  <si>
    <t>The number of international arrivals to a country originating from Finland</t>
  </si>
  <si>
    <t>France</t>
  </si>
  <si>
    <t>The number of international arrivals to a country originating from France</t>
  </si>
  <si>
    <t>Georgia</t>
  </si>
  <si>
    <t>The number of international arrivals to a country originating from Georgia</t>
  </si>
  <si>
    <t>Germany</t>
  </si>
  <si>
    <t>The number of international arrivals to a country originating from Germany</t>
  </si>
  <si>
    <t>Greece</t>
  </si>
  <si>
    <t>The number of international arrivals to a country originating from Greece</t>
  </si>
  <si>
    <t>Hungary</t>
  </si>
  <si>
    <t>The number of international arrivals to a country originating from Hungary</t>
  </si>
  <si>
    <t>Iceland</t>
  </si>
  <si>
    <t>The number of international arrivals to a country originating from Iceland</t>
  </si>
  <si>
    <t>Ireland</t>
  </si>
  <si>
    <t>The number of international arrivals to a country originating from Ireland</t>
  </si>
  <si>
    <t>Italy</t>
  </si>
  <si>
    <t>The number of international arrivals to a country originating from Italy</t>
  </si>
  <si>
    <t>Latvia</t>
  </si>
  <si>
    <t>The number of international arrivals to a country originating from Latvia</t>
  </si>
  <si>
    <t>Lithuania</t>
  </si>
  <si>
    <t>The number of international arrivals to a country originating from Lithuania</t>
  </si>
  <si>
    <t>Luxembourg</t>
  </si>
  <si>
    <t>The number of international arrivals to a country originating from Luxembourg</t>
  </si>
  <si>
    <t>Malta</t>
  </si>
  <si>
    <t>The number of international arrivals to a country originating from Malta</t>
  </si>
  <si>
    <t>Montenegro</t>
  </si>
  <si>
    <t>The number of international arrivals to a country originating from Montenegro</t>
  </si>
  <si>
    <t>Netherlands</t>
  </si>
  <si>
    <t>The number of international arrivals to a country originating from Netherlands</t>
  </si>
  <si>
    <t>Norway</t>
  </si>
  <si>
    <t>The number of international arrivals to a country originating from Norway</t>
  </si>
  <si>
    <t>Poland</t>
  </si>
  <si>
    <t>The number of international arrivals to a country originating from Poland</t>
  </si>
  <si>
    <t>Portugal</t>
  </si>
  <si>
    <t>The number of international arrivals to a country originating from Portugal</t>
  </si>
  <si>
    <t>Republic of Moldova</t>
  </si>
  <si>
    <t>The number of international arrivals to a country originating from Republic of Moldova</t>
  </si>
  <si>
    <t>Romania</t>
  </si>
  <si>
    <t>The number of international arrivals to a country originating from Romania</t>
  </si>
  <si>
    <t>Russian Federation</t>
  </si>
  <si>
    <t>The number of international arrivals to a country originating from Russian Federation</t>
  </si>
  <si>
    <t>Serbia</t>
  </si>
  <si>
    <t>The number of international arrivals to a country originating from Serbia</t>
  </si>
  <si>
    <t>Slovakia</t>
  </si>
  <si>
    <t>The number of international arrivals to a country originating from Slovakia</t>
  </si>
  <si>
    <t>Slovenia</t>
  </si>
  <si>
    <t>The number of international arrivals to a country originating from Slovenia</t>
  </si>
  <si>
    <t>Spain</t>
  </si>
  <si>
    <t>The number of international arrivals to a country originating from Spain</t>
  </si>
  <si>
    <t>Sweden</t>
  </si>
  <si>
    <t>The number of international arrivals to a country originating from Sweden</t>
  </si>
  <si>
    <t>Switzerland</t>
  </si>
  <si>
    <t>The number of international arrivals to a country originating from Switzerland</t>
  </si>
  <si>
    <t>TFYR Macedonia</t>
  </si>
  <si>
    <t>The number of international arrivals to a country originating from TFYR Macedonia</t>
  </si>
  <si>
    <t>Turkey</t>
  </si>
  <si>
    <t>The number of international arrivals to a country originating from Turkey</t>
  </si>
  <si>
    <t>Ukraine</t>
  </si>
  <si>
    <t>The number of international arrivals to a country originating from Ukraine</t>
  </si>
  <si>
    <t>United Kingdom</t>
  </si>
  <si>
    <t>The number of international arrivals to a country originating from United Kingdom</t>
  </si>
  <si>
    <t>The number of international arrivals to a country originating from the Middle East</t>
  </si>
  <si>
    <t>Bahrain</t>
  </si>
  <si>
    <t>The number of international arrivals to a country originating from Bahrain</t>
  </si>
  <si>
    <t>Iran (Islamic Republic of)</t>
  </si>
  <si>
    <t>The number of international arrivals to a country originating from Iran (Islamic Republic of)</t>
  </si>
  <si>
    <t>Iraq</t>
  </si>
  <si>
    <t>The number of international arrivals to a country originating from Iraq</t>
  </si>
  <si>
    <t>Israel</t>
  </si>
  <si>
    <t>The number of international arrivals to a country originating from Israel</t>
  </si>
  <si>
    <t>Jordan</t>
  </si>
  <si>
    <t>The number of international arrivals to a country originating from Jordan</t>
  </si>
  <si>
    <t>Kuwait</t>
  </si>
  <si>
    <t>The number of international arrivals to a country originating from Kuwait</t>
  </si>
  <si>
    <t>Lebanon</t>
  </si>
  <si>
    <t>The number of international arrivals to a country originating from Lebanon</t>
  </si>
  <si>
    <t>Occupied Palestinian Territory</t>
  </si>
  <si>
    <t>The number of international arrivals to a country originating from Occupied Palestinian Territory</t>
  </si>
  <si>
    <t>Oman</t>
  </si>
  <si>
    <t>The number of international arrivals to a country originating from Oman</t>
  </si>
  <si>
    <t>Qatar</t>
  </si>
  <si>
    <t>The number of international arrivals to a country originating from Qatar</t>
  </si>
  <si>
    <t>Saudi Arabia</t>
  </si>
  <si>
    <t>The number of international arrivals to a country originating from Saudi Arabia</t>
  </si>
  <si>
    <t>Syrian Arab Republic</t>
  </si>
  <si>
    <t>The number of international arrivals to a country originating from Syrian Arab Republic</t>
  </si>
  <si>
    <t>United Arab Emirates</t>
  </si>
  <si>
    <t>The number of international arrivals to a country originating from United Arab Emirates</t>
  </si>
  <si>
    <t>Yemen</t>
  </si>
  <si>
    <t>The number of international arrivals to a country originating from Yemen</t>
  </si>
  <si>
    <t>The number of international arrivals to a country originating from North America</t>
  </si>
  <si>
    <t>Canada</t>
  </si>
  <si>
    <t>The number of international arrivals to a country originating from Canada</t>
  </si>
  <si>
    <t>Mexico</t>
  </si>
  <si>
    <t>The number of international arrivals to a country originating from Mexico</t>
  </si>
  <si>
    <t>United States of America</t>
  </si>
  <si>
    <t>The number of international arrivals to a country originating from South &amp; Central America</t>
  </si>
  <si>
    <t xml:space="preserve">The number of international arrivals to a country originating from </t>
  </si>
  <si>
    <t>Argentina</t>
  </si>
  <si>
    <t>The number of international arrivals to a country originating from Argentina</t>
  </si>
  <si>
    <t>Aruba</t>
  </si>
  <si>
    <t>The number of international arrivals to a country originating from Aruba</t>
  </si>
  <si>
    <t>Bahamas</t>
  </si>
  <si>
    <t>The number of international arrivals to a country originating from Bahamas</t>
  </si>
  <si>
    <t>Barbados</t>
  </si>
  <si>
    <t>The number of international arrivals to a country originating from Barbados</t>
  </si>
  <si>
    <t>Belize</t>
  </si>
  <si>
    <t>The number of international arrivals to a country originating from Belize</t>
  </si>
  <si>
    <t>Bolivia (Plurinational State of)</t>
  </si>
  <si>
    <t>The number of international arrivals to a country originating from Bolivia (Plurinational State of)</t>
  </si>
  <si>
    <t>Brazil</t>
  </si>
  <si>
    <t>The number of international arrivals to a country originating from Brazil</t>
  </si>
  <si>
    <t>Chile</t>
  </si>
  <si>
    <t>The number of international arrivals to a country originating from Chile</t>
  </si>
  <si>
    <t>Colombia</t>
  </si>
  <si>
    <t>The number of international arrivals to a country originating from Colombia</t>
  </si>
  <si>
    <t>Costa Rica</t>
  </si>
  <si>
    <t>The number of international arrivals to a country originating from Costa Rica</t>
  </si>
  <si>
    <t>Cuba</t>
  </si>
  <si>
    <t>The number of international arrivals to a country originating from Cuba</t>
  </si>
  <si>
    <t>Dominican Republic</t>
  </si>
  <si>
    <t>The number of international arrivals to a country originating from Dominican Republic</t>
  </si>
  <si>
    <t>Ecuador</t>
  </si>
  <si>
    <t>The number of international arrivals to a country originating from Ecuador</t>
  </si>
  <si>
    <t>El Salvador</t>
  </si>
  <si>
    <t>The number of international arrivals to a country originating from El Salvador</t>
  </si>
  <si>
    <t>French Guiana</t>
  </si>
  <si>
    <t>The number of international arrivals to a country originating from French Guiana</t>
  </si>
  <si>
    <t>Grenada</t>
  </si>
  <si>
    <t>The number of international arrivals to a country originating from Grenada</t>
  </si>
  <si>
    <t>Guadeloupe</t>
  </si>
  <si>
    <t>The number of international arrivals to a country originating from Guadeloupe</t>
  </si>
  <si>
    <t>Guatemala</t>
  </si>
  <si>
    <t>The number of international arrivals to a country originating from Guatemala</t>
  </si>
  <si>
    <t>Guyana</t>
  </si>
  <si>
    <t>The number of international arrivals to a country originating from Guyana</t>
  </si>
  <si>
    <t>Haiti</t>
  </si>
  <si>
    <t>The number of international arrivals to a country originating from Haiti</t>
  </si>
  <si>
    <t>Honduras</t>
  </si>
  <si>
    <t>The number of international arrivals to a country originating from Honduras</t>
  </si>
  <si>
    <t>Jamaica</t>
  </si>
  <si>
    <t>The number of international arrivals to a country originating from Jamaica</t>
  </si>
  <si>
    <t>Martinique</t>
  </si>
  <si>
    <t>The number of international arrivals to a country originating from Martinique</t>
  </si>
  <si>
    <t>Netherlands Antilles</t>
  </si>
  <si>
    <t>The number of international arrivals to a country originating from Netherlands Antilles</t>
  </si>
  <si>
    <t>Nicaragua</t>
  </si>
  <si>
    <t>The number of international arrivals to a country originating from Nicaragua</t>
  </si>
  <si>
    <t>Panama</t>
  </si>
  <si>
    <t>The number of international arrivals to a country originating from Panama</t>
  </si>
  <si>
    <t>Paraguay</t>
  </si>
  <si>
    <t>The number of international arrivals to a country originating from Paraguay</t>
  </si>
  <si>
    <t>Peru</t>
  </si>
  <si>
    <t>The number of international arrivals to a country originating from Peru</t>
  </si>
  <si>
    <t>Puerto Rico</t>
  </si>
  <si>
    <t>The number of international arrivals to a country originating from Puerto Rico</t>
  </si>
  <si>
    <t>Saint Lucia</t>
  </si>
  <si>
    <t>The number of international arrivals to a country originating from Saint Lucia</t>
  </si>
  <si>
    <t>Sao Tome and Principe</t>
  </si>
  <si>
    <t>The number of international arrivals to a country originating from Sao Tome and Principe</t>
  </si>
  <si>
    <t>St. Vincent and the Grenadines</t>
  </si>
  <si>
    <t>The number of international arrivals to a country originating from St. Vincent and the Grenadines</t>
  </si>
  <si>
    <t>Suriname</t>
  </si>
  <si>
    <t>The number of international arrivals to a country originating from Suriname</t>
  </si>
  <si>
    <t>Trinidad and Tobago</t>
  </si>
  <si>
    <t>The number of international arrivals to a country originating from Trinidad and Tobago</t>
  </si>
  <si>
    <t>United States Virgin Islands</t>
  </si>
  <si>
    <t>The number of international arrivals to a country originating from United States Virgin Islands</t>
  </si>
  <si>
    <t>Uruguay</t>
  </si>
  <si>
    <t>The number of international arrivals to a country originating from Uruguay</t>
  </si>
  <si>
    <t>Venezuela</t>
  </si>
  <si>
    <t>The number of international arrivals to a country originating from Venezuela</t>
  </si>
  <si>
    <t>The total number of international arrivals to a country, segmented by the purpose of the visit and the mode of transport used to get to and from the destination.</t>
  </si>
  <si>
    <t>The number of international arrivals to a country who are engaging in travel &amp; tourism activities on behalf of their business or employer.</t>
  </si>
  <si>
    <t>The number of international arrivals to a country who are engaging in travel &amp; tourism activities for personal reasons related to leisure.</t>
  </si>
  <si>
    <t>The number of international arrivals to a country who are engaging in travel &amp; tourism activities for non-business or non-leisure related personal reasons, including for the purpose of pilgrimage, health and medical, education and training, transit, volunteer work (not included elsewhere), investigative work and migration possibilities, and the undertaking any other temporary non-remunerated activities not included elsewhere.</t>
  </si>
  <si>
    <t>Average Expenditure per International Tourist by Tourism Product</t>
  </si>
  <si>
    <t>The average value of expenditure on travel and tourism activities by an international tourist to a country, segmented by the type of tourism product that the money was spent on.</t>
  </si>
  <si>
    <t>The average value of expenditure on tourism packages by international tourists to a country.</t>
  </si>
  <si>
    <t>The average value of expenditure on accomodation used during tourism trips by international tourists to a country. This excludes accommodation expenditure included within tourism packages.</t>
  </si>
  <si>
    <t>The average value of expenditure on entertainment &amp; sightseeing during tourism trips by international tourists to a country. This excludes entertainment &amp; sightseeing expenditure included within tourism packages.</t>
  </si>
  <si>
    <t>The average value of expenditure on food &amp; drink during tourism trips by international tourists to a country. This excludes food &amp; drink expenditure included within tourism packages. This value will include expenditure at both foodservice and grocery retail outlets.</t>
  </si>
  <si>
    <t>The average value of expenditure on shopping during tourism trips by international tourists to a country. This excludes shopping expenditure included within tourism packages.</t>
  </si>
  <si>
    <t>The average value of expenditure on tickets for international travel during tourism trips by international tourists to a country. This excludes local travel expenditure included within tourism packages.</t>
  </si>
  <si>
    <t>The average value of expenditure on tickets for local travel during tourism trips by international tourists to a country. This excludes local travel expenditure included within tourism packages.</t>
  </si>
  <si>
    <t>The average value of expenditure on any other form of travel &amp; tourism activity or product by international tourists to a country. Excludes expenditure on tourism packages, accommodation, entertainment, food &amp; beverages, shopping, sightseeing, international travel and local travel.</t>
  </si>
  <si>
    <t>International Departures by Destination</t>
  </si>
  <si>
    <t>The number of international departures from a country, segmented by their destination region and/or country.</t>
  </si>
  <si>
    <t>The number of international departures from a country to Africa</t>
  </si>
  <si>
    <t>The number of international departures from a country to Algeria</t>
  </si>
  <si>
    <t>The number of international departures from a country to Angola</t>
  </si>
  <si>
    <t>The number of international departures from a country to Benin</t>
  </si>
  <si>
    <t>The number of international departures from a country to Botswana</t>
  </si>
  <si>
    <t>The number of international departures from a country to Burkina Faso</t>
  </si>
  <si>
    <t>The number of international departures from a country to Burundi</t>
  </si>
  <si>
    <t>The number of international departures from a country to Cameroon</t>
  </si>
  <si>
    <t>The number of international departures from a country to Cape Verde</t>
  </si>
  <si>
    <t>The number of international departures from a country to Central African Republic</t>
  </si>
  <si>
    <t>The number of international departures from a country to Chad</t>
  </si>
  <si>
    <t>The number of international departures from a country to Comoros</t>
  </si>
  <si>
    <t>The number of international departures from a country to Congo</t>
  </si>
  <si>
    <t>The number of international departures from a country to Côte d'Ivoire</t>
  </si>
  <si>
    <t>The number of international departures from a country to Dem. Republic of the Congo</t>
  </si>
  <si>
    <t>The number of international departures from a country to Djibouti</t>
  </si>
  <si>
    <t>The number of international departures from a country to Egypt</t>
  </si>
  <si>
    <t>**</t>
  </si>
  <si>
    <t>The number of international departures from a country to Equatorial Guinea</t>
  </si>
  <si>
    <t>The number of international departures from a country to Eritrea</t>
  </si>
  <si>
    <t>The number of international departures from a country to Ethiopia</t>
  </si>
  <si>
    <t>The number of international departures from a country to Gabon</t>
  </si>
  <si>
    <t>The number of international departures from a country to Gambia</t>
  </si>
  <si>
    <t>The number of international departures from a country to Ghana</t>
  </si>
  <si>
    <t>The number of international departures from a country to Guinea</t>
  </si>
  <si>
    <t>The number of international departures from a country to Guinea-Bissau</t>
  </si>
  <si>
    <t>The number of international departures from a country to Kenya</t>
  </si>
  <si>
    <t>The number of international departures from a country to Lesotho</t>
  </si>
  <si>
    <t>The number of international departures from a country to Liberia</t>
  </si>
  <si>
    <t>The number of international departures from a country to Libyan Arab Jamahiriya</t>
  </si>
  <si>
    <t>The number of international departures from a country to Madagascar</t>
  </si>
  <si>
    <t>The number of international departures from a country to Malawi</t>
  </si>
  <si>
    <t>The number of international departures from a country to Mali</t>
  </si>
  <si>
    <t>The number of international departures from a country to Mauritania</t>
  </si>
  <si>
    <t>The number of international departures from a country to Mayotte</t>
  </si>
  <si>
    <t>The number of international departures from a country to Morocco</t>
  </si>
  <si>
    <t>The number of international departures from a country to Mozambique</t>
  </si>
  <si>
    <t>The number of international departures from a country to Namibia</t>
  </si>
  <si>
    <t>The number of international departures from a country to Niger</t>
  </si>
  <si>
    <t>The number of international departures from a country to Nigeria</t>
  </si>
  <si>
    <t>The number of international departures from a country to Réunion</t>
  </si>
  <si>
    <t>The number of international departures from a country to Rwanda</t>
  </si>
  <si>
    <t>The number of international departures from a country to Senegal</t>
  </si>
  <si>
    <t>The number of international departures from a country to Sierra Leone</t>
  </si>
  <si>
    <t>The number of international departures from a country to Somalia</t>
  </si>
  <si>
    <t>The number of international departures from a country to South Africa</t>
  </si>
  <si>
    <t>The number of international departures from a country to Sudan</t>
  </si>
  <si>
    <t>The number of international departures from a country to Swaziland</t>
  </si>
  <si>
    <t>The number of international departures from a country to Togo</t>
  </si>
  <si>
    <t>The number of international departures from a country to Tonga</t>
  </si>
  <si>
    <t>The number of international departures from a country to Tunisia</t>
  </si>
  <si>
    <t>The number of international departures from a country to Uganda</t>
  </si>
  <si>
    <t>The number of international departures from a country to United Republic of Tanzania</t>
  </si>
  <si>
    <t>The number of international departures from a country to Western Sahara</t>
  </si>
  <si>
    <t>The number of international departures from a country to Zambia</t>
  </si>
  <si>
    <t>The number of international departures from a country to Zimbabwe</t>
  </si>
  <si>
    <t>The number of international departures from a country to Asia-Pacific</t>
  </si>
  <si>
    <t>The number of international departures from a country to Afghanistan</t>
  </si>
  <si>
    <t>The number of international departures from a country to Australia</t>
  </si>
  <si>
    <t>The number of international departures from a country to Azerbaijan</t>
  </si>
  <si>
    <t>The number of international departures from a country to Bangladesh</t>
  </si>
  <si>
    <t>The number of international departures from a country to Bhutan</t>
  </si>
  <si>
    <t>The number of international departures from a country to Brunei Darussalam</t>
  </si>
  <si>
    <t>The number of international departures from a country to Cambodia</t>
  </si>
  <si>
    <t>The number of international departures from a country to China</t>
  </si>
  <si>
    <t>The number of international departures from a country to China, Hong Kong SAR</t>
  </si>
  <si>
    <t>The number of international departures from a country to China, Macao SAR</t>
  </si>
  <si>
    <t>The number of international departures from a country to Dem. People's Rep. of Korea</t>
  </si>
  <si>
    <t>The number of international departures from a country to Fiji</t>
  </si>
  <si>
    <t>The number of international departures from a country to French Polynesia</t>
  </si>
  <si>
    <t>The number of international departures from a country to Guam</t>
  </si>
  <si>
    <t>The number of international departures from a country to India</t>
  </si>
  <si>
    <t>The number of international departures from a country to Indonesia</t>
  </si>
  <si>
    <t>The number of international departures from a country to Japan</t>
  </si>
  <si>
    <t>The number of international departures from a country to Kazakhstan</t>
  </si>
  <si>
    <t>The number of international departures from a country to Kyrgyzstan</t>
  </si>
  <si>
    <t>The number of international departures from a country to Lao People's Dem. Republic</t>
  </si>
  <si>
    <t>The number of international departures from a country to Malaysia</t>
  </si>
  <si>
    <t>The number of international departures from a country to Maldives</t>
  </si>
  <si>
    <t>The number of international departures from a country to Mauritius</t>
  </si>
  <si>
    <t>The number of international departures from a country to Micronesia (Fed. States of)</t>
  </si>
  <si>
    <t>The number of international departures from a country to Mongolia</t>
  </si>
  <si>
    <t>The number of international departures from a country to Myanmar</t>
  </si>
  <si>
    <t>The number of international departures from a country to Nepal</t>
  </si>
  <si>
    <t>The number of international departures from a country to New Caledonia</t>
  </si>
  <si>
    <t>The number of international departures from a country to New Zealand</t>
  </si>
  <si>
    <t>The number of international departures from a country to Pakistan</t>
  </si>
  <si>
    <t>The number of international departures from a country to Papua New Guinea</t>
  </si>
  <si>
    <t>The number of international departures from a country to Philippines</t>
  </si>
  <si>
    <t>The number of international departures from a country to Republic of Korea</t>
  </si>
  <si>
    <t>The number of international departures from a country to Samoa</t>
  </si>
  <si>
    <t>The number of international departures from a country to Singapore</t>
  </si>
  <si>
    <t>The number of international departures from a country to Solomon Islands</t>
  </si>
  <si>
    <t>The number of international departures from a country to Sri Lanka</t>
  </si>
  <si>
    <t>The number of international departures from a country to Tajikistan</t>
  </si>
  <si>
    <t>The number of international departures from a country to Thailand</t>
  </si>
  <si>
    <t>The number of international departures from a country to Timor-Leste</t>
  </si>
  <si>
    <t>The number of international departures from a country to Turkmenistan</t>
  </si>
  <si>
    <t>The number of international departures from a country to Uzbekistan</t>
  </si>
  <si>
    <t>The number of international departures from a country to Vanuatu</t>
  </si>
  <si>
    <t>The number of international departures from a country to Vietnam</t>
  </si>
  <si>
    <t>The number of international departures from a country to Europe</t>
  </si>
  <si>
    <t>The number of international departures from a country to Albania</t>
  </si>
  <si>
    <t>The number of international departures from a country to Armenia</t>
  </si>
  <si>
    <t>The number of international departures from a country to Austria</t>
  </si>
  <si>
    <t>The number of international departures from a country to Belarus</t>
  </si>
  <si>
    <t>The number of international departures from a country to Belgium</t>
  </si>
  <si>
    <t>The number of international departures from a country to Bosnia and Herzegovina</t>
  </si>
  <si>
    <t>The number of international departures from a country to Bulgaria</t>
  </si>
  <si>
    <t>The number of international departures from a country to Channel Islands</t>
  </si>
  <si>
    <t>The number of international departures from a country to Croatia</t>
  </si>
  <si>
    <t>The number of international departures from a country to Cyprus</t>
  </si>
  <si>
    <t>The number of international departures from a country to Czech Republic</t>
  </si>
  <si>
    <t>The number of international departures from a country to Denmark</t>
  </si>
  <si>
    <t>The number of international departures from a country to Estonia</t>
  </si>
  <si>
    <t>The number of international departures from a country to Finland</t>
  </si>
  <si>
    <t>The number of international departures from a country to France</t>
  </si>
  <si>
    <t>The number of international departures from a country to Georgia</t>
  </si>
  <si>
    <t>The number of international departures from a country to Germany</t>
  </si>
  <si>
    <t>The number of international departures from a country to Greece</t>
  </si>
  <si>
    <t>The number of international departures from a country to Hungary</t>
  </si>
  <si>
    <t>The number of international departures from a country to Iceland</t>
  </si>
  <si>
    <t>The number of international departures from a country to Ireland</t>
  </si>
  <si>
    <t>The number of international departures from a country to Italy</t>
  </si>
  <si>
    <t>The number of international departures from a country to Latvia</t>
  </si>
  <si>
    <t>The number of international departures from a country to Lithuania</t>
  </si>
  <si>
    <t>The number of international departures from a country to Luxembourg</t>
  </si>
  <si>
    <t>The number of international departures from a country to Malta</t>
  </si>
  <si>
    <t>The number of international departures from a country to Montenegro</t>
  </si>
  <si>
    <t>The number of international departures from a country to Netherlands</t>
  </si>
  <si>
    <t>The number of international departures from a country to Norway</t>
  </si>
  <si>
    <t>The number of international departures from a country to Poland</t>
  </si>
  <si>
    <t>The number of international departures from a country to Portugal</t>
  </si>
  <si>
    <t>The number of international departures from a country to Republic of Moldova</t>
  </si>
  <si>
    <t>The number of international departures from a country to Romania</t>
  </si>
  <si>
    <t>The number of international departures from a country to Russian Federation</t>
  </si>
  <si>
    <t>The number of international departures from a country to Serbia</t>
  </si>
  <si>
    <t>The number of international departures from a country to Slovakia</t>
  </si>
  <si>
    <t>The number of international departures from a country to Slovenia</t>
  </si>
  <si>
    <t>The number of international departures from a country to Spain</t>
  </si>
  <si>
    <t>The number of international departures from a country to Sweden</t>
  </si>
  <si>
    <t>The number of international departures from a country to Switzerland</t>
  </si>
  <si>
    <t>The number of international departures from a country to TFYR Macedonia</t>
  </si>
  <si>
    <t>The number of international departures from a country to Turkey</t>
  </si>
  <si>
    <t>The number of international departures from a country to Ukraine</t>
  </si>
  <si>
    <t>The number of international departures from a country to United Kingdom</t>
  </si>
  <si>
    <t>The number of international departures from a country to the Middle East</t>
  </si>
  <si>
    <t>The number of international departures from a country to Bahrain</t>
  </si>
  <si>
    <t>The number of international departures from a country to Iran (Islamic Republic of)</t>
  </si>
  <si>
    <t>The number of international departures from a country to Iraq</t>
  </si>
  <si>
    <t>The number of international departures from a country to Israel</t>
  </si>
  <si>
    <t>The number of international departures from a country to Jordan</t>
  </si>
  <si>
    <t>The number of international departures from a country to Kuwait</t>
  </si>
  <si>
    <t>The number of international departures from a country to Lebanon</t>
  </si>
  <si>
    <t>The number of international departures from a country to Occupied Palestinian Territory</t>
  </si>
  <si>
    <t>The number of international departures from a country to Oman</t>
  </si>
  <si>
    <t>The number of international departures from a country to Qatar</t>
  </si>
  <si>
    <t>The number of international departures from a country to Saudi Arabia</t>
  </si>
  <si>
    <t>The number of international departures from a country to Syrian Arab Republic</t>
  </si>
  <si>
    <t>The number of international departures from a country to United Arab Emirates</t>
  </si>
  <si>
    <t>The number of international departures from a country to Yemen</t>
  </si>
  <si>
    <t>The number of international departures from a country to North America</t>
  </si>
  <si>
    <t>The number of international departures from a country to Canada</t>
  </si>
  <si>
    <t>The number of international departures from a country to Mexico</t>
  </si>
  <si>
    <t>The number of international departures from a country to United States of America</t>
  </si>
  <si>
    <t>The number of international departures from a country to South &amp; Central America</t>
  </si>
  <si>
    <t>The number of international departures from a country to Argentina</t>
  </si>
  <si>
    <t>The number of international departures from a country to Aruba</t>
  </si>
  <si>
    <t>The number of international departures from a country to Bahamas</t>
  </si>
  <si>
    <t>The number of international departures from a country to Barbados</t>
  </si>
  <si>
    <t>The number of international departures from a country to Belize</t>
  </si>
  <si>
    <t>The number of international departures from a country to Bolivia (Plurinational State of)</t>
  </si>
  <si>
    <t>The number of international departures from a country to Brazil</t>
  </si>
  <si>
    <t>The number of international departures from a country to Chile</t>
  </si>
  <si>
    <t>The number of international departures from a country to Colombia</t>
  </si>
  <si>
    <t>The number of international departures from a country to Costa Rica</t>
  </si>
  <si>
    <t>The number of international departures from a country to Cuba</t>
  </si>
  <si>
    <t>The number of international departures from a country to Dominican Republic</t>
  </si>
  <si>
    <t>The number of international departures from a country to Ecuador</t>
  </si>
  <si>
    <t>The number of international departures from a country to El Salvador</t>
  </si>
  <si>
    <t>The number of international departures from a country to French Guiana</t>
  </si>
  <si>
    <t>The number of international departures from a country to Grenada</t>
  </si>
  <si>
    <t>The number of international departures from a country to Guadeloupe</t>
  </si>
  <si>
    <t>The number of international departures from a country to Guatemala</t>
  </si>
  <si>
    <t>The number of international departures from a country to Guyana</t>
  </si>
  <si>
    <t>The number of international departures from a country to Haiti</t>
  </si>
  <si>
    <t>The number of international departures from a country to Honduras</t>
  </si>
  <si>
    <t>The number of international departures from a country to Jamaica</t>
  </si>
  <si>
    <t>The number of international departures from a country to Martinique</t>
  </si>
  <si>
    <t>The number of international departures from a country to Netherlands Antilles</t>
  </si>
  <si>
    <t>The number of international departures from a country to Nicaragua</t>
  </si>
  <si>
    <t>The number of international departures from a country to Panama</t>
  </si>
  <si>
    <t>The number of international departures from a country to Paraguay</t>
  </si>
  <si>
    <t>The number of international departures from a country to Peru</t>
  </si>
  <si>
    <t>The number of international departures from a country to Puerto Rico</t>
  </si>
  <si>
    <t>The number of international departures from a country to Saint Lucia</t>
  </si>
  <si>
    <t>The number of international departures from a country to Sao Tome and Principe</t>
  </si>
  <si>
    <t>The number of international departures from a country to St. Vincent and the Grenadines</t>
  </si>
  <si>
    <t>The number of international departures from a country to Suriname</t>
  </si>
  <si>
    <t>The number of international departures from a country to Trinidad and Tobago</t>
  </si>
  <si>
    <t>The number of international departures from a country to United States Virgin Islands</t>
  </si>
  <si>
    <t>The number of international departures from a country to Uruguay</t>
  </si>
  <si>
    <t>The number of international departures from a country to Venezuela</t>
  </si>
  <si>
    <t>The total number of international departures from a country, segmented by the purpose of the visit and the mode of transport used to get to and from the destination.</t>
  </si>
  <si>
    <t>The number of international departures from a country who are engaging in travel &amp; tourism activities on behalf of their business or employer.</t>
  </si>
  <si>
    <t>The number of international departures from a country who are engaging in travel &amp; tourism activities for personal reasons related to leisure.</t>
  </si>
  <si>
    <t>The number of international departures from a country who are engaging in travel &amp; tourism activities for non-business or non-leisure related personal reasons, including for the purpose of pilgrimage, health and medical, education and training, transit, volunteer work (not included elsewhere), investigative work and migration possibilities, and the undertaking any other temporary non-remunerated activities not included elsewhere.</t>
  </si>
  <si>
    <t>Average Overseas Tourism Expenditure per Resident by Tourism Product</t>
  </si>
  <si>
    <t>The average value of expenditure on travel and tourism activities by international tourists from a country, segmented by the type of tourism product that the money was spent on.</t>
  </si>
  <si>
    <t>The average value of expenditure on tourism packages by international tourists from a country.</t>
  </si>
  <si>
    <t>The average value of expenditure on accomodation used during tourism trips by international tourists from a country. This excludes accommodation expenditure included within tourism packages.</t>
  </si>
  <si>
    <t>The average value of expenditure on entertainment &amp; sightseeing during tourism trips by international tourists from a country. This excludes entertainment &amp; sightseeing expenditure included within tourism packages.</t>
  </si>
  <si>
    <t>The average value of expenditure on food &amp; drink during tourism trips by international tourists from a country. This excludes food &amp; drink expenditure included within tourism packages. This value will include expenditure at both foodservice and grocery retail outlets.</t>
  </si>
  <si>
    <t>The average value of expenditure on shopping during tourism trips by international tourists from a country. This excludes shopping expenditure included within tourism packages.</t>
  </si>
  <si>
    <t>The average value of expenditure on tickets for international travel during tourism trips by international tourists from a country. This excludes local travel expenditure included within tourism packages.</t>
  </si>
  <si>
    <t>The average value of expenditure on tickets for local travel during tourism trips by international tourists from a country. This excludes local travel expenditure included within tourism packages.</t>
  </si>
  <si>
    <t>The average value of expenditure on any other form of travel &amp; tourism activity or product by international tourists from a country. Excludes expenditure on tourism packages, accommodation, entertainment, food &amp; beverages, shopping, sightseeing, international travel and local travel.</t>
  </si>
  <si>
    <t>Typical Holiday Entitlement of Employees per Annum by Type</t>
  </si>
  <si>
    <t>Total Population by Age &amp; Sex</t>
  </si>
  <si>
    <t>US$100,000-149,999</t>
  </si>
  <si>
    <t>US$150,000-199,999</t>
  </si>
  <si>
    <t>US$200,000-249,999</t>
  </si>
  <si>
    <t>US$250,000+</t>
  </si>
  <si>
    <t>Number of Households by Income Group</t>
  </si>
  <si>
    <t>Mean Household Income</t>
  </si>
  <si>
    <t>Actual</t>
  </si>
  <si>
    <t>Need to look at the public or national holiday calendar for each year</t>
  </si>
  <si>
    <t>http://www.census.gov/hhes/www/cpstables/032009/hhinc/new06_000.htm</t>
  </si>
  <si>
    <t>http://www.census.gov/hhes/www/macro/032008/hhinc/new06_000.htm</t>
  </si>
  <si>
    <t>http://www.census.gov/hhes/www/cpstables/032010/hhinc/new06_000.htm</t>
  </si>
  <si>
    <t>http://www.census.gov/hhes/www/cpstables/032011/hhinc/new06_000.htm</t>
  </si>
  <si>
    <t>Source:</t>
  </si>
  <si>
    <t>  $250,000 and above</t>
  </si>
  <si>
    <t>  $200,000 to $249,999</t>
  </si>
  <si>
    <t>  $150,000 to $199,999</t>
  </si>
  <si>
    <t> $250,000 and over</t>
  </si>
  <si>
    <t>  $100,000 to $149,999</t>
  </si>
  <si>
    <t> $200,000 to $249,999</t>
  </si>
  <si>
    <t>  $97,500 to $99,999</t>
  </si>
  <si>
    <t> $195,000 to $199,999</t>
  </si>
  <si>
    <t>  $95,000 to $97,499</t>
  </si>
  <si>
    <t> $190,000 to $194,999</t>
  </si>
  <si>
    <t>  $92,500 to $94,999</t>
  </si>
  <si>
    <t> $185,000 to $189,999</t>
  </si>
  <si>
    <t>  $90,000 to $92,499</t>
  </si>
  <si>
    <t> $180,000 to $184,999</t>
  </si>
  <si>
    <t>  $87,500 to $89,999</t>
  </si>
  <si>
    <t> $175,000 to $179,999</t>
  </si>
  <si>
    <t>  $85,000 to $87,499</t>
  </si>
  <si>
    <t> $170,000 to $174,999</t>
  </si>
  <si>
    <t>  $82,500 to $84,999</t>
  </si>
  <si>
    <t> $165,000 to $169,999</t>
  </si>
  <si>
    <t>  $80,000 to $82,499</t>
  </si>
  <si>
    <t> $160,000 to $164,999</t>
  </si>
  <si>
    <t>  $77,500 to $79,999</t>
  </si>
  <si>
    <t> $155,000 to $159,999</t>
  </si>
  <si>
    <t>  $75,000 to $77,499</t>
  </si>
  <si>
    <t> $150,000 to $154,999</t>
  </si>
  <si>
    <t>  $72,500 to $74,999</t>
  </si>
  <si>
    <t> $145,000 to $149,999</t>
  </si>
  <si>
    <t>  $70,000 to $72,499</t>
  </si>
  <si>
    <t> $140,000 to $144,999</t>
  </si>
  <si>
    <t>  $67,500 to $69,999</t>
  </si>
  <si>
    <t> $135,000 to $139,999</t>
  </si>
  <si>
    <t>  $65,000 to $67,499</t>
  </si>
  <si>
    <t> $130,000 to $134,999</t>
  </si>
  <si>
    <t>  $62,500 to $64,999</t>
  </si>
  <si>
    <t> $125,000 to $129,999</t>
  </si>
  <si>
    <t>  $60,000 to $62,499</t>
  </si>
  <si>
    <t> $120,000 to $124,999</t>
  </si>
  <si>
    <t>  $57,500 to $59,999</t>
  </si>
  <si>
    <t> $115,000 to $119,999</t>
  </si>
  <si>
    <t>  $55,000 to $57,499</t>
  </si>
  <si>
    <t> $110,000 to $114,999</t>
  </si>
  <si>
    <t>  $52,500 to $54,999</t>
  </si>
  <si>
    <t> $105,000 to $109,999</t>
  </si>
  <si>
    <t>  $50,000 to $52,499</t>
  </si>
  <si>
    <t> $100,000 to $104,999</t>
  </si>
  <si>
    <t>  $47,500 to $49,999</t>
  </si>
  <si>
    <t> $95,000 to $99,999</t>
  </si>
  <si>
    <t>  $45,000 to $47,499</t>
  </si>
  <si>
    <t> $90,000 to $94,999</t>
  </si>
  <si>
    <t>  $42,500 to $44,999</t>
  </si>
  <si>
    <t> $85,000 to $89,999</t>
  </si>
  <si>
    <t>  $40,000 to $42,499</t>
  </si>
  <si>
    <t> $80,000 to $84,999</t>
  </si>
  <si>
    <t>  $37,500 to $39,999</t>
  </si>
  <si>
    <t> $75,000 to $79,999</t>
  </si>
  <si>
    <t>  $35,000 to $37,499</t>
  </si>
  <si>
    <t> $70,000 to $74,999</t>
  </si>
  <si>
    <t>  $32,500 to $34,999</t>
  </si>
  <si>
    <t> $65,000 to $69,999</t>
  </si>
  <si>
    <t>  $30,000 to $32,499</t>
  </si>
  <si>
    <t> $60,000 to $64,999</t>
  </si>
  <si>
    <t>  $27,500 to $29,999</t>
  </si>
  <si>
    <t> $55,000 to $59,999</t>
  </si>
  <si>
    <t>  $25,000 to $27,499</t>
  </si>
  <si>
    <t> $50,000 to $54,999</t>
  </si>
  <si>
    <t>  $22,500 to $24,999</t>
  </si>
  <si>
    <t> $45,000 to $49,999</t>
  </si>
  <si>
    <t>  $20,000 to $22,499</t>
  </si>
  <si>
    <t> $40,000 to $44,999</t>
  </si>
  <si>
    <t>  $17,500 to $19,999</t>
  </si>
  <si>
    <t> $35,000 to $39,999</t>
  </si>
  <si>
    <t>  $15,000 to $17,499</t>
  </si>
  <si>
    <t> $30,000 to $34,999</t>
  </si>
  <si>
    <t>  $12,500 to $14,999</t>
  </si>
  <si>
    <t> $25,000 to $29,999</t>
  </si>
  <si>
    <t>  $10,000 to $12,499</t>
  </si>
  <si>
    <t> $20,000 to $24,999</t>
  </si>
  <si>
    <t>  $7,500 to $9,999</t>
  </si>
  <si>
    <t> $15,000 to $19,999</t>
  </si>
  <si>
    <t>  $5,000 to $7,499</t>
  </si>
  <si>
    <t> $10,000 to $14,999</t>
  </si>
  <si>
    <t>  $2,500 to $4,999</t>
  </si>
  <si>
    <t> $5,000 to $9,999</t>
  </si>
  <si>
    <t>  Under $2,500</t>
  </si>
  <si>
    <t> Under $5,000</t>
  </si>
  <si>
    <t>                      Total</t>
  </si>
  <si>
    <t>Income of Household</t>
  </si>
  <si>
    <t>Mean Income</t>
  </si>
  <si>
    <t>Number</t>
  </si>
  <si>
    <t>All Races</t>
  </si>
  <si>
    <t>Number of Return Trips by Residents by Type</t>
  </si>
  <si>
    <t>Average Length of Tourism Trips by Type</t>
  </si>
  <si>
    <t>The number of international trips undertaken by residents of a country.</t>
  </si>
  <si>
    <t>The number of domestic trips undertaken by residents of a country.</t>
  </si>
  <si>
    <t>The average number of days per typical domestic tourism trip</t>
  </si>
  <si>
    <t>The average number of days per typical international tourism trip</t>
  </si>
  <si>
    <t>Other African Countries</t>
  </si>
  <si>
    <t>Other Asia-Pacific Countries</t>
  </si>
  <si>
    <t>Other European Countries</t>
  </si>
  <si>
    <t>Other Middle Eastern Countries</t>
  </si>
  <si>
    <t>Other South American Countries</t>
  </si>
  <si>
    <t>To be defined according to the gaps in the country data above</t>
  </si>
  <si>
    <t>Number of Domestic Tourists by Purpose of Visit</t>
  </si>
  <si>
    <t>The total number of domestic tourists, segmented by the purpose of the visit.</t>
  </si>
  <si>
    <t>International Arrivals by Purpose of Visit</t>
  </si>
  <si>
    <t>International Departures by Purpose of Visit</t>
  </si>
  <si>
    <t>The number of individuals who have opted to engage in tourism activities on a paid, public or unpaid holiday, segmented by the season/quarter of the year in which those activities take place. Individuals will be counted once per tourism trip, so may be counted several times over the course of a year.</t>
  </si>
  <si>
    <t>The number of individuals who have opted to engage in tourism activities on a paid, public or unpaid holiday occurring between January and March. Individuals will be counted once per tourism trip, so may be counted several times over the course of the period.</t>
  </si>
  <si>
    <t>The number of individuals who have opted to engage in tourism activities on a paid, public or unpaid holiday occurring between April and June. Individuals will be counted once per tourism trip, so may be counted several times over the course of the period.</t>
  </si>
  <si>
    <t>The number of individuals who have opted to engage in tourism activities on a paid, public or unpaid holiday occurring between July and September. Individuals will be counted once per tourism trip, so may be counted several times over the course of the period.</t>
  </si>
  <si>
    <t>The number of individuals who have opted to engage in tourism activities on a paid, public or unpaid holiday occurring between October and December. Individuals will be counted once per tourism trip, so may be counted several times over the course of the period.</t>
  </si>
  <si>
    <t>Growth Rate</t>
  </si>
  <si>
    <t>Average No. of nights spent</t>
  </si>
  <si>
    <t>Number of Domestic Tourists by Region and Purpose of Visit</t>
  </si>
  <si>
    <t>International Arrivals by Place of Origin-Africa</t>
  </si>
  <si>
    <t>International Arrivals by Place of Origin-Asia Pacific</t>
  </si>
  <si>
    <t>International Arrivals by Place of Origin-Europe</t>
  </si>
  <si>
    <t>International Arrivals by Place of Origin-Middle East</t>
  </si>
  <si>
    <t>International Arrivals by Place of Origin-North America</t>
  </si>
  <si>
    <t>International Arrivals by Place of Origin-South and central america</t>
  </si>
  <si>
    <t>Arrivals by country and purpose of visit</t>
  </si>
  <si>
    <t>International Departures by Destination-Region</t>
  </si>
  <si>
    <t>International Departures by Destination-Africa</t>
  </si>
  <si>
    <t>International Departures by Place of Destination-Asia Pacific</t>
  </si>
  <si>
    <t>International Departures by Place of Destination-Europe</t>
  </si>
  <si>
    <t>International Departures by Place of Destination-Middle East</t>
  </si>
  <si>
    <t>International Departures by Place of Destination-North America</t>
  </si>
  <si>
    <t>International Departures by Place of Destination-South and central america</t>
  </si>
  <si>
    <t>International Departures by Purpose of Visit-country of destination</t>
  </si>
  <si>
    <t>Number of Holiday Trips by Season</t>
  </si>
  <si>
    <t>For assigning % to the forecast years, take care of any big events that may take place in the future quarters</t>
  </si>
  <si>
    <t>DRIVERS USED IN MODELLING</t>
  </si>
  <si>
    <t>International Air passengers</t>
  </si>
  <si>
    <t>Weight</t>
  </si>
  <si>
    <t>Correlation</t>
  </si>
  <si>
    <t>International Air passengers(mn)</t>
  </si>
  <si>
    <t xml:space="preserve"> GDP at constant price (US$ bn)</t>
  </si>
  <si>
    <t>Annual Disposable Income(US$ bn)</t>
  </si>
  <si>
    <t>Sum</t>
  </si>
  <si>
    <t>Government Travel and Tourism Spending</t>
  </si>
  <si>
    <t>Travel and tourism contribution to GDP</t>
  </si>
  <si>
    <t>Capital Investments in tourism</t>
  </si>
  <si>
    <t>Number of Domestic Trips by Region</t>
  </si>
  <si>
    <t>Number of Domestic Trips by Purpose of Visit</t>
  </si>
  <si>
    <t>Government Travel and Tourism Spending in host country</t>
  </si>
  <si>
    <t>Visitor Exports from Africa</t>
  </si>
  <si>
    <t>Capital Investments in tourism in host country</t>
  </si>
  <si>
    <t>Visitor Exports from Asia-Pacific</t>
  </si>
  <si>
    <t>Travel and tourism contribution to GDP of host country</t>
  </si>
  <si>
    <t>Visitor Exports from Asia-Pacific in host country</t>
  </si>
  <si>
    <t>Visitor Exports from Europe in host country</t>
  </si>
  <si>
    <t>Visitor Exports from North America</t>
  </si>
  <si>
    <t>Travel and tourism contribution to GDP in host country</t>
  </si>
  <si>
    <t>Visitor Exports from South and Central America</t>
  </si>
  <si>
    <t>Government Travel and Tourism Spending in Africa</t>
  </si>
  <si>
    <t>Annual Disposable of Source Country(US$ bn)</t>
  </si>
  <si>
    <t xml:space="preserve"> GDP of Source Country(US$ bn)</t>
  </si>
  <si>
    <t>Capital Investments in tourism in Africa</t>
  </si>
  <si>
    <t>Government Travel and Tourism Spending in Europe</t>
  </si>
  <si>
    <t>Travel and tourism contribution to GDP in Europe</t>
  </si>
  <si>
    <t>Capital Investments in tourism in Europe</t>
  </si>
  <si>
    <t>Government Travel and Tourism Spending in Asia-Pacific</t>
  </si>
  <si>
    <t>Travel and tourism contribution to GDP in Asia-Pacific</t>
  </si>
  <si>
    <t>Capital Investments in tourism in Asia-Pacific</t>
  </si>
  <si>
    <t>Drivers</t>
  </si>
  <si>
    <t>US$ billion</t>
  </si>
  <si>
    <t>Visitor Exports from Europe</t>
  </si>
  <si>
    <t>Visitor Exports from Middle East</t>
  </si>
  <si>
    <t xml:space="preserve">Visitor Exports from South and Central America </t>
  </si>
  <si>
    <t>Government travel and tourism spending of Africa</t>
  </si>
  <si>
    <t>mn</t>
  </si>
  <si>
    <t>Government travel and tourism spending of Asia-Pacific</t>
  </si>
  <si>
    <t>Travel and tourism contribution to GDP of Asia-Pacific</t>
  </si>
  <si>
    <t>Government travel and tourism spending of Europe</t>
  </si>
  <si>
    <t>Travel and tourism contribution to GDP of Europe</t>
  </si>
  <si>
    <t>Government travel and tourism spending of Middle East</t>
  </si>
  <si>
    <t>Capital Investments in tourism in Middle East</t>
  </si>
  <si>
    <t>Travel and tourism contribution to GDP of Middle East</t>
  </si>
  <si>
    <t>Government travel and tourism spending of North America</t>
  </si>
  <si>
    <t>Capital Investments in tourism in North America</t>
  </si>
  <si>
    <t>Travel and tourism contribution to GDP of North America</t>
  </si>
  <si>
    <t xml:space="preserve">Government travel and tourism spending of  South and Central America </t>
  </si>
  <si>
    <t xml:space="preserve">Capital Investments in tourism in  South and Central America </t>
  </si>
  <si>
    <t xml:space="preserve">Travel and tourism contribution to GDP of  South and Central America </t>
  </si>
  <si>
    <t>Travel and tourism contribution to GDP in the host country</t>
  </si>
  <si>
    <t>Capital Investments in tourism in the host country</t>
  </si>
  <si>
    <t>Visitor Exports from Middle East in host country</t>
  </si>
  <si>
    <t>Government Travel and Tourism Spending in Middle East</t>
  </si>
  <si>
    <t>Travel and tourism contribution to GDP in  Middle East</t>
  </si>
  <si>
    <t>Capital Investments in tourism in  Middle East</t>
  </si>
  <si>
    <t>Government Travel and Tourism Spending in North America</t>
  </si>
  <si>
    <t>Travel and tourism contribution to GDP in North America</t>
  </si>
  <si>
    <t>Government Travel and Tourism Spending in South and Central America</t>
  </si>
  <si>
    <t>Travel and tourism contribution to GDP in South and Central America</t>
  </si>
  <si>
    <t>Capital Investments in tourism in South and Central America</t>
  </si>
  <si>
    <t>Number of Overnight stays</t>
  </si>
  <si>
    <t>International trips</t>
  </si>
  <si>
    <t>CAGR 12-16</t>
  </si>
  <si>
    <t>COUNTRY 1</t>
  </si>
  <si>
    <t>USD</t>
  </si>
  <si>
    <t>Other Countries</t>
  </si>
  <si>
    <t>New York, NY</t>
  </si>
  <si>
    <t>Miami, FL</t>
  </si>
  <si>
    <t>Los Angeles, CA</t>
  </si>
  <si>
    <t>Newark, NJ</t>
  </si>
  <si>
    <t>Honolulu, HI</t>
  </si>
  <si>
    <t>San Francisco, CA</t>
  </si>
  <si>
    <t>Chicago, IL</t>
  </si>
  <si>
    <t>Agana, GU</t>
  </si>
  <si>
    <t>Atlanta, GA</t>
  </si>
  <si>
    <t>Washington, DC</t>
  </si>
  <si>
    <t>The number of international arrivals to a country originating from countries not formally recognised by the United Nations (as of 1st January 2012)</t>
  </si>
  <si>
    <t>Thousands</t>
  </si>
  <si>
    <t>world</t>
  </si>
  <si>
    <t>other counries</t>
  </si>
  <si>
    <t>UK</t>
  </si>
  <si>
    <t>US$ bn</t>
  </si>
  <si>
    <t>Capital Investment</t>
  </si>
  <si>
    <t>Government Individual Travel &amp; Tourism Spending</t>
  </si>
  <si>
    <t>Travel &amp; Tourism Total Contribution to GDP</t>
  </si>
  <si>
    <t>Date range: From 2007 - 2016</t>
  </si>
  <si>
    <t>Units: US$ bn</t>
  </si>
  <si>
    <t>Concepts: Travel &amp; Tourism Total Contribution to GDP,Government Individual Travel &amp; Tourism Spending,Capital Investment</t>
  </si>
  <si>
    <t xml:space="preserve">Results for: </t>
  </si>
  <si>
    <t>Visitor Exports</t>
  </si>
  <si>
    <t>North Africa</t>
  </si>
  <si>
    <t>Concepts: Travel &amp; Tourism Total Contribution to GDP,Visitor Exports,Government Individual Travel &amp; Tourism Spending,Capital Investment</t>
  </si>
  <si>
    <t>Countries/Regions: North Africa</t>
  </si>
  <si>
    <t>Travel &amp; Tourism Total Contribution to Employment</t>
  </si>
  <si>
    <t>Northeast Asia</t>
  </si>
  <si>
    <t>Concepts: Travel &amp; Tourism Total Contribution to Employment,Visitor Exports,Government Individual Travel &amp; Tourism Spending,Capital Investment</t>
  </si>
  <si>
    <t>Countries/Regions: Northeast Asia</t>
  </si>
  <si>
    <t>analyst call-weight are assigned manually</t>
  </si>
  <si>
    <t>Other North America &amp; South America</t>
  </si>
  <si>
    <t>Total</t>
  </si>
  <si>
    <t xml:space="preserve"> Africa</t>
  </si>
  <si>
    <t xml:space="preserve"> Middle East</t>
  </si>
  <si>
    <t xml:space="preserve"> Other Asia-Oceania</t>
  </si>
  <si>
    <t xml:space="preserve"> Japan</t>
  </si>
  <si>
    <t xml:space="preserve"> Latin America</t>
  </si>
  <si>
    <t xml:space="preserve"> Canada</t>
  </si>
  <si>
    <t xml:space="preserve"> USA</t>
  </si>
  <si>
    <t xml:space="preserve"> other Europe</t>
  </si>
  <si>
    <t xml:space="preserve"> Portugal</t>
  </si>
  <si>
    <t xml:space="preserve"> Italy</t>
  </si>
  <si>
    <t xml:space="preserve"> Greece</t>
  </si>
  <si>
    <t xml:space="preserve"> Spain</t>
  </si>
  <si>
    <t xml:space="preserve"> Sweden-Denmark-Finland</t>
  </si>
  <si>
    <t xml:space="preserve"> Ireland</t>
  </si>
  <si>
    <t xml:space="preserve"> United Kingdom</t>
  </si>
  <si>
    <t xml:space="preserve"> Switzerland</t>
  </si>
  <si>
    <t xml:space="preserve"> Netherlands</t>
  </si>
  <si>
    <t xml:space="preserve"> Belgium-Luxembourg</t>
  </si>
  <si>
    <t xml:space="preserve"> Austria</t>
  </si>
  <si>
    <t xml:space="preserve"> Germany</t>
  </si>
  <si>
    <t>Asia, Oceania</t>
  </si>
  <si>
    <t>Other Africa</t>
  </si>
  <si>
    <t>USA</t>
  </si>
  <si>
    <t>Other Europe</t>
  </si>
  <si>
    <t>Belgium, Luxembourgh</t>
  </si>
  <si>
    <t>spain</t>
  </si>
  <si>
    <t>Viet Nam</t>
  </si>
  <si>
    <t>Taiwan, Province of China</t>
  </si>
  <si>
    <t>Seychelles</t>
  </si>
  <si>
    <t>Saint Vincent and the Grenadines</t>
  </si>
  <si>
    <t>Reunion</t>
  </si>
  <si>
    <t>Niue</t>
  </si>
  <si>
    <t>Monaco</t>
  </si>
  <si>
    <t>Macao, China</t>
  </si>
  <si>
    <t>Liechtenstein</t>
  </si>
  <si>
    <t>Lao People's Democratic Republic</t>
  </si>
  <si>
    <t>Korea, Republic of</t>
  </si>
  <si>
    <t>Hong Kong, China</t>
  </si>
  <si>
    <t>Democratic Republic of the Congo</t>
  </si>
  <si>
    <t>Bermuda</t>
  </si>
  <si>
    <t>Antigua and Barbuda</t>
  </si>
  <si>
    <t>Andorra</t>
  </si>
  <si>
    <t>PLNmonitor</t>
  </si>
  <si>
    <t>Other PLNpean Countries</t>
  </si>
  <si>
    <t>PLNpe</t>
  </si>
  <si>
    <t>The number of international departures from a country to PLNpe</t>
  </si>
  <si>
    <t>The number of international arrivals to a country originating from PLNpe</t>
  </si>
  <si>
    <t>Others</t>
  </si>
  <si>
    <t>Cities</t>
  </si>
  <si>
    <t>Seaside</t>
  </si>
  <si>
    <t>Lake areas</t>
  </si>
  <si>
    <t>Mountains</t>
  </si>
  <si>
    <t>MillionPLN</t>
  </si>
  <si>
    <t>The total value of expenditure on international travel and tourism trips to PLNpe by the residents of a country</t>
  </si>
  <si>
    <t>PLN</t>
  </si>
  <si>
    <t>Countries/Regions: Germany</t>
  </si>
  <si>
    <t>used average formula in growth rates as the adjustment was taking a lot of time</t>
  </si>
  <si>
    <t xml:space="preserve">*  </t>
  </si>
  <si>
    <t>In inbound total arrivals are taken that is tourist + same day visitors</t>
  </si>
  <si>
    <t>here the total is not matching as there must be some people who have visied multiple places in same visit</t>
  </si>
  <si>
    <t>eurostat</t>
  </si>
  <si>
    <t>row-9414</t>
  </si>
  <si>
    <t>households</t>
  </si>
  <si>
    <t>row 6514</t>
  </si>
  <si>
    <t>row 6464</t>
  </si>
  <si>
    <t>row 6414</t>
  </si>
  <si>
    <t>world bank</t>
  </si>
  <si>
    <t>not available</t>
  </si>
  <si>
    <t>:</t>
  </si>
  <si>
    <t>less than half of the unit used</t>
  </si>
  <si>
    <t>0</t>
  </si>
  <si>
    <t>not applicable or real zero or zero by default</t>
  </si>
  <si>
    <t>-</t>
  </si>
  <si>
    <t>Special values:</t>
  </si>
  <si>
    <t>Pomorskie</t>
  </si>
  <si>
    <t>Warminsko-Mazurskie</t>
  </si>
  <si>
    <t>Kujawsko-Pomorskie</t>
  </si>
  <si>
    <t>Region Pólnocny</t>
  </si>
  <si>
    <t>Opolskie</t>
  </si>
  <si>
    <t>Dolnoslaskie</t>
  </si>
  <si>
    <t>Region Poludniowo-Zachodni</t>
  </si>
  <si>
    <t>Lubuskie</t>
  </si>
  <si>
    <t>Zachodniopomorskie</t>
  </si>
  <si>
    <t>Wielkopolskie</t>
  </si>
  <si>
    <t>Region Pólnocno-Zachodni</t>
  </si>
  <si>
    <t>Podlaskie</t>
  </si>
  <si>
    <t>Region Wschodni</t>
  </si>
  <si>
    <t>Swietokrzyskie</t>
  </si>
  <si>
    <t>Region Poludniowy</t>
  </si>
  <si>
    <t>Podkarpackie</t>
  </si>
  <si>
    <t>Region Centralny</t>
  </si>
  <si>
    <t>Lubelskie</t>
  </si>
  <si>
    <t>Slaskie</t>
  </si>
  <si>
    <t>Malopolskie</t>
  </si>
  <si>
    <t>Mazowieckie</t>
  </si>
  <si>
    <t>Lódzkie</t>
  </si>
  <si>
    <t>2010</t>
  </si>
  <si>
    <t>2009</t>
  </si>
  <si>
    <t>2008</t>
  </si>
  <si>
    <t>2007</t>
  </si>
  <si>
    <t>GEO/TIME</t>
  </si>
  <si>
    <t>Collective tourist accommodation establishments</t>
  </si>
  <si>
    <t>ACTIVITY</t>
  </si>
  <si>
    <t>UNIT</t>
  </si>
  <si>
    <t>Total nights spent by residents</t>
  </si>
  <si>
    <t>INDIC_TO</t>
  </si>
  <si>
    <t>Eurostat</t>
  </si>
  <si>
    <t>Source of Data</t>
  </si>
  <si>
    <t>Extracted on</t>
  </si>
  <si>
    <t>Last update</t>
  </si>
  <si>
    <t>http://www.intur.com.pl/itenglish/poles.php?o=1&amp;t1=13</t>
  </si>
  <si>
    <t>http://www.intur.com.pl/itenglish/poles.php?o=1&amp;t1=5</t>
  </si>
  <si>
    <t>http://www.intur.com.pl/itenglish/poles.php?o=1&amp;t1=10</t>
  </si>
  <si>
    <t>http://www.intur.com.pl/itenglish/poles.php?o=1&amp;t1=3</t>
  </si>
  <si>
    <t>1.85  </t>
  </si>
  <si>
    <t>2.75  </t>
  </si>
  <si>
    <t>1.55  </t>
  </si>
  <si>
    <t>1.90  </t>
  </si>
  <si>
    <t>1.30  </t>
  </si>
  <si>
    <t>1.25  </t>
  </si>
  <si>
    <t>Great Britain</t>
  </si>
  <si>
    <t>0.30  </t>
  </si>
  <si>
    <t>0.60  </t>
  </si>
  <si>
    <t>0.85  </t>
  </si>
  <si>
    <t>0.45  </t>
  </si>
  <si>
    <t>0.50  </t>
  </si>
  <si>
    <t>0.55  </t>
  </si>
  <si>
    <t>0.40  </t>
  </si>
  <si>
    <t>0.65  </t>
  </si>
  <si>
    <t>0.35  </t>
  </si>
  <si>
    <t>0.25  </t>
  </si>
  <si>
    <t>0.15  </t>
  </si>
  <si>
    <t>0.20  </t>
  </si>
  <si>
    <t>0.10  </t>
  </si>
  <si>
    <t>*   </t>
  </si>
  <si>
    <t>*  </t>
  </si>
  <si>
    <t>Russia</t>
  </si>
  <si>
    <t>Domestic long trips</t>
  </si>
  <si>
    <t>Domestic short (2-4 days)</t>
  </si>
  <si>
    <t> domestic long</t>
  </si>
  <si>
    <t>Holidays</t>
  </si>
  <si>
    <t>VFR</t>
  </si>
  <si>
    <t>business</t>
  </si>
  <si>
    <t xml:space="preserve">leisure </t>
  </si>
  <si>
    <t>others</t>
  </si>
  <si>
    <t>domestic short</t>
  </si>
  <si>
    <t>domestic</t>
  </si>
  <si>
    <t>Total (per trip)</t>
  </si>
  <si>
    <t>MILN PLN</t>
  </si>
  <si>
    <t>outbound</t>
  </si>
  <si>
    <t>All domestic and outbound</t>
  </si>
  <si>
    <t xml:space="preserve">domestic leisure </t>
  </si>
  <si>
    <t>All trips abroad</t>
  </si>
  <si>
    <t>leisure</t>
  </si>
  <si>
    <t>outbound purpose of trip</t>
  </si>
  <si>
    <t>othets</t>
  </si>
  <si>
    <t>Other</t>
  </si>
  <si>
    <t>Transit</t>
  </si>
  <si>
    <t>Visit</t>
  </si>
  <si>
    <t>Tourism, leisure</t>
  </si>
  <si>
    <t>Interests, business</t>
  </si>
  <si>
    <t>The Netherlands</t>
  </si>
  <si>
    <t>1 626</t>
  </si>
  <si>
    <t>1 290</t>
  </si>
  <si>
    <t>2 130</t>
  </si>
  <si>
    <t>3 861</t>
  </si>
  <si>
    <t>3 320</t>
  </si>
  <si>
    <t>5 444</t>
  </si>
  <si>
    <t xml:space="preserve">    A</t>
  </si>
  <si>
    <t>1 930</t>
  </si>
  <si>
    <t>1 392</t>
  </si>
  <si>
    <t>3 740</t>
  </si>
  <si>
    <t>3 210</t>
  </si>
  <si>
    <t>7 820</t>
  </si>
  <si>
    <t>7 292</t>
  </si>
  <si>
    <t>Total number of tourist trips abroad*</t>
  </si>
  <si>
    <t>.</t>
  </si>
  <si>
    <t>Czech Rep.</t>
  </si>
  <si>
    <t>Other countries of EU15</t>
  </si>
  <si>
    <t>Total number of trips</t>
  </si>
  <si>
    <t>outbound by country</t>
  </si>
  <si>
    <t>europe</t>
  </si>
  <si>
    <t>http://www.mercer.com/press-releases/holiday-entitlements-around-the-world</t>
  </si>
  <si>
    <t>2010Q4</t>
  </si>
  <si>
    <t>2010Q3</t>
  </si>
  <si>
    <t>2010Q2</t>
  </si>
  <si>
    <t>2010Q1</t>
  </si>
  <si>
    <t>2009Q4</t>
  </si>
  <si>
    <t>2009Q3</t>
  </si>
  <si>
    <t>2009Q2</t>
  </si>
  <si>
    <t>2009Q1</t>
  </si>
  <si>
    <t>2008Q4</t>
  </si>
  <si>
    <t>2008Q3</t>
  </si>
  <si>
    <t>2008Q2</t>
  </si>
  <si>
    <t>2008Q1</t>
  </si>
  <si>
    <t>2007Q4</t>
  </si>
  <si>
    <t>2007Q3</t>
  </si>
  <si>
    <t>2007Q2</t>
  </si>
  <si>
    <t>2007Q1</t>
  </si>
  <si>
    <t>NS - Total</t>
  </si>
  <si>
    <t>TINFO</t>
  </si>
  <si>
    <t>PURPOSE</t>
  </si>
  <si>
    <t>DEST</t>
  </si>
  <si>
    <t xml:space="preserve">1 night or over </t>
  </si>
  <si>
    <t>DURATION</t>
  </si>
  <si>
    <t>Number of tourists (persons participating in tourism) - by gender - quarterly data [tour_dem_toq]</t>
  </si>
  <si>
    <t>2007-2010</t>
  </si>
  <si>
    <t>http://www.intur.com.pl/itenglish/inboundtourism.php?r=1&amp;t1=3</t>
  </si>
  <si>
    <t>2008-2010</t>
  </si>
  <si>
    <t>Sources</t>
  </si>
  <si>
    <t>Methodology</t>
  </si>
  <si>
    <t>http://appsso.eurostat.ec.europa.eu/nui/show.do?dataset=tour_dem_ttq&amp;lang=en</t>
  </si>
  <si>
    <t>Euro (from 1.1.1999)/ECU (up to 31.12.1998)</t>
  </si>
  <si>
    <t>Mean equivalised net income</t>
  </si>
  <si>
    <t>INDIC_IL</t>
  </si>
  <si>
    <t>HHTYP</t>
  </si>
  <si>
    <t>Mean and median income by household type (Source: SILC) [ilc_di04]</t>
  </si>
  <si>
    <t>exc rate</t>
  </si>
  <si>
    <t>As from forecast method the result was coming out to be negative so I have used the CAG formula to forecast it</t>
  </si>
  <si>
    <t>European Union</t>
  </si>
  <si>
    <t>Old EU (15)</t>
  </si>
  <si>
    <t>including:</t>
  </si>
  <si>
    <t>New EU</t>
  </si>
  <si>
    <t>Other countries of EU12</t>
  </si>
  <si>
    <t>Non-Schengen neighbors</t>
  </si>
  <si>
    <t>Main overseas</t>
  </si>
  <si>
    <t>other overseas*</t>
  </si>
  <si>
    <t>Rest of the World</t>
  </si>
  <si>
    <t xml:space="preserve">    </t>
  </si>
  <si>
    <t>overnight stays/trips</t>
  </si>
  <si>
    <t>Methodolgy:From the source we have took the country arrivals data.then the sum of countries is done in their specific regions.The data which is of unspecified countries is dividing among all other regions by benchmarking it with germant&gt;Method followed for benchmarking is % share of each region is taken by dividing the region arrivals by total arrivals.This % share is applied over the unspecified country arrivals data</t>
  </si>
  <si>
    <t>germany data</t>
  </si>
  <si>
    <t>Average</t>
  </si>
  <si>
    <t>Average household size (Source: SILC) [ilc_lvph01]</t>
  </si>
  <si>
    <t>http://www.mercer.com/press-releases/1360620</t>
  </si>
  <si>
    <t>http://www.investmentsandincome.com/holidays/poland-holidays.html</t>
  </si>
  <si>
    <t>http://www.stat.gov.pl/cps/rde/xbcr/gus/LC__incomes_lilving_conditions_report_2011(2).pdf</t>
  </si>
  <si>
    <t>Jan-Mar</t>
  </si>
  <si>
    <t>Apr-Jun</t>
  </si>
  <si>
    <t>Jul-Sep</t>
  </si>
  <si>
    <t>Oct-Dec</t>
  </si>
  <si>
    <t>Season</t>
  </si>
  <si>
    <t>II</t>
  </si>
  <si>
    <t>III</t>
  </si>
  <si>
    <t>IV</t>
  </si>
  <si>
    <t>V</t>
  </si>
  <si>
    <t>VI</t>
  </si>
  <si>
    <t>VII</t>
  </si>
  <si>
    <t>VIII</t>
  </si>
  <si>
    <t>IX</t>
  </si>
  <si>
    <t>X</t>
  </si>
  <si>
    <t>XI</t>
  </si>
  <si>
    <t>XII</t>
  </si>
  <si>
    <t>Number of trips - holiday and business trips - by sex and trip characteristics - quarterly data [tour_dem_ttq]</t>
  </si>
  <si>
    <t>Source of data</t>
  </si>
  <si>
    <t>1 night or over</t>
  </si>
  <si>
    <t>2011Q1</t>
  </si>
  <si>
    <t>2011Q2</t>
  </si>
  <si>
    <t>2011Q3</t>
  </si>
  <si>
    <t>2011Q4</t>
  </si>
  <si>
    <t>Special value:</t>
  </si>
  <si>
    <t>Domestic trips</t>
  </si>
  <si>
    <t>Outbound trips</t>
  </si>
  <si>
    <t>% Share</t>
  </si>
  <si>
    <t>Number of tourism nights - holiday and business trips - by sex and trip characteristics - quarterly data [tour_dem_tnq]</t>
  </si>
  <si>
    <t>Average length of stay for domestic tourists</t>
  </si>
  <si>
    <t>Average length of stay for outbound tourists</t>
  </si>
  <si>
    <t>Nights spent in tourist accommodation establishments by NUTS 2 regions - annual data [tour_occ_nin2]</t>
  </si>
  <si>
    <t>2011</t>
  </si>
  <si>
    <t>*) Canada, Australia, Japan, Korea Rep</t>
  </si>
  <si>
    <t>Americas</t>
  </si>
  <si>
    <t>East Asia and Pacific</t>
  </si>
  <si>
    <t>South Asia</t>
  </si>
  <si>
    <t>Not ckassified</t>
  </si>
  <si>
    <t>Asia-pacific</t>
  </si>
  <si>
    <t>Asia Pacific</t>
  </si>
  <si>
    <t>US</t>
  </si>
  <si>
    <t>South &amp;Central America</t>
  </si>
  <si>
    <t>*) Canada, Australia, Japan, Korea Rep.</t>
  </si>
  <si>
    <t>Korea</t>
  </si>
  <si>
    <t>Inbound by purpose</t>
  </si>
  <si>
    <t xml:space="preserve"> </t>
  </si>
  <si>
    <t>Outbound by purpose</t>
  </si>
  <si>
    <t>CAGR 2013-2017</t>
  </si>
  <si>
    <t>CAGR 2008-2012</t>
  </si>
  <si>
    <t>PARTNER</t>
  </si>
  <si>
    <t>Other African countries (aggregate changing according to the context)</t>
  </si>
  <si>
    <t>Asia</t>
  </si>
  <si>
    <t>Other Asian countries (aggregate changing according to the context)</t>
  </si>
  <si>
    <t>China (including Hong Kong)</t>
  </si>
  <si>
    <t>Germany (including  former GDR from 1991)</t>
  </si>
  <si>
    <t>South Korea</t>
  </si>
  <si>
    <t>Maghreb</t>
  </si>
  <si>
    <t>Oceania</t>
  </si>
  <si>
    <t>Outbound</t>
  </si>
  <si>
    <t>United States</t>
  </si>
  <si>
    <t xml:space="preserve">Other Northern American countries </t>
  </si>
  <si>
    <t>Northern America</t>
  </si>
  <si>
    <t>Central and South America</t>
  </si>
  <si>
    <t>Other Central or South American countries</t>
  </si>
  <si>
    <t>Euro area (EA11-2000, EA12-2006, EA13-2007, EA15-2008, EA16-2010, EA17)</t>
  </si>
  <si>
    <t>European Economic Area (EEA18-2004, EEA28-2006, EEA30)</t>
  </si>
  <si>
    <t>European Free Trade Association</t>
  </si>
  <si>
    <t>European Union (27 countries)</t>
  </si>
  <si>
    <t>European countries not EU nor EFTA (aggregate changing according to the context)</t>
  </si>
  <si>
    <t>Other european countries (aggregate changing according to the context)</t>
  </si>
  <si>
    <t>Region</t>
  </si>
  <si>
    <t>Asia-Pacific and Middle East</t>
  </si>
  <si>
    <t>South and Central America</t>
  </si>
  <si>
    <t>International Arrivals to Australia from Poland</t>
  </si>
  <si>
    <t>Australia TDF</t>
  </si>
  <si>
    <t>As per Eurostat</t>
  </si>
  <si>
    <t>As per national stats (Intur)</t>
  </si>
  <si>
    <t>Asia-Pacific and Middle East Break-up</t>
  </si>
  <si>
    <t>Benchmarked with Czech Republic</t>
  </si>
  <si>
    <t>Number of trips - holiday and business trips - by country or world region of destination - annual data [tour_dem_ttw]</t>
  </si>
  <si>
    <t>Domestic</t>
  </si>
  <si>
    <t>European Economic Area (EU-15 plus IS, LI, NO)</t>
  </si>
  <si>
    <t>European Union (15 countries)</t>
  </si>
  <si>
    <t>European Union (25 countries)</t>
  </si>
  <si>
    <t>Other Oceanian countries (aggregate changing according to the context)</t>
  </si>
  <si>
    <t>Unknown</t>
  </si>
  <si>
    <t>All countries of the world</t>
  </si>
  <si>
    <t>North American regions are benchmarked with Germany</t>
  </si>
  <si>
    <t>Confidence score</t>
  </si>
  <si>
    <t>http://www.census.gov/population/international/data/idb/country.php</t>
  </si>
  <si>
    <t>http://ww2.unhabitat.org/habrdd/statannexes.htm</t>
  </si>
  <si>
    <t>http://www.intur.com.pl/itenglish/poles_month.php</t>
  </si>
  <si>
    <t>http://epp.eurostat.ec.europa.eu/portal/page/portal/statistics/search_database</t>
  </si>
  <si>
    <t>http://www.intur.com.pl/itenglish/arrivals.php?r=99</t>
  </si>
  <si>
    <t>Both paid and public holidays are available in the source for 2009 &amp; 2011</t>
  </si>
  <si>
    <t xml:space="preserve">All the population data including the forecast years is taken from US Census Bureau </t>
  </si>
  <si>
    <t>For 2007-2015, data is taken from UN habitat. For 2016 &amp; 2017 it is projected using CAGR</t>
  </si>
  <si>
    <t>The source provided mean household income for 2010. For other years it is projected backwards and forwards using the growthrates for data obtained by dividing annual disposable income with number of households</t>
  </si>
  <si>
    <t>Data is taken from Eurostat for 2007-2011</t>
  </si>
  <si>
    <t>Data is taken from national stats for 2007-2011</t>
  </si>
  <si>
    <t>Calculated by dividing nights spent with trips available from Eurostat</t>
  </si>
  <si>
    <t>Domestic by region data is taken from Eurostat for 2007-2011</t>
  </si>
  <si>
    <t>Got % shares for domestic by purpose from national stats for 2007-2010 and these shares are applied to the top line. 2011 data is estimated using CAGR formula</t>
  </si>
  <si>
    <t>Inbound by purpose data is available from the national stats for all the review period years. % share is given, which is applied to the top line to derive numbers.</t>
  </si>
  <si>
    <t>Outbound top line is available from national stats till 2011</t>
  </si>
  <si>
    <t>Outbound by purpose % share is available in the sources for 2007-2010. For 2011, it is estimated using CAGR</t>
  </si>
  <si>
    <t>Calculated by multiplying total outbound trips with average length of stay</t>
  </si>
  <si>
    <t>Calculated by multiplying total domestic trips with average length of stay</t>
  </si>
  <si>
    <t>Item</t>
  </si>
  <si>
    <t>Name</t>
  </si>
  <si>
    <t>Date</t>
  </si>
  <si>
    <t>Name of the resource</t>
  </si>
  <si>
    <t>Arunasree</t>
  </si>
  <si>
    <t>Production - Start Date</t>
  </si>
  <si>
    <t>Production -End Date</t>
  </si>
  <si>
    <t>Date of review for 1st level QC</t>
  </si>
  <si>
    <t>Date sent for Sign-off</t>
  </si>
  <si>
    <t>Publication Date - IC</t>
  </si>
  <si>
    <t>Personal Checks</t>
  </si>
  <si>
    <t>Comments</t>
  </si>
  <si>
    <t>QC Checks</t>
  </si>
  <si>
    <t># Enter Name</t>
  </si>
  <si>
    <t>Have all sources been referenced to where they have been used in the calculations?</t>
  </si>
  <si>
    <t>Do the final data sheets match the specified format needed to migrate data to the upload files?</t>
  </si>
  <si>
    <t>Data Checks</t>
  </si>
  <si>
    <t>GDP PER CAPITA</t>
  </si>
  <si>
    <t>MEAN HOUSEHOLD INCOME</t>
  </si>
  <si>
    <t>Mean Houshold income Australia/Japan</t>
  </si>
  <si>
    <t>GDP PER CAPITA Poland/Hungary</t>
  </si>
  <si>
    <t>Arindam</t>
  </si>
  <si>
    <t>http://resources.metapress.com/pdf-preview.axd?code=qgmyhpqmr479x18y&amp;size=largest</t>
  </si>
  <si>
    <t>Total arrivals data is available from national stats for the review period from 2008-2012. Rest of the world total available in arrivals is divided among Africa, Asia-Pacific, Middle East, Mexico and South and Central America by benchmarking it with Germany. Other overseas data is divided among Canada, Australia,Japan and Korea by taking the ratio from Germany. For 2007 &amp; 2008, topline is taken from UNWTO, and country and regional level data is estimated using CAGR method</t>
  </si>
  <si>
    <t>Outbound by region data is taken from Eurostat for 2007- 2011. 2012 data is estimated. Total of Asia-Pacific and Middle East is broken -up by benchmarking with Czech Republic. Total of North America is split among Canada, Mexico and the US by benchmarking it with Germany. Departures to the US, though available in the source, are not considered because when the rest of North America is distributed between Canada and Mexico, Canada total is exceeding that of the US. But as per the sources, departures to the US are significantly higher than Canada.</t>
  </si>
  <si>
    <t>Estimated using percetage share from the source</t>
  </si>
  <si>
    <t>Estimated using percentage shares from the source</t>
  </si>
  <si>
    <t>Audit Related Checks</t>
  </si>
  <si>
    <t>Are all the secondary sources mentioned in the Final Data-LCU sheet?</t>
  </si>
  <si>
    <t>Checked</t>
  </si>
  <si>
    <t>Have source notes been mentioned against any sourced data in workings sheet/Final Data-LCU sheet?</t>
  </si>
  <si>
    <t>Has the methodology notes been documented wherever the data is modeled in Final Data-LCU sheet?</t>
  </si>
  <si>
    <t>Has final data been produced in USD versions?</t>
  </si>
  <si>
    <t>Has a record of production related actions undertaken been placed in the document history?</t>
  </si>
  <si>
    <t>Have all sum checks been verified in the sum check sheet?</t>
  </si>
  <si>
    <t>Have the growth rates been checked in light of economic and industry indicators, if applicable?</t>
  </si>
  <si>
    <t>Has Exchange rate been taken from Oanda/Tourism IC?</t>
  </si>
  <si>
    <t>Are the proportions of individual categories of different KPIs checked and compared with similar country?</t>
  </si>
  <si>
    <t>Have abnormal increase or decrease in growth rates been reviewed and supported with reasons? If not the case, whether the growth rate trends been normalized to avoid  any sharp swings?</t>
  </si>
  <si>
    <t>Has it been checked whether the cross country comparisions for importatnt proportations and data points been done in Check sheet?</t>
  </si>
  <si>
    <t>Are the  growth rate sheet, checks sheet and sum checks sheet reviewed?</t>
  </si>
  <si>
    <t>Are the CAGR values for all the key variables for the historic and forecast period – 2007-2012 and 2013-2017 checked? If they are abnormally high, low, or have negative CAGR values, are they backed by reasons?</t>
  </si>
  <si>
    <t>Are all the sources mentioned properly in Final data-LCU sheet?</t>
  </si>
  <si>
    <t>Have all methodologies been documented properly?</t>
  </si>
  <si>
    <t>Has final data been produced in USD version?</t>
  </si>
  <si>
    <t>Has the analyst documented their actions in the document history?</t>
  </si>
  <si>
    <t>Have the growth rates been QCed in the light of economic and industry indicators, if applicable?</t>
  </si>
  <si>
    <t>Has exchange rate been verified from Oanda/Tourism IC?</t>
  </si>
  <si>
    <t>Have abnormal increase or decrease in growth rates been reviewed and supported with valid reasons? If not the case, then have the growth rate trends been normalized to avoid  any sharp swings as per analyst's judgement?</t>
  </si>
  <si>
    <t>Has it been checked whether the cross country comparisions for important proportions and data points has been done in the check sheet?</t>
  </si>
  <si>
    <t>Are the  growth rate sheet, checks sheet and sum checks sheet QCed?</t>
  </si>
  <si>
    <t>Are the CAGR values for all the key variables for the historic and forecast period – 2007-2012 and 2013-2017 checked?Are abnormally high, low, or negative CAGR values, if any, backed by valid reasons?</t>
  </si>
  <si>
    <t>Has the final data approved by the QC resource?</t>
  </si>
</sst>
</file>

<file path=xl/styles.xml><?xml version="1.0" encoding="utf-8"?>
<styleSheet xmlns="http://schemas.openxmlformats.org/spreadsheetml/2006/main">
  <numFmts count="25">
    <numFmt numFmtId="41" formatCode="_(* #,##0_);_(* \(#,##0\);_(* &quot;-&quot;_);_(@_)"/>
    <numFmt numFmtId="44" formatCode="_(&quot;$&quot;* #,##0.00_);_(&quot;$&quot;* \(#,##0.00\);_(&quot;$&quot;* &quot;-&quot;??_);_(@_)"/>
    <numFmt numFmtId="43" formatCode="_(* #,##0.00_);_(* \(#,##0.00\);_(* &quot;-&quot;??_);_(@_)"/>
    <numFmt numFmtId="164" formatCode="0.0"/>
    <numFmt numFmtId="165" formatCode="0.0%"/>
    <numFmt numFmtId="166" formatCode="#,##0.0"/>
    <numFmt numFmtId="167" formatCode="#."/>
    <numFmt numFmtId="168" formatCode="_-* #,##0.00_-;_-* #,##0.00\-;_-* &quot;-&quot;??_-;_-@_-"/>
    <numFmt numFmtId="169" formatCode="General_)"/>
    <numFmt numFmtId="170" formatCode="#\ ###\ ##0;&quot;-&quot;#\ ###\ ##0"/>
    <numFmt numFmtId="171" formatCode="#,##0\ \ ;\-#,##0\ \ "/>
    <numFmt numFmtId="172" formatCode="_-* #,##0_-;\-* #,##0_-;_-* &quot;-&quot;_-;_-@_-"/>
    <numFmt numFmtId="173" formatCode="_-* #,##0_-;&quot;\&quot;\!\-* #,##0_-;_-* &quot;-&quot;_-;_-@_-"/>
    <numFmt numFmtId="174" formatCode="_-* #,##0.00_-;&quot;\&quot;\!\-* #,##0.00_-;_-* &quot;-&quot;??_-;_-@_-"/>
    <numFmt numFmtId="175" formatCode="dd\.mm\.yy"/>
    <numFmt numFmtId="176" formatCode="_(* #,##0.0_);_(* \(#,##0.0\);_(* &quot;-&quot;??_);_(@_)"/>
    <numFmt numFmtId="177" formatCode="_-* #,##0.0_-;\-* #,##0.0_-;_-* &quot;-&quot;_-;_-@_-"/>
    <numFmt numFmtId="178" formatCode="_(* #,##0_);_(* \(#,##0\);_(* &quot;-&quot;??_);_(@_)"/>
    <numFmt numFmtId="179" formatCode="_-* #,##0.0\ _z_ł_-;\-* #,##0.0\ _z_ł_-;_-* &quot;-&quot;??\ _z_ł_-;_-@_-"/>
    <numFmt numFmtId="180" formatCode="[$-409]d\-mmm\-yy;@"/>
    <numFmt numFmtId="181" formatCode="_-* #,##0.00_-;\-* #,##0.00_-;_-* &quot;-&quot;??_-;_-@_-"/>
    <numFmt numFmtId="182" formatCode="_(* #,##0.00_);_(* \(#,##0.00\);_(* \-??_);_(@_)"/>
    <numFmt numFmtId="183" formatCode="#,##0;\-\ #,##0;_-\ &quot;- &quot;"/>
    <numFmt numFmtId="184" formatCode="[$-409]d\-mmm\-yyyy;@"/>
    <numFmt numFmtId="185" formatCode="0.0000"/>
  </numFmts>
  <fonts count="80">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b/>
      <sz val="8"/>
      <color theme="0"/>
      <name val="Arial"/>
      <family val="2"/>
    </font>
    <font>
      <b/>
      <sz val="8"/>
      <color theme="1"/>
      <name val="Arial"/>
      <family val="2"/>
    </font>
    <font>
      <sz val="8"/>
      <color theme="1"/>
      <name val="Arial"/>
      <family val="2"/>
    </font>
    <font>
      <sz val="8"/>
      <color theme="0" tint="-0.249977111117893"/>
      <name val="Arial"/>
      <family val="2"/>
    </font>
    <font>
      <u/>
      <sz val="11"/>
      <color theme="10"/>
      <name val="Calibri"/>
      <family val="2"/>
    </font>
    <font>
      <u/>
      <sz val="8"/>
      <color theme="10"/>
      <name val="Arial"/>
      <family val="2"/>
    </font>
    <font>
      <sz val="8"/>
      <color rgb="FFFF0000"/>
      <name val="Arial"/>
      <family val="2"/>
    </font>
    <font>
      <sz val="8"/>
      <name val="Arial"/>
      <family val="2"/>
    </font>
    <font>
      <b/>
      <sz val="8"/>
      <color rgb="FFFF0000"/>
      <name val="Arial"/>
      <family val="2"/>
    </font>
    <font>
      <b/>
      <sz val="8"/>
      <color indexed="81"/>
      <name val="Tahoma"/>
      <family val="2"/>
    </font>
    <font>
      <sz val="8"/>
      <color indexed="81"/>
      <name val="Tahoma"/>
      <family val="2"/>
    </font>
    <font>
      <sz val="11"/>
      <color rgb="FF000000"/>
      <name val="Calibri"/>
      <family val="2"/>
      <scheme val="minor"/>
    </font>
    <font>
      <b/>
      <sz val="11"/>
      <color rgb="FF000000"/>
      <name val="Calibri"/>
      <family val="2"/>
      <scheme val="minor"/>
    </font>
    <font>
      <sz val="8"/>
      <color rgb="FF000000"/>
      <name val="Arial"/>
      <family val="2"/>
    </font>
    <font>
      <b/>
      <sz val="8"/>
      <color rgb="FF000000"/>
      <name val="Arial"/>
      <family val="2"/>
    </font>
    <font>
      <sz val="10"/>
      <name val="Arial"/>
      <family val="2"/>
    </font>
    <font>
      <b/>
      <i/>
      <sz val="8"/>
      <color rgb="FFFF0000"/>
      <name val="Arial"/>
      <family val="2"/>
    </font>
    <font>
      <sz val="11"/>
      <color indexed="8"/>
      <name val="Calibri"/>
      <family val="2"/>
    </font>
    <font>
      <sz val="11"/>
      <name val="Calibri"/>
      <family val="2"/>
      <scheme val="minor"/>
    </font>
    <font>
      <sz val="8"/>
      <color rgb="FF00B050"/>
      <name val="Arial"/>
      <family val="2"/>
    </font>
    <font>
      <b/>
      <sz val="8"/>
      <color rgb="FF00B050"/>
      <name val="Arial"/>
      <family val="2"/>
    </font>
    <font>
      <sz val="11"/>
      <color rgb="FF00B050"/>
      <name val="Calibri"/>
      <family val="2"/>
      <scheme val="minor"/>
    </font>
    <font>
      <b/>
      <sz val="8"/>
      <name val="Arial"/>
      <family val="2"/>
    </font>
    <font>
      <sz val="1"/>
      <color indexed="0"/>
      <name val="Courier"/>
      <family val="3"/>
    </font>
    <font>
      <b/>
      <sz val="9"/>
      <name val="Arial"/>
      <family val="2"/>
      <charset val="177"/>
    </font>
    <font>
      <sz val="11"/>
      <name val="돋움"/>
      <family val="3"/>
      <charset val="129"/>
    </font>
    <font>
      <sz val="10"/>
      <name val="Arial Cyr"/>
      <charset val="204"/>
    </font>
    <font>
      <sz val="10"/>
      <name val="Times New Roman"/>
      <family val="1"/>
    </font>
    <font>
      <sz val="10"/>
      <name val="MS Sans Serif"/>
      <family val="2"/>
    </font>
    <font>
      <sz val="10"/>
      <name val="Arial CE"/>
      <charset val="238"/>
    </font>
    <font>
      <sz val="11"/>
      <name val="Times New Roman"/>
      <family val="1"/>
    </font>
    <font>
      <sz val="6.5"/>
      <name val="Univers"/>
      <family val="2"/>
    </font>
    <font>
      <b/>
      <sz val="6"/>
      <name val="Arial"/>
      <family val="2"/>
      <charset val="177"/>
    </font>
    <font>
      <sz val="6"/>
      <name val="Arial"/>
      <family val="2"/>
      <charset val="177"/>
    </font>
    <font>
      <sz val="10"/>
      <name val="Arial Cyr"/>
    </font>
    <font>
      <sz val="9"/>
      <name val="Arial"/>
      <family val="2"/>
    </font>
    <font>
      <sz val="9"/>
      <color indexed="22"/>
      <name val="Arial"/>
      <family val="2"/>
    </font>
    <font>
      <sz val="9"/>
      <color indexed="24"/>
      <name val="Arial"/>
      <family val="2"/>
    </font>
    <font>
      <sz val="9"/>
      <color indexed="9"/>
      <name val="Arial"/>
      <family val="2"/>
    </font>
    <font>
      <sz val="11"/>
      <color indexed="24"/>
      <name val="Arial"/>
      <family val="2"/>
    </font>
    <font>
      <sz val="10"/>
      <color theme="8" tint="-0.249977111117893"/>
      <name val="Arial"/>
      <family val="2"/>
    </font>
    <font>
      <sz val="10"/>
      <name val="Arial"/>
      <family val="2"/>
    </font>
    <font>
      <sz val="11"/>
      <name val="Arial"/>
      <family val="2"/>
    </font>
    <font>
      <b/>
      <sz val="9"/>
      <color rgb="FF696969"/>
      <name val="Verdana"/>
      <family val="2"/>
    </font>
    <font>
      <sz val="9"/>
      <color rgb="FF000000"/>
      <name val="Times New Roman"/>
      <family val="1"/>
    </font>
    <font>
      <sz val="8"/>
      <color rgb="FF000000"/>
      <name val="TTF6o00"/>
    </font>
    <font>
      <sz val="8"/>
      <color rgb="FF00B050"/>
      <name val="Verdana"/>
      <family val="2"/>
    </font>
    <font>
      <sz val="11"/>
      <name val="Arial"/>
      <family val="2"/>
    </font>
    <font>
      <sz val="10"/>
      <name val="Arial"/>
      <family val="2"/>
    </font>
    <font>
      <sz val="10"/>
      <color rgb="FF000000"/>
      <name val="Arial"/>
      <family val="2"/>
    </font>
    <font>
      <sz val="11"/>
      <name val="Arial"/>
      <family val="2"/>
    </font>
    <font>
      <sz val="10"/>
      <name val="Arial"/>
      <family val="2"/>
    </font>
    <font>
      <sz val="8"/>
      <color rgb="FF002200"/>
      <name val="Verdana"/>
      <family val="2"/>
    </font>
    <font>
      <b/>
      <sz val="11"/>
      <name val="Arial"/>
      <family val="2"/>
    </font>
    <font>
      <sz val="8"/>
      <color indexed="8"/>
      <name val="Arial"/>
      <family val="2"/>
    </font>
    <font>
      <b/>
      <sz val="8"/>
      <color indexed="12"/>
      <name val="Arial"/>
      <family val="2"/>
    </font>
    <font>
      <b/>
      <sz val="8"/>
      <color indexed="8"/>
      <name val="Arial"/>
      <family val="2"/>
    </font>
    <font>
      <sz val="10"/>
      <name val="Arial"/>
      <family val="2"/>
    </font>
    <font>
      <sz val="11"/>
      <color theme="0"/>
      <name val="Calibri"/>
      <family val="2"/>
      <scheme val="minor"/>
    </font>
    <font>
      <sz val="10"/>
      <color theme="1"/>
      <name val="Arial"/>
      <family val="2"/>
    </font>
    <font>
      <b/>
      <sz val="11"/>
      <color indexed="9"/>
      <name val="Arial"/>
      <family val="2"/>
    </font>
    <font>
      <sz val="6"/>
      <name val="Arial"/>
      <family val="2"/>
    </font>
    <font>
      <b/>
      <sz val="8.5"/>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sz val="10"/>
      <color indexed="8"/>
      <name val="Arial"/>
      <family val="2"/>
    </font>
    <font>
      <u/>
      <sz val="10"/>
      <color indexed="12"/>
      <name val="Arial"/>
      <family val="2"/>
    </font>
    <font>
      <u/>
      <sz val="11"/>
      <color indexed="12"/>
      <name val="Calibri"/>
      <family val="2"/>
    </font>
    <font>
      <sz val="6.5"/>
      <color indexed="8"/>
      <name val="Arial"/>
      <family val="2"/>
    </font>
    <font>
      <sz val="12"/>
      <name val="ＭＳ 明朝"/>
      <family val="1"/>
      <charset val="128"/>
    </font>
    <font>
      <b/>
      <sz val="10"/>
      <color theme="0"/>
      <name val="Arial"/>
      <family val="2"/>
    </font>
    <font>
      <b/>
      <sz val="9"/>
      <name val="Calibri"/>
      <family val="2"/>
      <scheme val="minor"/>
    </font>
    <font>
      <b/>
      <sz val="11"/>
      <name val="Calibri"/>
      <family val="2"/>
      <scheme val="minor"/>
    </font>
  </fonts>
  <fills count="46">
    <fill>
      <patternFill patternType="none"/>
    </fill>
    <fill>
      <patternFill patternType="gray125"/>
    </fill>
    <fill>
      <patternFill patternType="solid">
        <fgColor theme="1"/>
        <bgColor indexed="64"/>
      </patternFill>
    </fill>
    <fill>
      <patternFill patternType="solid">
        <fgColor rgb="FFFF0000"/>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8" tint="0.59999389629810485"/>
        <bgColor indexed="64"/>
      </patternFill>
    </fill>
    <fill>
      <patternFill patternType="solid">
        <fgColor indexed="55"/>
        <bgColor indexed="64"/>
      </patternFill>
    </fill>
    <fill>
      <patternFill patternType="solid">
        <fgColor theme="0"/>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rgb="FFFFFFCC"/>
      </patternFill>
    </fill>
    <fill>
      <patternFill patternType="solid">
        <fgColor indexed="21"/>
      </patternFill>
    </fill>
    <fill>
      <patternFill patternType="solid">
        <fgColor indexed="23"/>
      </patternFill>
    </fill>
    <fill>
      <patternFill patternType="solid">
        <fgColor indexed="20"/>
      </patternFill>
    </fill>
    <fill>
      <patternFill patternType="solid">
        <fgColor indexed="44"/>
        <bgColor indexed="64"/>
      </patternFill>
    </fill>
    <fill>
      <patternFill patternType="solid">
        <fgColor rgb="FFFFFF00"/>
        <bgColor indexed="64"/>
      </patternFill>
    </fill>
    <fill>
      <patternFill patternType="solid">
        <fgColor theme="3" tint="0.39997558519241921"/>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59999389629810485"/>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6"/>
      </patternFill>
    </fill>
    <fill>
      <patternFill patternType="solid">
        <fgColor theme="5" tint="0.39997558519241921"/>
        <bgColor indexed="64"/>
      </patternFill>
    </fill>
  </fills>
  <borders count="32">
    <border>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top/>
      <bottom style="thin">
        <color rgb="FF000000"/>
      </bottom>
      <diagonal/>
    </border>
    <border>
      <left style="thin">
        <color rgb="FFB2B2B2"/>
      </left>
      <right style="thin">
        <color rgb="FFB2B2B2"/>
      </right>
      <top style="thin">
        <color rgb="FFB2B2B2"/>
      </top>
      <bottom style="thin">
        <color rgb="FFB2B2B2"/>
      </bottom>
      <diagonal/>
    </border>
    <border>
      <left style="thin">
        <color indexed="9"/>
      </left>
      <right style="thin">
        <color indexed="9"/>
      </right>
      <top style="thin">
        <color indexed="9"/>
      </top>
      <bottom style="thin">
        <color indexed="9"/>
      </bottom>
      <diagonal/>
    </border>
    <border>
      <left/>
      <right/>
      <top style="thin">
        <color indexed="9"/>
      </top>
      <bottom style="thin">
        <color indexed="9"/>
      </bottom>
      <diagonal/>
    </border>
    <border>
      <left style="thin">
        <color indexed="8"/>
      </left>
      <right style="thin">
        <color indexed="8"/>
      </right>
      <top style="thin">
        <color indexed="8"/>
      </top>
      <bottom style="thin">
        <color indexed="8"/>
      </bottom>
      <diagonal/>
    </border>
    <border>
      <left style="medium">
        <color indexed="64"/>
      </left>
      <right style="thin">
        <color indexed="64"/>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right/>
      <top style="thin">
        <color indexed="64"/>
      </top>
      <bottom/>
      <diagonal/>
    </border>
    <border>
      <left/>
      <right/>
      <top/>
      <bottom style="thin">
        <color indexed="50"/>
      </bottom>
      <diagonal/>
    </border>
    <border>
      <left style="thin">
        <color indexed="22"/>
      </left>
      <right style="thin">
        <color indexed="22"/>
      </right>
      <top style="thin">
        <color indexed="22"/>
      </top>
      <bottom style="thin">
        <color indexed="22"/>
      </bottom>
      <diagonal/>
    </border>
    <border>
      <left/>
      <right style="thick">
        <color indexed="64"/>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7235">
    <xf numFmtId="0" fontId="0" fillId="0" borderId="0"/>
    <xf numFmtId="9" fontId="1" fillId="0" borderId="0" applyFont="0" applyFill="0" applyBorder="0" applyAlignment="0" applyProtection="0"/>
    <xf numFmtId="0" fontId="8" fillId="0" borderId="0" applyNumberFormat="0" applyFill="0" applyBorder="0" applyAlignment="0" applyProtection="0">
      <alignment vertical="top"/>
      <protection locked="0"/>
    </xf>
    <xf numFmtId="0" fontId="19" fillId="0" borderId="0"/>
    <xf numFmtId="9" fontId="1" fillId="0" borderId="0" applyFont="0" applyFill="0" applyBorder="0" applyAlignment="0" applyProtection="0"/>
    <xf numFmtId="9" fontId="21" fillId="0" borderId="0" applyFont="0" applyFill="0" applyBorder="0" applyAlignment="0" applyProtection="0"/>
    <xf numFmtId="0" fontId="19" fillId="0" borderId="0"/>
    <xf numFmtId="0" fontId="19" fillId="0" borderId="0"/>
    <xf numFmtId="0" fontId="19" fillId="0" borderId="0"/>
    <xf numFmtId="0" fontId="19" fillId="0" borderId="0">
      <alignment horizontal="left" wrapText="1"/>
    </xf>
    <xf numFmtId="0" fontId="19" fillId="0" borderId="0"/>
    <xf numFmtId="0" fontId="19" fillId="0" borderId="0"/>
    <xf numFmtId="0" fontId="19" fillId="0" borderId="0">
      <alignment horizontal="left" wrapText="1"/>
    </xf>
    <xf numFmtId="0" fontId="19" fillId="0" borderId="0"/>
    <xf numFmtId="167" fontId="27" fillId="0" borderId="0">
      <protection locked="0"/>
    </xf>
    <xf numFmtId="167" fontId="27" fillId="0" borderId="0">
      <protection locked="0"/>
    </xf>
    <xf numFmtId="167" fontId="27" fillId="0" borderId="0">
      <protection locked="0"/>
    </xf>
    <xf numFmtId="167" fontId="27" fillId="0" borderId="0">
      <protection locked="0"/>
    </xf>
    <xf numFmtId="167" fontId="27" fillId="0" borderId="0">
      <protection locked="0"/>
    </xf>
    <xf numFmtId="43" fontId="19" fillId="0" borderId="0" applyFont="0" applyFill="0" applyBorder="0" applyAlignment="0" applyProtection="0"/>
    <xf numFmtId="167" fontId="27" fillId="0" borderId="0">
      <protection locked="0"/>
    </xf>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43" fontId="21"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43" fontId="21"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43" fontId="21"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43" fontId="19" fillId="0" borderId="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43" fontId="19" fillId="0" borderId="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43" fontId="19" fillId="0" borderId="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168" fontId="19" fillId="0" borderId="0" applyFont="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168" fontId="19" fillId="0" borderId="0" applyFont="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168" fontId="19" fillId="0" borderId="0" applyFont="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43" fontId="19" fillId="0" borderId="0" applyFill="0" applyBorder="0" applyAlignment="0" applyProtection="0"/>
    <xf numFmtId="0" fontId="8"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169" fontId="28" fillId="0" borderId="0" applyNumberFormat="0" applyBorder="0" applyAlignment="0">
      <alignment horizontal="left" vertical="center"/>
    </xf>
    <xf numFmtId="0" fontId="29"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9" fillId="0" borderId="0"/>
    <xf numFmtId="0" fontId="30" fillId="0" borderId="0"/>
    <xf numFmtId="0" fontId="30" fillId="0" borderId="0"/>
    <xf numFmtId="0" fontId="30" fillId="0" borderId="0"/>
    <xf numFmtId="0" fontId="30" fillId="0" borderId="0"/>
    <xf numFmtId="0" fontId="3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9" fillId="0" borderId="0"/>
    <xf numFmtId="0" fontId="30" fillId="0" borderId="0"/>
    <xf numFmtId="0" fontId="3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31"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19" fillId="0" borderId="0"/>
    <xf numFmtId="0" fontId="19" fillId="0" borderId="0"/>
    <xf numFmtId="0" fontId="19" fillId="0" borderId="0"/>
    <xf numFmtId="0" fontId="19" fillId="0" borderId="0"/>
    <xf numFmtId="0" fontId="19" fillId="0" borderId="0"/>
    <xf numFmtId="0" fontId="19"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3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3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30" fillId="0" borderId="0"/>
    <xf numFmtId="0" fontId="30" fillId="0" borderId="0"/>
    <xf numFmtId="0" fontId="3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30" fillId="0" borderId="0"/>
    <xf numFmtId="0" fontId="30" fillId="0" borderId="0"/>
    <xf numFmtId="0" fontId="30" fillId="0" borderId="0"/>
    <xf numFmtId="0" fontId="30" fillId="0" borderId="0"/>
    <xf numFmtId="0" fontId="3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30" fillId="0" borderId="0"/>
    <xf numFmtId="0" fontId="30" fillId="0" borderId="0"/>
    <xf numFmtId="0" fontId="30" fillId="0" borderId="0"/>
    <xf numFmtId="0" fontId="30" fillId="0" borderId="0"/>
    <xf numFmtId="0" fontId="30" fillId="0" borderId="0"/>
    <xf numFmtId="0" fontId="19" fillId="0" borderId="0"/>
    <xf numFmtId="0" fontId="19"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9" fillId="0" borderId="0"/>
    <xf numFmtId="0" fontId="30" fillId="0" borderId="0"/>
    <xf numFmtId="0" fontId="30" fillId="0" borderId="0"/>
    <xf numFmtId="0" fontId="3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30" fillId="0" borderId="0"/>
    <xf numFmtId="0" fontId="30" fillId="0" borderId="0"/>
    <xf numFmtId="0" fontId="30" fillId="0" borderId="0"/>
    <xf numFmtId="0" fontId="30" fillId="0" borderId="0"/>
    <xf numFmtId="0" fontId="30" fillId="0" borderId="0"/>
    <xf numFmtId="0" fontId="19"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9" fillId="0" borderId="0"/>
    <xf numFmtId="0" fontId="30" fillId="0" borderId="0"/>
    <xf numFmtId="0" fontId="30" fillId="0" borderId="0"/>
    <xf numFmtId="0" fontId="30" fillId="0" borderId="0"/>
    <xf numFmtId="0" fontId="30" fillId="0" borderId="0"/>
    <xf numFmtId="0" fontId="30" fillId="0" borderId="0"/>
    <xf numFmtId="0" fontId="19"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9" fillId="0" borderId="0"/>
    <xf numFmtId="0" fontId="19"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9" fillId="0" borderId="0"/>
    <xf numFmtId="0" fontId="30" fillId="0" borderId="0"/>
    <xf numFmtId="0" fontId="30" fillId="0" borderId="0"/>
    <xf numFmtId="0" fontId="3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33" fillId="0" borderId="0"/>
    <xf numFmtId="0" fontId="1" fillId="14" borderId="8" applyNumberFormat="0" applyFont="0" applyAlignment="0" applyProtection="0"/>
    <xf numFmtId="9" fontId="21" fillId="0" borderId="0" applyFont="0" applyFill="0" applyBorder="0" applyAlignment="0" applyProtection="0"/>
    <xf numFmtId="0" fontId="34" fillId="0" borderId="0"/>
    <xf numFmtId="170" fontId="35" fillId="0" borderId="0"/>
    <xf numFmtId="0" fontId="19" fillId="0" borderId="0"/>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0" fontId="19" fillId="0" borderId="0">
      <alignment horizontal="left" wrapText="1"/>
    </xf>
    <xf numFmtId="171" fontId="36" fillId="0" borderId="0" applyNumberFormat="0" applyBorder="0" applyAlignment="0">
      <alignment horizontal="left" readingOrder="1"/>
    </xf>
    <xf numFmtId="0" fontId="37" fillId="0" borderId="0" applyNumberFormat="0" applyBorder="0" applyAlignment="0">
      <alignment horizontal="left" readingOrder="1"/>
    </xf>
    <xf numFmtId="0" fontId="31" fillId="0" borderId="0"/>
    <xf numFmtId="38" fontId="38" fillId="0" borderId="0" applyFont="0" applyFill="0" applyBorder="0" applyAlignment="0" applyProtection="0"/>
    <xf numFmtId="40" fontId="38" fillId="0" borderId="0" applyFont="0" applyFill="0" applyBorder="0" applyAlignment="0" applyProtection="0"/>
    <xf numFmtId="9" fontId="29" fillId="0" borderId="0" applyFont="0" applyFill="0" applyBorder="0" applyAlignment="0" applyProtection="0">
      <alignment vertical="center"/>
    </xf>
    <xf numFmtId="172" fontId="39" fillId="0" borderId="0" applyFont="0" applyFill="0" applyBorder="0" applyAlignment="0" applyProtection="0">
      <alignment vertical="center"/>
    </xf>
    <xf numFmtId="172" fontId="29" fillId="0" borderId="0" applyFont="0" applyFill="0" applyBorder="0" applyAlignment="0" applyProtection="0">
      <alignment vertical="center"/>
    </xf>
    <xf numFmtId="172" fontId="29" fillId="0" borderId="0" applyFont="0" applyFill="0" applyBorder="0" applyAlignment="0" applyProtection="0"/>
    <xf numFmtId="173" fontId="29" fillId="0" borderId="0" applyFont="0" applyFill="0" applyBorder="0" applyAlignment="0" applyProtection="0"/>
    <xf numFmtId="174" fontId="29" fillId="0" borderId="0" applyFont="0" applyFill="0" applyBorder="0" applyAlignment="0" applyProtection="0"/>
    <xf numFmtId="0" fontId="29" fillId="0" borderId="0">
      <alignment vertical="center"/>
    </xf>
    <xf numFmtId="0" fontId="29" fillId="0" borderId="0"/>
    <xf numFmtId="0" fontId="29" fillId="0" borderId="0"/>
    <xf numFmtId="0" fontId="45" fillId="0" borderId="0"/>
    <xf numFmtId="0" fontId="46" fillId="0" borderId="0"/>
    <xf numFmtId="9" fontId="46" fillId="0" borderId="0" applyFont="0" applyFill="0" applyBorder="0" applyAlignment="0" applyProtection="0"/>
    <xf numFmtId="43" fontId="1" fillId="0" borderId="0" applyFont="0" applyFill="0" applyBorder="0" applyAlignment="0" applyProtection="0"/>
    <xf numFmtId="0" fontId="51" fillId="0" borderId="0"/>
    <xf numFmtId="0" fontId="54" fillId="0" borderId="0"/>
    <xf numFmtId="0" fontId="19" fillId="0" borderId="0">
      <alignment horizontal="left" wrapText="1"/>
    </xf>
    <xf numFmtId="0" fontId="19" fillId="0" borderId="0"/>
    <xf numFmtId="0" fontId="19" fillId="0" borderId="0">
      <alignment horizontal="left" wrapText="1"/>
    </xf>
    <xf numFmtId="0" fontId="19" fillId="0" borderId="0"/>
    <xf numFmtId="0" fontId="19" fillId="0" borderId="0"/>
    <xf numFmtId="0" fontId="19" fillId="0" borderId="0"/>
    <xf numFmtId="0" fontId="19" fillId="0" borderId="0">
      <alignment horizontal="left" wrapText="1"/>
    </xf>
    <xf numFmtId="0" fontId="19" fillId="0" borderId="0">
      <alignment horizontal="left" wrapText="1"/>
    </xf>
    <xf numFmtId="0" fontId="19" fillId="0" borderId="0">
      <alignment horizontal="left" wrapText="1"/>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alignment horizontal="left" wrapText="1"/>
    </xf>
    <xf numFmtId="0" fontId="19" fillId="0" borderId="0">
      <alignment horizontal="left" wrapText="1"/>
    </xf>
    <xf numFmtId="0" fontId="19" fillId="0" borderId="0">
      <alignment horizontal="left" wrapText="1"/>
    </xf>
    <xf numFmtId="0" fontId="19" fillId="0" borderId="0"/>
    <xf numFmtId="0" fontId="19" fillId="0" borderId="0"/>
    <xf numFmtId="0" fontId="19" fillId="0" borderId="0"/>
    <xf numFmtId="0" fontId="19" fillId="0" borderId="0">
      <alignment horizontal="left" wrapText="1"/>
    </xf>
    <xf numFmtId="0" fontId="11" fillId="0" borderId="0" applyFill="0" applyBorder="0">
      <alignment vertical="center"/>
    </xf>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1" fillId="21"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1" fillId="21"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1" fillId="23"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1" fillId="23"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1" fillId="25"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1" fillId="25"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1" fillId="2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1" fillId="2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1" fillId="29"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1" fillId="29"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1" fillId="31"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1" fillId="31"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1" fillId="22"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1" fillId="22"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1" fillId="24"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1" fillId="24"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1" fillId="26"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1" fillId="26"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1" fillId="28"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1" fillId="28"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1" fillId="3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1" fillId="3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21" fillId="43" borderId="0" applyNumberFormat="0" applyBorder="0" applyAlignment="0" applyProtection="0"/>
    <xf numFmtId="0" fontId="21" fillId="43" borderId="0" applyNumberFormat="0" applyBorder="0" applyAlignment="0" applyProtection="0"/>
    <xf numFmtId="0" fontId="21" fillId="43" borderId="0" applyNumberFormat="0" applyBorder="0" applyAlignment="0" applyProtection="0"/>
    <xf numFmtId="0" fontId="21" fillId="43"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21" fillId="43" borderId="0" applyNumberFormat="0" applyBorder="0" applyAlignment="0" applyProtection="0"/>
    <xf numFmtId="0" fontId="21" fillId="43" borderId="0" applyNumberFormat="0" applyBorder="0" applyAlignment="0" applyProtection="0"/>
    <xf numFmtId="0" fontId="21" fillId="43" borderId="0" applyNumberFormat="0" applyBorder="0" applyAlignment="0" applyProtection="0"/>
    <xf numFmtId="0" fontId="21" fillId="43"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21" fillId="43" borderId="0" applyNumberFormat="0" applyBorder="0" applyAlignment="0" applyProtection="0"/>
    <xf numFmtId="0" fontId="21" fillId="43" borderId="0" applyNumberFormat="0" applyBorder="0" applyAlignment="0" applyProtection="0"/>
    <xf numFmtId="0" fontId="21" fillId="43" borderId="0" applyNumberFormat="0" applyBorder="0" applyAlignment="0" applyProtection="0"/>
    <xf numFmtId="0" fontId="21" fillId="43"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21" fillId="43" borderId="0" applyNumberFormat="0" applyBorder="0" applyAlignment="0" applyProtection="0"/>
    <xf numFmtId="0" fontId="21" fillId="43" borderId="0" applyNumberFormat="0" applyBorder="0" applyAlignment="0" applyProtection="0"/>
    <xf numFmtId="0" fontId="21" fillId="43" borderId="0" applyNumberFormat="0" applyBorder="0" applyAlignment="0" applyProtection="0"/>
    <xf numFmtId="0" fontId="21" fillId="43" borderId="0" applyNumberFormat="0" applyBorder="0" applyAlignment="0" applyProtection="0"/>
    <xf numFmtId="0" fontId="1" fillId="32" borderId="0" applyNumberFormat="0" applyBorder="0" applyAlignment="0" applyProtection="0"/>
    <xf numFmtId="0" fontId="21" fillId="43" borderId="0" applyNumberFormat="0" applyBorder="0" applyAlignment="0" applyProtection="0"/>
    <xf numFmtId="0" fontId="21" fillId="43" borderId="0" applyNumberFormat="0" applyBorder="0" applyAlignment="0" applyProtection="0"/>
    <xf numFmtId="0" fontId="21" fillId="43" borderId="0" applyNumberFormat="0" applyBorder="0" applyAlignment="0" applyProtection="0"/>
    <xf numFmtId="0" fontId="21" fillId="43"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21" fillId="43" borderId="0" applyNumberFormat="0" applyBorder="0" applyAlignment="0" applyProtection="0"/>
    <xf numFmtId="0" fontId="21" fillId="43" borderId="0" applyNumberFormat="0" applyBorder="0" applyAlignment="0" applyProtection="0"/>
    <xf numFmtId="0" fontId="21" fillId="43" borderId="0" applyNumberFormat="0" applyBorder="0" applyAlignment="0" applyProtection="0"/>
    <xf numFmtId="0" fontId="21" fillId="43"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21" fillId="43" borderId="0" applyNumberFormat="0" applyBorder="0" applyAlignment="0" applyProtection="0"/>
    <xf numFmtId="0" fontId="21" fillId="43" borderId="0" applyNumberFormat="0" applyBorder="0" applyAlignment="0" applyProtection="0"/>
    <xf numFmtId="0" fontId="21" fillId="43" borderId="0" applyNumberFormat="0" applyBorder="0" applyAlignment="0" applyProtection="0"/>
    <xf numFmtId="0" fontId="21" fillId="43"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21" fillId="43" borderId="0" applyNumberFormat="0" applyBorder="0" applyAlignment="0" applyProtection="0"/>
    <xf numFmtId="0" fontId="21" fillId="43" borderId="0" applyNumberFormat="0" applyBorder="0" applyAlignment="0" applyProtection="0"/>
    <xf numFmtId="0" fontId="21" fillId="43" borderId="0" applyNumberFormat="0" applyBorder="0" applyAlignment="0" applyProtection="0"/>
    <xf numFmtId="0" fontId="21" fillId="43"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21" fillId="43" borderId="0" applyNumberFormat="0" applyBorder="0" applyAlignment="0" applyProtection="0"/>
    <xf numFmtId="0" fontId="21" fillId="43" borderId="0" applyNumberFormat="0" applyBorder="0" applyAlignment="0" applyProtection="0"/>
    <xf numFmtId="0" fontId="21" fillId="43" borderId="0" applyNumberFormat="0" applyBorder="0" applyAlignment="0" applyProtection="0"/>
    <xf numFmtId="0" fontId="21" fillId="43" borderId="0" applyNumberFormat="0" applyBorder="0" applyAlignment="0" applyProtection="0"/>
    <xf numFmtId="0" fontId="1" fillId="32" borderId="0" applyNumberFormat="0" applyBorder="0" applyAlignment="0" applyProtection="0"/>
    <xf numFmtId="0" fontId="21" fillId="43" borderId="0" applyNumberFormat="0" applyBorder="0" applyAlignment="0" applyProtection="0"/>
    <xf numFmtId="0" fontId="21" fillId="43" borderId="0" applyNumberFormat="0" applyBorder="0" applyAlignment="0" applyProtection="0"/>
    <xf numFmtId="0" fontId="19" fillId="0" borderId="0" applyNumberFormat="0" applyFill="0" applyBorder="0" applyAlignment="0" applyProtection="0"/>
    <xf numFmtId="0" fontId="64" fillId="0" borderId="0">
      <alignment vertical="center"/>
    </xf>
    <xf numFmtId="0" fontId="65" fillId="0" borderId="0">
      <alignment horizontal="right"/>
    </xf>
    <xf numFmtId="0" fontId="66" fillId="0" borderId="0"/>
    <xf numFmtId="0" fontId="58" fillId="0" borderId="0"/>
    <xf numFmtId="0" fontId="67" fillId="0" borderId="0"/>
    <xf numFmtId="0" fontId="68" fillId="0" borderId="20" applyNumberFormat="0" applyAlignment="0"/>
    <xf numFmtId="0" fontId="69" fillId="0" borderId="0" applyAlignment="0">
      <alignment horizontal="left"/>
    </xf>
    <xf numFmtId="0" fontId="69" fillId="0" borderId="0">
      <alignment horizontal="right"/>
    </xf>
    <xf numFmtId="165" fontId="69" fillId="0" borderId="0">
      <alignment horizontal="right"/>
    </xf>
    <xf numFmtId="165" fontId="67" fillId="0" borderId="0">
      <alignment horizontal="right"/>
    </xf>
    <xf numFmtId="164" fontId="70" fillId="0" borderId="0">
      <alignment horizontal="right"/>
    </xf>
    <xf numFmtId="0" fontId="71" fillId="0" borderId="0"/>
    <xf numFmtId="2" fontId="70" fillId="0" borderId="0">
      <alignment horizontal="right"/>
    </xf>
    <xf numFmtId="41" fontId="19" fillId="0" borderId="0" applyFill="0" applyBorder="0" applyAlignment="0" applyProtection="0"/>
    <xf numFmtId="41"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81" fontId="72" fillId="0" borderId="0" applyFont="0" applyFill="0" applyBorder="0" applyAlignment="0" applyProtection="0"/>
    <xf numFmtId="181" fontId="72" fillId="0" borderId="0" applyFont="0" applyFill="0" applyBorder="0" applyAlignment="0" applyProtection="0"/>
    <xf numFmtId="181" fontId="72" fillId="0" borderId="0" applyFont="0" applyFill="0" applyBorder="0" applyAlignment="0" applyProtection="0"/>
    <xf numFmtId="181" fontId="72" fillId="0" borderId="0" applyFont="0" applyFill="0" applyBorder="0" applyAlignment="0" applyProtection="0"/>
    <xf numFmtId="181" fontId="72" fillId="0" borderId="0" applyFont="0" applyFill="0" applyBorder="0" applyAlignment="0" applyProtection="0"/>
    <xf numFmtId="181" fontId="72" fillId="0" borderId="0" applyFont="0" applyFill="0" applyBorder="0" applyAlignment="0" applyProtection="0"/>
    <xf numFmtId="181" fontId="72" fillId="0" borderId="0" applyFont="0" applyFill="0" applyBorder="0" applyAlignment="0" applyProtection="0"/>
    <xf numFmtId="181" fontId="72" fillId="0" borderId="0" applyFont="0" applyFill="0" applyBorder="0" applyAlignment="0" applyProtection="0"/>
    <xf numFmtId="181" fontId="72" fillId="0" borderId="0" applyFont="0" applyFill="0" applyBorder="0" applyAlignment="0" applyProtection="0"/>
    <xf numFmtId="181" fontId="7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82" fontId="21" fillId="0" borderId="0" applyFill="0" applyBorder="0" applyAlignment="0" applyProtection="0"/>
    <xf numFmtId="182" fontId="21" fillId="0" borderId="0" applyFill="0" applyBorder="0" applyAlignment="0" applyProtection="0"/>
    <xf numFmtId="182" fontId="21" fillId="0" borderId="0" applyFill="0" applyBorder="0" applyAlignment="0" applyProtection="0"/>
    <xf numFmtId="182" fontId="21" fillId="0" borderId="0" applyFill="0" applyBorder="0" applyAlignment="0" applyProtection="0"/>
    <xf numFmtId="181" fontId="72" fillId="0" borderId="0" applyFont="0" applyFill="0" applyBorder="0" applyAlignment="0" applyProtection="0"/>
    <xf numFmtId="43" fontId="1" fillId="0" borderId="0" applyFont="0" applyFill="0" applyBorder="0" applyAlignment="0" applyProtection="0"/>
    <xf numFmtId="181" fontId="63" fillId="0" borderId="0" applyFont="0" applyFill="0" applyBorder="0" applyAlignment="0" applyProtection="0"/>
    <xf numFmtId="181" fontId="72" fillId="0" borderId="0" applyFont="0" applyFill="0" applyBorder="0" applyAlignment="0" applyProtection="0"/>
    <xf numFmtId="181" fontId="72"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81" fontId="63" fillId="0" borderId="0" applyFont="0" applyFill="0" applyBorder="0" applyAlignment="0" applyProtection="0"/>
    <xf numFmtId="181" fontId="72" fillId="0" borderId="0" applyFont="0" applyFill="0" applyBorder="0" applyAlignment="0" applyProtection="0"/>
    <xf numFmtId="181" fontId="72" fillId="0" borderId="0" applyFont="0" applyFill="0" applyBorder="0" applyAlignment="0" applyProtection="0"/>
    <xf numFmtId="181" fontId="63" fillId="0" borderId="0" applyFont="0" applyFill="0" applyBorder="0" applyAlignment="0" applyProtection="0"/>
    <xf numFmtId="181" fontId="72" fillId="0" borderId="0" applyFont="0" applyFill="0" applyBorder="0" applyAlignment="0" applyProtection="0"/>
    <xf numFmtId="181" fontId="72" fillId="0" borderId="0" applyFont="0" applyFill="0" applyBorder="0" applyAlignment="0" applyProtection="0"/>
    <xf numFmtId="181" fontId="63" fillId="0" borderId="0" applyFont="0" applyFill="0" applyBorder="0" applyAlignment="0" applyProtection="0"/>
    <xf numFmtId="181" fontId="72" fillId="0" borderId="0" applyFont="0" applyFill="0" applyBorder="0" applyAlignment="0" applyProtection="0"/>
    <xf numFmtId="181" fontId="72" fillId="0" borderId="0" applyFont="0" applyFill="0" applyBorder="0" applyAlignment="0" applyProtection="0"/>
    <xf numFmtId="181" fontId="7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81" fontId="63" fillId="0" borderId="0" applyFont="0" applyFill="0" applyBorder="0" applyAlignment="0" applyProtection="0"/>
    <xf numFmtId="181" fontId="72" fillId="0" borderId="0" applyFont="0" applyFill="0" applyBorder="0" applyAlignment="0" applyProtection="0"/>
    <xf numFmtId="181" fontId="72" fillId="0" borderId="0" applyFont="0" applyFill="0" applyBorder="0" applyAlignment="0" applyProtection="0"/>
    <xf numFmtId="181" fontId="63" fillId="0" borderId="0" applyFont="0" applyFill="0" applyBorder="0" applyAlignment="0" applyProtection="0"/>
    <xf numFmtId="181" fontId="72" fillId="0" borderId="0" applyFont="0" applyFill="0" applyBorder="0" applyAlignment="0" applyProtection="0"/>
    <xf numFmtId="181" fontId="72" fillId="0" borderId="0" applyFont="0" applyFill="0" applyBorder="0" applyAlignment="0" applyProtection="0"/>
    <xf numFmtId="181" fontId="63" fillId="0" borderId="0" applyFont="0" applyFill="0" applyBorder="0" applyAlignment="0" applyProtection="0"/>
    <xf numFmtId="181" fontId="72" fillId="0" borderId="0" applyFont="0" applyFill="0" applyBorder="0" applyAlignment="0" applyProtection="0"/>
    <xf numFmtId="181" fontId="72" fillId="0" borderId="0" applyFont="0" applyFill="0" applyBorder="0" applyAlignment="0" applyProtection="0"/>
    <xf numFmtId="181" fontId="63" fillId="0" borderId="0" applyFont="0" applyFill="0" applyBorder="0" applyAlignment="0" applyProtection="0"/>
    <xf numFmtId="181" fontId="72" fillId="0" borderId="0" applyFont="0" applyFill="0" applyBorder="0" applyAlignment="0" applyProtection="0"/>
    <xf numFmtId="181" fontId="7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81" fontId="72" fillId="0" borderId="0" applyFont="0" applyFill="0" applyBorder="0" applyAlignment="0" applyProtection="0"/>
    <xf numFmtId="181" fontId="72"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81" fontId="72" fillId="0" borderId="0" applyFont="0" applyFill="0" applyBorder="0" applyAlignment="0" applyProtection="0"/>
    <xf numFmtId="181" fontId="72" fillId="0" borderId="0" applyFont="0" applyFill="0" applyBorder="0" applyAlignment="0" applyProtection="0"/>
    <xf numFmtId="181" fontId="72" fillId="0" borderId="0" applyFont="0" applyFill="0" applyBorder="0" applyAlignment="0" applyProtection="0"/>
    <xf numFmtId="181" fontId="7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9" fillId="0" borderId="0" applyFill="0" applyBorder="0" applyAlignment="0" applyProtection="0"/>
    <xf numFmtId="181" fontId="63" fillId="0" borderId="0" applyFont="0" applyFill="0" applyBorder="0" applyAlignment="0" applyProtection="0"/>
    <xf numFmtId="181" fontId="72" fillId="0" borderId="0" applyFont="0" applyFill="0" applyBorder="0" applyAlignment="0" applyProtection="0"/>
    <xf numFmtId="181" fontId="7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4" fontId="19" fillId="0" borderId="0" applyFill="0" applyBorder="0" applyAlignment="0" applyProtection="0"/>
    <xf numFmtId="44" fontId="21" fillId="0" borderId="0" applyFont="0" applyFill="0" applyBorder="0" applyAlignment="0" applyProtection="0"/>
    <xf numFmtId="0" fontId="21" fillId="0" borderId="0"/>
    <xf numFmtId="0" fontId="73" fillId="0" borderId="0" applyNumberFormat="0" applyFill="0" applyBorder="0" applyAlignment="0" applyProtection="0">
      <alignment vertical="top"/>
      <protection locked="0"/>
    </xf>
    <xf numFmtId="0" fontId="73" fillId="0" borderId="0" applyNumberFormat="0" applyFill="0" applyBorder="0" applyAlignment="0" applyProtection="0">
      <alignment vertical="top"/>
      <protection locked="0"/>
    </xf>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alignment vertical="top"/>
      <protection locked="0"/>
    </xf>
    <xf numFmtId="0" fontId="73" fillId="0" borderId="0" applyNumberFormat="0" applyFill="0" applyBorder="0" applyAlignment="0" applyProtection="0">
      <alignment vertical="top"/>
      <protection locked="0"/>
    </xf>
    <xf numFmtId="0" fontId="73" fillId="0" borderId="0" applyNumberFormat="0" applyFill="0" applyBorder="0" applyAlignment="0" applyProtection="0">
      <alignment vertical="top"/>
      <protection locked="0"/>
    </xf>
    <xf numFmtId="0" fontId="73" fillId="0" borderId="0" applyNumberFormat="0" applyFill="0" applyBorder="0" applyAlignment="0" applyProtection="0">
      <alignment vertical="top"/>
      <protection locked="0"/>
    </xf>
    <xf numFmtId="0" fontId="73" fillId="0" borderId="0" applyNumberFormat="0" applyFill="0" applyBorder="0" applyAlignment="0" applyProtection="0">
      <alignment vertical="top"/>
      <protection locked="0"/>
    </xf>
    <xf numFmtId="0" fontId="73" fillId="0" borderId="0" applyNumberFormat="0" applyFill="0" applyBorder="0" applyAlignment="0" applyProtection="0">
      <alignment vertical="top"/>
      <protection locked="0"/>
    </xf>
    <xf numFmtId="0" fontId="73" fillId="0" borderId="0" applyNumberFormat="0" applyFill="0" applyBorder="0" applyAlignment="0" applyProtection="0">
      <alignment vertical="top"/>
      <protection locked="0"/>
    </xf>
    <xf numFmtId="0" fontId="73" fillId="0" borderId="0" applyNumberFormat="0" applyFill="0" applyBorder="0" applyAlignment="0" applyProtection="0">
      <alignment vertical="top"/>
      <protection locked="0"/>
    </xf>
    <xf numFmtId="0" fontId="73" fillId="0" borderId="0" applyNumberFormat="0" applyFill="0" applyBorder="0" applyAlignment="0" applyProtection="0">
      <alignment vertical="top"/>
      <protection locked="0"/>
    </xf>
    <xf numFmtId="0" fontId="73" fillId="0" borderId="0" applyNumberFormat="0" applyFill="0" applyBorder="0" applyAlignment="0" applyProtection="0">
      <alignment vertical="top"/>
      <protection locked="0"/>
    </xf>
    <xf numFmtId="0" fontId="73" fillId="0" borderId="0" applyNumberFormat="0" applyFill="0" applyBorder="0" applyAlignment="0" applyProtection="0">
      <alignment vertical="top"/>
      <protection locked="0"/>
    </xf>
    <xf numFmtId="0" fontId="74" fillId="0" borderId="0" applyNumberFormat="0" applyFill="0" applyBorder="0" applyAlignment="0" applyProtection="0">
      <alignment vertical="top"/>
      <protection locked="0"/>
    </xf>
    <xf numFmtId="0" fontId="29" fillId="0" borderId="0"/>
    <xf numFmtId="0" fontId="29" fillId="0" borderId="0"/>
    <xf numFmtId="0" fontId="29" fillId="0" borderId="0"/>
    <xf numFmtId="0" fontId="29" fillId="0" borderId="0"/>
    <xf numFmtId="0" fontId="29" fillId="0" borderId="0"/>
    <xf numFmtId="0" fontId="29" fillId="0" borderId="0"/>
    <xf numFmtId="0" fontId="72" fillId="0" borderId="0"/>
    <xf numFmtId="0" fontId="72"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 fillId="0" borderId="0"/>
    <xf numFmtId="0" fontId="75"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75" fillId="0" borderId="0"/>
    <xf numFmtId="0" fontId="75" fillId="0" borderId="0"/>
    <xf numFmtId="0" fontId="75" fillId="0" borderId="0"/>
    <xf numFmtId="0" fontId="19" fillId="0" borderId="0"/>
    <xf numFmtId="0" fontId="19" fillId="0" borderId="0"/>
    <xf numFmtId="0" fontId="1" fillId="0" borderId="0"/>
    <xf numFmtId="0" fontId="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75" fillId="0" borderId="0"/>
    <xf numFmtId="0" fontId="75" fillId="0" borderId="0"/>
    <xf numFmtId="0" fontId="75" fillId="0" borderId="0"/>
    <xf numFmtId="0" fontId="75" fillId="0" borderId="0"/>
    <xf numFmtId="0" fontId="19"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1" fillId="0" borderId="0"/>
    <xf numFmtId="0" fontId="19"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1" fillId="0" borderId="0"/>
    <xf numFmtId="0" fontId="19"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1" fillId="0" borderId="0"/>
    <xf numFmtId="0" fontId="19"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1" fillId="0" borderId="0"/>
    <xf numFmtId="0" fontId="19"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1" fillId="0" borderId="0"/>
    <xf numFmtId="0" fontId="19"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32" fillId="0" borderId="0"/>
    <xf numFmtId="0" fontId="32" fillId="0" borderId="0"/>
    <xf numFmtId="0" fontId="32" fillId="0" borderId="0"/>
    <xf numFmtId="0" fontId="32" fillId="0" borderId="0"/>
    <xf numFmtId="0" fontId="32" fillId="0" borderId="0"/>
    <xf numFmtId="0" fontId="19" fillId="0" borderId="0"/>
    <xf numFmtId="0" fontId="19" fillId="0" borderId="0"/>
    <xf numFmtId="0" fontId="19" fillId="0" borderId="0"/>
    <xf numFmtId="0" fontId="1" fillId="0" borderId="0"/>
    <xf numFmtId="0" fontId="21" fillId="0" borderId="0"/>
    <xf numFmtId="0" fontId="21" fillId="0" borderId="0"/>
    <xf numFmtId="0" fontId="21" fillId="0" borderId="0"/>
    <xf numFmtId="0" fontId="21" fillId="0" borderId="0"/>
    <xf numFmtId="0" fontId="19" fillId="0" borderId="0"/>
    <xf numFmtId="0" fontId="19" fillId="0" borderId="0"/>
    <xf numFmtId="0" fontId="72" fillId="0" borderId="0"/>
    <xf numFmtId="0" fontId="72"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19" fillId="0" borderId="0"/>
    <xf numFmtId="0" fontId="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1" fillId="0" borderId="0"/>
    <xf numFmtId="0" fontId="19"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1" fillId="0" borderId="0"/>
    <xf numFmtId="0" fontId="19"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1" fillId="0" borderId="0"/>
    <xf numFmtId="0" fontId="30"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1" fillId="0" borderId="0"/>
    <xf numFmtId="0" fontId="30"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1" fillId="0" borderId="0"/>
    <xf numFmtId="0" fontId="30"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9"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30" fillId="0" borderId="0"/>
    <xf numFmtId="0" fontId="30" fillId="0" borderId="0"/>
    <xf numFmtId="0" fontId="30" fillId="0" borderId="0"/>
    <xf numFmtId="0" fontId="30" fillId="0" borderId="0"/>
    <xf numFmtId="0" fontId="30" fillId="0" borderId="0"/>
    <xf numFmtId="0" fontId="30" fillId="0" borderId="0"/>
    <xf numFmtId="0" fontId="63" fillId="0" borderId="0"/>
    <xf numFmtId="0" fontId="72" fillId="0" borderId="0"/>
    <xf numFmtId="0" fontId="72" fillId="0" borderId="0"/>
    <xf numFmtId="0" fontId="63" fillId="0" borderId="0"/>
    <xf numFmtId="0" fontId="72" fillId="0" borderId="0"/>
    <xf numFmtId="0" fontId="72" fillId="0" borderId="0"/>
    <xf numFmtId="0" fontId="19" fillId="0" borderId="0"/>
    <xf numFmtId="0" fontId="19" fillId="0" borderId="0"/>
    <xf numFmtId="0" fontId="19" fillId="0" borderId="0"/>
    <xf numFmtId="0" fontId="19" fillId="0" borderId="0"/>
    <xf numFmtId="0" fontId="19" fillId="0" borderId="0"/>
    <xf numFmtId="0" fontId="19" fillId="0" borderId="0"/>
    <xf numFmtId="0" fontId="72" fillId="0" borderId="0"/>
    <xf numFmtId="0" fontId="72" fillId="0" borderId="0"/>
    <xf numFmtId="0" fontId="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19"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1" fillId="0" borderId="0"/>
    <xf numFmtId="0" fontId="21" fillId="0" borderId="0"/>
    <xf numFmtId="0" fontId="21" fillId="0" borderId="0"/>
    <xf numFmtId="0" fontId="21" fillId="0" borderId="0"/>
    <xf numFmtId="0" fontId="21" fillId="0" borderId="0"/>
    <xf numFmtId="0" fontId="1" fillId="0" borderId="0"/>
    <xf numFmtId="0" fontId="21" fillId="0" borderId="0"/>
    <xf numFmtId="0" fontId="21" fillId="0" borderId="0"/>
    <xf numFmtId="0" fontId="21" fillId="0" borderId="0"/>
    <xf numFmtId="0" fontId="21" fillId="0" borderId="0"/>
    <xf numFmtId="0" fontId="2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0" fontId="21" fillId="14" borderId="8" applyNumberFormat="0" applyFont="0" applyAlignment="0" applyProtection="0"/>
    <xf numFmtId="0" fontId="21" fillId="44" borderId="21" applyNumberFormat="0" applyFont="0" applyAlignment="0" applyProtection="0"/>
    <xf numFmtId="0" fontId="21" fillId="44" borderId="21" applyNumberFormat="0" applyFont="0" applyAlignment="0" applyProtection="0"/>
    <xf numFmtId="183" fontId="19"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63" fillId="0" borderId="0" applyFont="0" applyFill="0" applyBorder="0" applyAlignment="0" applyProtection="0"/>
    <xf numFmtId="9" fontId="72" fillId="0" borderId="0" applyFont="0" applyFill="0" applyBorder="0" applyAlignment="0" applyProtection="0"/>
    <xf numFmtId="9" fontId="72" fillId="0" borderId="0" applyFont="0" applyFill="0" applyBorder="0" applyAlignment="0" applyProtection="0"/>
    <xf numFmtId="9" fontId="63" fillId="0" borderId="0" applyFont="0" applyFill="0" applyBorder="0" applyAlignment="0" applyProtection="0"/>
    <xf numFmtId="9" fontId="72" fillId="0" borderId="0" applyFont="0" applyFill="0" applyBorder="0" applyAlignment="0" applyProtection="0"/>
    <xf numFmtId="9" fontId="7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ill="0" applyBorder="0" applyAlignment="0" applyProtection="0"/>
    <xf numFmtId="9" fontId="21" fillId="0" borderId="0" applyFill="0" applyBorder="0" applyAlignment="0" applyProtection="0"/>
    <xf numFmtId="9" fontId="21" fillId="0" borderId="0" applyFill="0" applyBorder="0" applyAlignment="0" applyProtection="0"/>
    <xf numFmtId="9" fontId="21" fillId="0" borderId="0" applyFill="0" applyBorder="0" applyAlignment="0" applyProtection="0"/>
    <xf numFmtId="9" fontId="21" fillId="0" borderId="0" applyFill="0" applyBorder="0" applyAlignment="0" applyProtection="0"/>
    <xf numFmtId="9" fontId="21" fillId="0" borderId="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ill="0" applyBorder="0" applyAlignment="0" applyProtection="0"/>
    <xf numFmtId="9" fontId="21" fillId="0" borderId="0" applyFill="0" applyBorder="0" applyAlignment="0" applyProtection="0"/>
    <xf numFmtId="9" fontId="21" fillId="0" borderId="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ill="0" applyBorder="0" applyAlignment="0" applyProtection="0"/>
    <xf numFmtId="9" fontId="21" fillId="0" borderId="0" applyFill="0" applyBorder="0" applyAlignment="0" applyProtection="0"/>
    <xf numFmtId="9" fontId="21" fillId="0" borderId="0" applyFill="0" applyBorder="0" applyAlignment="0" applyProtection="0"/>
    <xf numFmtId="9" fontId="21" fillId="0" borderId="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ill="0" applyBorder="0" applyAlignment="0" applyProtection="0"/>
    <xf numFmtId="9" fontId="21" fillId="0" borderId="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 fillId="0" borderId="0" applyFont="0" applyFill="0" applyBorder="0" applyAlignment="0" applyProtection="0"/>
    <xf numFmtId="9" fontId="19"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63" fillId="0" borderId="0" applyFont="0" applyFill="0" applyBorder="0" applyAlignment="0" applyProtection="0"/>
    <xf numFmtId="9" fontId="72" fillId="0" borderId="0" applyFont="0" applyFill="0" applyBorder="0" applyAlignment="0" applyProtection="0"/>
    <xf numFmtId="9" fontId="7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76" fillId="0" borderId="0"/>
  </cellStyleXfs>
  <cellXfs count="429">
    <xf numFmtId="0" fontId="0" fillId="0" borderId="0" xfId="0"/>
    <xf numFmtId="0" fontId="4" fillId="2" borderId="0" xfId="0" applyFont="1" applyFill="1"/>
    <xf numFmtId="0" fontId="4" fillId="3" borderId="0" xfId="0" applyFont="1" applyFill="1"/>
    <xf numFmtId="1" fontId="4" fillId="2" borderId="0" xfId="0" applyNumberFormat="1" applyFont="1" applyFill="1"/>
    <xf numFmtId="1" fontId="4" fillId="2" borderId="0" xfId="0" applyNumberFormat="1" applyFont="1" applyFill="1" applyAlignment="1">
      <alignment horizontal="center"/>
    </xf>
    <xf numFmtId="0" fontId="4" fillId="2" borderId="0" xfId="0" applyFont="1" applyFill="1" applyAlignment="1">
      <alignment horizontal="center"/>
    </xf>
    <xf numFmtId="0" fontId="5" fillId="0" borderId="0" xfId="0" applyFont="1" applyFill="1"/>
    <xf numFmtId="0" fontId="6" fillId="0" borderId="0" xfId="0" applyFont="1" applyFill="1"/>
    <xf numFmtId="164" fontId="6" fillId="0" borderId="0" xfId="0" applyNumberFormat="1" applyFont="1" applyFill="1"/>
    <xf numFmtId="164" fontId="6" fillId="0" borderId="0" xfId="0" applyNumberFormat="1" applyFont="1" applyFill="1" applyAlignment="1">
      <alignment horizontal="center"/>
    </xf>
    <xf numFmtId="165" fontId="6" fillId="0" borderId="0" xfId="1" applyNumberFormat="1" applyFont="1" applyFill="1" applyAlignment="1">
      <alignment horizontal="center"/>
    </xf>
    <xf numFmtId="0" fontId="9" fillId="0" borderId="0" xfId="2" applyFont="1" applyFill="1" applyAlignment="1" applyProtection="1"/>
    <xf numFmtId="0" fontId="9" fillId="0" borderId="0" xfId="2" applyFont="1" applyFill="1" applyBorder="1" applyAlignment="1" applyProtection="1"/>
    <xf numFmtId="0" fontId="6" fillId="0" borderId="0" xfId="0" applyFont="1" applyFill="1" applyAlignment="1"/>
    <xf numFmtId="0" fontId="6" fillId="0" borderId="0" xfId="0" applyFont="1" applyFill="1" applyAlignment="1">
      <alignment horizontal="center"/>
    </xf>
    <xf numFmtId="0" fontId="6" fillId="0" borderId="0" xfId="0" applyFont="1"/>
    <xf numFmtId="0" fontId="6" fillId="0" borderId="0" xfId="0" applyFont="1" applyAlignment="1">
      <alignment horizontal="left" wrapText="1"/>
    </xf>
    <xf numFmtId="3" fontId="6" fillId="0" borderId="0" xfId="0" applyNumberFormat="1" applyFont="1" applyAlignment="1">
      <alignment horizontal="center"/>
    </xf>
    <xf numFmtId="10" fontId="6" fillId="0" borderId="0" xfId="0" applyNumberFormat="1" applyFont="1"/>
    <xf numFmtId="3" fontId="6" fillId="0" borderId="0" xfId="0" applyNumberFormat="1" applyFont="1"/>
    <xf numFmtId="3" fontId="0" fillId="0" borderId="1" xfId="0" applyNumberFormat="1" applyBorder="1" applyAlignment="1">
      <alignment wrapText="1"/>
    </xf>
    <xf numFmtId="0" fontId="3" fillId="0" borderId="1" xfId="0" applyFont="1" applyBorder="1" applyAlignment="1">
      <alignment horizontal="center" vertical="center" wrapText="1"/>
    </xf>
    <xf numFmtId="3" fontId="15" fillId="0" borderId="1" xfId="0" applyNumberFormat="1" applyFont="1" applyBorder="1" applyAlignment="1">
      <alignment horizontal="right" wrapText="1"/>
    </xf>
    <xf numFmtId="0" fontId="16" fillId="0" borderId="1" xfId="0" applyFont="1" applyBorder="1" applyAlignment="1">
      <alignment horizontal="left" vertical="center"/>
    </xf>
    <xf numFmtId="0" fontId="5" fillId="0" borderId="0" xfId="0" applyFont="1" applyFill="1" applyAlignment="1">
      <alignment horizontal="center"/>
    </xf>
    <xf numFmtId="3" fontId="6" fillId="0" borderId="1" xfId="0" applyNumberFormat="1" applyFont="1" applyBorder="1" applyAlignment="1">
      <alignment wrapText="1"/>
    </xf>
    <xf numFmtId="3" fontId="17" fillId="0" borderId="1" xfId="0" applyNumberFormat="1" applyFont="1" applyBorder="1" applyAlignment="1">
      <alignment horizontal="right" wrapText="1"/>
    </xf>
    <xf numFmtId="0" fontId="5" fillId="0" borderId="1" xfId="0" applyFont="1" applyBorder="1" applyAlignment="1">
      <alignment horizontal="center" vertical="center" wrapText="1"/>
    </xf>
    <xf numFmtId="0" fontId="0" fillId="0" borderId="1" xfId="0" applyBorder="1" applyAlignment="1">
      <alignment wrapText="1"/>
    </xf>
    <xf numFmtId="0" fontId="15" fillId="0" borderId="1" xfId="0" applyFont="1" applyBorder="1" applyAlignment="1">
      <alignment horizontal="right" wrapText="1"/>
    </xf>
    <xf numFmtId="0" fontId="6" fillId="0" borderId="1" xfId="0" applyFont="1" applyBorder="1" applyAlignment="1">
      <alignment wrapText="1"/>
    </xf>
    <xf numFmtId="0" fontId="17" fillId="0" borderId="1" xfId="0" applyFont="1" applyBorder="1" applyAlignment="1">
      <alignment horizontal="right" wrapText="1"/>
    </xf>
    <xf numFmtId="165" fontId="17" fillId="0" borderId="1" xfId="0" applyNumberFormat="1" applyFont="1" applyBorder="1" applyAlignment="1">
      <alignment horizontal="right" wrapText="1"/>
    </xf>
    <xf numFmtId="0" fontId="16" fillId="0" borderId="2" xfId="0" applyFont="1" applyBorder="1" applyAlignment="1">
      <alignment vertical="center"/>
    </xf>
    <xf numFmtId="0" fontId="16" fillId="0" borderId="3" xfId="0" applyFont="1" applyBorder="1" applyAlignment="1">
      <alignment vertical="center"/>
    </xf>
    <xf numFmtId="0" fontId="5" fillId="0" borderId="2" xfId="0" applyFont="1" applyBorder="1" applyAlignment="1">
      <alignment vertical="center" wrapText="1"/>
    </xf>
    <xf numFmtId="0" fontId="18" fillId="0" borderId="2" xfId="0" applyFont="1" applyBorder="1" applyAlignment="1">
      <alignment vertical="center"/>
    </xf>
    <xf numFmtId="0" fontId="5" fillId="0" borderId="3" xfId="0" applyFont="1" applyBorder="1" applyAlignment="1">
      <alignment vertical="center" wrapText="1"/>
    </xf>
    <xf numFmtId="0" fontId="16" fillId="0" borderId="1" xfId="0" applyFont="1" applyBorder="1" applyAlignment="1">
      <alignment horizontal="center" vertical="center" wrapText="1"/>
    </xf>
    <xf numFmtId="0" fontId="18" fillId="0" borderId="1" xfId="0" applyFont="1" applyBorder="1" applyAlignment="1">
      <alignment horizontal="center" vertical="center" wrapText="1"/>
    </xf>
    <xf numFmtId="164" fontId="6" fillId="2" borderId="0" xfId="0" applyNumberFormat="1" applyFont="1" applyFill="1" applyAlignment="1">
      <alignment horizontal="center"/>
    </xf>
    <xf numFmtId="0" fontId="10" fillId="0" borderId="0" xfId="0" applyFont="1" applyFill="1"/>
    <xf numFmtId="0" fontId="10" fillId="0" borderId="0" xfId="0" applyFont="1"/>
    <xf numFmtId="0" fontId="2" fillId="0" borderId="0" xfId="0" applyFont="1"/>
    <xf numFmtId="0" fontId="3" fillId="0" borderId="0" xfId="0" applyFont="1"/>
    <xf numFmtId="0" fontId="20" fillId="0" borderId="0" xfId="0" applyFont="1" applyFill="1"/>
    <xf numFmtId="0" fontId="5" fillId="4" borderId="0" xfId="0" applyFont="1" applyFill="1"/>
    <xf numFmtId="0" fontId="7" fillId="4" borderId="0" xfId="0" applyFont="1" applyFill="1"/>
    <xf numFmtId="0" fontId="6" fillId="4" borderId="0" xfId="0" applyFont="1" applyFill="1"/>
    <xf numFmtId="164" fontId="6" fillId="4" borderId="0" xfId="0" applyNumberFormat="1" applyFont="1" applyFill="1"/>
    <xf numFmtId="1" fontId="6" fillId="4" borderId="0" xfId="0" applyNumberFormat="1" applyFont="1" applyFill="1" applyAlignment="1">
      <alignment horizontal="center"/>
    </xf>
    <xf numFmtId="165" fontId="6" fillId="4" borderId="0" xfId="1" applyNumberFormat="1" applyFont="1" applyFill="1" applyAlignment="1">
      <alignment horizontal="center"/>
    </xf>
    <xf numFmtId="0" fontId="20" fillId="4" borderId="0" xfId="0" applyFont="1" applyFill="1"/>
    <xf numFmtId="164" fontId="6" fillId="4" borderId="0" xfId="0" applyNumberFormat="1" applyFont="1" applyFill="1" applyAlignment="1">
      <alignment horizontal="center"/>
    </xf>
    <xf numFmtId="165" fontId="20" fillId="4" borderId="0" xfId="0" applyNumberFormat="1" applyFont="1" applyFill="1" applyAlignment="1">
      <alignment horizontal="center"/>
    </xf>
    <xf numFmtId="0" fontId="5" fillId="5" borderId="0" xfId="0" applyFont="1" applyFill="1"/>
    <xf numFmtId="0" fontId="7" fillId="5" borderId="0" xfId="0" applyFont="1" applyFill="1"/>
    <xf numFmtId="0" fontId="6" fillId="5" borderId="0" xfId="0" applyFont="1" applyFill="1"/>
    <xf numFmtId="164" fontId="6" fillId="5" borderId="0" xfId="0" applyNumberFormat="1" applyFont="1" applyFill="1"/>
    <xf numFmtId="164" fontId="6" fillId="5" borderId="0" xfId="0" applyNumberFormat="1" applyFont="1" applyFill="1" applyAlignment="1">
      <alignment horizontal="center"/>
    </xf>
    <xf numFmtId="165" fontId="6" fillId="5" borderId="0" xfId="1" applyNumberFormat="1" applyFont="1" applyFill="1" applyAlignment="1">
      <alignment horizontal="center"/>
    </xf>
    <xf numFmtId="0" fontId="20" fillId="5" borderId="0" xfId="0" applyFont="1" applyFill="1"/>
    <xf numFmtId="165" fontId="20" fillId="5" borderId="0" xfId="0" applyNumberFormat="1" applyFont="1" applyFill="1" applyAlignment="1">
      <alignment horizontal="center"/>
    </xf>
    <xf numFmtId="3" fontId="6" fillId="4" borderId="0" xfId="0" applyNumberFormat="1" applyFont="1" applyFill="1" applyAlignment="1">
      <alignment horizontal="center"/>
    </xf>
    <xf numFmtId="3" fontId="6" fillId="5" borderId="0" xfId="0" applyNumberFormat="1" applyFont="1" applyFill="1" applyAlignment="1">
      <alignment horizontal="center"/>
    </xf>
    <xf numFmtId="166" fontId="6" fillId="4" borderId="0" xfId="0" applyNumberFormat="1" applyFont="1" applyFill="1" applyAlignment="1">
      <alignment horizontal="center"/>
    </xf>
    <xf numFmtId="0" fontId="3" fillId="0" borderId="0" xfId="0" applyFont="1" applyAlignment="1">
      <alignment horizontal="center"/>
    </xf>
    <xf numFmtId="0" fontId="6" fillId="6" borderId="0" xfId="0" applyFont="1" applyFill="1"/>
    <xf numFmtId="0" fontId="20" fillId="6" borderId="0" xfId="0" applyFont="1" applyFill="1"/>
    <xf numFmtId="0" fontId="5" fillId="6" borderId="0" xfId="0" applyFont="1" applyFill="1"/>
    <xf numFmtId="164" fontId="6" fillId="6" borderId="0" xfId="0" applyNumberFormat="1" applyFont="1" applyFill="1" applyAlignment="1">
      <alignment horizontal="center"/>
    </xf>
    <xf numFmtId="165" fontId="20" fillId="6" borderId="0" xfId="0" applyNumberFormat="1" applyFont="1" applyFill="1" applyAlignment="1">
      <alignment horizontal="center"/>
    </xf>
    <xf numFmtId="0" fontId="0" fillId="6" borderId="0" xfId="0" applyFill="1"/>
    <xf numFmtId="165" fontId="6" fillId="6" borderId="0" xfId="1" applyNumberFormat="1" applyFont="1" applyFill="1" applyAlignment="1">
      <alignment horizontal="center"/>
    </xf>
    <xf numFmtId="164" fontId="6" fillId="6" borderId="0" xfId="0" applyNumberFormat="1" applyFont="1" applyFill="1"/>
    <xf numFmtId="10" fontId="6" fillId="6" borderId="0" xfId="0" applyNumberFormat="1" applyFont="1" applyFill="1" applyAlignment="1">
      <alignment horizontal="center"/>
    </xf>
    <xf numFmtId="164" fontId="5" fillId="4" borderId="0" xfId="0" applyNumberFormat="1" applyFont="1" applyFill="1"/>
    <xf numFmtId="3" fontId="5" fillId="4" borderId="0" xfId="0" applyNumberFormat="1" applyFont="1" applyFill="1" applyAlignment="1">
      <alignment horizontal="center"/>
    </xf>
    <xf numFmtId="165" fontId="5" fillId="4" borderId="0" xfId="1" applyNumberFormat="1" applyFont="1" applyFill="1" applyAlignment="1">
      <alignment horizontal="center"/>
    </xf>
    <xf numFmtId="166" fontId="5" fillId="4" borderId="0" xfId="0" applyNumberFormat="1" applyFont="1" applyFill="1" applyAlignment="1">
      <alignment horizontal="center"/>
    </xf>
    <xf numFmtId="164" fontId="5" fillId="5" borderId="0" xfId="0" applyNumberFormat="1" applyFont="1" applyFill="1" applyAlignment="1">
      <alignment horizontal="center"/>
    </xf>
    <xf numFmtId="165" fontId="5" fillId="5" borderId="0" xfId="1" applyNumberFormat="1" applyFont="1" applyFill="1" applyAlignment="1">
      <alignment horizontal="center"/>
    </xf>
    <xf numFmtId="10" fontId="20" fillId="6" borderId="0" xfId="0" applyNumberFormat="1" applyFont="1" applyFill="1" applyAlignment="1">
      <alignment horizontal="center"/>
    </xf>
    <xf numFmtId="10" fontId="20" fillId="6" borderId="0" xfId="1" applyNumberFormat="1" applyFont="1" applyFill="1" applyAlignment="1">
      <alignment horizontal="center"/>
    </xf>
    <xf numFmtId="0" fontId="10" fillId="5" borderId="0" xfId="0" applyFont="1" applyFill="1"/>
    <xf numFmtId="165" fontId="6" fillId="4" borderId="0" xfId="1" applyNumberFormat="1" applyFont="1" applyFill="1"/>
    <xf numFmtId="164" fontId="5" fillId="5" borderId="0" xfId="0" applyNumberFormat="1" applyFont="1" applyFill="1"/>
    <xf numFmtId="164" fontId="10" fillId="5" borderId="0" xfId="1" applyNumberFormat="1" applyFont="1" applyFill="1"/>
    <xf numFmtId="164" fontId="10" fillId="5" borderId="0" xfId="1" applyNumberFormat="1" applyFont="1" applyFill="1" applyAlignment="1">
      <alignment horizontal="center"/>
    </xf>
    <xf numFmtId="164" fontId="10" fillId="4" borderId="0" xfId="1" applyNumberFormat="1" applyFont="1" applyFill="1" applyAlignment="1">
      <alignment horizontal="center"/>
    </xf>
    <xf numFmtId="165" fontId="10" fillId="4" borderId="0" xfId="1" applyNumberFormat="1" applyFont="1" applyFill="1"/>
    <xf numFmtId="164" fontId="5" fillId="4" borderId="0" xfId="0" applyNumberFormat="1" applyFont="1" applyFill="1" applyAlignment="1">
      <alignment horizontal="center"/>
    </xf>
    <xf numFmtId="164" fontId="11" fillId="4" borderId="0" xfId="1" applyNumberFormat="1" applyFont="1" applyFill="1" applyAlignment="1">
      <alignment horizontal="center"/>
    </xf>
    <xf numFmtId="164" fontId="12" fillId="4" borderId="0" xfId="1" applyNumberFormat="1" applyFont="1" applyFill="1" applyAlignment="1">
      <alignment horizontal="center"/>
    </xf>
    <xf numFmtId="0" fontId="10" fillId="4" borderId="0" xfId="0" applyFont="1" applyFill="1"/>
    <xf numFmtId="0" fontId="12" fillId="4" borderId="0" xfId="0" applyFont="1" applyFill="1"/>
    <xf numFmtId="164" fontId="6" fillId="5" borderId="0" xfId="1" applyNumberFormat="1" applyFont="1" applyFill="1" applyAlignment="1">
      <alignment horizontal="center"/>
    </xf>
    <xf numFmtId="0" fontId="12" fillId="5" borderId="0" xfId="0" applyFont="1" applyFill="1"/>
    <xf numFmtId="164" fontId="10" fillId="5" borderId="0" xfId="0" applyNumberFormat="1" applyFont="1" applyFill="1"/>
    <xf numFmtId="164" fontId="10" fillId="5" borderId="0" xfId="0" applyNumberFormat="1" applyFont="1" applyFill="1" applyAlignment="1">
      <alignment horizontal="center"/>
    </xf>
    <xf numFmtId="165" fontId="10" fillId="5" borderId="0" xfId="1" applyNumberFormat="1" applyFont="1" applyFill="1" applyAlignment="1">
      <alignment horizontal="center"/>
    </xf>
    <xf numFmtId="164" fontId="12" fillId="5" borderId="0" xfId="0" applyNumberFormat="1" applyFont="1" applyFill="1"/>
    <xf numFmtId="10" fontId="6" fillId="4" borderId="0" xfId="1" applyNumberFormat="1" applyFont="1" applyFill="1" applyAlignment="1">
      <alignment horizontal="center"/>
    </xf>
    <xf numFmtId="165" fontId="10" fillId="4" borderId="0" xfId="1" applyNumberFormat="1" applyFont="1" applyFill="1" applyAlignment="1">
      <alignment horizontal="center"/>
    </xf>
    <xf numFmtId="165" fontId="11" fillId="4" borderId="0" xfId="1" applyNumberFormat="1" applyFont="1" applyFill="1" applyAlignment="1">
      <alignment horizontal="center"/>
    </xf>
    <xf numFmtId="165" fontId="12" fillId="4" borderId="0" xfId="1" applyNumberFormat="1" applyFont="1" applyFill="1" applyAlignment="1">
      <alignment horizontal="center"/>
    </xf>
    <xf numFmtId="10" fontId="6" fillId="5" borderId="0" xfId="1" applyNumberFormat="1" applyFont="1" applyFill="1" applyAlignment="1">
      <alignment horizontal="center"/>
    </xf>
    <xf numFmtId="10" fontId="10" fillId="5" borderId="0" xfId="1" applyNumberFormat="1" applyFont="1" applyFill="1" applyAlignment="1">
      <alignment horizontal="center"/>
    </xf>
    <xf numFmtId="1" fontId="6" fillId="2" borderId="0" xfId="0" applyNumberFormat="1" applyFont="1" applyFill="1" applyAlignment="1">
      <alignment horizontal="center"/>
    </xf>
    <xf numFmtId="165" fontId="20" fillId="2" borderId="0" xfId="0" applyNumberFormat="1" applyFont="1" applyFill="1" applyAlignment="1">
      <alignment horizontal="center"/>
    </xf>
    <xf numFmtId="164" fontId="5" fillId="7" borderId="0" xfId="0" applyNumberFormat="1" applyFont="1" applyFill="1" applyAlignment="1">
      <alignment horizontal="center"/>
    </xf>
    <xf numFmtId="164" fontId="5" fillId="0" borderId="0" xfId="0" applyNumberFormat="1" applyFont="1" applyFill="1"/>
    <xf numFmtId="0" fontId="20" fillId="9" borderId="0" xfId="0" applyFont="1" applyFill="1"/>
    <xf numFmtId="164" fontId="6" fillId="9" borderId="0" xfId="0" applyNumberFormat="1" applyFont="1" applyFill="1"/>
    <xf numFmtId="164" fontId="6" fillId="9" borderId="0" xfId="0" applyNumberFormat="1" applyFont="1" applyFill="1" applyAlignment="1">
      <alignment horizontal="center"/>
    </xf>
    <xf numFmtId="165" fontId="20" fillId="9" borderId="0" xfId="0" applyNumberFormat="1" applyFont="1" applyFill="1" applyAlignment="1">
      <alignment horizontal="center"/>
    </xf>
    <xf numFmtId="0" fontId="6" fillId="9" borderId="0" xfId="0" applyFont="1" applyFill="1"/>
    <xf numFmtId="165" fontId="20" fillId="5" borderId="0" xfId="1" applyNumberFormat="1" applyFont="1" applyFill="1" applyAlignment="1">
      <alignment horizontal="center"/>
    </xf>
    <xf numFmtId="1" fontId="6" fillId="0" borderId="0" xfId="0" applyNumberFormat="1" applyFont="1" applyFill="1" applyAlignment="1">
      <alignment horizontal="center"/>
    </xf>
    <xf numFmtId="0" fontId="7" fillId="0" borderId="0" xfId="0" applyFont="1" applyFill="1"/>
    <xf numFmtId="164" fontId="5" fillId="0" borderId="0" xfId="0" applyNumberFormat="1" applyFont="1" applyFill="1" applyAlignment="1">
      <alignment horizontal="right"/>
    </xf>
    <xf numFmtId="164" fontId="0" fillId="0" borderId="0" xfId="0" applyNumberFormat="1" applyAlignment="1">
      <alignment horizontal="right"/>
    </xf>
    <xf numFmtId="0" fontId="8" fillId="0" borderId="0" xfId="2" applyFill="1" applyAlignment="1" applyProtection="1"/>
    <xf numFmtId="3" fontId="6" fillId="0" borderId="0" xfId="0" applyNumberFormat="1" applyFont="1" applyFill="1" applyAlignment="1">
      <alignment horizontal="center"/>
    </xf>
    <xf numFmtId="2" fontId="6" fillId="0" borderId="0" xfId="0" applyNumberFormat="1" applyFont="1" applyFill="1" applyAlignment="1">
      <alignment horizontal="center"/>
    </xf>
    <xf numFmtId="2" fontId="23" fillId="0" borderId="0" xfId="0" applyNumberFormat="1" applyFont="1" applyFill="1" applyAlignment="1">
      <alignment horizontal="center"/>
    </xf>
    <xf numFmtId="164" fontId="10" fillId="0" borderId="0" xfId="0" applyNumberFormat="1" applyFont="1" applyFill="1" applyAlignment="1">
      <alignment horizontal="center"/>
    </xf>
    <xf numFmtId="165" fontId="6" fillId="0" borderId="0" xfId="1" applyNumberFormat="1" applyFont="1" applyFill="1"/>
    <xf numFmtId="164" fontId="5" fillId="0" borderId="0" xfId="0" applyNumberFormat="1" applyFont="1" applyFill="1" applyAlignment="1">
      <alignment horizontal="center"/>
    </xf>
    <xf numFmtId="164" fontId="23" fillId="0" borderId="0" xfId="0" applyNumberFormat="1" applyFont="1" applyFill="1" applyAlignment="1">
      <alignment horizontal="center"/>
    </xf>
    <xf numFmtId="165" fontId="0" fillId="0" borderId="0" xfId="1" applyNumberFormat="1" applyFont="1"/>
    <xf numFmtId="164" fontId="10" fillId="0" borderId="0" xfId="1" applyNumberFormat="1" applyFont="1" applyFill="1"/>
    <xf numFmtId="164" fontId="10" fillId="0" borderId="0" xfId="1" applyNumberFormat="1" applyFont="1" applyFill="1" applyAlignment="1">
      <alignment horizontal="center"/>
    </xf>
    <xf numFmtId="166" fontId="0" fillId="0" borderId="0" xfId="0" applyNumberFormat="1"/>
    <xf numFmtId="165" fontId="10" fillId="0" borderId="0" xfId="1" applyNumberFormat="1" applyFont="1" applyFill="1"/>
    <xf numFmtId="164" fontId="6" fillId="0" borderId="0" xfId="1" applyNumberFormat="1" applyFont="1" applyFill="1" applyAlignment="1">
      <alignment horizontal="center"/>
    </xf>
    <xf numFmtId="0" fontId="12" fillId="0" borderId="0" xfId="0" applyFont="1" applyFill="1"/>
    <xf numFmtId="3" fontId="0" fillId="0" borderId="0" xfId="0" applyNumberFormat="1"/>
    <xf numFmtId="164" fontId="10" fillId="0" borderId="0" xfId="0" applyNumberFormat="1" applyFont="1" applyFill="1"/>
    <xf numFmtId="165" fontId="10" fillId="0" borderId="0" xfId="1" applyNumberFormat="1" applyFont="1" applyFill="1" applyAlignment="1">
      <alignment horizontal="center"/>
    </xf>
    <xf numFmtId="164" fontId="12" fillId="0" borderId="0" xfId="0" applyNumberFormat="1" applyFont="1" applyFill="1"/>
    <xf numFmtId="0" fontId="7" fillId="0" borderId="0" xfId="0" applyFont="1"/>
    <xf numFmtId="0" fontId="5" fillId="0" borderId="0" xfId="0" applyFont="1"/>
    <xf numFmtId="164" fontId="0" fillId="0" borderId="0" xfId="0" applyNumberFormat="1"/>
    <xf numFmtId="164" fontId="12" fillId="0" borderId="0" xfId="1" applyNumberFormat="1" applyFont="1" applyFill="1" applyAlignment="1">
      <alignment horizontal="center"/>
    </xf>
    <xf numFmtId="0" fontId="11" fillId="0" borderId="0" xfId="0" applyFont="1" applyFill="1"/>
    <xf numFmtId="0" fontId="26" fillId="0" borderId="0" xfId="0" applyFont="1" applyFill="1"/>
    <xf numFmtId="166" fontId="6" fillId="0" borderId="0" xfId="0" applyNumberFormat="1" applyFont="1" applyFill="1" applyAlignment="1">
      <alignment horizontal="center"/>
    </xf>
    <xf numFmtId="0" fontId="19" fillId="0" borderId="0" xfId="407" applyProtection="1">
      <protection locked="0"/>
    </xf>
    <xf numFmtId="0" fontId="40" fillId="15" borderId="9" xfId="407" applyFont="1" applyFill="1" applyBorder="1" applyAlignment="1" applyProtection="1">
      <alignment vertical="center"/>
      <protection locked="0"/>
    </xf>
    <xf numFmtId="0" fontId="41" fillId="16" borderId="10" xfId="407" applyFont="1" applyFill="1" applyBorder="1" applyAlignment="1" applyProtection="1">
      <alignment vertical="center"/>
      <protection locked="0"/>
    </xf>
    <xf numFmtId="0" fontId="42" fillId="17" borderId="9" xfId="407" applyFont="1" applyFill="1" applyBorder="1" applyAlignment="1" applyProtection="1">
      <alignment horizontal="right" wrapText="1"/>
      <protection locked="0"/>
    </xf>
    <xf numFmtId="0" fontId="42" fillId="17" borderId="9" xfId="407" applyFont="1" applyFill="1" applyBorder="1" applyAlignment="1" applyProtection="1">
      <alignment wrapText="1"/>
      <protection locked="0"/>
    </xf>
    <xf numFmtId="0" fontId="43" fillId="0" borderId="9" xfId="407" applyFont="1" applyBorder="1" applyAlignment="1" applyProtection="1">
      <alignment horizontal="left"/>
      <protection locked="0"/>
    </xf>
    <xf numFmtId="165" fontId="6" fillId="6" borderId="0" xfId="1" applyNumberFormat="1" applyFont="1" applyFill="1"/>
    <xf numFmtId="1" fontId="0" fillId="0" borderId="0" xfId="0" applyNumberFormat="1" applyAlignment="1">
      <alignment horizontal="right"/>
    </xf>
    <xf numFmtId="0" fontId="8" fillId="9" borderId="0" xfId="2" applyFill="1" applyBorder="1" applyAlignment="1" applyProtection="1"/>
    <xf numFmtId="166" fontId="25" fillId="0" borderId="0" xfId="0" applyNumberFormat="1" applyFont="1"/>
    <xf numFmtId="0" fontId="25" fillId="0" borderId="0" xfId="0" applyFont="1"/>
    <xf numFmtId="0" fontId="44" fillId="9" borderId="0" xfId="0" applyFont="1" applyFill="1" applyBorder="1"/>
    <xf numFmtId="164" fontId="11" fillId="0" borderId="0" xfId="0" applyNumberFormat="1" applyFont="1" applyFill="1" applyAlignment="1">
      <alignment horizontal="center"/>
    </xf>
    <xf numFmtId="165" fontId="0" fillId="0" borderId="0" xfId="0" applyNumberFormat="1"/>
    <xf numFmtId="166" fontId="10" fillId="0" borderId="0" xfId="0" applyNumberFormat="1" applyFont="1" applyFill="1" applyAlignment="1">
      <alignment horizontal="center"/>
    </xf>
    <xf numFmtId="165" fontId="20" fillId="6" borderId="0" xfId="1" applyNumberFormat="1" applyFont="1" applyFill="1" applyAlignment="1">
      <alignment horizontal="center"/>
    </xf>
    <xf numFmtId="164" fontId="11" fillId="0" borderId="0" xfId="1" applyNumberFormat="1" applyFont="1" applyFill="1" applyAlignment="1">
      <alignment horizontal="center"/>
    </xf>
    <xf numFmtId="3" fontId="25" fillId="0" borderId="0" xfId="0" applyNumberFormat="1" applyFont="1"/>
    <xf numFmtId="164" fontId="0" fillId="0" borderId="0" xfId="0" applyNumberFormat="1" applyFont="1"/>
    <xf numFmtId="164" fontId="24" fillId="0" borderId="0" xfId="0" applyNumberFormat="1" applyFont="1" applyFill="1" applyAlignment="1">
      <alignment horizontal="center"/>
    </xf>
    <xf numFmtId="1" fontId="23" fillId="0" borderId="0" xfId="0" applyNumberFormat="1" applyFont="1" applyFill="1" applyAlignment="1">
      <alignment horizontal="center"/>
    </xf>
    <xf numFmtId="0" fontId="46" fillId="0" borderId="0" xfId="2433"/>
    <xf numFmtId="0" fontId="19" fillId="0" borderId="0" xfId="2433" applyNumberFormat="1" applyFont="1" applyFill="1" applyBorder="1" applyAlignment="1"/>
    <xf numFmtId="3" fontId="19" fillId="0" borderId="11" xfId="2433" applyNumberFormat="1" applyFont="1" applyFill="1" applyBorder="1" applyAlignment="1"/>
    <xf numFmtId="0" fontId="19" fillId="18" borderId="11" xfId="2433" applyNumberFormat="1" applyFont="1" applyFill="1" applyBorder="1" applyAlignment="1"/>
    <xf numFmtId="165" fontId="0" fillId="0" borderId="0" xfId="2434" applyNumberFormat="1" applyFont="1"/>
    <xf numFmtId="3" fontId="46" fillId="0" borderId="0" xfId="2433" applyNumberFormat="1"/>
    <xf numFmtId="175" fontId="19" fillId="0" borderId="0" xfId="2433" applyNumberFormat="1" applyFont="1" applyFill="1" applyBorder="1" applyAlignment="1"/>
    <xf numFmtId="0" fontId="8" fillId="0" borderId="0" xfId="2" applyAlignment="1" applyProtection="1"/>
    <xf numFmtId="0" fontId="47" fillId="0" borderId="0" xfId="0" applyFont="1" applyAlignment="1">
      <alignment horizontal="left" wrapText="1"/>
    </xf>
    <xf numFmtId="0" fontId="0" fillId="0" borderId="0" xfId="0" applyNumberFormat="1"/>
    <xf numFmtId="164" fontId="0" fillId="0" borderId="0" xfId="1" applyNumberFormat="1" applyFont="1"/>
    <xf numFmtId="0" fontId="0" fillId="0" borderId="0" xfId="1" applyNumberFormat="1" applyFont="1"/>
    <xf numFmtId="2" fontId="0" fillId="0" borderId="0" xfId="0" applyNumberFormat="1"/>
    <xf numFmtId="0" fontId="48" fillId="0" borderId="0" xfId="0" applyFont="1" applyAlignment="1">
      <alignment horizontal="left" vertical="top" wrapText="1"/>
    </xf>
    <xf numFmtId="9" fontId="0" fillId="0" borderId="0" xfId="0" applyNumberFormat="1"/>
    <xf numFmtId="0" fontId="0" fillId="19" borderId="0" xfId="0" applyFill="1"/>
    <xf numFmtId="0" fontId="5" fillId="19" borderId="0" xfId="0" applyFont="1" applyFill="1"/>
    <xf numFmtId="0" fontId="49" fillId="0" borderId="0" xfId="0" applyFont="1" applyAlignment="1">
      <alignment horizontal="left" vertical="top" wrapText="1"/>
    </xf>
    <xf numFmtId="176" fontId="24" fillId="0" borderId="0" xfId="2435" applyNumberFormat="1" applyFont="1" applyFill="1" applyAlignment="1">
      <alignment horizontal="center"/>
    </xf>
    <xf numFmtId="0" fontId="22" fillId="0" borderId="0" xfId="0" applyFont="1"/>
    <xf numFmtId="164" fontId="50" fillId="0" borderId="0" xfId="0" applyNumberFormat="1" applyFont="1"/>
    <xf numFmtId="2" fontId="0" fillId="0" borderId="0" xfId="1" applyNumberFormat="1" applyFont="1"/>
    <xf numFmtId="165" fontId="6" fillId="0" borderId="0" xfId="1" applyNumberFormat="1" applyFont="1"/>
    <xf numFmtId="166" fontId="23" fillId="0" borderId="0" xfId="0" applyNumberFormat="1" applyFont="1" applyFill="1" applyAlignment="1">
      <alignment horizontal="center"/>
    </xf>
    <xf numFmtId="165" fontId="5" fillId="7" borderId="0" xfId="1" applyNumberFormat="1" applyFont="1" applyFill="1" applyAlignment="1">
      <alignment horizontal="center"/>
    </xf>
    <xf numFmtId="0" fontId="6" fillId="2" borderId="0" xfId="0" applyFont="1" applyFill="1"/>
    <xf numFmtId="0" fontId="5" fillId="20" borderId="0" xfId="0" applyFont="1" applyFill="1"/>
    <xf numFmtId="0" fontId="6" fillId="20" borderId="0" xfId="0" applyFont="1" applyFill="1"/>
    <xf numFmtId="164" fontId="6" fillId="20" borderId="0" xfId="0" applyNumberFormat="1" applyFont="1" applyFill="1"/>
    <xf numFmtId="164" fontId="6" fillId="20" borderId="0" xfId="0" applyNumberFormat="1" applyFont="1" applyFill="1" applyAlignment="1">
      <alignment horizontal="center"/>
    </xf>
    <xf numFmtId="165" fontId="6" fillId="20" borderId="0" xfId="1" applyNumberFormat="1" applyFont="1" applyFill="1" applyAlignment="1">
      <alignment horizontal="center"/>
    </xf>
    <xf numFmtId="0" fontId="5" fillId="11" borderId="0" xfId="0" applyFont="1" applyFill="1"/>
    <xf numFmtId="0" fontId="7" fillId="11" borderId="0" xfId="0" applyFont="1" applyFill="1"/>
    <xf numFmtId="0" fontId="6" fillId="11" borderId="0" xfId="0" applyFont="1" applyFill="1"/>
    <xf numFmtId="164" fontId="6" fillId="11" borderId="0" xfId="0" applyNumberFormat="1" applyFont="1" applyFill="1"/>
    <xf numFmtId="1" fontId="5" fillId="11" borderId="0" xfId="0" applyNumberFormat="1" applyFont="1" applyFill="1" applyAlignment="1">
      <alignment horizontal="center"/>
    </xf>
    <xf numFmtId="1" fontId="6" fillId="11" borderId="0" xfId="0" applyNumberFormat="1" applyFont="1" applyFill="1" applyAlignment="1">
      <alignment horizontal="center"/>
    </xf>
    <xf numFmtId="165" fontId="6" fillId="11" borderId="0" xfId="1" applyNumberFormat="1" applyFont="1" applyFill="1" applyAlignment="1">
      <alignment horizontal="center"/>
    </xf>
    <xf numFmtId="164" fontId="6" fillId="11" borderId="0" xfId="0" applyNumberFormat="1" applyFont="1" applyFill="1" applyAlignment="1">
      <alignment horizontal="center"/>
    </xf>
    <xf numFmtId="164" fontId="5" fillId="11" borderId="0" xfId="0" applyNumberFormat="1" applyFont="1" applyFill="1" applyAlignment="1">
      <alignment horizontal="center"/>
    </xf>
    <xf numFmtId="166" fontId="5" fillId="11" borderId="0" xfId="0" applyNumberFormat="1" applyFont="1" applyFill="1" applyAlignment="1">
      <alignment horizontal="center"/>
    </xf>
    <xf numFmtId="172" fontId="6" fillId="11" borderId="0" xfId="0" applyNumberFormat="1" applyFont="1" applyFill="1" applyAlignment="1">
      <alignment horizontal="center"/>
    </xf>
    <xf numFmtId="10" fontId="6" fillId="0" borderId="0" xfId="1" applyNumberFormat="1" applyFont="1" applyFill="1" applyAlignment="1">
      <alignment horizontal="center"/>
    </xf>
    <xf numFmtId="164" fontId="5" fillId="11" borderId="0" xfId="0" applyNumberFormat="1" applyFont="1" applyFill="1"/>
    <xf numFmtId="0" fontId="5" fillId="12" borderId="0" xfId="0" applyFont="1" applyFill="1"/>
    <xf numFmtId="0" fontId="7" fillId="12" borderId="0" xfId="0" applyFont="1" applyFill="1"/>
    <xf numFmtId="0" fontId="6" fillId="12" borderId="0" xfId="0" applyFont="1" applyFill="1"/>
    <xf numFmtId="164" fontId="5" fillId="12" borderId="0" xfId="0" applyNumberFormat="1" applyFont="1" applyFill="1"/>
    <xf numFmtId="164" fontId="5" fillId="12" borderId="0" xfId="0" applyNumberFormat="1" applyFont="1" applyFill="1" applyAlignment="1">
      <alignment horizontal="center"/>
    </xf>
    <xf numFmtId="177" fontId="6" fillId="0" borderId="0" xfId="0" applyNumberFormat="1" applyFont="1" applyFill="1" applyAlignment="1">
      <alignment horizontal="center"/>
    </xf>
    <xf numFmtId="177" fontId="6" fillId="0" borderId="0" xfId="1" applyNumberFormat="1" applyFont="1" applyFill="1" applyAlignment="1">
      <alignment horizontal="center"/>
    </xf>
    <xf numFmtId="177" fontId="10" fillId="0" borderId="0" xfId="0" applyNumberFormat="1" applyFont="1" applyFill="1" applyAlignment="1">
      <alignment horizontal="center"/>
    </xf>
    <xf numFmtId="177" fontId="6" fillId="0" borderId="0" xfId="0" applyNumberFormat="1" applyFont="1" applyFill="1" applyAlignment="1">
      <alignment horizontal="right"/>
    </xf>
    <xf numFmtId="0" fontId="7" fillId="6" borderId="0" xfId="0" applyFont="1" applyFill="1"/>
    <xf numFmtId="164" fontId="5" fillId="6" borderId="0" xfId="0" applyNumberFormat="1" applyFont="1" applyFill="1"/>
    <xf numFmtId="164" fontId="5" fillId="0" borderId="0" xfId="1" applyNumberFormat="1" applyFont="1" applyFill="1" applyAlignment="1">
      <alignment horizontal="center"/>
    </xf>
    <xf numFmtId="164" fontId="12" fillId="0" borderId="0" xfId="0" applyNumberFormat="1" applyFont="1" applyFill="1" applyAlignment="1">
      <alignment horizontal="center"/>
    </xf>
    <xf numFmtId="165" fontId="46" fillId="0" borderId="0" xfId="1" applyNumberFormat="1" applyFont="1"/>
    <xf numFmtId="0" fontId="51" fillId="0" borderId="0" xfId="2436"/>
    <xf numFmtId="0" fontId="52" fillId="0" borderId="0" xfId="2436" applyNumberFormat="1" applyFont="1" applyFill="1" applyBorder="1" applyAlignment="1"/>
    <xf numFmtId="3" fontId="52" fillId="0" borderId="11" xfId="2436" applyNumberFormat="1" applyFont="1" applyFill="1" applyBorder="1" applyAlignment="1"/>
    <xf numFmtId="0" fontId="52" fillId="18" borderId="11" xfId="2436" applyNumberFormat="1" applyFont="1" applyFill="1" applyBorder="1" applyAlignment="1"/>
    <xf numFmtId="175" fontId="52" fillId="0" borderId="0" xfId="2436" applyNumberFormat="1" applyFont="1" applyFill="1" applyBorder="1" applyAlignment="1"/>
    <xf numFmtId="0" fontId="53" fillId="0" borderId="0" xfId="0" applyFont="1"/>
    <xf numFmtId="165" fontId="51" fillId="0" borderId="0" xfId="1" applyNumberFormat="1" applyFont="1"/>
    <xf numFmtId="0" fontId="46" fillId="0" borderId="0" xfId="2436" applyFont="1"/>
    <xf numFmtId="0" fontId="54" fillId="0" borderId="0" xfId="2437"/>
    <xf numFmtId="0" fontId="55" fillId="0" borderId="0" xfId="2437" applyNumberFormat="1" applyFont="1" applyFill="1" applyBorder="1" applyAlignment="1"/>
    <xf numFmtId="166" fontId="55" fillId="0" borderId="11" xfId="2437" applyNumberFormat="1" applyFont="1" applyFill="1" applyBorder="1" applyAlignment="1"/>
    <xf numFmtId="0" fontId="55" fillId="18" borderId="11" xfId="2437" applyNumberFormat="1" applyFont="1" applyFill="1" applyBorder="1" applyAlignment="1"/>
    <xf numFmtId="175" fontId="55" fillId="0" borderId="0" xfId="2437" applyNumberFormat="1" applyFont="1" applyFill="1" applyBorder="1" applyAlignment="1"/>
    <xf numFmtId="0" fontId="6" fillId="0" borderId="0" xfId="0" applyFont="1" applyAlignment="1">
      <alignment horizontal="left"/>
    </xf>
    <xf numFmtId="10" fontId="6" fillId="11" borderId="0" xfId="1" applyNumberFormat="1" applyFont="1" applyFill="1" applyAlignment="1">
      <alignment horizontal="center"/>
    </xf>
    <xf numFmtId="176" fontId="5" fillId="11" borderId="0" xfId="2435" applyNumberFormat="1" applyFont="1" applyFill="1" applyAlignment="1">
      <alignment horizontal="center"/>
    </xf>
    <xf numFmtId="178" fontId="5" fillId="11" borderId="0" xfId="2435" applyNumberFormat="1" applyFont="1" applyFill="1" applyAlignment="1">
      <alignment horizontal="center"/>
    </xf>
    <xf numFmtId="10" fontId="5" fillId="0" borderId="0" xfId="1" applyNumberFormat="1" applyFont="1" applyFill="1" applyAlignment="1">
      <alignment horizontal="center"/>
    </xf>
    <xf numFmtId="10" fontId="5" fillId="11" borderId="0" xfId="1" applyNumberFormat="1" applyFont="1" applyFill="1" applyAlignment="1">
      <alignment horizontal="center"/>
    </xf>
    <xf numFmtId="10" fontId="6" fillId="12" borderId="0" xfId="1" applyNumberFormat="1" applyFont="1" applyFill="1" applyAlignment="1">
      <alignment horizontal="center"/>
    </xf>
    <xf numFmtId="10" fontId="5" fillId="6" borderId="0" xfId="1" applyNumberFormat="1" applyFont="1" applyFill="1" applyAlignment="1">
      <alignment horizontal="center"/>
    </xf>
    <xf numFmtId="10" fontId="6" fillId="6" borderId="0" xfId="1" applyNumberFormat="1" applyFont="1" applyFill="1" applyAlignment="1">
      <alignment horizontal="center"/>
    </xf>
    <xf numFmtId="176" fontId="6" fillId="11" borderId="0" xfId="2435" applyNumberFormat="1" applyFont="1" applyFill="1" applyAlignment="1">
      <alignment horizontal="center"/>
    </xf>
    <xf numFmtId="176" fontId="6" fillId="0" borderId="0" xfId="2435" applyNumberFormat="1" applyFont="1" applyFill="1" applyAlignment="1">
      <alignment horizontal="center"/>
    </xf>
    <xf numFmtId="176" fontId="23" fillId="0" borderId="0" xfId="2435" applyNumberFormat="1" applyFont="1" applyFill="1" applyAlignment="1">
      <alignment horizontal="center"/>
    </xf>
    <xf numFmtId="176" fontId="10" fillId="0" borderId="0" xfId="2435" applyNumberFormat="1" applyFont="1" applyFill="1" applyAlignment="1">
      <alignment horizontal="center"/>
    </xf>
    <xf numFmtId="176" fontId="5" fillId="12" borderId="0" xfId="2435" applyNumberFormat="1" applyFont="1" applyFill="1" applyAlignment="1">
      <alignment horizontal="center"/>
    </xf>
    <xf numFmtId="176" fontId="5" fillId="6" borderId="0" xfId="2435" applyNumberFormat="1" applyFont="1" applyFill="1" applyAlignment="1">
      <alignment horizontal="center"/>
    </xf>
    <xf numFmtId="177" fontId="6" fillId="9" borderId="0" xfId="0" applyNumberFormat="1" applyFont="1" applyFill="1" applyAlignment="1">
      <alignment horizontal="center"/>
    </xf>
    <xf numFmtId="176" fontId="5" fillId="11" borderId="0" xfId="2435" applyNumberFormat="1" applyFont="1" applyFill="1"/>
    <xf numFmtId="176" fontId="6" fillId="0" borderId="0" xfId="2435" applyNumberFormat="1" applyFont="1" applyFill="1"/>
    <xf numFmtId="10" fontId="6" fillId="4" borderId="0" xfId="0" applyNumberFormat="1" applyFont="1" applyFill="1" applyAlignment="1">
      <alignment horizontal="center"/>
    </xf>
    <xf numFmtId="10" fontId="6" fillId="5" borderId="0" xfId="0" applyNumberFormat="1" applyFont="1" applyFill="1" applyAlignment="1">
      <alignment horizontal="center"/>
    </xf>
    <xf numFmtId="10" fontId="5" fillId="5" borderId="0" xfId="1" applyNumberFormat="1" applyFont="1" applyFill="1" applyAlignment="1">
      <alignment horizontal="center"/>
    </xf>
    <xf numFmtId="10" fontId="6" fillId="6" borderId="0" xfId="0" applyNumberFormat="1" applyFont="1" applyFill="1"/>
    <xf numFmtId="10" fontId="5" fillId="4" borderId="0" xfId="1" applyNumberFormat="1" applyFont="1" applyFill="1" applyAlignment="1">
      <alignment horizontal="center"/>
    </xf>
    <xf numFmtId="10" fontId="6" fillId="0" borderId="0" xfId="0" applyNumberFormat="1" applyFont="1" applyFill="1" applyAlignment="1">
      <alignment horizontal="center"/>
    </xf>
    <xf numFmtId="176" fontId="5" fillId="7" borderId="0" xfId="2435" applyNumberFormat="1" applyFont="1" applyFill="1" applyAlignment="1">
      <alignment horizontal="center"/>
    </xf>
    <xf numFmtId="176" fontId="6" fillId="5" borderId="0" xfId="2435" applyNumberFormat="1" applyFont="1" applyFill="1" applyAlignment="1">
      <alignment horizontal="center"/>
    </xf>
    <xf numFmtId="176" fontId="6" fillId="7" borderId="0" xfId="2435" applyNumberFormat="1" applyFont="1" applyFill="1" applyAlignment="1">
      <alignment horizontal="center"/>
    </xf>
    <xf numFmtId="176" fontId="5" fillId="5" borderId="0" xfId="2435" applyNumberFormat="1" applyFont="1" applyFill="1" applyAlignment="1">
      <alignment horizontal="center"/>
    </xf>
    <xf numFmtId="176" fontId="6" fillId="4" borderId="0" xfId="2435" applyNumberFormat="1" applyFont="1" applyFill="1" applyAlignment="1">
      <alignment horizontal="center"/>
    </xf>
    <xf numFmtId="176" fontId="5" fillId="4" borderId="0" xfId="2435" applyNumberFormat="1" applyFont="1" applyFill="1" applyAlignment="1">
      <alignment horizontal="center"/>
    </xf>
    <xf numFmtId="176" fontId="11" fillId="4" borderId="0" xfId="2435" applyNumberFormat="1" applyFont="1" applyFill="1" applyAlignment="1">
      <alignment horizontal="center"/>
    </xf>
    <xf numFmtId="176" fontId="26" fillId="4" borderId="0" xfId="2435" applyNumberFormat="1" applyFont="1" applyFill="1" applyAlignment="1">
      <alignment horizontal="center"/>
    </xf>
    <xf numFmtId="0" fontId="3" fillId="0" borderId="0" xfId="2433" applyFont="1"/>
    <xf numFmtId="0" fontId="0" fillId="0" borderId="0" xfId="2434" applyNumberFormat="1" applyFont="1"/>
    <xf numFmtId="0" fontId="46" fillId="0" borderId="0" xfId="2433" applyFont="1"/>
    <xf numFmtId="165" fontId="46" fillId="0" borderId="0" xfId="2433" applyNumberFormat="1"/>
    <xf numFmtId="0" fontId="19" fillId="0" borderId="0" xfId="0" applyNumberFormat="1" applyFont="1" applyFill="1" applyBorder="1" applyAlignment="1"/>
    <xf numFmtId="175" fontId="19" fillId="0" borderId="0" xfId="0" applyNumberFormat="1" applyFont="1" applyFill="1" applyBorder="1" applyAlignment="1"/>
    <xf numFmtId="0" fontId="19" fillId="18" borderId="11" xfId="0" applyNumberFormat="1" applyFont="1" applyFill="1" applyBorder="1" applyAlignment="1"/>
    <xf numFmtId="3" fontId="19" fillId="0" borderId="11" xfId="0" applyNumberFormat="1" applyFont="1" applyFill="1" applyBorder="1" applyAlignment="1"/>
    <xf numFmtId="176" fontId="46" fillId="0" borderId="0" xfId="2435" applyNumberFormat="1" applyFont="1"/>
    <xf numFmtId="165" fontId="6" fillId="6" borderId="0" xfId="0" applyNumberFormat="1" applyFont="1" applyFill="1" applyAlignment="1">
      <alignment horizontal="center"/>
    </xf>
    <xf numFmtId="9" fontId="51" fillId="0" borderId="0" xfId="2436" applyNumberFormat="1"/>
    <xf numFmtId="0" fontId="56" fillId="0" borderId="0" xfId="0" applyFont="1"/>
    <xf numFmtId="3" fontId="51" fillId="0" borderId="0" xfId="2436" applyNumberFormat="1"/>
    <xf numFmtId="2" fontId="51" fillId="0" borderId="0" xfId="2436" applyNumberFormat="1"/>
    <xf numFmtId="0" fontId="46" fillId="19" borderId="0" xfId="2436" applyFont="1" applyFill="1"/>
    <xf numFmtId="165" fontId="51" fillId="19" borderId="0" xfId="1" applyNumberFormat="1" applyFont="1" applyFill="1"/>
    <xf numFmtId="10" fontId="51" fillId="0" borderId="0" xfId="2436" applyNumberFormat="1"/>
    <xf numFmtId="176" fontId="51" fillId="0" borderId="0" xfId="2435" applyNumberFormat="1" applyFont="1"/>
    <xf numFmtId="166" fontId="51" fillId="0" borderId="0" xfId="2436" applyNumberFormat="1"/>
    <xf numFmtId="176" fontId="51" fillId="0" borderId="0" xfId="2436" applyNumberFormat="1"/>
    <xf numFmtId="43" fontId="51" fillId="0" borderId="0" xfId="2435" applyNumberFormat="1" applyFont="1"/>
    <xf numFmtId="43" fontId="51" fillId="0" borderId="0" xfId="2436" applyNumberFormat="1"/>
    <xf numFmtId="178" fontId="51" fillId="0" borderId="0" xfId="2435" applyNumberFormat="1" applyFont="1"/>
    <xf numFmtId="176" fontId="0" fillId="0" borderId="0" xfId="2435" applyNumberFormat="1" applyFont="1"/>
    <xf numFmtId="0" fontId="57" fillId="0" borderId="0" xfId="2436" applyFont="1"/>
    <xf numFmtId="176" fontId="20" fillId="6" borderId="0" xfId="2435" applyNumberFormat="1" applyFont="1" applyFill="1" applyAlignment="1">
      <alignment horizontal="center"/>
    </xf>
    <xf numFmtId="9" fontId="46" fillId="0" borderId="0" xfId="1" applyNumberFormat="1" applyFont="1"/>
    <xf numFmtId="9" fontId="46" fillId="0" borderId="0" xfId="2433" applyNumberFormat="1"/>
    <xf numFmtId="10" fontId="6" fillId="2" borderId="0" xfId="1" applyNumberFormat="1" applyFont="1" applyFill="1" applyAlignment="1">
      <alignment horizontal="center"/>
    </xf>
    <xf numFmtId="10" fontId="6" fillId="2" borderId="0" xfId="0" applyNumberFormat="1" applyFont="1" applyFill="1" applyAlignment="1">
      <alignment horizontal="center"/>
    </xf>
    <xf numFmtId="10" fontId="12" fillId="9" borderId="0" xfId="0" applyNumberFormat="1" applyFont="1" applyFill="1" applyAlignment="1">
      <alignment horizontal="center"/>
    </xf>
    <xf numFmtId="10" fontId="6" fillId="9" borderId="0" xfId="0" applyNumberFormat="1" applyFont="1" applyFill="1" applyAlignment="1">
      <alignment horizontal="center"/>
    </xf>
    <xf numFmtId="10" fontId="10" fillId="9" borderId="0" xfId="0" applyNumberFormat="1" applyFont="1" applyFill="1" applyAlignment="1">
      <alignment horizontal="center"/>
    </xf>
    <xf numFmtId="10" fontId="10" fillId="6" borderId="0" xfId="0" applyNumberFormat="1" applyFont="1" applyFill="1" applyAlignment="1">
      <alignment horizontal="left"/>
    </xf>
    <xf numFmtId="0" fontId="59" fillId="0" borderId="0" xfId="0" applyFont="1" applyBorder="1"/>
    <xf numFmtId="0" fontId="59" fillId="9" borderId="0" xfId="0" applyFont="1" applyFill="1" applyBorder="1"/>
    <xf numFmtId="0" fontId="6" fillId="0" borderId="0" xfId="0" applyFont="1" applyBorder="1"/>
    <xf numFmtId="9" fontId="6" fillId="0" borderId="0" xfId="0" applyNumberFormat="1" applyFont="1" applyBorder="1" applyAlignment="1">
      <alignment wrapText="1"/>
    </xf>
    <xf numFmtId="0" fontId="6" fillId="0" borderId="0" xfId="0" applyFont="1" applyBorder="1" applyAlignment="1">
      <alignment wrapText="1"/>
    </xf>
    <xf numFmtId="164" fontId="6" fillId="0" borderId="0" xfId="0" applyNumberFormat="1" applyFont="1" applyBorder="1" applyAlignment="1">
      <alignment wrapText="1"/>
    </xf>
    <xf numFmtId="0" fontId="60" fillId="8" borderId="0" xfId="0" applyFont="1" applyFill="1" applyBorder="1"/>
    <xf numFmtId="165" fontId="60" fillId="8" borderId="0" xfId="1" applyNumberFormat="1" applyFont="1" applyFill="1" applyBorder="1"/>
    <xf numFmtId="10" fontId="60" fillId="8" borderId="0" xfId="1" applyNumberFormat="1" applyFont="1" applyFill="1" applyBorder="1"/>
    <xf numFmtId="10" fontId="6" fillId="0" borderId="0" xfId="0" applyNumberFormat="1" applyFont="1" applyBorder="1" applyAlignment="1">
      <alignment wrapText="1"/>
    </xf>
    <xf numFmtId="165" fontId="60" fillId="8" borderId="0" xfId="0" applyNumberFormat="1" applyFont="1" applyFill="1" applyBorder="1"/>
    <xf numFmtId="10" fontId="60" fillId="8" borderId="0" xfId="0" applyNumberFormat="1" applyFont="1" applyFill="1" applyBorder="1"/>
    <xf numFmtId="0" fontId="6" fillId="9" borderId="0" xfId="0" applyFont="1" applyFill="1" applyBorder="1" applyAlignment="1">
      <alignment wrapText="1"/>
    </xf>
    <xf numFmtId="0" fontId="10" fillId="0" borderId="0" xfId="0" applyFont="1" applyBorder="1" applyAlignment="1">
      <alignment wrapText="1"/>
    </xf>
    <xf numFmtId="10" fontId="10" fillId="0" borderId="0" xfId="0" applyNumberFormat="1" applyFont="1" applyBorder="1" applyAlignment="1">
      <alignment wrapText="1"/>
    </xf>
    <xf numFmtId="165" fontId="58" fillId="0" borderId="0" xfId="1" applyNumberFormat="1" applyFont="1" applyFill="1" applyBorder="1"/>
    <xf numFmtId="2" fontId="58" fillId="0" borderId="0" xfId="4" applyNumberFormat="1" applyFont="1" applyFill="1" applyBorder="1"/>
    <xf numFmtId="176" fontId="6" fillId="0" borderId="0" xfId="2435" applyNumberFormat="1" applyFont="1"/>
    <xf numFmtId="0" fontId="11" fillId="5" borderId="0" xfId="0" applyFont="1" applyFill="1" applyBorder="1" applyAlignment="1">
      <alignment wrapText="1"/>
    </xf>
    <xf numFmtId="0" fontId="6" fillId="12" borderId="0" xfId="0" applyFont="1" applyFill="1" applyBorder="1" applyAlignment="1">
      <alignment wrapText="1"/>
    </xf>
    <xf numFmtId="0" fontId="6" fillId="13" borderId="0" xfId="0" applyFont="1" applyFill="1" applyBorder="1" applyAlignment="1">
      <alignment wrapText="1"/>
    </xf>
    <xf numFmtId="0" fontId="6" fillId="11" borderId="0" xfId="0" applyFont="1" applyFill="1" applyBorder="1" applyAlignment="1">
      <alignment wrapText="1"/>
    </xf>
    <xf numFmtId="0" fontId="6" fillId="10" borderId="0" xfId="0" applyFont="1" applyFill="1" applyBorder="1" applyAlignment="1">
      <alignment wrapText="1"/>
    </xf>
    <xf numFmtId="176" fontId="6" fillId="0" borderId="0" xfId="2435" applyNumberFormat="1" applyFont="1" applyBorder="1" applyAlignment="1">
      <alignment wrapText="1"/>
    </xf>
    <xf numFmtId="176" fontId="11" fillId="5" borderId="0" xfId="2435" applyNumberFormat="1" applyFont="1" applyFill="1" applyAlignment="1">
      <alignment horizontal="center"/>
    </xf>
    <xf numFmtId="176" fontId="6" fillId="9" borderId="0" xfId="2435" applyNumberFormat="1" applyFont="1" applyFill="1" applyAlignment="1">
      <alignment horizontal="center"/>
    </xf>
    <xf numFmtId="179" fontId="0" fillId="0" borderId="0" xfId="2435" applyNumberFormat="1" applyFont="1"/>
    <xf numFmtId="0" fontId="61" fillId="18" borderId="11" xfId="0" applyNumberFormat="1" applyFont="1" applyFill="1" applyBorder="1" applyAlignment="1"/>
    <xf numFmtId="3" fontId="61" fillId="0" borderId="11" xfId="0" applyNumberFormat="1" applyFont="1" applyFill="1" applyBorder="1" applyAlignment="1"/>
    <xf numFmtId="0" fontId="61" fillId="0" borderId="11" xfId="0" applyNumberFormat="1" applyFont="1" applyFill="1" applyBorder="1" applyAlignment="1"/>
    <xf numFmtId="3" fontId="61" fillId="0" borderId="0" xfId="0" applyNumberFormat="1" applyFont="1" applyFill="1" applyBorder="1" applyAlignment="1"/>
    <xf numFmtId="0" fontId="61" fillId="18" borderId="0" xfId="0" applyNumberFormat="1" applyFont="1" applyFill="1" applyBorder="1" applyAlignment="1"/>
    <xf numFmtId="0" fontId="61" fillId="0" borderId="0" xfId="0" applyNumberFormat="1" applyFont="1" applyFill="1" applyBorder="1" applyAlignment="1"/>
    <xf numFmtId="0" fontId="57" fillId="0" borderId="0" xfId="2433" applyFont="1"/>
    <xf numFmtId="178" fontId="46" fillId="0" borderId="0" xfId="2435" applyNumberFormat="1" applyFont="1"/>
    <xf numFmtId="178" fontId="46" fillId="0" borderId="0" xfId="2433" applyNumberFormat="1"/>
    <xf numFmtId="178" fontId="61" fillId="0" borderId="11" xfId="2435" applyNumberFormat="1" applyFont="1" applyFill="1" applyBorder="1" applyAlignment="1"/>
    <xf numFmtId="178" fontId="61" fillId="0" borderId="11" xfId="0" applyNumberFormat="1" applyFont="1" applyFill="1" applyBorder="1" applyAlignment="1"/>
    <xf numFmtId="0" fontId="61" fillId="19" borderId="11" xfId="0" applyNumberFormat="1" applyFont="1" applyFill="1" applyBorder="1" applyAlignment="1"/>
    <xf numFmtId="175" fontId="61" fillId="0" borderId="0" xfId="0" applyNumberFormat="1" applyFont="1" applyFill="1" applyBorder="1" applyAlignment="1"/>
    <xf numFmtId="176" fontId="46" fillId="0" borderId="0" xfId="2433" applyNumberFormat="1"/>
    <xf numFmtId="43" fontId="46" fillId="0" borderId="0" xfId="2433" applyNumberFormat="1"/>
    <xf numFmtId="164" fontId="26" fillId="4" borderId="0" xfId="1" applyNumberFormat="1" applyFont="1" applyFill="1" applyAlignment="1">
      <alignment horizontal="center"/>
    </xf>
    <xf numFmtId="164" fontId="23" fillId="4" borderId="0" xfId="1" applyNumberFormat="1" applyFont="1" applyFill="1" applyAlignment="1">
      <alignment horizontal="center"/>
    </xf>
    <xf numFmtId="9" fontId="10" fillId="0" borderId="0" xfId="0" applyNumberFormat="1" applyFont="1" applyBorder="1" applyAlignment="1">
      <alignment wrapText="1"/>
    </xf>
    <xf numFmtId="9" fontId="6" fillId="0" borderId="0" xfId="1" applyNumberFormat="1" applyFont="1" applyBorder="1" applyAlignment="1">
      <alignment wrapText="1"/>
    </xf>
    <xf numFmtId="176" fontId="23" fillId="4" borderId="0" xfId="2435" applyNumberFormat="1" applyFont="1" applyFill="1" applyAlignment="1">
      <alignment horizontal="center"/>
    </xf>
    <xf numFmtId="165" fontId="10" fillId="9" borderId="0" xfId="0" applyNumberFormat="1" applyFont="1" applyFill="1" applyAlignment="1">
      <alignment horizontal="center"/>
    </xf>
    <xf numFmtId="165" fontId="6" fillId="0" borderId="0" xfId="0" applyNumberFormat="1" applyFont="1" applyBorder="1" applyAlignment="1">
      <alignment wrapText="1"/>
    </xf>
    <xf numFmtId="165" fontId="10" fillId="0" borderId="0" xfId="0" applyNumberFormat="1" applyFont="1" applyBorder="1" applyAlignment="1">
      <alignment wrapText="1"/>
    </xf>
    <xf numFmtId="9" fontId="10" fillId="0" borderId="0" xfId="1" applyFont="1" applyBorder="1" applyAlignment="1">
      <alignment wrapText="1"/>
    </xf>
    <xf numFmtId="0" fontId="0" fillId="9" borderId="0" xfId="0" applyFill="1"/>
    <xf numFmtId="176" fontId="11" fillId="0" borderId="0" xfId="2435" applyNumberFormat="1" applyFont="1" applyFill="1" applyAlignment="1">
      <alignment horizontal="center"/>
    </xf>
    <xf numFmtId="172" fontId="23" fillId="11" borderId="0" xfId="0" applyNumberFormat="1" applyFont="1" applyFill="1" applyAlignment="1">
      <alignment horizontal="center"/>
    </xf>
    <xf numFmtId="176" fontId="11" fillId="9" borderId="0" xfId="2435" applyNumberFormat="1" applyFont="1" applyFill="1" applyAlignment="1">
      <alignment horizontal="center"/>
    </xf>
    <xf numFmtId="164" fontId="23" fillId="5" borderId="0" xfId="0" applyNumberFormat="1" applyFont="1" applyFill="1" applyAlignment="1">
      <alignment horizontal="center"/>
    </xf>
    <xf numFmtId="176" fontId="23" fillId="5" borderId="0" xfId="2435" applyNumberFormat="1" applyFont="1" applyFill="1" applyAlignment="1">
      <alignment horizontal="center"/>
    </xf>
    <xf numFmtId="1" fontId="23" fillId="4" borderId="0" xfId="0" applyNumberFormat="1" applyFont="1" applyFill="1" applyAlignment="1">
      <alignment horizontal="center"/>
    </xf>
    <xf numFmtId="176" fontId="24" fillId="12" borderId="0" xfId="2435" applyNumberFormat="1" applyFont="1" applyFill="1" applyAlignment="1">
      <alignment horizontal="center"/>
    </xf>
    <xf numFmtId="177" fontId="23" fillId="0" borderId="0" xfId="0" applyNumberFormat="1" applyFont="1" applyFill="1" applyAlignment="1">
      <alignment horizontal="center"/>
    </xf>
    <xf numFmtId="177" fontId="23" fillId="0" borderId="0" xfId="1" applyNumberFormat="1" applyFont="1" applyFill="1" applyAlignment="1">
      <alignment horizontal="center"/>
    </xf>
    <xf numFmtId="164" fontId="24" fillId="12" borderId="0" xfId="0" applyNumberFormat="1" applyFont="1" applyFill="1" applyAlignment="1">
      <alignment horizontal="center"/>
    </xf>
    <xf numFmtId="164" fontId="23" fillId="0" borderId="0" xfId="1" applyNumberFormat="1" applyFont="1" applyFill="1" applyAlignment="1">
      <alignment horizontal="center"/>
    </xf>
    <xf numFmtId="176" fontId="24" fillId="6" borderId="0" xfId="2435" applyNumberFormat="1" applyFont="1" applyFill="1" applyAlignment="1">
      <alignment horizontal="center"/>
    </xf>
    <xf numFmtId="0" fontId="11" fillId="0" borderId="0" xfId="2" applyFont="1" applyFill="1" applyAlignment="1" applyProtection="1"/>
    <xf numFmtId="0" fontId="9" fillId="0" borderId="0" xfId="2" applyFont="1" applyAlignment="1" applyProtection="1"/>
    <xf numFmtId="0" fontId="9" fillId="9" borderId="0" xfId="2" applyFont="1" applyFill="1" applyBorder="1" applyAlignment="1" applyProtection="1"/>
    <xf numFmtId="0" fontId="3" fillId="33" borderId="12" xfId="0" applyFont="1" applyFill="1" applyBorder="1" applyAlignment="1">
      <alignment horizontal="center"/>
    </xf>
    <xf numFmtId="0" fontId="3" fillId="33" borderId="13" xfId="0" applyFont="1" applyFill="1" applyBorder="1" applyAlignment="1">
      <alignment horizontal="center"/>
    </xf>
    <xf numFmtId="0" fontId="3" fillId="33" borderId="14" xfId="0" applyFont="1" applyFill="1" applyBorder="1" applyAlignment="1">
      <alignment horizontal="center"/>
    </xf>
    <xf numFmtId="0" fontId="0" fillId="12" borderId="15" xfId="0" applyFill="1" applyBorder="1"/>
    <xf numFmtId="0" fontId="0" fillId="12" borderId="16" xfId="0" applyFill="1" applyBorder="1"/>
    <xf numFmtId="0" fontId="0" fillId="12" borderId="17" xfId="0" applyFill="1" applyBorder="1"/>
    <xf numFmtId="180" fontId="0" fillId="12" borderId="17" xfId="0" applyNumberFormat="1" applyFill="1" applyBorder="1"/>
    <xf numFmtId="0" fontId="0" fillId="12" borderId="18" xfId="0" applyFill="1" applyBorder="1"/>
    <xf numFmtId="0" fontId="0" fillId="12" borderId="19" xfId="0" applyFill="1" applyBorder="1"/>
    <xf numFmtId="0" fontId="0" fillId="11" borderId="0" xfId="0" applyFill="1"/>
    <xf numFmtId="0" fontId="0" fillId="11" borderId="22" xfId="0" applyFill="1" applyBorder="1"/>
    <xf numFmtId="0" fontId="77" fillId="2" borderId="0" xfId="0" applyFont="1" applyFill="1" applyBorder="1" applyAlignment="1">
      <alignment horizontal="center"/>
    </xf>
    <xf numFmtId="0" fontId="77" fillId="2" borderId="22" xfId="0" applyFont="1" applyFill="1" applyBorder="1" applyAlignment="1">
      <alignment horizontal="left"/>
    </xf>
    <xf numFmtId="0" fontId="77" fillId="2" borderId="0" xfId="0" applyFont="1" applyFill="1" applyAlignment="1">
      <alignment horizontal="center"/>
    </xf>
    <xf numFmtId="184" fontId="77" fillId="2" borderId="0" xfId="0" applyNumberFormat="1" applyFont="1" applyFill="1" applyAlignment="1">
      <alignment horizontal="center"/>
    </xf>
    <xf numFmtId="0" fontId="0" fillId="0" borderId="0" xfId="0" applyFont="1"/>
    <xf numFmtId="178" fontId="0" fillId="0" borderId="0" xfId="2435" applyNumberFormat="1" applyFont="1"/>
    <xf numFmtId="4" fontId="0" fillId="0" borderId="0" xfId="0" applyNumberFormat="1"/>
    <xf numFmtId="164" fontId="3" fillId="0" borderId="0" xfId="0" applyNumberFormat="1" applyFont="1"/>
    <xf numFmtId="176" fontId="0" fillId="0" borderId="0" xfId="0" applyNumberFormat="1" applyFont="1"/>
    <xf numFmtId="0" fontId="77" fillId="2" borderId="0" xfId="0" applyFont="1" applyFill="1" applyAlignment="1">
      <alignment horizontal="center"/>
    </xf>
    <xf numFmtId="0" fontId="0" fillId="0" borderId="23" xfId="0" applyBorder="1"/>
    <xf numFmtId="185" fontId="78" fillId="11" borderId="23" xfId="0" applyNumberFormat="1" applyFont="1" applyFill="1" applyBorder="1"/>
    <xf numFmtId="0" fontId="0" fillId="0" borderId="0" xfId="0" applyAlignment="1"/>
    <xf numFmtId="164" fontId="23" fillId="9" borderId="0" xfId="0" applyNumberFormat="1" applyFont="1" applyFill="1" applyAlignment="1">
      <alignment horizontal="center"/>
    </xf>
    <xf numFmtId="176" fontId="24" fillId="11" borderId="0" xfId="2435" applyNumberFormat="1" applyFont="1" applyFill="1" applyAlignment="1">
      <alignment horizontal="center"/>
    </xf>
    <xf numFmtId="176" fontId="24" fillId="11" borderId="0" xfId="2435" applyNumberFormat="1" applyFont="1" applyFill="1"/>
    <xf numFmtId="176" fontId="23" fillId="0" borderId="0" xfId="2435" applyNumberFormat="1" applyFont="1" applyFill="1"/>
    <xf numFmtId="0" fontId="3" fillId="9" borderId="24" xfId="0" applyFont="1" applyFill="1" applyBorder="1"/>
    <xf numFmtId="0" fontId="0" fillId="9" borderId="25" xfId="0" applyFill="1" applyBorder="1"/>
    <xf numFmtId="0" fontId="0" fillId="9" borderId="26" xfId="0" applyFill="1" applyBorder="1"/>
    <xf numFmtId="0" fontId="0" fillId="9" borderId="27" xfId="0" applyFill="1" applyBorder="1"/>
    <xf numFmtId="0" fontId="63" fillId="5" borderId="0" xfId="0" applyFont="1" applyFill="1" applyBorder="1" applyAlignment="1">
      <alignment horizontal="left" wrapText="1"/>
    </xf>
    <xf numFmtId="0" fontId="62" fillId="45" borderId="28" xfId="0" applyFont="1" applyFill="1" applyBorder="1"/>
    <xf numFmtId="0" fontId="79" fillId="9" borderId="27" xfId="0" applyFont="1" applyFill="1" applyBorder="1"/>
    <xf numFmtId="0" fontId="0" fillId="9" borderId="29" xfId="0" applyFill="1" applyBorder="1"/>
    <xf numFmtId="0" fontId="63" fillId="5" borderId="30" xfId="0" applyFont="1" applyFill="1" applyBorder="1" applyAlignment="1">
      <alignment horizontal="left" wrapText="1"/>
    </xf>
    <xf numFmtId="0" fontId="62" fillId="45" borderId="31" xfId="0" applyFont="1" applyFill="1" applyBorder="1"/>
    <xf numFmtId="0" fontId="3" fillId="9" borderId="25" xfId="0" applyFont="1" applyFill="1" applyBorder="1"/>
    <xf numFmtId="0" fontId="77" fillId="2" borderId="0" xfId="0" applyFont="1" applyFill="1" applyAlignment="1">
      <alignment horizontal="center"/>
    </xf>
    <xf numFmtId="0" fontId="16" fillId="0" borderId="6" xfId="0" applyFont="1" applyBorder="1" applyAlignment="1">
      <alignment horizontal="center" wrapText="1"/>
    </xf>
    <xf numFmtId="0" fontId="16" fillId="0" borderId="4" xfId="0" applyFont="1" applyBorder="1" applyAlignment="1">
      <alignment horizontal="center" wrapText="1"/>
    </xf>
    <xf numFmtId="0" fontId="5" fillId="0" borderId="6" xfId="0" applyFont="1" applyBorder="1" applyAlignment="1">
      <alignment horizontal="center" wrapText="1"/>
    </xf>
    <xf numFmtId="0" fontId="5" fillId="0" borderId="4" xfId="0" applyFont="1" applyBorder="1" applyAlignment="1">
      <alignment horizontal="center" wrapText="1"/>
    </xf>
    <xf numFmtId="0" fontId="5" fillId="0" borderId="3" xfId="0" applyFont="1" applyBorder="1" applyAlignment="1">
      <alignment horizontal="center" vertical="center" wrapText="1"/>
    </xf>
    <xf numFmtId="0" fontId="5" fillId="0" borderId="5" xfId="0" applyFont="1" applyBorder="1" applyAlignment="1">
      <alignment horizontal="center" vertical="center" wrapText="1"/>
    </xf>
    <xf numFmtId="0" fontId="5" fillId="0" borderId="7" xfId="0" applyFont="1" applyBorder="1" applyAlignment="1">
      <alignment horizontal="center"/>
    </xf>
    <xf numFmtId="0" fontId="18" fillId="0" borderId="3" xfId="0" applyFont="1" applyBorder="1" applyAlignment="1">
      <alignment horizontal="center" vertical="center" wrapText="1"/>
    </xf>
    <xf numFmtId="0" fontId="18" fillId="0" borderId="5" xfId="0" applyFont="1" applyBorder="1" applyAlignment="1">
      <alignment horizontal="center" vertical="center" wrapText="1"/>
    </xf>
    <xf numFmtId="0" fontId="3" fillId="0" borderId="6" xfId="0" applyFont="1" applyBorder="1" applyAlignment="1">
      <alignment horizontal="center" wrapText="1"/>
    </xf>
    <xf numFmtId="0" fontId="3" fillId="0" borderId="4" xfId="0" applyFont="1" applyBorder="1" applyAlignment="1">
      <alignment horizontal="center" wrapText="1"/>
    </xf>
    <xf numFmtId="0" fontId="3" fillId="0" borderId="3" xfId="0" applyFont="1" applyBorder="1" applyAlignment="1">
      <alignment horizontal="center" vertical="center" wrapText="1"/>
    </xf>
    <xf numFmtId="0" fontId="3" fillId="0" borderId="5" xfId="0" applyFont="1" applyBorder="1" applyAlignment="1">
      <alignment horizontal="center" vertical="center" wrapText="1"/>
    </xf>
    <xf numFmtId="0" fontId="3" fillId="0" borderId="2" xfId="0" applyFont="1" applyBorder="1" applyAlignment="1">
      <alignment horizontal="center" vertical="center" wrapText="1"/>
    </xf>
    <xf numFmtId="0" fontId="16" fillId="0" borderId="3" xfId="0" applyFont="1" applyBorder="1" applyAlignment="1">
      <alignment horizontal="center" vertical="center" wrapText="1"/>
    </xf>
    <xf numFmtId="0" fontId="16" fillId="0" borderId="5" xfId="0" applyFont="1" applyBorder="1" applyAlignment="1">
      <alignment horizontal="center" vertical="center" wrapText="1"/>
    </xf>
  </cellXfs>
  <cellStyles count="7235">
    <cellStyle name="_x000d_&#10;JournalTemplate=C:\COMFO\CTALK\JOURSTD.TPL_x000d_&#10;LbStateAddress=3 3 0 251 1 89 2 311_x000d_&#10;LbStateJou" xfId="6"/>
    <cellStyle name="%" xfId="7"/>
    <cellStyle name="_GDP Constant Prices National Currency" xfId="2438"/>
    <cellStyle name="_GDP from Multiple Sources-1" xfId="2439"/>
    <cellStyle name="_Gross domestic product current prices" xfId="2440"/>
    <cellStyle name="_Sheet1" xfId="8"/>
    <cellStyle name="_Sheet1 2" xfId="2441"/>
    <cellStyle name="_Sheet1 3" xfId="2442"/>
    <cellStyle name="_Sheet1 4" xfId="2443"/>
    <cellStyle name="_Sheet2" xfId="9"/>
    <cellStyle name="_Sheet2 2" xfId="2444"/>
    <cellStyle name="_Sheet2 3" xfId="2445"/>
    <cellStyle name="_Sheet2 4" xfId="2446"/>
    <cellStyle name="_Sheet2_1" xfId="10"/>
    <cellStyle name="_Sheet2_1 2" xfId="2447"/>
    <cellStyle name="_Sheet2_1 3" xfId="2448"/>
    <cellStyle name="_Sheet2_1 4" xfId="2449"/>
    <cellStyle name="_Sheet21" xfId="11"/>
    <cellStyle name="_Sheet21 2" xfId="2450"/>
    <cellStyle name="_Sheet21 3" xfId="2451"/>
    <cellStyle name="_Sheet21 4" xfId="2452"/>
    <cellStyle name="_Sheet3" xfId="12"/>
    <cellStyle name="_Sheet3 2" xfId="2453"/>
    <cellStyle name="_Sheet3 3" xfId="2454"/>
    <cellStyle name="_Sheet3 4" xfId="2455"/>
    <cellStyle name="_Sheet3_1" xfId="13"/>
    <cellStyle name="_Sheet3_1 2" xfId="2456"/>
    <cellStyle name="_Sheet3_1 3" xfId="2457"/>
    <cellStyle name="_Sheet3_1 4" xfId="2458"/>
    <cellStyle name="_Template" xfId="2459"/>
    <cellStyle name="04_Table text" xfId="2460"/>
    <cellStyle name="¹éº" xfId="14"/>
    <cellStyle name="20% - Accent1 2" xfId="2461"/>
    <cellStyle name="20% - Accent1 2 2" xfId="2462"/>
    <cellStyle name="20% - Accent1 2 2 2" xfId="2463"/>
    <cellStyle name="20% - Accent1 2 2 2 2" xfId="2464"/>
    <cellStyle name="20% - Accent1 2 2 2 3" xfId="2465"/>
    <cellStyle name="20% - Accent1 2 2 3" xfId="2466"/>
    <cellStyle name="20% - Accent1 2 2 4" xfId="2467"/>
    <cellStyle name="20% - Accent1 2 3" xfId="2468"/>
    <cellStyle name="20% - Accent1 2 3 2" xfId="2469"/>
    <cellStyle name="20% - Accent1 2 3 2 2" xfId="2470"/>
    <cellStyle name="20% - Accent1 2 3 2 3" xfId="2471"/>
    <cellStyle name="20% - Accent1 2 3 3" xfId="2472"/>
    <cellStyle name="20% - Accent1 2 3 4" xfId="2473"/>
    <cellStyle name="20% - Accent1 2 4" xfId="2474"/>
    <cellStyle name="20% - Accent1 2 4 2" xfId="2475"/>
    <cellStyle name="20% - Accent1 2 4 2 2" xfId="2476"/>
    <cellStyle name="20% - Accent1 2 4 2 3" xfId="2477"/>
    <cellStyle name="20% - Accent1 2 4 3" xfId="2478"/>
    <cellStyle name="20% - Accent1 2 4 4" xfId="2479"/>
    <cellStyle name="20% - Accent1 2 5" xfId="2480"/>
    <cellStyle name="20% - Accent1 2 5 2" xfId="2481"/>
    <cellStyle name="20% - Accent1 2 5 2 2" xfId="2482"/>
    <cellStyle name="20% - Accent1 2 5 2 3" xfId="2483"/>
    <cellStyle name="20% - Accent1 2 5 3" xfId="2484"/>
    <cellStyle name="20% - Accent1 2 5 4" xfId="2485"/>
    <cellStyle name="20% - Accent1 2 6" xfId="2486"/>
    <cellStyle name="20% - Accent1 2 6 2" xfId="2487"/>
    <cellStyle name="20% - Accent1 2 6 3" xfId="2488"/>
    <cellStyle name="20% - Accent1 2 7" xfId="2489"/>
    <cellStyle name="20% - Accent1 2 8" xfId="2490"/>
    <cellStyle name="20% - Accent1 3" xfId="2491"/>
    <cellStyle name="20% - Accent1 3 2" xfId="2492"/>
    <cellStyle name="20% - Accent1 3 2 2" xfId="2493"/>
    <cellStyle name="20% - Accent1 3 2 3" xfId="2494"/>
    <cellStyle name="20% - Accent1 3 3" xfId="2495"/>
    <cellStyle name="20% - Accent1 3 4" xfId="2496"/>
    <cellStyle name="20% - Accent1 4" xfId="2497"/>
    <cellStyle name="20% - Accent1 4 2" xfId="2498"/>
    <cellStyle name="20% - Accent1 4 2 2" xfId="2499"/>
    <cellStyle name="20% - Accent1 4 2 3" xfId="2500"/>
    <cellStyle name="20% - Accent1 4 3" xfId="2501"/>
    <cellStyle name="20% - Accent1 4 4" xfId="2502"/>
    <cellStyle name="20% - Accent1 5" xfId="2503"/>
    <cellStyle name="20% - Accent1 5 2" xfId="2504"/>
    <cellStyle name="20% - Accent1 5 2 2" xfId="2505"/>
    <cellStyle name="20% - Accent1 5 2 3" xfId="2506"/>
    <cellStyle name="20% - Accent1 5 3" xfId="2507"/>
    <cellStyle name="20% - Accent1 5 4" xfId="2508"/>
    <cellStyle name="20% - Accent1 6" xfId="2509"/>
    <cellStyle name="20% - Accent1 6 2" xfId="2510"/>
    <cellStyle name="20% - Accent1 6 2 2" xfId="2511"/>
    <cellStyle name="20% - Accent1 6 2 3" xfId="2512"/>
    <cellStyle name="20% - Accent1 6 3" xfId="2513"/>
    <cellStyle name="20% - Accent1 6 4" xfId="2514"/>
    <cellStyle name="20% - Accent1 7" xfId="2515"/>
    <cellStyle name="20% - Accent1 7 2" xfId="2516"/>
    <cellStyle name="20% - Accent1 7 3" xfId="2517"/>
    <cellStyle name="20% - Accent2 2" xfId="2518"/>
    <cellStyle name="20% - Accent2 2 2" xfId="2519"/>
    <cellStyle name="20% - Accent2 2 2 2" xfId="2520"/>
    <cellStyle name="20% - Accent2 2 2 2 2" xfId="2521"/>
    <cellStyle name="20% - Accent2 2 2 2 3" xfId="2522"/>
    <cellStyle name="20% - Accent2 2 2 3" xfId="2523"/>
    <cellStyle name="20% - Accent2 2 2 4" xfId="2524"/>
    <cellStyle name="20% - Accent2 2 3" xfId="2525"/>
    <cellStyle name="20% - Accent2 2 3 2" xfId="2526"/>
    <cellStyle name="20% - Accent2 2 3 2 2" xfId="2527"/>
    <cellStyle name="20% - Accent2 2 3 2 3" xfId="2528"/>
    <cellStyle name="20% - Accent2 2 3 3" xfId="2529"/>
    <cellStyle name="20% - Accent2 2 3 4" xfId="2530"/>
    <cellStyle name="20% - Accent2 2 4" xfId="2531"/>
    <cellStyle name="20% - Accent2 2 4 2" xfId="2532"/>
    <cellStyle name="20% - Accent2 2 4 2 2" xfId="2533"/>
    <cellStyle name="20% - Accent2 2 4 2 3" xfId="2534"/>
    <cellStyle name="20% - Accent2 2 4 3" xfId="2535"/>
    <cellStyle name="20% - Accent2 2 4 4" xfId="2536"/>
    <cellStyle name="20% - Accent2 2 5" xfId="2537"/>
    <cellStyle name="20% - Accent2 2 5 2" xfId="2538"/>
    <cellStyle name="20% - Accent2 2 5 2 2" xfId="2539"/>
    <cellStyle name="20% - Accent2 2 5 2 3" xfId="2540"/>
    <cellStyle name="20% - Accent2 2 5 3" xfId="2541"/>
    <cellStyle name="20% - Accent2 2 5 4" xfId="2542"/>
    <cellStyle name="20% - Accent2 2 6" xfId="2543"/>
    <cellStyle name="20% - Accent2 2 6 2" xfId="2544"/>
    <cellStyle name="20% - Accent2 2 6 3" xfId="2545"/>
    <cellStyle name="20% - Accent2 2 7" xfId="2546"/>
    <cellStyle name="20% - Accent2 2 8" xfId="2547"/>
    <cellStyle name="20% - Accent2 3" xfId="2548"/>
    <cellStyle name="20% - Accent2 3 2" xfId="2549"/>
    <cellStyle name="20% - Accent2 3 2 2" xfId="2550"/>
    <cellStyle name="20% - Accent2 3 2 3" xfId="2551"/>
    <cellStyle name="20% - Accent2 3 3" xfId="2552"/>
    <cellStyle name="20% - Accent2 3 4" xfId="2553"/>
    <cellStyle name="20% - Accent2 4" xfId="2554"/>
    <cellStyle name="20% - Accent2 4 2" xfId="2555"/>
    <cellStyle name="20% - Accent2 4 2 2" xfId="2556"/>
    <cellStyle name="20% - Accent2 4 2 3" xfId="2557"/>
    <cellStyle name="20% - Accent2 4 3" xfId="2558"/>
    <cellStyle name="20% - Accent2 4 4" xfId="2559"/>
    <cellStyle name="20% - Accent2 5" xfId="2560"/>
    <cellStyle name="20% - Accent2 5 2" xfId="2561"/>
    <cellStyle name="20% - Accent2 5 2 2" xfId="2562"/>
    <cellStyle name="20% - Accent2 5 2 3" xfId="2563"/>
    <cellStyle name="20% - Accent2 5 3" xfId="2564"/>
    <cellStyle name="20% - Accent2 5 4" xfId="2565"/>
    <cellStyle name="20% - Accent2 6" xfId="2566"/>
    <cellStyle name="20% - Accent2 6 2" xfId="2567"/>
    <cellStyle name="20% - Accent2 6 2 2" xfId="2568"/>
    <cellStyle name="20% - Accent2 6 2 3" xfId="2569"/>
    <cellStyle name="20% - Accent2 6 3" xfId="2570"/>
    <cellStyle name="20% - Accent2 6 4" xfId="2571"/>
    <cellStyle name="20% - Accent2 7" xfId="2572"/>
    <cellStyle name="20% - Accent2 7 2" xfId="2573"/>
    <cellStyle name="20% - Accent2 7 3" xfId="2574"/>
    <cellStyle name="20% - Accent3 2" xfId="2575"/>
    <cellStyle name="20% - Accent3 2 2" xfId="2576"/>
    <cellStyle name="20% - Accent3 2 2 2" xfId="2577"/>
    <cellStyle name="20% - Accent3 2 2 2 2" xfId="2578"/>
    <cellStyle name="20% - Accent3 2 2 2 3" xfId="2579"/>
    <cellStyle name="20% - Accent3 2 2 3" xfId="2580"/>
    <cellStyle name="20% - Accent3 2 2 4" xfId="2581"/>
    <cellStyle name="20% - Accent3 2 3" xfId="2582"/>
    <cellStyle name="20% - Accent3 2 3 2" xfId="2583"/>
    <cellStyle name="20% - Accent3 2 3 2 2" xfId="2584"/>
    <cellStyle name="20% - Accent3 2 3 2 3" xfId="2585"/>
    <cellStyle name="20% - Accent3 2 3 3" xfId="2586"/>
    <cellStyle name="20% - Accent3 2 3 4" xfId="2587"/>
    <cellStyle name="20% - Accent3 2 4" xfId="2588"/>
    <cellStyle name="20% - Accent3 2 4 2" xfId="2589"/>
    <cellStyle name="20% - Accent3 2 4 2 2" xfId="2590"/>
    <cellStyle name="20% - Accent3 2 4 2 3" xfId="2591"/>
    <cellStyle name="20% - Accent3 2 4 3" xfId="2592"/>
    <cellStyle name="20% - Accent3 2 4 4" xfId="2593"/>
    <cellStyle name="20% - Accent3 2 5" xfId="2594"/>
    <cellStyle name="20% - Accent3 2 5 2" xfId="2595"/>
    <cellStyle name="20% - Accent3 2 5 2 2" xfId="2596"/>
    <cellStyle name="20% - Accent3 2 5 2 3" xfId="2597"/>
    <cellStyle name="20% - Accent3 2 5 3" xfId="2598"/>
    <cellStyle name="20% - Accent3 2 5 4" xfId="2599"/>
    <cellStyle name="20% - Accent3 2 6" xfId="2600"/>
    <cellStyle name="20% - Accent3 2 6 2" xfId="2601"/>
    <cellStyle name="20% - Accent3 2 6 3" xfId="2602"/>
    <cellStyle name="20% - Accent3 2 7" xfId="2603"/>
    <cellStyle name="20% - Accent3 2 8" xfId="2604"/>
    <cellStyle name="20% - Accent3 3" xfId="2605"/>
    <cellStyle name="20% - Accent3 3 2" xfId="2606"/>
    <cellStyle name="20% - Accent3 3 2 2" xfId="2607"/>
    <cellStyle name="20% - Accent3 3 2 3" xfId="2608"/>
    <cellStyle name="20% - Accent3 3 3" xfId="2609"/>
    <cellStyle name="20% - Accent3 3 4" xfId="2610"/>
    <cellStyle name="20% - Accent3 4" xfId="2611"/>
    <cellStyle name="20% - Accent3 4 2" xfId="2612"/>
    <cellStyle name="20% - Accent3 4 2 2" xfId="2613"/>
    <cellStyle name="20% - Accent3 4 2 3" xfId="2614"/>
    <cellStyle name="20% - Accent3 4 3" xfId="2615"/>
    <cellStyle name="20% - Accent3 4 4" xfId="2616"/>
    <cellStyle name="20% - Accent3 5" xfId="2617"/>
    <cellStyle name="20% - Accent3 5 2" xfId="2618"/>
    <cellStyle name="20% - Accent3 5 2 2" xfId="2619"/>
    <cellStyle name="20% - Accent3 5 2 3" xfId="2620"/>
    <cellStyle name="20% - Accent3 5 3" xfId="2621"/>
    <cellStyle name="20% - Accent3 5 4" xfId="2622"/>
    <cellStyle name="20% - Accent3 6" xfId="2623"/>
    <cellStyle name="20% - Accent3 6 2" xfId="2624"/>
    <cellStyle name="20% - Accent3 6 2 2" xfId="2625"/>
    <cellStyle name="20% - Accent3 6 2 3" xfId="2626"/>
    <cellStyle name="20% - Accent3 6 3" xfId="2627"/>
    <cellStyle name="20% - Accent3 6 4" xfId="2628"/>
    <cellStyle name="20% - Accent3 7" xfId="2629"/>
    <cellStyle name="20% - Accent3 7 2" xfId="2630"/>
    <cellStyle name="20% - Accent3 7 3" xfId="2631"/>
    <cellStyle name="20% - Accent4 2" xfId="2632"/>
    <cellStyle name="20% - Accent4 2 2" xfId="2633"/>
    <cellStyle name="20% - Accent4 2 2 2" xfId="2634"/>
    <cellStyle name="20% - Accent4 2 2 2 2" xfId="2635"/>
    <cellStyle name="20% - Accent4 2 2 2 3" xfId="2636"/>
    <cellStyle name="20% - Accent4 2 2 3" xfId="2637"/>
    <cellStyle name="20% - Accent4 2 2 4" xfId="2638"/>
    <cellStyle name="20% - Accent4 2 3" xfId="2639"/>
    <cellStyle name="20% - Accent4 2 3 2" xfId="2640"/>
    <cellStyle name="20% - Accent4 2 3 2 2" xfId="2641"/>
    <cellStyle name="20% - Accent4 2 3 2 3" xfId="2642"/>
    <cellStyle name="20% - Accent4 2 3 3" xfId="2643"/>
    <cellStyle name="20% - Accent4 2 3 4" xfId="2644"/>
    <cellStyle name="20% - Accent4 2 4" xfId="2645"/>
    <cellStyle name="20% - Accent4 2 4 2" xfId="2646"/>
    <cellStyle name="20% - Accent4 2 4 2 2" xfId="2647"/>
    <cellStyle name="20% - Accent4 2 4 2 3" xfId="2648"/>
    <cellStyle name="20% - Accent4 2 4 3" xfId="2649"/>
    <cellStyle name="20% - Accent4 2 4 4" xfId="2650"/>
    <cellStyle name="20% - Accent4 2 5" xfId="2651"/>
    <cellStyle name="20% - Accent4 2 5 2" xfId="2652"/>
    <cellStyle name="20% - Accent4 2 5 2 2" xfId="2653"/>
    <cellStyle name="20% - Accent4 2 5 2 3" xfId="2654"/>
    <cellStyle name="20% - Accent4 2 5 3" xfId="2655"/>
    <cellStyle name="20% - Accent4 2 5 4" xfId="2656"/>
    <cellStyle name="20% - Accent4 2 6" xfId="2657"/>
    <cellStyle name="20% - Accent4 2 6 2" xfId="2658"/>
    <cellStyle name="20% - Accent4 2 6 3" xfId="2659"/>
    <cellStyle name="20% - Accent4 2 7" xfId="2660"/>
    <cellStyle name="20% - Accent4 2 8" xfId="2661"/>
    <cellStyle name="20% - Accent4 3" xfId="2662"/>
    <cellStyle name="20% - Accent4 3 2" xfId="2663"/>
    <cellStyle name="20% - Accent4 3 2 2" xfId="2664"/>
    <cellStyle name="20% - Accent4 3 2 3" xfId="2665"/>
    <cellStyle name="20% - Accent4 3 3" xfId="2666"/>
    <cellStyle name="20% - Accent4 3 4" xfId="2667"/>
    <cellStyle name="20% - Accent4 4" xfId="2668"/>
    <cellStyle name="20% - Accent4 4 2" xfId="2669"/>
    <cellStyle name="20% - Accent4 4 2 2" xfId="2670"/>
    <cellStyle name="20% - Accent4 4 2 3" xfId="2671"/>
    <cellStyle name="20% - Accent4 4 3" xfId="2672"/>
    <cellStyle name="20% - Accent4 4 4" xfId="2673"/>
    <cellStyle name="20% - Accent4 5" xfId="2674"/>
    <cellStyle name="20% - Accent4 5 2" xfId="2675"/>
    <cellStyle name="20% - Accent4 5 2 2" xfId="2676"/>
    <cellStyle name="20% - Accent4 5 2 3" xfId="2677"/>
    <cellStyle name="20% - Accent4 5 3" xfId="2678"/>
    <cellStyle name="20% - Accent4 5 4" xfId="2679"/>
    <cellStyle name="20% - Accent4 6" xfId="2680"/>
    <cellStyle name="20% - Accent4 6 2" xfId="2681"/>
    <cellStyle name="20% - Accent4 6 2 2" xfId="2682"/>
    <cellStyle name="20% - Accent4 6 2 3" xfId="2683"/>
    <cellStyle name="20% - Accent4 6 3" xfId="2684"/>
    <cellStyle name="20% - Accent4 6 4" xfId="2685"/>
    <cellStyle name="20% - Accent4 7" xfId="2686"/>
    <cellStyle name="20% - Accent4 7 2" xfId="2687"/>
    <cellStyle name="20% - Accent4 7 3" xfId="2688"/>
    <cellStyle name="20% - Accent5 2" xfId="2689"/>
    <cellStyle name="20% - Accent5 2 2" xfId="2690"/>
    <cellStyle name="20% - Accent5 2 2 2" xfId="2691"/>
    <cellStyle name="20% - Accent5 2 2 2 2" xfId="2692"/>
    <cellStyle name="20% - Accent5 2 2 2 3" xfId="2693"/>
    <cellStyle name="20% - Accent5 2 2 3" xfId="2694"/>
    <cellStyle name="20% - Accent5 2 2 4" xfId="2695"/>
    <cellStyle name="20% - Accent5 2 3" xfId="2696"/>
    <cellStyle name="20% - Accent5 2 3 2" xfId="2697"/>
    <cellStyle name="20% - Accent5 2 3 2 2" xfId="2698"/>
    <cellStyle name="20% - Accent5 2 3 2 3" xfId="2699"/>
    <cellStyle name="20% - Accent5 2 3 3" xfId="2700"/>
    <cellStyle name="20% - Accent5 2 3 4" xfId="2701"/>
    <cellStyle name="20% - Accent5 2 4" xfId="2702"/>
    <cellStyle name="20% - Accent5 2 4 2" xfId="2703"/>
    <cellStyle name="20% - Accent5 2 4 2 2" xfId="2704"/>
    <cellStyle name="20% - Accent5 2 4 2 3" xfId="2705"/>
    <cellStyle name="20% - Accent5 2 4 3" xfId="2706"/>
    <cellStyle name="20% - Accent5 2 4 4" xfId="2707"/>
    <cellStyle name="20% - Accent5 2 5" xfId="2708"/>
    <cellStyle name="20% - Accent5 2 5 2" xfId="2709"/>
    <cellStyle name="20% - Accent5 2 5 2 2" xfId="2710"/>
    <cellStyle name="20% - Accent5 2 5 2 3" xfId="2711"/>
    <cellStyle name="20% - Accent5 2 5 3" xfId="2712"/>
    <cellStyle name="20% - Accent5 2 5 4" xfId="2713"/>
    <cellStyle name="20% - Accent5 2 6" xfId="2714"/>
    <cellStyle name="20% - Accent5 2 6 2" xfId="2715"/>
    <cellStyle name="20% - Accent5 2 6 3" xfId="2716"/>
    <cellStyle name="20% - Accent5 2 7" xfId="2717"/>
    <cellStyle name="20% - Accent5 2 8" xfId="2718"/>
    <cellStyle name="20% - Accent5 3" xfId="2719"/>
    <cellStyle name="20% - Accent5 3 2" xfId="2720"/>
    <cellStyle name="20% - Accent5 3 2 2" xfId="2721"/>
    <cellStyle name="20% - Accent5 3 2 3" xfId="2722"/>
    <cellStyle name="20% - Accent5 3 3" xfId="2723"/>
    <cellStyle name="20% - Accent5 3 4" xfId="2724"/>
    <cellStyle name="20% - Accent5 4" xfId="2725"/>
    <cellStyle name="20% - Accent5 4 2" xfId="2726"/>
    <cellStyle name="20% - Accent5 4 2 2" xfId="2727"/>
    <cellStyle name="20% - Accent5 4 2 3" xfId="2728"/>
    <cellStyle name="20% - Accent5 4 3" xfId="2729"/>
    <cellStyle name="20% - Accent5 4 4" xfId="2730"/>
    <cellStyle name="20% - Accent5 5" xfId="2731"/>
    <cellStyle name="20% - Accent5 5 2" xfId="2732"/>
    <cellStyle name="20% - Accent5 5 2 2" xfId="2733"/>
    <cellStyle name="20% - Accent5 5 2 3" xfId="2734"/>
    <cellStyle name="20% - Accent5 5 3" xfId="2735"/>
    <cellStyle name="20% - Accent5 5 4" xfId="2736"/>
    <cellStyle name="20% - Accent5 6" xfId="2737"/>
    <cellStyle name="20% - Accent5 6 2" xfId="2738"/>
    <cellStyle name="20% - Accent5 6 2 2" xfId="2739"/>
    <cellStyle name="20% - Accent5 6 2 3" xfId="2740"/>
    <cellStyle name="20% - Accent5 6 3" xfId="2741"/>
    <cellStyle name="20% - Accent5 6 4" xfId="2742"/>
    <cellStyle name="20% - Accent5 7" xfId="2743"/>
    <cellStyle name="20% - Accent5 7 2" xfId="2744"/>
    <cellStyle name="20% - Accent5 7 3" xfId="2745"/>
    <cellStyle name="20% - Accent6 2" xfId="2746"/>
    <cellStyle name="20% - Accent6 2 2" xfId="2747"/>
    <cellStyle name="20% - Accent6 2 2 2" xfId="2748"/>
    <cellStyle name="20% - Accent6 2 2 2 2" xfId="2749"/>
    <cellStyle name="20% - Accent6 2 2 2 3" xfId="2750"/>
    <cellStyle name="20% - Accent6 2 2 3" xfId="2751"/>
    <cellStyle name="20% - Accent6 2 2 4" xfId="2752"/>
    <cellStyle name="20% - Accent6 2 3" xfId="2753"/>
    <cellStyle name="20% - Accent6 2 3 2" xfId="2754"/>
    <cellStyle name="20% - Accent6 2 3 2 2" xfId="2755"/>
    <cellStyle name="20% - Accent6 2 3 2 3" xfId="2756"/>
    <cellStyle name="20% - Accent6 2 3 3" xfId="2757"/>
    <cellStyle name="20% - Accent6 2 3 4" xfId="2758"/>
    <cellStyle name="20% - Accent6 2 4" xfId="2759"/>
    <cellStyle name="20% - Accent6 2 4 2" xfId="2760"/>
    <cellStyle name="20% - Accent6 2 4 2 2" xfId="2761"/>
    <cellStyle name="20% - Accent6 2 4 2 3" xfId="2762"/>
    <cellStyle name="20% - Accent6 2 4 3" xfId="2763"/>
    <cellStyle name="20% - Accent6 2 4 4" xfId="2764"/>
    <cellStyle name="20% - Accent6 2 5" xfId="2765"/>
    <cellStyle name="20% - Accent6 2 5 2" xfId="2766"/>
    <cellStyle name="20% - Accent6 2 5 2 2" xfId="2767"/>
    <cellStyle name="20% - Accent6 2 5 2 3" xfId="2768"/>
    <cellStyle name="20% - Accent6 2 5 3" xfId="2769"/>
    <cellStyle name="20% - Accent6 2 5 4" xfId="2770"/>
    <cellStyle name="20% - Accent6 2 6" xfId="2771"/>
    <cellStyle name="20% - Accent6 2 6 2" xfId="2772"/>
    <cellStyle name="20% - Accent6 2 6 3" xfId="2773"/>
    <cellStyle name="20% - Accent6 2 7" xfId="2774"/>
    <cellStyle name="20% - Accent6 2 8" xfId="2775"/>
    <cellStyle name="20% - Accent6 3" xfId="2776"/>
    <cellStyle name="20% - Accent6 3 2" xfId="2777"/>
    <cellStyle name="20% - Accent6 3 2 2" xfId="2778"/>
    <cellStyle name="20% - Accent6 3 2 3" xfId="2779"/>
    <cellStyle name="20% - Accent6 3 3" xfId="2780"/>
    <cellStyle name="20% - Accent6 3 4" xfId="2781"/>
    <cellStyle name="20% - Accent6 4" xfId="2782"/>
    <cellStyle name="20% - Accent6 4 2" xfId="2783"/>
    <cellStyle name="20% - Accent6 4 2 2" xfId="2784"/>
    <cellStyle name="20% - Accent6 4 2 3" xfId="2785"/>
    <cellStyle name="20% - Accent6 4 3" xfId="2786"/>
    <cellStyle name="20% - Accent6 4 4" xfId="2787"/>
    <cellStyle name="20% - Accent6 5" xfId="2788"/>
    <cellStyle name="20% - Accent6 5 2" xfId="2789"/>
    <cellStyle name="20% - Accent6 5 2 2" xfId="2790"/>
    <cellStyle name="20% - Accent6 5 2 3" xfId="2791"/>
    <cellStyle name="20% - Accent6 5 3" xfId="2792"/>
    <cellStyle name="20% - Accent6 5 4" xfId="2793"/>
    <cellStyle name="20% - Accent6 6" xfId="2794"/>
    <cellStyle name="20% - Accent6 6 2" xfId="2795"/>
    <cellStyle name="20% - Accent6 6 2 2" xfId="2796"/>
    <cellStyle name="20% - Accent6 6 2 3" xfId="2797"/>
    <cellStyle name="20% - Accent6 6 3" xfId="2798"/>
    <cellStyle name="20% - Accent6 6 4" xfId="2799"/>
    <cellStyle name="20% - Accent6 7" xfId="2800"/>
    <cellStyle name="20% - Accent6 7 2" xfId="2801"/>
    <cellStyle name="20% - Accent6 7 3" xfId="2802"/>
    <cellStyle name="40% - Accent1 2" xfId="2803"/>
    <cellStyle name="40% - Accent1 2 2" xfId="2804"/>
    <cellStyle name="40% - Accent1 2 2 2" xfId="2805"/>
    <cellStyle name="40% - Accent1 2 2 2 2" xfId="2806"/>
    <cellStyle name="40% - Accent1 2 2 2 3" xfId="2807"/>
    <cellStyle name="40% - Accent1 2 2 3" xfId="2808"/>
    <cellStyle name="40% - Accent1 2 2 4" xfId="2809"/>
    <cellStyle name="40% - Accent1 2 3" xfId="2810"/>
    <cellStyle name="40% - Accent1 2 3 2" xfId="2811"/>
    <cellStyle name="40% - Accent1 2 3 2 2" xfId="2812"/>
    <cellStyle name="40% - Accent1 2 3 2 3" xfId="2813"/>
    <cellStyle name="40% - Accent1 2 3 3" xfId="2814"/>
    <cellStyle name="40% - Accent1 2 3 4" xfId="2815"/>
    <cellStyle name="40% - Accent1 2 4" xfId="2816"/>
    <cellStyle name="40% - Accent1 2 4 2" xfId="2817"/>
    <cellStyle name="40% - Accent1 2 4 2 2" xfId="2818"/>
    <cellStyle name="40% - Accent1 2 4 2 3" xfId="2819"/>
    <cellStyle name="40% - Accent1 2 4 3" xfId="2820"/>
    <cellStyle name="40% - Accent1 2 4 4" xfId="2821"/>
    <cellStyle name="40% - Accent1 2 5" xfId="2822"/>
    <cellStyle name="40% - Accent1 2 5 2" xfId="2823"/>
    <cellStyle name="40% - Accent1 2 5 2 2" xfId="2824"/>
    <cellStyle name="40% - Accent1 2 5 2 3" xfId="2825"/>
    <cellStyle name="40% - Accent1 2 5 3" xfId="2826"/>
    <cellStyle name="40% - Accent1 2 5 4" xfId="2827"/>
    <cellStyle name="40% - Accent1 2 6" xfId="2828"/>
    <cellStyle name="40% - Accent1 2 6 2" xfId="2829"/>
    <cellStyle name="40% - Accent1 2 6 3" xfId="2830"/>
    <cellStyle name="40% - Accent1 2 7" xfId="2831"/>
    <cellStyle name="40% - Accent1 2 8" xfId="2832"/>
    <cellStyle name="40% - Accent1 3" xfId="2833"/>
    <cellStyle name="40% - Accent1 3 2" xfId="2834"/>
    <cellStyle name="40% - Accent1 3 2 2" xfId="2835"/>
    <cellStyle name="40% - Accent1 3 2 3" xfId="2836"/>
    <cellStyle name="40% - Accent1 3 3" xfId="2837"/>
    <cellStyle name="40% - Accent1 3 4" xfId="2838"/>
    <cellStyle name="40% - Accent1 4" xfId="2839"/>
    <cellStyle name="40% - Accent1 4 2" xfId="2840"/>
    <cellStyle name="40% - Accent1 4 2 2" xfId="2841"/>
    <cellStyle name="40% - Accent1 4 2 3" xfId="2842"/>
    <cellStyle name="40% - Accent1 4 3" xfId="2843"/>
    <cellStyle name="40% - Accent1 4 4" xfId="2844"/>
    <cellStyle name="40% - Accent1 5" xfId="2845"/>
    <cellStyle name="40% - Accent1 5 2" xfId="2846"/>
    <cellStyle name="40% - Accent1 5 2 2" xfId="2847"/>
    <cellStyle name="40% - Accent1 5 2 3" xfId="2848"/>
    <cellStyle name="40% - Accent1 5 3" xfId="2849"/>
    <cellStyle name="40% - Accent1 5 4" xfId="2850"/>
    <cellStyle name="40% - Accent1 6" xfId="2851"/>
    <cellStyle name="40% - Accent1 6 2" xfId="2852"/>
    <cellStyle name="40% - Accent1 6 2 2" xfId="2853"/>
    <cellStyle name="40% - Accent1 6 2 3" xfId="2854"/>
    <cellStyle name="40% - Accent1 6 3" xfId="2855"/>
    <cellStyle name="40% - Accent1 6 4" xfId="2856"/>
    <cellStyle name="40% - Accent1 7" xfId="2857"/>
    <cellStyle name="40% - Accent1 7 2" xfId="2858"/>
    <cellStyle name="40% - Accent1 7 3" xfId="2859"/>
    <cellStyle name="40% - Accent2 2" xfId="2860"/>
    <cellStyle name="40% - Accent2 2 2" xfId="2861"/>
    <cellStyle name="40% - Accent2 2 2 2" xfId="2862"/>
    <cellStyle name="40% - Accent2 2 2 2 2" xfId="2863"/>
    <cellStyle name="40% - Accent2 2 2 2 3" xfId="2864"/>
    <cellStyle name="40% - Accent2 2 2 3" xfId="2865"/>
    <cellStyle name="40% - Accent2 2 2 4" xfId="2866"/>
    <cellStyle name="40% - Accent2 2 3" xfId="2867"/>
    <cellStyle name="40% - Accent2 2 3 2" xfId="2868"/>
    <cellStyle name="40% - Accent2 2 3 2 2" xfId="2869"/>
    <cellStyle name="40% - Accent2 2 3 2 3" xfId="2870"/>
    <cellStyle name="40% - Accent2 2 3 3" xfId="2871"/>
    <cellStyle name="40% - Accent2 2 3 4" xfId="2872"/>
    <cellStyle name="40% - Accent2 2 4" xfId="2873"/>
    <cellStyle name="40% - Accent2 2 4 2" xfId="2874"/>
    <cellStyle name="40% - Accent2 2 4 2 2" xfId="2875"/>
    <cellStyle name="40% - Accent2 2 4 2 3" xfId="2876"/>
    <cellStyle name="40% - Accent2 2 4 3" xfId="2877"/>
    <cellStyle name="40% - Accent2 2 4 4" xfId="2878"/>
    <cellStyle name="40% - Accent2 2 5" xfId="2879"/>
    <cellStyle name="40% - Accent2 2 5 2" xfId="2880"/>
    <cellStyle name="40% - Accent2 2 5 2 2" xfId="2881"/>
    <cellStyle name="40% - Accent2 2 5 2 3" xfId="2882"/>
    <cellStyle name="40% - Accent2 2 5 3" xfId="2883"/>
    <cellStyle name="40% - Accent2 2 5 4" xfId="2884"/>
    <cellStyle name="40% - Accent2 2 6" xfId="2885"/>
    <cellStyle name="40% - Accent2 2 6 2" xfId="2886"/>
    <cellStyle name="40% - Accent2 2 6 3" xfId="2887"/>
    <cellStyle name="40% - Accent2 2 7" xfId="2888"/>
    <cellStyle name="40% - Accent2 2 8" xfId="2889"/>
    <cellStyle name="40% - Accent2 3" xfId="2890"/>
    <cellStyle name="40% - Accent2 3 2" xfId="2891"/>
    <cellStyle name="40% - Accent2 3 2 2" xfId="2892"/>
    <cellStyle name="40% - Accent2 3 2 3" xfId="2893"/>
    <cellStyle name="40% - Accent2 3 3" xfId="2894"/>
    <cellStyle name="40% - Accent2 3 4" xfId="2895"/>
    <cellStyle name="40% - Accent2 4" xfId="2896"/>
    <cellStyle name="40% - Accent2 4 2" xfId="2897"/>
    <cellStyle name="40% - Accent2 4 2 2" xfId="2898"/>
    <cellStyle name="40% - Accent2 4 2 3" xfId="2899"/>
    <cellStyle name="40% - Accent2 4 3" xfId="2900"/>
    <cellStyle name="40% - Accent2 4 4" xfId="2901"/>
    <cellStyle name="40% - Accent2 5" xfId="2902"/>
    <cellStyle name="40% - Accent2 5 2" xfId="2903"/>
    <cellStyle name="40% - Accent2 5 2 2" xfId="2904"/>
    <cellStyle name="40% - Accent2 5 2 3" xfId="2905"/>
    <cellStyle name="40% - Accent2 5 3" xfId="2906"/>
    <cellStyle name="40% - Accent2 5 4" xfId="2907"/>
    <cellStyle name="40% - Accent2 6" xfId="2908"/>
    <cellStyle name="40% - Accent2 6 2" xfId="2909"/>
    <cellStyle name="40% - Accent2 6 2 2" xfId="2910"/>
    <cellStyle name="40% - Accent2 6 2 3" xfId="2911"/>
    <cellStyle name="40% - Accent2 6 3" xfId="2912"/>
    <cellStyle name="40% - Accent2 6 4" xfId="2913"/>
    <cellStyle name="40% - Accent2 7" xfId="2914"/>
    <cellStyle name="40% - Accent2 7 2" xfId="2915"/>
    <cellStyle name="40% - Accent2 7 3" xfId="2916"/>
    <cellStyle name="40% - Accent3 2" xfId="2917"/>
    <cellStyle name="40% - Accent3 2 2" xfId="2918"/>
    <cellStyle name="40% - Accent3 2 2 2" xfId="2919"/>
    <cellStyle name="40% - Accent3 2 2 2 2" xfId="2920"/>
    <cellStyle name="40% - Accent3 2 2 2 3" xfId="2921"/>
    <cellStyle name="40% - Accent3 2 2 3" xfId="2922"/>
    <cellStyle name="40% - Accent3 2 2 4" xfId="2923"/>
    <cellStyle name="40% - Accent3 2 3" xfId="2924"/>
    <cellStyle name="40% - Accent3 2 3 2" xfId="2925"/>
    <cellStyle name="40% - Accent3 2 3 2 2" xfId="2926"/>
    <cellStyle name="40% - Accent3 2 3 2 3" xfId="2927"/>
    <cellStyle name="40% - Accent3 2 3 3" xfId="2928"/>
    <cellStyle name="40% - Accent3 2 3 4" xfId="2929"/>
    <cellStyle name="40% - Accent3 2 4" xfId="2930"/>
    <cellStyle name="40% - Accent3 2 4 2" xfId="2931"/>
    <cellStyle name="40% - Accent3 2 4 2 2" xfId="2932"/>
    <cellStyle name="40% - Accent3 2 4 2 3" xfId="2933"/>
    <cellStyle name="40% - Accent3 2 4 3" xfId="2934"/>
    <cellStyle name="40% - Accent3 2 4 4" xfId="2935"/>
    <cellStyle name="40% - Accent3 2 5" xfId="2936"/>
    <cellStyle name="40% - Accent3 2 5 2" xfId="2937"/>
    <cellStyle name="40% - Accent3 2 5 2 2" xfId="2938"/>
    <cellStyle name="40% - Accent3 2 5 2 3" xfId="2939"/>
    <cellStyle name="40% - Accent3 2 5 3" xfId="2940"/>
    <cellStyle name="40% - Accent3 2 5 4" xfId="2941"/>
    <cellStyle name="40% - Accent3 2 6" xfId="2942"/>
    <cellStyle name="40% - Accent3 2 6 2" xfId="2943"/>
    <cellStyle name="40% - Accent3 2 6 3" xfId="2944"/>
    <cellStyle name="40% - Accent3 2 7" xfId="2945"/>
    <cellStyle name="40% - Accent3 2 8" xfId="2946"/>
    <cellStyle name="40% - Accent3 3" xfId="2947"/>
    <cellStyle name="40% - Accent3 3 2" xfId="2948"/>
    <cellStyle name="40% - Accent3 3 2 2" xfId="2949"/>
    <cellStyle name="40% - Accent3 3 2 3" xfId="2950"/>
    <cellStyle name="40% - Accent3 3 3" xfId="2951"/>
    <cellStyle name="40% - Accent3 3 4" xfId="2952"/>
    <cellStyle name="40% - Accent3 4" xfId="2953"/>
    <cellStyle name="40% - Accent3 4 2" xfId="2954"/>
    <cellStyle name="40% - Accent3 4 2 2" xfId="2955"/>
    <cellStyle name="40% - Accent3 4 2 3" xfId="2956"/>
    <cellStyle name="40% - Accent3 4 3" xfId="2957"/>
    <cellStyle name="40% - Accent3 4 4" xfId="2958"/>
    <cellStyle name="40% - Accent3 5" xfId="2959"/>
    <cellStyle name="40% - Accent3 5 2" xfId="2960"/>
    <cellStyle name="40% - Accent3 5 2 2" xfId="2961"/>
    <cellStyle name="40% - Accent3 5 2 3" xfId="2962"/>
    <cellStyle name="40% - Accent3 5 3" xfId="2963"/>
    <cellStyle name="40% - Accent3 5 4" xfId="2964"/>
    <cellStyle name="40% - Accent3 6" xfId="2965"/>
    <cellStyle name="40% - Accent3 6 2" xfId="2966"/>
    <cellStyle name="40% - Accent3 6 2 2" xfId="2967"/>
    <cellStyle name="40% - Accent3 6 2 3" xfId="2968"/>
    <cellStyle name="40% - Accent3 6 3" xfId="2969"/>
    <cellStyle name="40% - Accent3 6 4" xfId="2970"/>
    <cellStyle name="40% - Accent3 7" xfId="2971"/>
    <cellStyle name="40% - Accent3 7 2" xfId="2972"/>
    <cellStyle name="40% - Accent3 7 3" xfId="2973"/>
    <cellStyle name="40% - Accent4 2" xfId="2974"/>
    <cellStyle name="40% - Accent4 2 2" xfId="2975"/>
    <cellStyle name="40% - Accent4 2 2 2" xfId="2976"/>
    <cellStyle name="40% - Accent4 2 2 2 2" xfId="2977"/>
    <cellStyle name="40% - Accent4 2 2 2 3" xfId="2978"/>
    <cellStyle name="40% - Accent4 2 2 3" xfId="2979"/>
    <cellStyle name="40% - Accent4 2 2 4" xfId="2980"/>
    <cellStyle name="40% - Accent4 2 3" xfId="2981"/>
    <cellStyle name="40% - Accent4 2 3 2" xfId="2982"/>
    <cellStyle name="40% - Accent4 2 3 2 2" xfId="2983"/>
    <cellStyle name="40% - Accent4 2 3 2 3" xfId="2984"/>
    <cellStyle name="40% - Accent4 2 3 3" xfId="2985"/>
    <cellStyle name="40% - Accent4 2 3 4" xfId="2986"/>
    <cellStyle name="40% - Accent4 2 4" xfId="2987"/>
    <cellStyle name="40% - Accent4 2 4 2" xfId="2988"/>
    <cellStyle name="40% - Accent4 2 4 2 2" xfId="2989"/>
    <cellStyle name="40% - Accent4 2 4 2 3" xfId="2990"/>
    <cellStyle name="40% - Accent4 2 4 3" xfId="2991"/>
    <cellStyle name="40% - Accent4 2 4 4" xfId="2992"/>
    <cellStyle name="40% - Accent4 2 5" xfId="2993"/>
    <cellStyle name="40% - Accent4 2 5 2" xfId="2994"/>
    <cellStyle name="40% - Accent4 2 5 2 2" xfId="2995"/>
    <cellStyle name="40% - Accent4 2 5 2 3" xfId="2996"/>
    <cellStyle name="40% - Accent4 2 5 3" xfId="2997"/>
    <cellStyle name="40% - Accent4 2 5 4" xfId="2998"/>
    <cellStyle name="40% - Accent4 2 6" xfId="2999"/>
    <cellStyle name="40% - Accent4 2 6 2" xfId="3000"/>
    <cellStyle name="40% - Accent4 2 6 3" xfId="3001"/>
    <cellStyle name="40% - Accent4 2 7" xfId="3002"/>
    <cellStyle name="40% - Accent4 2 8" xfId="3003"/>
    <cellStyle name="40% - Accent4 3" xfId="3004"/>
    <cellStyle name="40% - Accent4 3 2" xfId="3005"/>
    <cellStyle name="40% - Accent4 3 2 2" xfId="3006"/>
    <cellStyle name="40% - Accent4 3 2 3" xfId="3007"/>
    <cellStyle name="40% - Accent4 3 3" xfId="3008"/>
    <cellStyle name="40% - Accent4 3 4" xfId="3009"/>
    <cellStyle name="40% - Accent4 4" xfId="3010"/>
    <cellStyle name="40% - Accent4 4 2" xfId="3011"/>
    <cellStyle name="40% - Accent4 4 2 2" xfId="3012"/>
    <cellStyle name="40% - Accent4 4 2 3" xfId="3013"/>
    <cellStyle name="40% - Accent4 4 3" xfId="3014"/>
    <cellStyle name="40% - Accent4 4 4" xfId="3015"/>
    <cellStyle name="40% - Accent4 5" xfId="3016"/>
    <cellStyle name="40% - Accent4 5 2" xfId="3017"/>
    <cellStyle name="40% - Accent4 5 2 2" xfId="3018"/>
    <cellStyle name="40% - Accent4 5 2 3" xfId="3019"/>
    <cellStyle name="40% - Accent4 5 3" xfId="3020"/>
    <cellStyle name="40% - Accent4 5 4" xfId="3021"/>
    <cellStyle name="40% - Accent4 6" xfId="3022"/>
    <cellStyle name="40% - Accent4 6 2" xfId="3023"/>
    <cellStyle name="40% - Accent4 6 2 2" xfId="3024"/>
    <cellStyle name="40% - Accent4 6 2 3" xfId="3025"/>
    <cellStyle name="40% - Accent4 6 3" xfId="3026"/>
    <cellStyle name="40% - Accent4 6 4" xfId="3027"/>
    <cellStyle name="40% - Accent4 7" xfId="3028"/>
    <cellStyle name="40% - Accent4 7 2" xfId="3029"/>
    <cellStyle name="40% - Accent4 7 3" xfId="3030"/>
    <cellStyle name="40% - Accent5 2" xfId="3031"/>
    <cellStyle name="40% - Accent5 2 2" xfId="3032"/>
    <cellStyle name="40% - Accent5 2 2 2" xfId="3033"/>
    <cellStyle name="40% - Accent5 2 2 2 2" xfId="3034"/>
    <cellStyle name="40% - Accent5 2 2 2 3" xfId="3035"/>
    <cellStyle name="40% - Accent5 2 2 3" xfId="3036"/>
    <cellStyle name="40% - Accent5 2 2 4" xfId="3037"/>
    <cellStyle name="40% - Accent5 2 3" xfId="3038"/>
    <cellStyle name="40% - Accent5 2 3 2" xfId="3039"/>
    <cellStyle name="40% - Accent5 2 3 2 2" xfId="3040"/>
    <cellStyle name="40% - Accent5 2 3 2 3" xfId="3041"/>
    <cellStyle name="40% - Accent5 2 3 3" xfId="3042"/>
    <cellStyle name="40% - Accent5 2 3 4" xfId="3043"/>
    <cellStyle name="40% - Accent5 2 4" xfId="3044"/>
    <cellStyle name="40% - Accent5 2 4 2" xfId="3045"/>
    <cellStyle name="40% - Accent5 2 4 2 2" xfId="3046"/>
    <cellStyle name="40% - Accent5 2 4 2 3" xfId="3047"/>
    <cellStyle name="40% - Accent5 2 4 3" xfId="3048"/>
    <cellStyle name="40% - Accent5 2 4 4" xfId="3049"/>
    <cellStyle name="40% - Accent5 2 5" xfId="3050"/>
    <cellStyle name="40% - Accent5 2 5 2" xfId="3051"/>
    <cellStyle name="40% - Accent5 2 5 2 2" xfId="3052"/>
    <cellStyle name="40% - Accent5 2 5 2 3" xfId="3053"/>
    <cellStyle name="40% - Accent5 2 5 3" xfId="3054"/>
    <cellStyle name="40% - Accent5 2 5 4" xfId="3055"/>
    <cellStyle name="40% - Accent5 2 6" xfId="3056"/>
    <cellStyle name="40% - Accent5 2 6 2" xfId="3057"/>
    <cellStyle name="40% - Accent5 2 6 3" xfId="3058"/>
    <cellStyle name="40% - Accent5 2 7" xfId="3059"/>
    <cellStyle name="40% - Accent5 2 8" xfId="3060"/>
    <cellStyle name="40% - Accent5 3" xfId="3061"/>
    <cellStyle name="40% - Accent5 3 2" xfId="3062"/>
    <cellStyle name="40% - Accent5 3 2 2" xfId="3063"/>
    <cellStyle name="40% - Accent5 3 2 3" xfId="3064"/>
    <cellStyle name="40% - Accent5 3 3" xfId="3065"/>
    <cellStyle name="40% - Accent5 3 4" xfId="3066"/>
    <cellStyle name="40% - Accent5 4" xfId="3067"/>
    <cellStyle name="40% - Accent5 4 2" xfId="3068"/>
    <cellStyle name="40% - Accent5 4 2 2" xfId="3069"/>
    <cellStyle name="40% - Accent5 4 2 3" xfId="3070"/>
    <cellStyle name="40% - Accent5 4 3" xfId="3071"/>
    <cellStyle name="40% - Accent5 4 4" xfId="3072"/>
    <cellStyle name="40% - Accent5 5" xfId="3073"/>
    <cellStyle name="40% - Accent5 5 2" xfId="3074"/>
    <cellStyle name="40% - Accent5 5 2 2" xfId="3075"/>
    <cellStyle name="40% - Accent5 5 2 3" xfId="3076"/>
    <cellStyle name="40% - Accent5 5 3" xfId="3077"/>
    <cellStyle name="40% - Accent5 5 4" xfId="3078"/>
    <cellStyle name="40% - Accent5 6" xfId="3079"/>
    <cellStyle name="40% - Accent5 6 2" xfId="3080"/>
    <cellStyle name="40% - Accent5 6 2 2" xfId="3081"/>
    <cellStyle name="40% - Accent5 6 2 3" xfId="3082"/>
    <cellStyle name="40% - Accent5 6 3" xfId="3083"/>
    <cellStyle name="40% - Accent5 6 4" xfId="3084"/>
    <cellStyle name="40% - Accent5 7" xfId="3085"/>
    <cellStyle name="40% - Accent5 7 2" xfId="3086"/>
    <cellStyle name="40% - Accent5 7 3" xfId="3087"/>
    <cellStyle name="40% - Accent6 2" xfId="3088"/>
    <cellStyle name="40% - Accent6 2 2" xfId="3089"/>
    <cellStyle name="40% - Accent6 2 2 2" xfId="3090"/>
    <cellStyle name="40% - Accent6 2 2 2 2" xfId="3091"/>
    <cellStyle name="40% - Accent6 2 2 2 3" xfId="3092"/>
    <cellStyle name="40% - Accent6 2 2 3" xfId="3093"/>
    <cellStyle name="40% - Accent6 2 2 4" xfId="3094"/>
    <cellStyle name="40% - Accent6 2 3" xfId="3095"/>
    <cellStyle name="40% - Accent6 2 3 2" xfId="3096"/>
    <cellStyle name="40% - Accent6 2 3 2 2" xfId="3097"/>
    <cellStyle name="40% - Accent6 2 3 2 3" xfId="3098"/>
    <cellStyle name="40% - Accent6 2 3 3" xfId="3099"/>
    <cellStyle name="40% - Accent6 2 3 4" xfId="3100"/>
    <cellStyle name="40% - Accent6 2 4" xfId="3101"/>
    <cellStyle name="40% - Accent6 2 4 2" xfId="3102"/>
    <cellStyle name="40% - Accent6 2 4 2 2" xfId="3103"/>
    <cellStyle name="40% - Accent6 2 4 2 3" xfId="3104"/>
    <cellStyle name="40% - Accent6 2 4 3" xfId="3105"/>
    <cellStyle name="40% - Accent6 2 4 4" xfId="3106"/>
    <cellStyle name="40% - Accent6 2 5" xfId="3107"/>
    <cellStyle name="40% - Accent6 2 5 2" xfId="3108"/>
    <cellStyle name="40% - Accent6 2 5 2 2" xfId="3109"/>
    <cellStyle name="40% - Accent6 2 5 2 3" xfId="3110"/>
    <cellStyle name="40% - Accent6 2 5 3" xfId="3111"/>
    <cellStyle name="40% - Accent6 2 5 4" xfId="3112"/>
    <cellStyle name="40% - Accent6 2 6" xfId="3113"/>
    <cellStyle name="40% - Accent6 2 6 2" xfId="3114"/>
    <cellStyle name="40% - Accent6 2 6 3" xfId="3115"/>
    <cellStyle name="40% - Accent6 2 7" xfId="3116"/>
    <cellStyle name="40% - Accent6 2 8" xfId="3117"/>
    <cellStyle name="40% - Accent6 3" xfId="3118"/>
    <cellStyle name="40% - Accent6 3 2" xfId="3119"/>
    <cellStyle name="40% - Accent6 3 2 2" xfId="3120"/>
    <cellStyle name="40% - Accent6 3 2 3" xfId="3121"/>
    <cellStyle name="40% - Accent6 3 3" xfId="3122"/>
    <cellStyle name="40% - Accent6 3 4" xfId="3123"/>
    <cellStyle name="40% - Accent6 4" xfId="3124"/>
    <cellStyle name="40% - Accent6 4 2" xfId="3125"/>
    <cellStyle name="40% - Accent6 4 2 2" xfId="3126"/>
    <cellStyle name="40% - Accent6 4 2 3" xfId="3127"/>
    <cellStyle name="40% - Accent6 4 3" xfId="3128"/>
    <cellStyle name="40% - Accent6 4 4" xfId="3129"/>
    <cellStyle name="40% - Accent6 5" xfId="3130"/>
    <cellStyle name="40% - Accent6 5 2" xfId="3131"/>
    <cellStyle name="40% - Accent6 5 2 2" xfId="3132"/>
    <cellStyle name="40% - Accent6 5 2 3" xfId="3133"/>
    <cellStyle name="40% - Accent6 5 3" xfId="3134"/>
    <cellStyle name="40% - Accent6 5 4" xfId="3135"/>
    <cellStyle name="40% - Accent6 6" xfId="3136"/>
    <cellStyle name="40% - Accent6 6 2" xfId="3137"/>
    <cellStyle name="40% - Accent6 6 2 2" xfId="3138"/>
    <cellStyle name="40% - Accent6 6 2 3" xfId="3139"/>
    <cellStyle name="40% - Accent6 6 3" xfId="3140"/>
    <cellStyle name="40% - Accent6 6 4" xfId="3141"/>
    <cellStyle name="40% - Accent6 7" xfId="3142"/>
    <cellStyle name="40% - Accent6 7 2" xfId="3143"/>
    <cellStyle name="40% - Accent6 7 3" xfId="3144"/>
    <cellStyle name="Åë" xfId="15"/>
    <cellStyle name="Åëè­ [" xfId="16"/>
    <cellStyle name="ANCLAS,REZONES Y SUS PARTES,DE FUNDICION,DE HIERRO O DE ACERO" xfId="3145"/>
    <cellStyle name="Äþ" xfId="17"/>
    <cellStyle name="Äþ¸¶ [" xfId="18"/>
    <cellStyle name="Binlik Ayracı_2-1A-dev" xfId="19"/>
    <cellStyle name="Ç¥" xfId="20"/>
    <cellStyle name="C01_Main head" xfId="3146"/>
    <cellStyle name="C02_Column heads" xfId="3147"/>
    <cellStyle name="C03_Sub head bold" xfId="3148"/>
    <cellStyle name="C03a_Sub head" xfId="3149"/>
    <cellStyle name="C04_Total text white bold" xfId="3150"/>
    <cellStyle name="C04a_Total text black" xfId="3151"/>
    <cellStyle name="C05_Main text" xfId="3152"/>
    <cellStyle name="C06_Figs" xfId="3153"/>
    <cellStyle name="C07_Figs 1 dec percent" xfId="3154"/>
    <cellStyle name="C07a_Figs 1 dec percent white" xfId="3155"/>
    <cellStyle name="C08_Figs 1 decimal" xfId="3156"/>
    <cellStyle name="C09_Notes" xfId="3157"/>
    <cellStyle name="C10_Figs 2 decimal" xfId="3158"/>
    <cellStyle name="Comma" xfId="2435" builtinId="3"/>
    <cellStyle name="Comma [0] 2" xfId="3159"/>
    <cellStyle name="Comma [0] 3" xfId="3160"/>
    <cellStyle name="Comma 16" xfId="3161"/>
    <cellStyle name="Comma 2" xfId="21"/>
    <cellStyle name="Comma 2 10" xfId="22"/>
    <cellStyle name="Comma 2 10 2" xfId="3162"/>
    <cellStyle name="Comma 2 10 2 2" xfId="3163"/>
    <cellStyle name="Comma 2 10 2 2 2" xfId="3164"/>
    <cellStyle name="Comma 2 10 2 2 3" xfId="3165"/>
    <cellStyle name="Comma 2 10 2 3" xfId="3166"/>
    <cellStyle name="Comma 2 10 2 4" xfId="3167"/>
    <cellStyle name="Comma 2 10 3" xfId="3168"/>
    <cellStyle name="Comma 2 10 3 2" xfId="3169"/>
    <cellStyle name="Comma 2 10 3 2 2" xfId="3170"/>
    <cellStyle name="Comma 2 10 3 2 3" xfId="3171"/>
    <cellStyle name="Comma 2 10 3 3" xfId="3172"/>
    <cellStyle name="Comma 2 10 3 4" xfId="3173"/>
    <cellStyle name="Comma 2 10 4" xfId="3174"/>
    <cellStyle name="Comma 2 10 4 2" xfId="3175"/>
    <cellStyle name="Comma 2 10 4 2 2" xfId="3176"/>
    <cellStyle name="Comma 2 10 4 2 3" xfId="3177"/>
    <cellStyle name="Comma 2 10 4 3" xfId="3178"/>
    <cellStyle name="Comma 2 10 4 4" xfId="3179"/>
    <cellStyle name="Comma 2 10 5" xfId="3180"/>
    <cellStyle name="Comma 2 10 5 2" xfId="3181"/>
    <cellStyle name="Comma 2 10 5 2 2" xfId="3182"/>
    <cellStyle name="Comma 2 10 5 2 3" xfId="3183"/>
    <cellStyle name="Comma 2 10 5 3" xfId="3184"/>
    <cellStyle name="Comma 2 10 5 4" xfId="3185"/>
    <cellStyle name="Comma 2 10 6" xfId="3186"/>
    <cellStyle name="Comma 2 10 6 2" xfId="3187"/>
    <cellStyle name="Comma 2 10 6 3" xfId="3188"/>
    <cellStyle name="Comma 2 10 7" xfId="3189"/>
    <cellStyle name="Comma 2 10 8" xfId="3190"/>
    <cellStyle name="Comma 2 11" xfId="23"/>
    <cellStyle name="Comma 2 11 2" xfId="3191"/>
    <cellStyle name="Comma 2 11 2 2" xfId="3192"/>
    <cellStyle name="Comma 2 11 2 2 2" xfId="3193"/>
    <cellStyle name="Comma 2 11 2 2 3" xfId="3194"/>
    <cellStyle name="Comma 2 11 2 3" xfId="3195"/>
    <cellStyle name="Comma 2 11 2 4" xfId="3196"/>
    <cellStyle name="Comma 2 11 3" xfId="3197"/>
    <cellStyle name="Comma 2 11 3 2" xfId="3198"/>
    <cellStyle name="Comma 2 11 3 2 2" xfId="3199"/>
    <cellStyle name="Comma 2 11 3 2 3" xfId="3200"/>
    <cellStyle name="Comma 2 11 3 3" xfId="3201"/>
    <cellStyle name="Comma 2 11 3 4" xfId="3202"/>
    <cellStyle name="Comma 2 11 4" xfId="3203"/>
    <cellStyle name="Comma 2 11 4 2" xfId="3204"/>
    <cellStyle name="Comma 2 11 4 2 2" xfId="3205"/>
    <cellStyle name="Comma 2 11 4 2 3" xfId="3206"/>
    <cellStyle name="Comma 2 11 4 3" xfId="3207"/>
    <cellStyle name="Comma 2 11 4 4" xfId="3208"/>
    <cellStyle name="Comma 2 11 5" xfId="3209"/>
    <cellStyle name="Comma 2 11 5 2" xfId="3210"/>
    <cellStyle name="Comma 2 11 5 2 2" xfId="3211"/>
    <cellStyle name="Comma 2 11 5 2 3" xfId="3212"/>
    <cellStyle name="Comma 2 11 5 3" xfId="3213"/>
    <cellStyle name="Comma 2 11 5 4" xfId="3214"/>
    <cellStyle name="Comma 2 11 6" xfId="3215"/>
    <cellStyle name="Comma 2 11 6 2" xfId="3216"/>
    <cellStyle name="Comma 2 11 6 3" xfId="3217"/>
    <cellStyle name="Comma 2 11 7" xfId="3218"/>
    <cellStyle name="Comma 2 11 8" xfId="3219"/>
    <cellStyle name="Comma 2 12" xfId="24"/>
    <cellStyle name="Comma 2 12 2" xfId="3220"/>
    <cellStyle name="Comma 2 12 2 2" xfId="3221"/>
    <cellStyle name="Comma 2 12 2 2 2" xfId="3222"/>
    <cellStyle name="Comma 2 12 2 2 3" xfId="3223"/>
    <cellStyle name="Comma 2 12 2 3" xfId="3224"/>
    <cellStyle name="Comma 2 12 2 4" xfId="3225"/>
    <cellStyle name="Comma 2 12 3" xfId="3226"/>
    <cellStyle name="Comma 2 12 3 2" xfId="3227"/>
    <cellStyle name="Comma 2 12 3 2 2" xfId="3228"/>
    <cellStyle name="Comma 2 12 3 2 3" xfId="3229"/>
    <cellStyle name="Comma 2 12 3 3" xfId="3230"/>
    <cellStyle name="Comma 2 12 3 4" xfId="3231"/>
    <cellStyle name="Comma 2 12 4" xfId="3232"/>
    <cellStyle name="Comma 2 12 4 2" xfId="3233"/>
    <cellStyle name="Comma 2 12 4 2 2" xfId="3234"/>
    <cellStyle name="Comma 2 12 4 2 3" xfId="3235"/>
    <cellStyle name="Comma 2 12 4 3" xfId="3236"/>
    <cellStyle name="Comma 2 12 4 4" xfId="3237"/>
    <cellStyle name="Comma 2 12 5" xfId="3238"/>
    <cellStyle name="Comma 2 12 5 2" xfId="3239"/>
    <cellStyle name="Comma 2 12 5 2 2" xfId="3240"/>
    <cellStyle name="Comma 2 12 5 2 3" xfId="3241"/>
    <cellStyle name="Comma 2 12 5 3" xfId="3242"/>
    <cellStyle name="Comma 2 12 5 4" xfId="3243"/>
    <cellStyle name="Comma 2 12 6" xfId="3244"/>
    <cellStyle name="Comma 2 12 6 2" xfId="3245"/>
    <cellStyle name="Comma 2 12 6 3" xfId="3246"/>
    <cellStyle name="Comma 2 12 7" xfId="3247"/>
    <cellStyle name="Comma 2 12 8" xfId="3248"/>
    <cellStyle name="Comma 2 13" xfId="25"/>
    <cellStyle name="Comma 2 13 2" xfId="3249"/>
    <cellStyle name="Comma 2 13 2 2" xfId="3250"/>
    <cellStyle name="Comma 2 13 2 2 2" xfId="3251"/>
    <cellStyle name="Comma 2 13 2 2 3" xfId="3252"/>
    <cellStyle name="Comma 2 13 2 3" xfId="3253"/>
    <cellStyle name="Comma 2 13 2 4" xfId="3254"/>
    <cellStyle name="Comma 2 13 3" xfId="3255"/>
    <cellStyle name="Comma 2 13 3 2" xfId="3256"/>
    <cellStyle name="Comma 2 13 3 2 2" xfId="3257"/>
    <cellStyle name="Comma 2 13 3 2 3" xfId="3258"/>
    <cellStyle name="Comma 2 13 3 3" xfId="3259"/>
    <cellStyle name="Comma 2 13 3 4" xfId="3260"/>
    <cellStyle name="Comma 2 13 4" xfId="3261"/>
    <cellStyle name="Comma 2 13 4 2" xfId="3262"/>
    <cellStyle name="Comma 2 13 4 2 2" xfId="3263"/>
    <cellStyle name="Comma 2 13 4 2 3" xfId="3264"/>
    <cellStyle name="Comma 2 13 4 3" xfId="3265"/>
    <cellStyle name="Comma 2 13 4 4" xfId="3266"/>
    <cellStyle name="Comma 2 13 5" xfId="3267"/>
    <cellStyle name="Comma 2 13 5 2" xfId="3268"/>
    <cellStyle name="Comma 2 13 5 2 2" xfId="3269"/>
    <cellStyle name="Comma 2 13 5 2 3" xfId="3270"/>
    <cellStyle name="Comma 2 13 5 3" xfId="3271"/>
    <cellStyle name="Comma 2 13 5 4" xfId="3272"/>
    <cellStyle name="Comma 2 13 6" xfId="3273"/>
    <cellStyle name="Comma 2 13 6 2" xfId="3274"/>
    <cellStyle name="Comma 2 13 6 3" xfId="3275"/>
    <cellStyle name="Comma 2 13 7" xfId="3276"/>
    <cellStyle name="Comma 2 13 8" xfId="3277"/>
    <cellStyle name="Comma 2 14" xfId="26"/>
    <cellStyle name="Comma 2 15" xfId="27"/>
    <cellStyle name="Comma 2 16" xfId="28"/>
    <cellStyle name="Comma 2 17" xfId="29"/>
    <cellStyle name="Comma 2 18" xfId="30"/>
    <cellStyle name="Comma 2 19" xfId="31"/>
    <cellStyle name="Comma 2 2" xfId="32"/>
    <cellStyle name="Comma 2 2 10" xfId="33"/>
    <cellStyle name="Comma 2 2 11" xfId="34"/>
    <cellStyle name="Comma 2 2 12" xfId="35"/>
    <cellStyle name="Comma 2 2 13" xfId="36"/>
    <cellStyle name="Comma 2 2 14" xfId="37"/>
    <cellStyle name="Comma 2 2 15" xfId="38"/>
    <cellStyle name="Comma 2 2 15 2" xfId="3278"/>
    <cellStyle name="Comma 2 2 15 3" xfId="3279"/>
    <cellStyle name="Comma 2 2 16" xfId="39"/>
    <cellStyle name="Comma 2 2 16 2" xfId="3280"/>
    <cellStyle name="Comma 2 2 16 3" xfId="3281"/>
    <cellStyle name="Comma 2 2 17" xfId="40"/>
    <cellStyle name="Comma 2 2 17 2" xfId="3282"/>
    <cellStyle name="Comma 2 2 17 3" xfId="3283"/>
    <cellStyle name="Comma 2 2 18" xfId="41"/>
    <cellStyle name="Comma 2 2 18 2" xfId="3284"/>
    <cellStyle name="Comma 2 2 18 3" xfId="3285"/>
    <cellStyle name="Comma 2 2 19" xfId="42"/>
    <cellStyle name="Comma 2 2 19 2" xfId="3286"/>
    <cellStyle name="Comma 2 2 19 3" xfId="3287"/>
    <cellStyle name="Comma 2 2 2" xfId="43"/>
    <cellStyle name="Comma 2 2 2 10" xfId="3288"/>
    <cellStyle name="Comma 2 2 2 10 2" xfId="3289"/>
    <cellStyle name="Comma 2 2 2 10 2 2" xfId="3290"/>
    <cellStyle name="Comma 2 2 2 10 2 2 2" xfId="3291"/>
    <cellStyle name="Comma 2 2 2 10 2 2 3" xfId="3292"/>
    <cellStyle name="Comma 2 2 2 10 2 3" xfId="3293"/>
    <cellStyle name="Comma 2 2 2 10 2 4" xfId="3294"/>
    <cellStyle name="Comma 2 2 2 10 3" xfId="3295"/>
    <cellStyle name="Comma 2 2 2 10 3 2" xfId="3296"/>
    <cellStyle name="Comma 2 2 2 10 3 2 2" xfId="3297"/>
    <cellStyle name="Comma 2 2 2 10 3 2 3" xfId="3298"/>
    <cellStyle name="Comma 2 2 2 10 3 3" xfId="3299"/>
    <cellStyle name="Comma 2 2 2 10 3 4" xfId="3300"/>
    <cellStyle name="Comma 2 2 2 10 4" xfId="3301"/>
    <cellStyle name="Comma 2 2 2 10 4 2" xfId="3302"/>
    <cellStyle name="Comma 2 2 2 10 4 2 2" xfId="3303"/>
    <cellStyle name="Comma 2 2 2 10 4 2 3" xfId="3304"/>
    <cellStyle name="Comma 2 2 2 10 4 3" xfId="3305"/>
    <cellStyle name="Comma 2 2 2 10 4 4" xfId="3306"/>
    <cellStyle name="Comma 2 2 2 10 5" xfId="3307"/>
    <cellStyle name="Comma 2 2 2 10 5 2" xfId="3308"/>
    <cellStyle name="Comma 2 2 2 10 5 2 2" xfId="3309"/>
    <cellStyle name="Comma 2 2 2 10 5 2 3" xfId="3310"/>
    <cellStyle name="Comma 2 2 2 10 5 3" xfId="3311"/>
    <cellStyle name="Comma 2 2 2 10 5 4" xfId="3312"/>
    <cellStyle name="Comma 2 2 2 10 6" xfId="3313"/>
    <cellStyle name="Comma 2 2 2 10 6 2" xfId="3314"/>
    <cellStyle name="Comma 2 2 2 10 6 3" xfId="3315"/>
    <cellStyle name="Comma 2 2 2 10 7" xfId="3316"/>
    <cellStyle name="Comma 2 2 2 10 8" xfId="3317"/>
    <cellStyle name="Comma 2 2 2 11" xfId="3318"/>
    <cellStyle name="Comma 2 2 2 11 2" xfId="3319"/>
    <cellStyle name="Comma 2 2 2 11 2 2" xfId="3320"/>
    <cellStyle name="Comma 2 2 2 11 2 2 2" xfId="3321"/>
    <cellStyle name="Comma 2 2 2 11 2 2 3" xfId="3322"/>
    <cellStyle name="Comma 2 2 2 11 2 3" xfId="3323"/>
    <cellStyle name="Comma 2 2 2 11 2 4" xfId="3324"/>
    <cellStyle name="Comma 2 2 2 11 3" xfId="3325"/>
    <cellStyle name="Comma 2 2 2 11 3 2" xfId="3326"/>
    <cellStyle name="Comma 2 2 2 11 3 2 2" xfId="3327"/>
    <cellStyle name="Comma 2 2 2 11 3 2 3" xfId="3328"/>
    <cellStyle name="Comma 2 2 2 11 3 3" xfId="3329"/>
    <cellStyle name="Comma 2 2 2 11 3 4" xfId="3330"/>
    <cellStyle name="Comma 2 2 2 11 4" xfId="3331"/>
    <cellStyle name="Comma 2 2 2 11 4 2" xfId="3332"/>
    <cellStyle name="Comma 2 2 2 11 4 2 2" xfId="3333"/>
    <cellStyle name="Comma 2 2 2 11 4 2 3" xfId="3334"/>
    <cellStyle name="Comma 2 2 2 11 4 3" xfId="3335"/>
    <cellStyle name="Comma 2 2 2 11 4 4" xfId="3336"/>
    <cellStyle name="Comma 2 2 2 11 5" xfId="3337"/>
    <cellStyle name="Comma 2 2 2 11 5 2" xfId="3338"/>
    <cellStyle name="Comma 2 2 2 11 5 2 2" xfId="3339"/>
    <cellStyle name="Comma 2 2 2 11 5 2 3" xfId="3340"/>
    <cellStyle name="Comma 2 2 2 11 5 3" xfId="3341"/>
    <cellStyle name="Comma 2 2 2 11 5 4" xfId="3342"/>
    <cellStyle name="Comma 2 2 2 11 6" xfId="3343"/>
    <cellStyle name="Comma 2 2 2 11 6 2" xfId="3344"/>
    <cellStyle name="Comma 2 2 2 11 6 3" xfId="3345"/>
    <cellStyle name="Comma 2 2 2 11 7" xfId="3346"/>
    <cellStyle name="Comma 2 2 2 11 8" xfId="3347"/>
    <cellStyle name="Comma 2 2 2 12" xfId="3348"/>
    <cellStyle name="Comma 2 2 2 12 2" xfId="3349"/>
    <cellStyle name="Comma 2 2 2 12 2 2" xfId="3350"/>
    <cellStyle name="Comma 2 2 2 12 2 2 2" xfId="3351"/>
    <cellStyle name="Comma 2 2 2 12 2 2 3" xfId="3352"/>
    <cellStyle name="Comma 2 2 2 12 2 3" xfId="3353"/>
    <cellStyle name="Comma 2 2 2 12 2 4" xfId="3354"/>
    <cellStyle name="Comma 2 2 2 12 3" xfId="3355"/>
    <cellStyle name="Comma 2 2 2 12 3 2" xfId="3356"/>
    <cellStyle name="Comma 2 2 2 12 3 2 2" xfId="3357"/>
    <cellStyle name="Comma 2 2 2 12 3 2 3" xfId="3358"/>
    <cellStyle name="Comma 2 2 2 12 3 3" xfId="3359"/>
    <cellStyle name="Comma 2 2 2 12 3 4" xfId="3360"/>
    <cellStyle name="Comma 2 2 2 12 4" xfId="3361"/>
    <cellStyle name="Comma 2 2 2 12 4 2" xfId="3362"/>
    <cellStyle name="Comma 2 2 2 12 4 2 2" xfId="3363"/>
    <cellStyle name="Comma 2 2 2 12 4 2 3" xfId="3364"/>
    <cellStyle name="Comma 2 2 2 12 4 3" xfId="3365"/>
    <cellStyle name="Comma 2 2 2 12 4 4" xfId="3366"/>
    <cellStyle name="Comma 2 2 2 12 5" xfId="3367"/>
    <cellStyle name="Comma 2 2 2 12 5 2" xfId="3368"/>
    <cellStyle name="Comma 2 2 2 12 5 2 2" xfId="3369"/>
    <cellStyle name="Comma 2 2 2 12 5 2 3" xfId="3370"/>
    <cellStyle name="Comma 2 2 2 12 5 3" xfId="3371"/>
    <cellStyle name="Comma 2 2 2 12 5 4" xfId="3372"/>
    <cellStyle name="Comma 2 2 2 12 6" xfId="3373"/>
    <cellStyle name="Comma 2 2 2 12 6 2" xfId="3374"/>
    <cellStyle name="Comma 2 2 2 12 6 3" xfId="3375"/>
    <cellStyle name="Comma 2 2 2 12 7" xfId="3376"/>
    <cellStyle name="Comma 2 2 2 12 8" xfId="3377"/>
    <cellStyle name="Comma 2 2 2 13" xfId="3378"/>
    <cellStyle name="Comma 2 2 2 13 2" xfId="3379"/>
    <cellStyle name="Comma 2 2 2 13 2 2" xfId="3380"/>
    <cellStyle name="Comma 2 2 2 13 2 2 2" xfId="3381"/>
    <cellStyle name="Comma 2 2 2 13 2 2 3" xfId="3382"/>
    <cellStyle name="Comma 2 2 2 13 2 3" xfId="3383"/>
    <cellStyle name="Comma 2 2 2 13 2 4" xfId="3384"/>
    <cellStyle name="Comma 2 2 2 13 3" xfId="3385"/>
    <cellStyle name="Comma 2 2 2 13 3 2" xfId="3386"/>
    <cellStyle name="Comma 2 2 2 13 3 2 2" xfId="3387"/>
    <cellStyle name="Comma 2 2 2 13 3 2 3" xfId="3388"/>
    <cellStyle name="Comma 2 2 2 13 3 3" xfId="3389"/>
    <cellStyle name="Comma 2 2 2 13 3 4" xfId="3390"/>
    <cellStyle name="Comma 2 2 2 13 4" xfId="3391"/>
    <cellStyle name="Comma 2 2 2 13 4 2" xfId="3392"/>
    <cellStyle name="Comma 2 2 2 13 4 2 2" xfId="3393"/>
    <cellStyle name="Comma 2 2 2 13 4 2 3" xfId="3394"/>
    <cellStyle name="Comma 2 2 2 13 4 3" xfId="3395"/>
    <cellStyle name="Comma 2 2 2 13 4 4" xfId="3396"/>
    <cellStyle name="Comma 2 2 2 13 5" xfId="3397"/>
    <cellStyle name="Comma 2 2 2 13 5 2" xfId="3398"/>
    <cellStyle name="Comma 2 2 2 13 5 2 2" xfId="3399"/>
    <cellStyle name="Comma 2 2 2 13 5 2 3" xfId="3400"/>
    <cellStyle name="Comma 2 2 2 13 5 3" xfId="3401"/>
    <cellStyle name="Comma 2 2 2 13 5 4" xfId="3402"/>
    <cellStyle name="Comma 2 2 2 13 6" xfId="3403"/>
    <cellStyle name="Comma 2 2 2 13 6 2" xfId="3404"/>
    <cellStyle name="Comma 2 2 2 13 6 3" xfId="3405"/>
    <cellStyle name="Comma 2 2 2 13 7" xfId="3406"/>
    <cellStyle name="Comma 2 2 2 13 8" xfId="3407"/>
    <cellStyle name="Comma 2 2 2 14" xfId="3408"/>
    <cellStyle name="Comma 2 2 2 14 2" xfId="3409"/>
    <cellStyle name="Comma 2 2 2 14 2 2" xfId="3410"/>
    <cellStyle name="Comma 2 2 2 14 2 2 2" xfId="3411"/>
    <cellStyle name="Comma 2 2 2 14 2 2 3" xfId="3412"/>
    <cellStyle name="Comma 2 2 2 14 2 3" xfId="3413"/>
    <cellStyle name="Comma 2 2 2 14 2 4" xfId="3414"/>
    <cellStyle name="Comma 2 2 2 14 3" xfId="3415"/>
    <cellStyle name="Comma 2 2 2 14 3 2" xfId="3416"/>
    <cellStyle name="Comma 2 2 2 14 3 2 2" xfId="3417"/>
    <cellStyle name="Comma 2 2 2 14 3 2 3" xfId="3418"/>
    <cellStyle name="Comma 2 2 2 14 3 3" xfId="3419"/>
    <cellStyle name="Comma 2 2 2 14 3 4" xfId="3420"/>
    <cellStyle name="Comma 2 2 2 14 4" xfId="3421"/>
    <cellStyle name="Comma 2 2 2 14 4 2" xfId="3422"/>
    <cellStyle name="Comma 2 2 2 14 4 2 2" xfId="3423"/>
    <cellStyle name="Comma 2 2 2 14 4 2 3" xfId="3424"/>
    <cellStyle name="Comma 2 2 2 14 4 3" xfId="3425"/>
    <cellStyle name="Comma 2 2 2 14 4 4" xfId="3426"/>
    <cellStyle name="Comma 2 2 2 14 5" xfId="3427"/>
    <cellStyle name="Comma 2 2 2 14 5 2" xfId="3428"/>
    <cellStyle name="Comma 2 2 2 14 5 2 2" xfId="3429"/>
    <cellStyle name="Comma 2 2 2 14 5 2 3" xfId="3430"/>
    <cellStyle name="Comma 2 2 2 14 5 3" xfId="3431"/>
    <cellStyle name="Comma 2 2 2 14 5 4" xfId="3432"/>
    <cellStyle name="Comma 2 2 2 14 6" xfId="3433"/>
    <cellStyle name="Comma 2 2 2 14 6 2" xfId="3434"/>
    <cellStyle name="Comma 2 2 2 14 6 3" xfId="3435"/>
    <cellStyle name="Comma 2 2 2 14 7" xfId="3436"/>
    <cellStyle name="Comma 2 2 2 14 8" xfId="3437"/>
    <cellStyle name="Comma 2 2 2 15" xfId="3438"/>
    <cellStyle name="Comma 2 2 2 16" xfId="3439"/>
    <cellStyle name="Comma 2 2 2 17" xfId="3440"/>
    <cellStyle name="Comma 2 2 2 18" xfId="3441"/>
    <cellStyle name="Comma 2 2 2 19" xfId="3442"/>
    <cellStyle name="Comma 2 2 2 2" xfId="3443"/>
    <cellStyle name="Comma 2 2 2 2 10" xfId="3444"/>
    <cellStyle name="Comma 2 2 2 2 10 2" xfId="3445"/>
    <cellStyle name="Comma 2 2 2 2 10 3" xfId="3446"/>
    <cellStyle name="Comma 2 2 2 2 11" xfId="3447"/>
    <cellStyle name="Comma 2 2 2 2 11 2" xfId="3448"/>
    <cellStyle name="Comma 2 2 2 2 11 3" xfId="3449"/>
    <cellStyle name="Comma 2 2 2 2 12" xfId="3450"/>
    <cellStyle name="Comma 2 2 2 2 13" xfId="3451"/>
    <cellStyle name="Comma 2 2 2 2 2" xfId="3452"/>
    <cellStyle name="Comma 2 2 2 2 2 2" xfId="3453"/>
    <cellStyle name="Comma 2 2 2 2 2 2 2" xfId="3454"/>
    <cellStyle name="Comma 2 2 2 2 2 2 2 2" xfId="3455"/>
    <cellStyle name="Comma 2 2 2 2 2 2 2 3" xfId="3456"/>
    <cellStyle name="Comma 2 2 2 2 2 2 3" xfId="3457"/>
    <cellStyle name="Comma 2 2 2 2 2 2 4" xfId="3458"/>
    <cellStyle name="Comma 2 2 2 2 2 3" xfId="3459"/>
    <cellStyle name="Comma 2 2 2 2 2 3 2" xfId="3460"/>
    <cellStyle name="Comma 2 2 2 2 2 3 2 2" xfId="3461"/>
    <cellStyle name="Comma 2 2 2 2 2 3 2 3" xfId="3462"/>
    <cellStyle name="Comma 2 2 2 2 2 3 3" xfId="3463"/>
    <cellStyle name="Comma 2 2 2 2 2 3 4" xfId="3464"/>
    <cellStyle name="Comma 2 2 2 2 2 4" xfId="3465"/>
    <cellStyle name="Comma 2 2 2 2 2 4 2" xfId="3466"/>
    <cellStyle name="Comma 2 2 2 2 2 4 2 2" xfId="3467"/>
    <cellStyle name="Comma 2 2 2 2 2 4 2 3" xfId="3468"/>
    <cellStyle name="Comma 2 2 2 2 2 4 3" xfId="3469"/>
    <cellStyle name="Comma 2 2 2 2 2 4 4" xfId="3470"/>
    <cellStyle name="Comma 2 2 2 2 2 5" xfId="3471"/>
    <cellStyle name="Comma 2 2 2 2 2 5 2" xfId="3472"/>
    <cellStyle name="Comma 2 2 2 2 2 5 2 2" xfId="3473"/>
    <cellStyle name="Comma 2 2 2 2 2 5 2 3" xfId="3474"/>
    <cellStyle name="Comma 2 2 2 2 2 5 3" xfId="3475"/>
    <cellStyle name="Comma 2 2 2 2 2 5 4" xfId="3476"/>
    <cellStyle name="Comma 2 2 2 2 2 6" xfId="3477"/>
    <cellStyle name="Comma 2 2 2 2 2 6 2" xfId="3478"/>
    <cellStyle name="Comma 2 2 2 2 2 6 3" xfId="3479"/>
    <cellStyle name="Comma 2 2 2 2 2 7" xfId="3480"/>
    <cellStyle name="Comma 2 2 2 2 2 8" xfId="3481"/>
    <cellStyle name="Comma 2 2 2 2 3" xfId="3482"/>
    <cellStyle name="Comma 2 2 2 2 3 2" xfId="3483"/>
    <cellStyle name="Comma 2 2 2 2 3 2 2" xfId="3484"/>
    <cellStyle name="Comma 2 2 2 2 3 2 2 2" xfId="3485"/>
    <cellStyle name="Comma 2 2 2 2 3 2 2 3" xfId="3486"/>
    <cellStyle name="Comma 2 2 2 2 3 2 3" xfId="3487"/>
    <cellStyle name="Comma 2 2 2 2 3 2 4" xfId="3488"/>
    <cellStyle name="Comma 2 2 2 2 3 3" xfId="3489"/>
    <cellStyle name="Comma 2 2 2 2 3 3 2" xfId="3490"/>
    <cellStyle name="Comma 2 2 2 2 3 3 2 2" xfId="3491"/>
    <cellStyle name="Comma 2 2 2 2 3 3 2 3" xfId="3492"/>
    <cellStyle name="Comma 2 2 2 2 3 3 3" xfId="3493"/>
    <cellStyle name="Comma 2 2 2 2 3 3 4" xfId="3494"/>
    <cellStyle name="Comma 2 2 2 2 3 4" xfId="3495"/>
    <cellStyle name="Comma 2 2 2 2 3 4 2" xfId="3496"/>
    <cellStyle name="Comma 2 2 2 2 3 4 2 2" xfId="3497"/>
    <cellStyle name="Comma 2 2 2 2 3 4 2 3" xfId="3498"/>
    <cellStyle name="Comma 2 2 2 2 3 4 3" xfId="3499"/>
    <cellStyle name="Comma 2 2 2 2 3 4 4" xfId="3500"/>
    <cellStyle name="Comma 2 2 2 2 3 5" xfId="3501"/>
    <cellStyle name="Comma 2 2 2 2 3 5 2" xfId="3502"/>
    <cellStyle name="Comma 2 2 2 2 3 5 2 2" xfId="3503"/>
    <cellStyle name="Comma 2 2 2 2 3 5 2 3" xfId="3504"/>
    <cellStyle name="Comma 2 2 2 2 3 5 3" xfId="3505"/>
    <cellStyle name="Comma 2 2 2 2 3 5 4" xfId="3506"/>
    <cellStyle name="Comma 2 2 2 2 3 6" xfId="3507"/>
    <cellStyle name="Comma 2 2 2 2 3 6 2" xfId="3508"/>
    <cellStyle name="Comma 2 2 2 2 3 6 3" xfId="3509"/>
    <cellStyle name="Comma 2 2 2 2 3 7" xfId="3510"/>
    <cellStyle name="Comma 2 2 2 2 3 8" xfId="3511"/>
    <cellStyle name="Comma 2 2 2 2 4" xfId="3512"/>
    <cellStyle name="Comma 2 2 2 2 4 2" xfId="3513"/>
    <cellStyle name="Comma 2 2 2 2 4 2 2" xfId="3514"/>
    <cellStyle name="Comma 2 2 2 2 4 2 2 2" xfId="3515"/>
    <cellStyle name="Comma 2 2 2 2 4 2 2 3" xfId="3516"/>
    <cellStyle name="Comma 2 2 2 2 4 2 3" xfId="3517"/>
    <cellStyle name="Comma 2 2 2 2 4 2 4" xfId="3518"/>
    <cellStyle name="Comma 2 2 2 2 4 3" xfId="3519"/>
    <cellStyle name="Comma 2 2 2 2 4 3 2" xfId="3520"/>
    <cellStyle name="Comma 2 2 2 2 4 3 2 2" xfId="3521"/>
    <cellStyle name="Comma 2 2 2 2 4 3 2 3" xfId="3522"/>
    <cellStyle name="Comma 2 2 2 2 4 3 3" xfId="3523"/>
    <cellStyle name="Comma 2 2 2 2 4 3 4" xfId="3524"/>
    <cellStyle name="Comma 2 2 2 2 4 4" xfId="3525"/>
    <cellStyle name="Comma 2 2 2 2 4 4 2" xfId="3526"/>
    <cellStyle name="Comma 2 2 2 2 4 4 2 2" xfId="3527"/>
    <cellStyle name="Comma 2 2 2 2 4 4 2 3" xfId="3528"/>
    <cellStyle name="Comma 2 2 2 2 4 4 3" xfId="3529"/>
    <cellStyle name="Comma 2 2 2 2 4 4 4" xfId="3530"/>
    <cellStyle name="Comma 2 2 2 2 4 5" xfId="3531"/>
    <cellStyle name="Comma 2 2 2 2 4 5 2" xfId="3532"/>
    <cellStyle name="Comma 2 2 2 2 4 5 2 2" xfId="3533"/>
    <cellStyle name="Comma 2 2 2 2 4 5 2 3" xfId="3534"/>
    <cellStyle name="Comma 2 2 2 2 4 5 3" xfId="3535"/>
    <cellStyle name="Comma 2 2 2 2 4 5 4" xfId="3536"/>
    <cellStyle name="Comma 2 2 2 2 4 6" xfId="3537"/>
    <cellStyle name="Comma 2 2 2 2 4 6 2" xfId="3538"/>
    <cellStyle name="Comma 2 2 2 2 4 6 3" xfId="3539"/>
    <cellStyle name="Comma 2 2 2 2 4 7" xfId="3540"/>
    <cellStyle name="Comma 2 2 2 2 4 8" xfId="3541"/>
    <cellStyle name="Comma 2 2 2 2 5" xfId="3542"/>
    <cellStyle name="Comma 2 2 2 2 5 2" xfId="3543"/>
    <cellStyle name="Comma 2 2 2 2 5 2 2" xfId="3544"/>
    <cellStyle name="Comma 2 2 2 2 5 2 2 2" xfId="3545"/>
    <cellStyle name="Comma 2 2 2 2 5 2 2 3" xfId="3546"/>
    <cellStyle name="Comma 2 2 2 2 5 2 3" xfId="3547"/>
    <cellStyle name="Comma 2 2 2 2 5 2 4" xfId="3548"/>
    <cellStyle name="Comma 2 2 2 2 5 3" xfId="3549"/>
    <cellStyle name="Comma 2 2 2 2 5 3 2" xfId="3550"/>
    <cellStyle name="Comma 2 2 2 2 5 3 2 2" xfId="3551"/>
    <cellStyle name="Comma 2 2 2 2 5 3 2 3" xfId="3552"/>
    <cellStyle name="Comma 2 2 2 2 5 3 3" xfId="3553"/>
    <cellStyle name="Comma 2 2 2 2 5 3 4" xfId="3554"/>
    <cellStyle name="Comma 2 2 2 2 5 4" xfId="3555"/>
    <cellStyle name="Comma 2 2 2 2 5 4 2" xfId="3556"/>
    <cellStyle name="Comma 2 2 2 2 5 4 2 2" xfId="3557"/>
    <cellStyle name="Comma 2 2 2 2 5 4 2 3" xfId="3558"/>
    <cellStyle name="Comma 2 2 2 2 5 4 3" xfId="3559"/>
    <cellStyle name="Comma 2 2 2 2 5 4 4" xfId="3560"/>
    <cellStyle name="Comma 2 2 2 2 5 5" xfId="3561"/>
    <cellStyle name="Comma 2 2 2 2 5 5 2" xfId="3562"/>
    <cellStyle name="Comma 2 2 2 2 5 5 2 2" xfId="3563"/>
    <cellStyle name="Comma 2 2 2 2 5 5 2 3" xfId="3564"/>
    <cellStyle name="Comma 2 2 2 2 5 5 3" xfId="3565"/>
    <cellStyle name="Comma 2 2 2 2 5 5 4" xfId="3566"/>
    <cellStyle name="Comma 2 2 2 2 5 6" xfId="3567"/>
    <cellStyle name="Comma 2 2 2 2 5 6 2" xfId="3568"/>
    <cellStyle name="Comma 2 2 2 2 5 6 3" xfId="3569"/>
    <cellStyle name="Comma 2 2 2 2 5 7" xfId="3570"/>
    <cellStyle name="Comma 2 2 2 2 5 8" xfId="3571"/>
    <cellStyle name="Comma 2 2 2 2 6" xfId="3572"/>
    <cellStyle name="Comma 2 2 2 2 6 2" xfId="3573"/>
    <cellStyle name="Comma 2 2 2 2 6 2 2" xfId="3574"/>
    <cellStyle name="Comma 2 2 2 2 6 2 2 2" xfId="3575"/>
    <cellStyle name="Comma 2 2 2 2 6 2 2 3" xfId="3576"/>
    <cellStyle name="Comma 2 2 2 2 6 2 3" xfId="3577"/>
    <cellStyle name="Comma 2 2 2 2 6 2 4" xfId="3578"/>
    <cellStyle name="Comma 2 2 2 2 6 3" xfId="3579"/>
    <cellStyle name="Comma 2 2 2 2 6 3 2" xfId="3580"/>
    <cellStyle name="Comma 2 2 2 2 6 3 2 2" xfId="3581"/>
    <cellStyle name="Comma 2 2 2 2 6 3 2 3" xfId="3582"/>
    <cellStyle name="Comma 2 2 2 2 6 3 3" xfId="3583"/>
    <cellStyle name="Comma 2 2 2 2 6 3 4" xfId="3584"/>
    <cellStyle name="Comma 2 2 2 2 6 4" xfId="3585"/>
    <cellStyle name="Comma 2 2 2 2 6 4 2" xfId="3586"/>
    <cellStyle name="Comma 2 2 2 2 6 4 2 2" xfId="3587"/>
    <cellStyle name="Comma 2 2 2 2 6 4 2 3" xfId="3588"/>
    <cellStyle name="Comma 2 2 2 2 6 4 3" xfId="3589"/>
    <cellStyle name="Comma 2 2 2 2 6 4 4" xfId="3590"/>
    <cellStyle name="Comma 2 2 2 2 6 5" xfId="3591"/>
    <cellStyle name="Comma 2 2 2 2 6 5 2" xfId="3592"/>
    <cellStyle name="Comma 2 2 2 2 6 5 2 2" xfId="3593"/>
    <cellStyle name="Comma 2 2 2 2 6 5 2 3" xfId="3594"/>
    <cellStyle name="Comma 2 2 2 2 6 5 3" xfId="3595"/>
    <cellStyle name="Comma 2 2 2 2 6 5 4" xfId="3596"/>
    <cellStyle name="Comma 2 2 2 2 6 6" xfId="3597"/>
    <cellStyle name="Comma 2 2 2 2 6 6 2" xfId="3598"/>
    <cellStyle name="Comma 2 2 2 2 6 6 3" xfId="3599"/>
    <cellStyle name="Comma 2 2 2 2 6 7" xfId="3600"/>
    <cellStyle name="Comma 2 2 2 2 6 8" xfId="3601"/>
    <cellStyle name="Comma 2 2 2 2 7" xfId="3602"/>
    <cellStyle name="Comma 2 2 2 2 7 2" xfId="3603"/>
    <cellStyle name="Comma 2 2 2 2 7 3" xfId="3604"/>
    <cellStyle name="Comma 2 2 2 2 8" xfId="3605"/>
    <cellStyle name="Comma 2 2 2 2 8 2" xfId="3606"/>
    <cellStyle name="Comma 2 2 2 2 8 3" xfId="3607"/>
    <cellStyle name="Comma 2 2 2 2 9" xfId="3608"/>
    <cellStyle name="Comma 2 2 2 2 9 2" xfId="3609"/>
    <cellStyle name="Comma 2 2 2 2 9 3" xfId="3610"/>
    <cellStyle name="Comma 2 2 2 20" xfId="3611"/>
    <cellStyle name="Comma 2 2 2 3" xfId="3612"/>
    <cellStyle name="Comma 2 2 2 3 2" xfId="3613"/>
    <cellStyle name="Comma 2 2 2 3 2 2" xfId="3614"/>
    <cellStyle name="Comma 2 2 2 3 2 2 2" xfId="3615"/>
    <cellStyle name="Comma 2 2 2 3 2 2 2 2" xfId="3616"/>
    <cellStyle name="Comma 2 2 2 3 2 2 2 3" xfId="3617"/>
    <cellStyle name="Comma 2 2 2 3 2 2 3" xfId="3618"/>
    <cellStyle name="Comma 2 2 2 3 2 2 4" xfId="3619"/>
    <cellStyle name="Comma 2 2 2 3 2 3" xfId="3620"/>
    <cellStyle name="Comma 2 2 2 3 2 3 2" xfId="3621"/>
    <cellStyle name="Comma 2 2 2 3 2 3 2 2" xfId="3622"/>
    <cellStyle name="Comma 2 2 2 3 2 3 2 3" xfId="3623"/>
    <cellStyle name="Comma 2 2 2 3 2 3 3" xfId="3624"/>
    <cellStyle name="Comma 2 2 2 3 2 3 4" xfId="3625"/>
    <cellStyle name="Comma 2 2 2 3 2 4" xfId="3626"/>
    <cellStyle name="Comma 2 2 2 3 2 4 2" xfId="3627"/>
    <cellStyle name="Comma 2 2 2 3 2 4 2 2" xfId="3628"/>
    <cellStyle name="Comma 2 2 2 3 2 4 2 3" xfId="3629"/>
    <cellStyle name="Comma 2 2 2 3 2 4 3" xfId="3630"/>
    <cellStyle name="Comma 2 2 2 3 2 4 4" xfId="3631"/>
    <cellStyle name="Comma 2 2 2 3 2 5" xfId="3632"/>
    <cellStyle name="Comma 2 2 2 3 2 5 2" xfId="3633"/>
    <cellStyle name="Comma 2 2 2 3 2 5 2 2" xfId="3634"/>
    <cellStyle name="Comma 2 2 2 3 2 5 2 3" xfId="3635"/>
    <cellStyle name="Comma 2 2 2 3 2 5 3" xfId="3636"/>
    <cellStyle name="Comma 2 2 2 3 2 5 4" xfId="3637"/>
    <cellStyle name="Comma 2 2 2 3 2 6" xfId="3638"/>
    <cellStyle name="Comma 2 2 2 3 2 6 2" xfId="3639"/>
    <cellStyle name="Comma 2 2 2 3 2 6 3" xfId="3640"/>
    <cellStyle name="Comma 2 2 2 3 2 7" xfId="3641"/>
    <cellStyle name="Comma 2 2 2 3 2 8" xfId="3642"/>
    <cellStyle name="Comma 2 2 2 3 3" xfId="3643"/>
    <cellStyle name="Comma 2 2 2 3 3 2" xfId="3644"/>
    <cellStyle name="Comma 2 2 2 3 3 2 2" xfId="3645"/>
    <cellStyle name="Comma 2 2 2 3 3 2 3" xfId="3646"/>
    <cellStyle name="Comma 2 2 2 3 3 3" xfId="3647"/>
    <cellStyle name="Comma 2 2 2 3 3 4" xfId="3648"/>
    <cellStyle name="Comma 2 2 2 3 4" xfId="3649"/>
    <cellStyle name="Comma 2 2 2 3 4 2" xfId="3650"/>
    <cellStyle name="Comma 2 2 2 3 4 2 2" xfId="3651"/>
    <cellStyle name="Comma 2 2 2 3 4 2 3" xfId="3652"/>
    <cellStyle name="Comma 2 2 2 3 4 3" xfId="3653"/>
    <cellStyle name="Comma 2 2 2 3 4 4" xfId="3654"/>
    <cellStyle name="Comma 2 2 2 3 5" xfId="3655"/>
    <cellStyle name="Comma 2 2 2 3 5 2" xfId="3656"/>
    <cellStyle name="Comma 2 2 2 3 5 2 2" xfId="3657"/>
    <cellStyle name="Comma 2 2 2 3 5 2 3" xfId="3658"/>
    <cellStyle name="Comma 2 2 2 3 5 3" xfId="3659"/>
    <cellStyle name="Comma 2 2 2 3 5 4" xfId="3660"/>
    <cellStyle name="Comma 2 2 2 3 6" xfId="3661"/>
    <cellStyle name="Comma 2 2 2 3 6 2" xfId="3662"/>
    <cellStyle name="Comma 2 2 2 3 6 2 2" xfId="3663"/>
    <cellStyle name="Comma 2 2 2 3 6 2 3" xfId="3664"/>
    <cellStyle name="Comma 2 2 2 3 6 3" xfId="3665"/>
    <cellStyle name="Comma 2 2 2 3 6 4" xfId="3666"/>
    <cellStyle name="Comma 2 2 2 3 7" xfId="3667"/>
    <cellStyle name="Comma 2 2 2 3 7 2" xfId="3668"/>
    <cellStyle name="Comma 2 2 2 3 7 3" xfId="3669"/>
    <cellStyle name="Comma 2 2 2 3 8" xfId="3670"/>
    <cellStyle name="Comma 2 2 2 3 9" xfId="3671"/>
    <cellStyle name="Comma 2 2 2 4" xfId="3672"/>
    <cellStyle name="Comma 2 2 2 4 2" xfId="3673"/>
    <cellStyle name="Comma 2 2 2 4 2 2" xfId="3674"/>
    <cellStyle name="Comma 2 2 2 4 2 2 2" xfId="3675"/>
    <cellStyle name="Comma 2 2 2 4 2 2 2 2" xfId="3676"/>
    <cellStyle name="Comma 2 2 2 4 2 2 2 3" xfId="3677"/>
    <cellStyle name="Comma 2 2 2 4 2 2 3" xfId="3678"/>
    <cellStyle name="Comma 2 2 2 4 2 2 4" xfId="3679"/>
    <cellStyle name="Comma 2 2 2 4 2 3" xfId="3680"/>
    <cellStyle name="Comma 2 2 2 4 2 3 2" xfId="3681"/>
    <cellStyle name="Comma 2 2 2 4 2 3 2 2" xfId="3682"/>
    <cellStyle name="Comma 2 2 2 4 2 3 2 3" xfId="3683"/>
    <cellStyle name="Comma 2 2 2 4 2 3 3" xfId="3684"/>
    <cellStyle name="Comma 2 2 2 4 2 3 4" xfId="3685"/>
    <cellStyle name="Comma 2 2 2 4 2 4" xfId="3686"/>
    <cellStyle name="Comma 2 2 2 4 2 4 2" xfId="3687"/>
    <cellStyle name="Comma 2 2 2 4 2 4 2 2" xfId="3688"/>
    <cellStyle name="Comma 2 2 2 4 2 4 2 3" xfId="3689"/>
    <cellStyle name="Comma 2 2 2 4 2 4 3" xfId="3690"/>
    <cellStyle name="Comma 2 2 2 4 2 4 4" xfId="3691"/>
    <cellStyle name="Comma 2 2 2 4 2 5" xfId="3692"/>
    <cellStyle name="Comma 2 2 2 4 2 5 2" xfId="3693"/>
    <cellStyle name="Comma 2 2 2 4 2 5 2 2" xfId="3694"/>
    <cellStyle name="Comma 2 2 2 4 2 5 2 3" xfId="3695"/>
    <cellStyle name="Comma 2 2 2 4 2 5 3" xfId="3696"/>
    <cellStyle name="Comma 2 2 2 4 2 5 4" xfId="3697"/>
    <cellStyle name="Comma 2 2 2 4 2 6" xfId="3698"/>
    <cellStyle name="Comma 2 2 2 4 2 6 2" xfId="3699"/>
    <cellStyle name="Comma 2 2 2 4 2 6 3" xfId="3700"/>
    <cellStyle name="Comma 2 2 2 4 2 7" xfId="3701"/>
    <cellStyle name="Comma 2 2 2 4 2 8" xfId="3702"/>
    <cellStyle name="Comma 2 2 2 4 3" xfId="3703"/>
    <cellStyle name="Comma 2 2 2 4 3 2" xfId="3704"/>
    <cellStyle name="Comma 2 2 2 4 3 2 2" xfId="3705"/>
    <cellStyle name="Comma 2 2 2 4 3 2 3" xfId="3706"/>
    <cellStyle name="Comma 2 2 2 4 3 3" xfId="3707"/>
    <cellStyle name="Comma 2 2 2 4 3 4" xfId="3708"/>
    <cellStyle name="Comma 2 2 2 4 4" xfId="3709"/>
    <cellStyle name="Comma 2 2 2 4 4 2" xfId="3710"/>
    <cellStyle name="Comma 2 2 2 4 4 2 2" xfId="3711"/>
    <cellStyle name="Comma 2 2 2 4 4 2 3" xfId="3712"/>
    <cellStyle name="Comma 2 2 2 4 4 3" xfId="3713"/>
    <cellStyle name="Comma 2 2 2 4 4 4" xfId="3714"/>
    <cellStyle name="Comma 2 2 2 4 5" xfId="3715"/>
    <cellStyle name="Comma 2 2 2 4 5 2" xfId="3716"/>
    <cellStyle name="Comma 2 2 2 4 5 2 2" xfId="3717"/>
    <cellStyle name="Comma 2 2 2 4 5 2 3" xfId="3718"/>
    <cellStyle name="Comma 2 2 2 4 5 3" xfId="3719"/>
    <cellStyle name="Comma 2 2 2 4 5 4" xfId="3720"/>
    <cellStyle name="Comma 2 2 2 4 6" xfId="3721"/>
    <cellStyle name="Comma 2 2 2 4 6 2" xfId="3722"/>
    <cellStyle name="Comma 2 2 2 4 6 2 2" xfId="3723"/>
    <cellStyle name="Comma 2 2 2 4 6 2 3" xfId="3724"/>
    <cellStyle name="Comma 2 2 2 4 6 3" xfId="3725"/>
    <cellStyle name="Comma 2 2 2 4 6 4" xfId="3726"/>
    <cellStyle name="Comma 2 2 2 4 7" xfId="3727"/>
    <cellStyle name="Comma 2 2 2 4 7 2" xfId="3728"/>
    <cellStyle name="Comma 2 2 2 4 7 3" xfId="3729"/>
    <cellStyle name="Comma 2 2 2 4 8" xfId="3730"/>
    <cellStyle name="Comma 2 2 2 4 9" xfId="3731"/>
    <cellStyle name="Comma 2 2 2 5" xfId="3732"/>
    <cellStyle name="Comma 2 2 2 5 2" xfId="3733"/>
    <cellStyle name="Comma 2 2 2 5 3" xfId="3734"/>
    <cellStyle name="Comma 2 2 2 6" xfId="3735"/>
    <cellStyle name="Comma 2 2 2 6 2" xfId="3736"/>
    <cellStyle name="Comma 2 2 2 6 3" xfId="3737"/>
    <cellStyle name="Comma 2 2 2 7" xfId="3738"/>
    <cellStyle name="Comma 2 2 2 7 2" xfId="3739"/>
    <cellStyle name="Comma 2 2 2 7 3" xfId="3740"/>
    <cellStyle name="Comma 2 2 2 8" xfId="3741"/>
    <cellStyle name="Comma 2 2 2 8 2" xfId="3742"/>
    <cellStyle name="Comma 2 2 2 8 3" xfId="3743"/>
    <cellStyle name="Comma 2 2 2 9" xfId="3744"/>
    <cellStyle name="Comma 2 2 2 9 2" xfId="3745"/>
    <cellStyle name="Comma 2 2 2 9 2 2" xfId="3746"/>
    <cellStyle name="Comma 2 2 2 9 2 2 2" xfId="3747"/>
    <cellStyle name="Comma 2 2 2 9 2 2 3" xfId="3748"/>
    <cellStyle name="Comma 2 2 2 9 2 3" xfId="3749"/>
    <cellStyle name="Comma 2 2 2 9 2 4" xfId="3750"/>
    <cellStyle name="Comma 2 2 2 9 3" xfId="3751"/>
    <cellStyle name="Comma 2 2 2 9 3 2" xfId="3752"/>
    <cellStyle name="Comma 2 2 2 9 3 2 2" xfId="3753"/>
    <cellStyle name="Comma 2 2 2 9 3 2 3" xfId="3754"/>
    <cellStyle name="Comma 2 2 2 9 3 3" xfId="3755"/>
    <cellStyle name="Comma 2 2 2 9 3 4" xfId="3756"/>
    <cellStyle name="Comma 2 2 2 9 4" xfId="3757"/>
    <cellStyle name="Comma 2 2 2 9 4 2" xfId="3758"/>
    <cellStyle name="Comma 2 2 2 9 4 2 2" xfId="3759"/>
    <cellStyle name="Comma 2 2 2 9 4 2 3" xfId="3760"/>
    <cellStyle name="Comma 2 2 2 9 4 3" xfId="3761"/>
    <cellStyle name="Comma 2 2 2 9 4 4" xfId="3762"/>
    <cellStyle name="Comma 2 2 2 9 5" xfId="3763"/>
    <cellStyle name="Comma 2 2 2 9 5 2" xfId="3764"/>
    <cellStyle name="Comma 2 2 2 9 5 2 2" xfId="3765"/>
    <cellStyle name="Comma 2 2 2 9 5 2 3" xfId="3766"/>
    <cellStyle name="Comma 2 2 2 9 5 3" xfId="3767"/>
    <cellStyle name="Comma 2 2 2 9 5 4" xfId="3768"/>
    <cellStyle name="Comma 2 2 2 9 6" xfId="3769"/>
    <cellStyle name="Comma 2 2 2 9 6 2" xfId="3770"/>
    <cellStyle name="Comma 2 2 2 9 6 3" xfId="3771"/>
    <cellStyle name="Comma 2 2 2 9 7" xfId="3772"/>
    <cellStyle name="Comma 2 2 2 9 8" xfId="3773"/>
    <cellStyle name="Comma 2 2 20" xfId="44"/>
    <cellStyle name="Comma 2 2 20 2" xfId="3774"/>
    <cellStyle name="Comma 2 2 20 3" xfId="3775"/>
    <cellStyle name="Comma 2 2 21" xfId="45"/>
    <cellStyle name="Comma 2 2 21 2" xfId="3776"/>
    <cellStyle name="Comma 2 2 21 2 2" xfId="3777"/>
    <cellStyle name="Comma 2 2 21 2 3" xfId="3778"/>
    <cellStyle name="Comma 2 2 21 3" xfId="3779"/>
    <cellStyle name="Comma 2 2 21 4" xfId="3780"/>
    <cellStyle name="Comma 2 2 22" xfId="46"/>
    <cellStyle name="Comma 2 2 22 2" xfId="3781"/>
    <cellStyle name="Comma 2 2 22 2 2" xfId="3782"/>
    <cellStyle name="Comma 2 2 22 2 3" xfId="3783"/>
    <cellStyle name="Comma 2 2 22 3" xfId="3784"/>
    <cellStyle name="Comma 2 2 22 4" xfId="3785"/>
    <cellStyle name="Comma 2 2 23" xfId="47"/>
    <cellStyle name="Comma 2 2 23 2" xfId="3786"/>
    <cellStyle name="Comma 2 2 23 2 2" xfId="3787"/>
    <cellStyle name="Comma 2 2 23 2 3" xfId="3788"/>
    <cellStyle name="Comma 2 2 23 3" xfId="3789"/>
    <cellStyle name="Comma 2 2 23 4" xfId="3790"/>
    <cellStyle name="Comma 2 2 24" xfId="48"/>
    <cellStyle name="Comma 2 2 24 2" xfId="3791"/>
    <cellStyle name="Comma 2 2 24 2 2" xfId="3792"/>
    <cellStyle name="Comma 2 2 24 2 3" xfId="3793"/>
    <cellStyle name="Comma 2 2 24 3" xfId="3794"/>
    <cellStyle name="Comma 2 2 24 4" xfId="3795"/>
    <cellStyle name="Comma 2 2 25" xfId="49"/>
    <cellStyle name="Comma 2 2 26" xfId="50"/>
    <cellStyle name="Comma 2 2 27" xfId="51"/>
    <cellStyle name="Comma 2 2 28" xfId="52"/>
    <cellStyle name="Comma 2 2 29" xfId="53"/>
    <cellStyle name="Comma 2 2 3" xfId="54"/>
    <cellStyle name="Comma 2 2 3 2" xfId="3796"/>
    <cellStyle name="Comma 2 2 3 3" xfId="3797"/>
    <cellStyle name="Comma 2 2 30" xfId="55"/>
    <cellStyle name="Comma 2 2 31" xfId="56"/>
    <cellStyle name="Comma 2 2 32" xfId="57"/>
    <cellStyle name="Comma 2 2 33" xfId="58"/>
    <cellStyle name="Comma 2 2 34" xfId="59"/>
    <cellStyle name="Comma 2 2 35" xfId="60"/>
    <cellStyle name="Comma 2 2 36" xfId="61"/>
    <cellStyle name="Comma 2 2 37" xfId="62"/>
    <cellStyle name="Comma 2 2 38" xfId="63"/>
    <cellStyle name="Comma 2 2 39" xfId="64"/>
    <cellStyle name="Comma 2 2 4" xfId="65"/>
    <cellStyle name="Comma 2 2 4 2" xfId="3798"/>
    <cellStyle name="Comma 2 2 4 3" xfId="3799"/>
    <cellStyle name="Comma 2 2 40" xfId="66"/>
    <cellStyle name="Comma 2 2 41" xfId="67"/>
    <cellStyle name="Comma 2 2 42" xfId="68"/>
    <cellStyle name="Comma 2 2 43" xfId="69"/>
    <cellStyle name="Comma 2 2 44" xfId="70"/>
    <cellStyle name="Comma 2 2 45" xfId="71"/>
    <cellStyle name="Comma 2 2 46" xfId="72"/>
    <cellStyle name="Comma 2 2 47" xfId="73"/>
    <cellStyle name="Comma 2 2 48" xfId="74"/>
    <cellStyle name="Comma 2 2 5" xfId="75"/>
    <cellStyle name="Comma 2 2 6" xfId="76"/>
    <cellStyle name="Comma 2 2 7" xfId="77"/>
    <cellStyle name="Comma 2 2 8" xfId="78"/>
    <cellStyle name="Comma 2 2 9" xfId="79"/>
    <cellStyle name="Comma 2 20" xfId="80"/>
    <cellStyle name="Comma 2 21" xfId="81"/>
    <cellStyle name="Comma 2 22" xfId="82"/>
    <cellStyle name="Comma 2 23" xfId="83"/>
    <cellStyle name="Comma 2 24" xfId="84"/>
    <cellStyle name="Comma 2 25" xfId="85"/>
    <cellStyle name="Comma 2 26" xfId="86"/>
    <cellStyle name="Comma 2 26 2" xfId="3800"/>
    <cellStyle name="Comma 2 26 3" xfId="3801"/>
    <cellStyle name="Comma 2 27" xfId="87"/>
    <cellStyle name="Comma 2 28" xfId="88"/>
    <cellStyle name="Comma 2 29" xfId="89"/>
    <cellStyle name="Comma 2 3" xfId="90"/>
    <cellStyle name="Comma 2 3 10" xfId="3802"/>
    <cellStyle name="Comma 2 3 10 2" xfId="3803"/>
    <cellStyle name="Comma 2 3 10 2 2" xfId="3804"/>
    <cellStyle name="Comma 2 3 10 2 3" xfId="3805"/>
    <cellStyle name="Comma 2 3 10 3" xfId="3806"/>
    <cellStyle name="Comma 2 3 10 4" xfId="3807"/>
    <cellStyle name="Comma 2 3 11" xfId="3808"/>
    <cellStyle name="Comma 2 3 11 2" xfId="3809"/>
    <cellStyle name="Comma 2 3 11 2 2" xfId="3810"/>
    <cellStyle name="Comma 2 3 11 2 3" xfId="3811"/>
    <cellStyle name="Comma 2 3 11 3" xfId="3812"/>
    <cellStyle name="Comma 2 3 11 4" xfId="3813"/>
    <cellStyle name="Comma 2 3 12" xfId="3814"/>
    <cellStyle name="Comma 2 3 12 2" xfId="3815"/>
    <cellStyle name="Comma 2 3 12 3" xfId="3816"/>
    <cellStyle name="Comma 2 3 13" xfId="3817"/>
    <cellStyle name="Comma 2 3 14" xfId="3818"/>
    <cellStyle name="Comma 2 3 2" xfId="3819"/>
    <cellStyle name="Comma 2 3 2 2" xfId="3820"/>
    <cellStyle name="Comma 2 3 2 3" xfId="3821"/>
    <cellStyle name="Comma 2 3 2 3 2" xfId="3822"/>
    <cellStyle name="Comma 2 3 2 3 2 2" xfId="3823"/>
    <cellStyle name="Comma 2 3 2 3 2 3" xfId="3824"/>
    <cellStyle name="Comma 2 3 2 3 3" xfId="3825"/>
    <cellStyle name="Comma 2 3 2 3 4" xfId="3826"/>
    <cellStyle name="Comma 2 3 2 4" xfId="3827"/>
    <cellStyle name="Comma 2 3 2 4 2" xfId="3828"/>
    <cellStyle name="Comma 2 3 2 4 2 2" xfId="3829"/>
    <cellStyle name="Comma 2 3 2 4 2 3" xfId="3830"/>
    <cellStyle name="Comma 2 3 2 4 3" xfId="3831"/>
    <cellStyle name="Comma 2 3 2 4 4" xfId="3832"/>
    <cellStyle name="Comma 2 3 2 5" xfId="3833"/>
    <cellStyle name="Comma 2 3 2 5 2" xfId="3834"/>
    <cellStyle name="Comma 2 3 2 5 2 2" xfId="3835"/>
    <cellStyle name="Comma 2 3 2 5 2 3" xfId="3836"/>
    <cellStyle name="Comma 2 3 2 5 3" xfId="3837"/>
    <cellStyle name="Comma 2 3 2 5 4" xfId="3838"/>
    <cellStyle name="Comma 2 3 2 6" xfId="3839"/>
    <cellStyle name="Comma 2 3 2 6 2" xfId="3840"/>
    <cellStyle name="Comma 2 3 2 6 2 2" xfId="3841"/>
    <cellStyle name="Comma 2 3 2 6 2 3" xfId="3842"/>
    <cellStyle name="Comma 2 3 2 6 3" xfId="3843"/>
    <cellStyle name="Comma 2 3 2 6 4" xfId="3844"/>
    <cellStyle name="Comma 2 3 2 7" xfId="3845"/>
    <cellStyle name="Comma 2 3 2 7 2" xfId="3846"/>
    <cellStyle name="Comma 2 3 2 7 3" xfId="3847"/>
    <cellStyle name="Comma 2 3 2 8" xfId="3848"/>
    <cellStyle name="Comma 2 3 2 9" xfId="3849"/>
    <cellStyle name="Comma 2 3 3" xfId="3850"/>
    <cellStyle name="Comma 2 3 4" xfId="3851"/>
    <cellStyle name="Comma 2 3 5" xfId="3852"/>
    <cellStyle name="Comma 2 3 6" xfId="3853"/>
    <cellStyle name="Comma 2 3 7" xfId="3854"/>
    <cellStyle name="Comma 2 3 8" xfId="3855"/>
    <cellStyle name="Comma 2 3 8 2" xfId="3856"/>
    <cellStyle name="Comma 2 3 8 2 2" xfId="3857"/>
    <cellStyle name="Comma 2 3 8 2 3" xfId="3858"/>
    <cellStyle name="Comma 2 3 8 3" xfId="3859"/>
    <cellStyle name="Comma 2 3 8 4" xfId="3860"/>
    <cellStyle name="Comma 2 3 9" xfId="3861"/>
    <cellStyle name="Comma 2 3 9 2" xfId="3862"/>
    <cellStyle name="Comma 2 3 9 2 2" xfId="3863"/>
    <cellStyle name="Comma 2 3 9 2 3" xfId="3864"/>
    <cellStyle name="Comma 2 3 9 3" xfId="3865"/>
    <cellStyle name="Comma 2 3 9 4" xfId="3866"/>
    <cellStyle name="Comma 2 30" xfId="91"/>
    <cellStyle name="Comma 2 31" xfId="92"/>
    <cellStyle name="Comma 2 32" xfId="93"/>
    <cellStyle name="Comma 2 33" xfId="94"/>
    <cellStyle name="Comma 2 34" xfId="95"/>
    <cellStyle name="Comma 2 35" xfId="96"/>
    <cellStyle name="Comma 2 36" xfId="97"/>
    <cellStyle name="Comma 2 37" xfId="98"/>
    <cellStyle name="Comma 2 38" xfId="99"/>
    <cellStyle name="Comma 2 39" xfId="100"/>
    <cellStyle name="Comma 2 4" xfId="101"/>
    <cellStyle name="Comma 2 4 10" xfId="3867"/>
    <cellStyle name="Comma 2 4 10 2" xfId="3868"/>
    <cellStyle name="Comma 2 4 10 2 2" xfId="3869"/>
    <cellStyle name="Comma 2 4 10 2 3" xfId="3870"/>
    <cellStyle name="Comma 2 4 10 3" xfId="3871"/>
    <cellStyle name="Comma 2 4 10 4" xfId="3872"/>
    <cellStyle name="Comma 2 4 11" xfId="3873"/>
    <cellStyle name="Comma 2 4 11 2" xfId="3874"/>
    <cellStyle name="Comma 2 4 11 2 2" xfId="3875"/>
    <cellStyle name="Comma 2 4 11 2 3" xfId="3876"/>
    <cellStyle name="Comma 2 4 11 3" xfId="3877"/>
    <cellStyle name="Comma 2 4 11 4" xfId="3878"/>
    <cellStyle name="Comma 2 4 12" xfId="3879"/>
    <cellStyle name="Comma 2 4 12 2" xfId="3880"/>
    <cellStyle name="Comma 2 4 12 3" xfId="3881"/>
    <cellStyle name="Comma 2 4 13" xfId="3882"/>
    <cellStyle name="Comma 2 4 14" xfId="3883"/>
    <cellStyle name="Comma 2 4 2" xfId="3884"/>
    <cellStyle name="Comma 2 4 2 2" xfId="3885"/>
    <cellStyle name="Comma 2 4 2 3" xfId="3886"/>
    <cellStyle name="Comma 2 4 2 3 2" xfId="3887"/>
    <cellStyle name="Comma 2 4 2 3 2 2" xfId="3888"/>
    <cellStyle name="Comma 2 4 2 3 2 3" xfId="3889"/>
    <cellStyle name="Comma 2 4 2 3 3" xfId="3890"/>
    <cellStyle name="Comma 2 4 2 3 4" xfId="3891"/>
    <cellStyle name="Comma 2 4 2 4" xfId="3892"/>
    <cellStyle name="Comma 2 4 2 4 2" xfId="3893"/>
    <cellStyle name="Comma 2 4 2 4 2 2" xfId="3894"/>
    <cellStyle name="Comma 2 4 2 4 2 3" xfId="3895"/>
    <cellStyle name="Comma 2 4 2 4 3" xfId="3896"/>
    <cellStyle name="Comma 2 4 2 4 4" xfId="3897"/>
    <cellStyle name="Comma 2 4 2 5" xfId="3898"/>
    <cellStyle name="Comma 2 4 2 5 2" xfId="3899"/>
    <cellStyle name="Comma 2 4 2 5 2 2" xfId="3900"/>
    <cellStyle name="Comma 2 4 2 5 2 3" xfId="3901"/>
    <cellStyle name="Comma 2 4 2 5 3" xfId="3902"/>
    <cellStyle name="Comma 2 4 2 5 4" xfId="3903"/>
    <cellStyle name="Comma 2 4 2 6" xfId="3904"/>
    <cellStyle name="Comma 2 4 2 6 2" xfId="3905"/>
    <cellStyle name="Comma 2 4 2 6 2 2" xfId="3906"/>
    <cellStyle name="Comma 2 4 2 6 2 3" xfId="3907"/>
    <cellStyle name="Comma 2 4 2 6 3" xfId="3908"/>
    <cellStyle name="Comma 2 4 2 6 4" xfId="3909"/>
    <cellStyle name="Comma 2 4 2 7" xfId="3910"/>
    <cellStyle name="Comma 2 4 2 7 2" xfId="3911"/>
    <cellStyle name="Comma 2 4 2 7 3" xfId="3912"/>
    <cellStyle name="Comma 2 4 2 8" xfId="3913"/>
    <cellStyle name="Comma 2 4 2 9" xfId="3914"/>
    <cellStyle name="Comma 2 4 3" xfId="3915"/>
    <cellStyle name="Comma 2 4 4" xfId="3916"/>
    <cellStyle name="Comma 2 4 5" xfId="3917"/>
    <cellStyle name="Comma 2 4 6" xfId="3918"/>
    <cellStyle name="Comma 2 4 7" xfId="3919"/>
    <cellStyle name="Comma 2 4 8" xfId="3920"/>
    <cellStyle name="Comma 2 4 8 2" xfId="3921"/>
    <cellStyle name="Comma 2 4 8 2 2" xfId="3922"/>
    <cellStyle name="Comma 2 4 8 2 3" xfId="3923"/>
    <cellStyle name="Comma 2 4 8 3" xfId="3924"/>
    <cellStyle name="Comma 2 4 8 4" xfId="3925"/>
    <cellStyle name="Comma 2 4 9" xfId="3926"/>
    <cellStyle name="Comma 2 4 9 2" xfId="3927"/>
    <cellStyle name="Comma 2 4 9 2 2" xfId="3928"/>
    <cellStyle name="Comma 2 4 9 2 3" xfId="3929"/>
    <cellStyle name="Comma 2 4 9 3" xfId="3930"/>
    <cellStyle name="Comma 2 4 9 4" xfId="3931"/>
    <cellStyle name="Comma 2 40" xfId="102"/>
    <cellStyle name="Comma 2 41" xfId="103"/>
    <cellStyle name="Comma 2 42" xfId="104"/>
    <cellStyle name="Comma 2 43" xfId="105"/>
    <cellStyle name="Comma 2 44" xfId="106"/>
    <cellStyle name="Comma 2 45" xfId="107"/>
    <cellStyle name="Comma 2 46" xfId="108"/>
    <cellStyle name="Comma 2 47" xfId="109"/>
    <cellStyle name="Comma 2 48" xfId="110"/>
    <cellStyle name="Comma 2 49" xfId="111"/>
    <cellStyle name="Comma 2 5" xfId="112"/>
    <cellStyle name="Comma 2 5 10" xfId="3932"/>
    <cellStyle name="Comma 2 5 10 2" xfId="3933"/>
    <cellStyle name="Comma 2 5 10 2 2" xfId="3934"/>
    <cellStyle name="Comma 2 5 10 2 3" xfId="3935"/>
    <cellStyle name="Comma 2 5 10 3" xfId="3936"/>
    <cellStyle name="Comma 2 5 10 4" xfId="3937"/>
    <cellStyle name="Comma 2 5 11" xfId="3938"/>
    <cellStyle name="Comma 2 5 11 2" xfId="3939"/>
    <cellStyle name="Comma 2 5 11 2 2" xfId="3940"/>
    <cellStyle name="Comma 2 5 11 2 3" xfId="3941"/>
    <cellStyle name="Comma 2 5 11 3" xfId="3942"/>
    <cellStyle name="Comma 2 5 11 4" xfId="3943"/>
    <cellStyle name="Comma 2 5 12" xfId="3944"/>
    <cellStyle name="Comma 2 5 12 2" xfId="3945"/>
    <cellStyle name="Comma 2 5 12 3" xfId="3946"/>
    <cellStyle name="Comma 2 5 13" xfId="3947"/>
    <cellStyle name="Comma 2 5 14" xfId="3948"/>
    <cellStyle name="Comma 2 5 2" xfId="3949"/>
    <cellStyle name="Comma 2 5 2 2" xfId="3950"/>
    <cellStyle name="Comma 2 5 2 3" xfId="3951"/>
    <cellStyle name="Comma 2 5 2 3 2" xfId="3952"/>
    <cellStyle name="Comma 2 5 2 3 2 2" xfId="3953"/>
    <cellStyle name="Comma 2 5 2 3 2 3" xfId="3954"/>
    <cellStyle name="Comma 2 5 2 3 3" xfId="3955"/>
    <cellStyle name="Comma 2 5 2 3 4" xfId="3956"/>
    <cellStyle name="Comma 2 5 2 4" xfId="3957"/>
    <cellStyle name="Comma 2 5 2 4 2" xfId="3958"/>
    <cellStyle name="Comma 2 5 2 4 2 2" xfId="3959"/>
    <cellStyle name="Comma 2 5 2 4 2 3" xfId="3960"/>
    <cellStyle name="Comma 2 5 2 4 3" xfId="3961"/>
    <cellStyle name="Comma 2 5 2 4 4" xfId="3962"/>
    <cellStyle name="Comma 2 5 2 5" xfId="3963"/>
    <cellStyle name="Comma 2 5 2 5 2" xfId="3964"/>
    <cellStyle name="Comma 2 5 2 5 2 2" xfId="3965"/>
    <cellStyle name="Comma 2 5 2 5 2 3" xfId="3966"/>
    <cellStyle name="Comma 2 5 2 5 3" xfId="3967"/>
    <cellStyle name="Comma 2 5 2 5 4" xfId="3968"/>
    <cellStyle name="Comma 2 5 2 6" xfId="3969"/>
    <cellStyle name="Comma 2 5 2 6 2" xfId="3970"/>
    <cellStyle name="Comma 2 5 2 6 2 2" xfId="3971"/>
    <cellStyle name="Comma 2 5 2 6 2 3" xfId="3972"/>
    <cellStyle name="Comma 2 5 2 6 3" xfId="3973"/>
    <cellStyle name="Comma 2 5 2 6 4" xfId="3974"/>
    <cellStyle name="Comma 2 5 2 7" xfId="3975"/>
    <cellStyle name="Comma 2 5 2 7 2" xfId="3976"/>
    <cellStyle name="Comma 2 5 2 7 3" xfId="3977"/>
    <cellStyle name="Comma 2 5 2 8" xfId="3978"/>
    <cellStyle name="Comma 2 5 2 9" xfId="3979"/>
    <cellStyle name="Comma 2 5 3" xfId="3980"/>
    <cellStyle name="Comma 2 5 4" xfId="3981"/>
    <cellStyle name="Comma 2 5 5" xfId="3982"/>
    <cellStyle name="Comma 2 5 6" xfId="3983"/>
    <cellStyle name="Comma 2 5 7" xfId="3984"/>
    <cellStyle name="Comma 2 5 8" xfId="3985"/>
    <cellStyle name="Comma 2 5 8 2" xfId="3986"/>
    <cellStyle name="Comma 2 5 8 2 2" xfId="3987"/>
    <cellStyle name="Comma 2 5 8 2 3" xfId="3988"/>
    <cellStyle name="Comma 2 5 8 3" xfId="3989"/>
    <cellStyle name="Comma 2 5 8 4" xfId="3990"/>
    <cellStyle name="Comma 2 5 9" xfId="3991"/>
    <cellStyle name="Comma 2 5 9 2" xfId="3992"/>
    <cellStyle name="Comma 2 5 9 2 2" xfId="3993"/>
    <cellStyle name="Comma 2 5 9 2 3" xfId="3994"/>
    <cellStyle name="Comma 2 5 9 3" xfId="3995"/>
    <cellStyle name="Comma 2 5 9 4" xfId="3996"/>
    <cellStyle name="Comma 2 50" xfId="113"/>
    <cellStyle name="Comma 2 51" xfId="114"/>
    <cellStyle name="Comma 2 52" xfId="115"/>
    <cellStyle name="Comma 2 53" xfId="116"/>
    <cellStyle name="Comma 2 6" xfId="117"/>
    <cellStyle name="Comma 2 6 10" xfId="3997"/>
    <cellStyle name="Comma 2 6 10 2" xfId="3998"/>
    <cellStyle name="Comma 2 6 10 2 2" xfId="3999"/>
    <cellStyle name="Comma 2 6 10 2 3" xfId="4000"/>
    <cellStyle name="Comma 2 6 10 3" xfId="4001"/>
    <cellStyle name="Comma 2 6 10 4" xfId="4002"/>
    <cellStyle name="Comma 2 6 11" xfId="4003"/>
    <cellStyle name="Comma 2 6 11 2" xfId="4004"/>
    <cellStyle name="Comma 2 6 11 2 2" xfId="4005"/>
    <cellStyle name="Comma 2 6 11 2 3" xfId="4006"/>
    <cellStyle name="Comma 2 6 11 3" xfId="4007"/>
    <cellStyle name="Comma 2 6 11 4" xfId="4008"/>
    <cellStyle name="Comma 2 6 12" xfId="4009"/>
    <cellStyle name="Comma 2 6 12 2" xfId="4010"/>
    <cellStyle name="Comma 2 6 12 3" xfId="4011"/>
    <cellStyle name="Comma 2 6 13" xfId="4012"/>
    <cellStyle name="Comma 2 6 14" xfId="4013"/>
    <cellStyle name="Comma 2 6 2" xfId="4014"/>
    <cellStyle name="Comma 2 6 2 2" xfId="4015"/>
    <cellStyle name="Comma 2 6 2 3" xfId="4016"/>
    <cellStyle name="Comma 2 6 2 3 2" xfId="4017"/>
    <cellStyle name="Comma 2 6 2 3 2 2" xfId="4018"/>
    <cellStyle name="Comma 2 6 2 3 2 3" xfId="4019"/>
    <cellStyle name="Comma 2 6 2 3 3" xfId="4020"/>
    <cellStyle name="Comma 2 6 2 3 4" xfId="4021"/>
    <cellStyle name="Comma 2 6 2 4" xfId="4022"/>
    <cellStyle name="Comma 2 6 2 4 2" xfId="4023"/>
    <cellStyle name="Comma 2 6 2 4 2 2" xfId="4024"/>
    <cellStyle name="Comma 2 6 2 4 2 3" xfId="4025"/>
    <cellStyle name="Comma 2 6 2 4 3" xfId="4026"/>
    <cellStyle name="Comma 2 6 2 4 4" xfId="4027"/>
    <cellStyle name="Comma 2 6 2 5" xfId="4028"/>
    <cellStyle name="Comma 2 6 2 5 2" xfId="4029"/>
    <cellStyle name="Comma 2 6 2 5 2 2" xfId="4030"/>
    <cellStyle name="Comma 2 6 2 5 2 3" xfId="4031"/>
    <cellStyle name="Comma 2 6 2 5 3" xfId="4032"/>
    <cellStyle name="Comma 2 6 2 5 4" xfId="4033"/>
    <cellStyle name="Comma 2 6 2 6" xfId="4034"/>
    <cellStyle name="Comma 2 6 2 6 2" xfId="4035"/>
    <cellStyle name="Comma 2 6 2 6 2 2" xfId="4036"/>
    <cellStyle name="Comma 2 6 2 6 2 3" xfId="4037"/>
    <cellStyle name="Comma 2 6 2 6 3" xfId="4038"/>
    <cellStyle name="Comma 2 6 2 6 4" xfId="4039"/>
    <cellStyle name="Comma 2 6 2 7" xfId="4040"/>
    <cellStyle name="Comma 2 6 2 7 2" xfId="4041"/>
    <cellStyle name="Comma 2 6 2 7 3" xfId="4042"/>
    <cellStyle name="Comma 2 6 2 8" xfId="4043"/>
    <cellStyle name="Comma 2 6 2 9" xfId="4044"/>
    <cellStyle name="Comma 2 6 3" xfId="4045"/>
    <cellStyle name="Comma 2 6 4" xfId="4046"/>
    <cellStyle name="Comma 2 6 5" xfId="4047"/>
    <cellStyle name="Comma 2 6 6" xfId="4048"/>
    <cellStyle name="Comma 2 6 7" xfId="4049"/>
    <cellStyle name="Comma 2 6 8" xfId="4050"/>
    <cellStyle name="Comma 2 6 8 2" xfId="4051"/>
    <cellStyle name="Comma 2 6 8 2 2" xfId="4052"/>
    <cellStyle name="Comma 2 6 8 2 3" xfId="4053"/>
    <cellStyle name="Comma 2 6 8 3" xfId="4054"/>
    <cellStyle name="Comma 2 6 8 4" xfId="4055"/>
    <cellStyle name="Comma 2 6 9" xfId="4056"/>
    <cellStyle name="Comma 2 6 9 2" xfId="4057"/>
    <cellStyle name="Comma 2 6 9 2 2" xfId="4058"/>
    <cellStyle name="Comma 2 6 9 2 3" xfId="4059"/>
    <cellStyle name="Comma 2 6 9 3" xfId="4060"/>
    <cellStyle name="Comma 2 6 9 4" xfId="4061"/>
    <cellStyle name="Comma 2 7" xfId="118"/>
    <cellStyle name="Comma 2 7 10" xfId="4062"/>
    <cellStyle name="Comma 2 7 10 2" xfId="4063"/>
    <cellStyle name="Comma 2 7 10 2 2" xfId="4064"/>
    <cellStyle name="Comma 2 7 10 2 3" xfId="4065"/>
    <cellStyle name="Comma 2 7 10 3" xfId="4066"/>
    <cellStyle name="Comma 2 7 10 4" xfId="4067"/>
    <cellStyle name="Comma 2 7 11" xfId="4068"/>
    <cellStyle name="Comma 2 7 11 2" xfId="4069"/>
    <cellStyle name="Comma 2 7 11 2 2" xfId="4070"/>
    <cellStyle name="Comma 2 7 11 2 3" xfId="4071"/>
    <cellStyle name="Comma 2 7 11 3" xfId="4072"/>
    <cellStyle name="Comma 2 7 11 4" xfId="4073"/>
    <cellStyle name="Comma 2 7 12" xfId="4074"/>
    <cellStyle name="Comma 2 7 12 2" xfId="4075"/>
    <cellStyle name="Comma 2 7 12 3" xfId="4076"/>
    <cellStyle name="Comma 2 7 13" xfId="4077"/>
    <cellStyle name="Comma 2 7 14" xfId="4078"/>
    <cellStyle name="Comma 2 7 2" xfId="4079"/>
    <cellStyle name="Comma 2 7 2 2" xfId="4080"/>
    <cellStyle name="Comma 2 7 2 3" xfId="4081"/>
    <cellStyle name="Comma 2 7 2 3 2" xfId="4082"/>
    <cellStyle name="Comma 2 7 2 3 2 2" xfId="4083"/>
    <cellStyle name="Comma 2 7 2 3 2 3" xfId="4084"/>
    <cellStyle name="Comma 2 7 2 3 3" xfId="4085"/>
    <cellStyle name="Comma 2 7 2 3 4" xfId="4086"/>
    <cellStyle name="Comma 2 7 2 4" xfId="4087"/>
    <cellStyle name="Comma 2 7 2 4 2" xfId="4088"/>
    <cellStyle name="Comma 2 7 2 4 2 2" xfId="4089"/>
    <cellStyle name="Comma 2 7 2 4 2 3" xfId="4090"/>
    <cellStyle name="Comma 2 7 2 4 3" xfId="4091"/>
    <cellStyle name="Comma 2 7 2 4 4" xfId="4092"/>
    <cellStyle name="Comma 2 7 2 5" xfId="4093"/>
    <cellStyle name="Comma 2 7 2 5 2" xfId="4094"/>
    <cellStyle name="Comma 2 7 2 5 2 2" xfId="4095"/>
    <cellStyle name="Comma 2 7 2 5 2 3" xfId="4096"/>
    <cellStyle name="Comma 2 7 2 5 3" xfId="4097"/>
    <cellStyle name="Comma 2 7 2 5 4" xfId="4098"/>
    <cellStyle name="Comma 2 7 2 6" xfId="4099"/>
    <cellStyle name="Comma 2 7 2 6 2" xfId="4100"/>
    <cellStyle name="Comma 2 7 2 6 2 2" xfId="4101"/>
    <cellStyle name="Comma 2 7 2 6 2 3" xfId="4102"/>
    <cellStyle name="Comma 2 7 2 6 3" xfId="4103"/>
    <cellStyle name="Comma 2 7 2 6 4" xfId="4104"/>
    <cellStyle name="Comma 2 7 2 7" xfId="4105"/>
    <cellStyle name="Comma 2 7 2 7 2" xfId="4106"/>
    <cellStyle name="Comma 2 7 2 7 3" xfId="4107"/>
    <cellStyle name="Comma 2 7 2 8" xfId="4108"/>
    <cellStyle name="Comma 2 7 2 9" xfId="4109"/>
    <cellStyle name="Comma 2 7 3" xfId="4110"/>
    <cellStyle name="Comma 2 7 4" xfId="4111"/>
    <cellStyle name="Comma 2 7 5" xfId="4112"/>
    <cellStyle name="Comma 2 7 6" xfId="4113"/>
    <cellStyle name="Comma 2 7 7" xfId="4114"/>
    <cellStyle name="Comma 2 7 8" xfId="4115"/>
    <cellStyle name="Comma 2 7 8 2" xfId="4116"/>
    <cellStyle name="Comma 2 7 8 2 2" xfId="4117"/>
    <cellStyle name="Comma 2 7 8 2 3" xfId="4118"/>
    <cellStyle name="Comma 2 7 8 3" xfId="4119"/>
    <cellStyle name="Comma 2 7 8 4" xfId="4120"/>
    <cellStyle name="Comma 2 7 9" xfId="4121"/>
    <cellStyle name="Comma 2 7 9 2" xfId="4122"/>
    <cellStyle name="Comma 2 7 9 2 2" xfId="4123"/>
    <cellStyle name="Comma 2 7 9 2 3" xfId="4124"/>
    <cellStyle name="Comma 2 7 9 3" xfId="4125"/>
    <cellStyle name="Comma 2 7 9 4" xfId="4126"/>
    <cellStyle name="Comma 2 8" xfId="119"/>
    <cellStyle name="Comma 2 9" xfId="120"/>
    <cellStyle name="Comma 3" xfId="121"/>
    <cellStyle name="Comma 3 10" xfId="122"/>
    <cellStyle name="Comma 3 10 10" xfId="123"/>
    <cellStyle name="Comma 3 10 11" xfId="124"/>
    <cellStyle name="Comma 3 10 12" xfId="125"/>
    <cellStyle name="Comma 3 10 13" xfId="126"/>
    <cellStyle name="Comma 3 10 14" xfId="127"/>
    <cellStyle name="Comma 3 10 15" xfId="128"/>
    <cellStyle name="Comma 3 10 16" xfId="129"/>
    <cellStyle name="Comma 3 10 17" xfId="130"/>
    <cellStyle name="Comma 3 10 18" xfId="131"/>
    <cellStyle name="Comma 3 10 19" xfId="132"/>
    <cellStyle name="Comma 3 10 2" xfId="133"/>
    <cellStyle name="Comma 3 10 20" xfId="134"/>
    <cellStyle name="Comma 3 10 21" xfId="135"/>
    <cellStyle name="Comma 3 10 22" xfId="136"/>
    <cellStyle name="Comma 3 10 23" xfId="137"/>
    <cellStyle name="Comma 3 10 24" xfId="138"/>
    <cellStyle name="Comma 3 10 25" xfId="139"/>
    <cellStyle name="Comma 3 10 26" xfId="140"/>
    <cellStyle name="Comma 3 10 27" xfId="141"/>
    <cellStyle name="Comma 3 10 28" xfId="142"/>
    <cellStyle name="Comma 3 10 29" xfId="143"/>
    <cellStyle name="Comma 3 10 3" xfId="144"/>
    <cellStyle name="Comma 3 10 30" xfId="145"/>
    <cellStyle name="Comma 3 10 31" xfId="146"/>
    <cellStyle name="Comma 3 10 32" xfId="147"/>
    <cellStyle name="Comma 3 10 33" xfId="148"/>
    <cellStyle name="Comma 3 10 34" xfId="149"/>
    <cellStyle name="Comma 3 10 4" xfId="150"/>
    <cellStyle name="Comma 3 10 5" xfId="151"/>
    <cellStyle name="Comma 3 10 6" xfId="152"/>
    <cellStyle name="Comma 3 10 7" xfId="153"/>
    <cellStyle name="Comma 3 10 8" xfId="154"/>
    <cellStyle name="Comma 3 10 9" xfId="155"/>
    <cellStyle name="Comma 3 11" xfId="156"/>
    <cellStyle name="Comma 3 11 2" xfId="4127"/>
    <cellStyle name="Comma 3 11 2 2" xfId="4128"/>
    <cellStyle name="Comma 3 11 2 3" xfId="4129"/>
    <cellStyle name="Comma 3 11 3" xfId="4130"/>
    <cellStyle name="Comma 3 11 4" xfId="4131"/>
    <cellStyle name="Comma 3 12" xfId="157"/>
    <cellStyle name="Comma 3 12 2" xfId="4132"/>
    <cellStyle name="Comma 3 12 2 2" xfId="4133"/>
    <cellStyle name="Comma 3 12 2 3" xfId="4134"/>
    <cellStyle name="Comma 3 12 3" xfId="4135"/>
    <cellStyle name="Comma 3 12 4" xfId="4136"/>
    <cellStyle name="Comma 3 13" xfId="158"/>
    <cellStyle name="Comma 3 13 2" xfId="4137"/>
    <cellStyle name="Comma 3 13 2 2" xfId="4138"/>
    <cellStyle name="Comma 3 13 2 3" xfId="4139"/>
    <cellStyle name="Comma 3 13 3" xfId="4140"/>
    <cellStyle name="Comma 3 13 4" xfId="4141"/>
    <cellStyle name="Comma 3 14" xfId="159"/>
    <cellStyle name="Comma 3 14 2" xfId="4142"/>
    <cellStyle name="Comma 3 14 2 2" xfId="4143"/>
    <cellStyle name="Comma 3 14 2 3" xfId="4144"/>
    <cellStyle name="Comma 3 14 3" xfId="4145"/>
    <cellStyle name="Comma 3 14 4" xfId="4146"/>
    <cellStyle name="Comma 3 15" xfId="160"/>
    <cellStyle name="Comma 3 15 2" xfId="4147"/>
    <cellStyle name="Comma 3 15 3" xfId="4148"/>
    <cellStyle name="Comma 3 16" xfId="161"/>
    <cellStyle name="Comma 3 17" xfId="162"/>
    <cellStyle name="Comma 3 18" xfId="163"/>
    <cellStyle name="Comma 3 19" xfId="164"/>
    <cellStyle name="Comma 3 2" xfId="165"/>
    <cellStyle name="Comma 3 2 10" xfId="166"/>
    <cellStyle name="Comma 3 2 11" xfId="167"/>
    <cellStyle name="Comma 3 2 12" xfId="168"/>
    <cellStyle name="Comma 3 2 13" xfId="169"/>
    <cellStyle name="Comma 3 2 14" xfId="170"/>
    <cellStyle name="Comma 3 2 15" xfId="171"/>
    <cellStyle name="Comma 3 2 16" xfId="172"/>
    <cellStyle name="Comma 3 2 17" xfId="173"/>
    <cellStyle name="Comma 3 2 18" xfId="174"/>
    <cellStyle name="Comma 3 2 19" xfId="175"/>
    <cellStyle name="Comma 3 2 2" xfId="176"/>
    <cellStyle name="Comma 3 2 20" xfId="177"/>
    <cellStyle name="Comma 3 2 21" xfId="178"/>
    <cellStyle name="Comma 3 2 22" xfId="179"/>
    <cellStyle name="Comma 3 2 23" xfId="180"/>
    <cellStyle name="Comma 3 2 24" xfId="181"/>
    <cellStyle name="Comma 3 2 25" xfId="182"/>
    <cellStyle name="Comma 3 2 26" xfId="183"/>
    <cellStyle name="Comma 3 2 27" xfId="184"/>
    <cellStyle name="Comma 3 2 28" xfId="185"/>
    <cellStyle name="Comma 3 2 29" xfId="186"/>
    <cellStyle name="Comma 3 2 3" xfId="187"/>
    <cellStyle name="Comma 3 2 30" xfId="188"/>
    <cellStyle name="Comma 3 2 31" xfId="189"/>
    <cellStyle name="Comma 3 2 32" xfId="190"/>
    <cellStyle name="Comma 3 2 33" xfId="191"/>
    <cellStyle name="Comma 3 2 34" xfId="192"/>
    <cellStyle name="Comma 3 2 35" xfId="193"/>
    <cellStyle name="Comma 3 2 36" xfId="194"/>
    <cellStyle name="Comma 3 2 37" xfId="195"/>
    <cellStyle name="Comma 3 2 38" xfId="196"/>
    <cellStyle name="Comma 3 2 39" xfId="197"/>
    <cellStyle name="Comma 3 2 4" xfId="198"/>
    <cellStyle name="Comma 3 2 40" xfId="199"/>
    <cellStyle name="Comma 3 2 41" xfId="200"/>
    <cellStyle name="Comma 3 2 42" xfId="201"/>
    <cellStyle name="Comma 3 2 43" xfId="202"/>
    <cellStyle name="Comma 3 2 44" xfId="203"/>
    <cellStyle name="Comma 3 2 45" xfId="204"/>
    <cellStyle name="Comma 3 2 46" xfId="205"/>
    <cellStyle name="Comma 3 2 47" xfId="206"/>
    <cellStyle name="Comma 3 2 48" xfId="207"/>
    <cellStyle name="Comma 3 2 5" xfId="208"/>
    <cellStyle name="Comma 3 2 6" xfId="209"/>
    <cellStyle name="Comma 3 2 7" xfId="210"/>
    <cellStyle name="Comma 3 2 8" xfId="211"/>
    <cellStyle name="Comma 3 2 9" xfId="212"/>
    <cellStyle name="Comma 3 20" xfId="213"/>
    <cellStyle name="Comma 3 21" xfId="214"/>
    <cellStyle name="Comma 3 22" xfId="215"/>
    <cellStyle name="Comma 3 23" xfId="216"/>
    <cellStyle name="Comma 3 24" xfId="217"/>
    <cellStyle name="Comma 3 25" xfId="218"/>
    <cellStyle name="Comma 3 26" xfId="219"/>
    <cellStyle name="Comma 3 27" xfId="220"/>
    <cellStyle name="Comma 3 28" xfId="221"/>
    <cellStyle name="Comma 3 29" xfId="222"/>
    <cellStyle name="Comma 3 3" xfId="223"/>
    <cellStyle name="Comma 3 30" xfId="224"/>
    <cellStyle name="Comma 3 31" xfId="225"/>
    <cellStyle name="Comma 3 32" xfId="226"/>
    <cellStyle name="Comma 3 33" xfId="227"/>
    <cellStyle name="Comma 3 34" xfId="228"/>
    <cellStyle name="Comma 3 35" xfId="229"/>
    <cellStyle name="Comma 3 36" xfId="230"/>
    <cellStyle name="Comma 3 37" xfId="231"/>
    <cellStyle name="Comma 3 38" xfId="232"/>
    <cellStyle name="Comma 3 39" xfId="233"/>
    <cellStyle name="Comma 3 4" xfId="234"/>
    <cellStyle name="Comma 3 40" xfId="235"/>
    <cellStyle name="Comma 3 41" xfId="236"/>
    <cellStyle name="Comma 3 42" xfId="237"/>
    <cellStyle name="Comma 3 43" xfId="238"/>
    <cellStyle name="Comma 3 44" xfId="239"/>
    <cellStyle name="Comma 3 45" xfId="240"/>
    <cellStyle name="Comma 3 46" xfId="241"/>
    <cellStyle name="Comma 3 47" xfId="242"/>
    <cellStyle name="Comma 3 48" xfId="243"/>
    <cellStyle name="Comma 3 49" xfId="244"/>
    <cellStyle name="Comma 3 5" xfId="245"/>
    <cellStyle name="Comma 3 5 2" xfId="4149"/>
    <cellStyle name="Comma 3 5 3" xfId="4150"/>
    <cellStyle name="Comma 3 5 3 2" xfId="4151"/>
    <cellStyle name="Comma 3 5 3 2 2" xfId="4152"/>
    <cellStyle name="Comma 3 5 3 2 3" xfId="4153"/>
    <cellStyle name="Comma 3 5 3 3" xfId="4154"/>
    <cellStyle name="Comma 3 5 3 4" xfId="4155"/>
    <cellStyle name="Comma 3 5 4" xfId="4156"/>
    <cellStyle name="Comma 3 5 4 2" xfId="4157"/>
    <cellStyle name="Comma 3 5 4 2 2" xfId="4158"/>
    <cellStyle name="Comma 3 5 4 2 3" xfId="4159"/>
    <cellStyle name="Comma 3 5 4 3" xfId="4160"/>
    <cellStyle name="Comma 3 5 4 4" xfId="4161"/>
    <cellStyle name="Comma 3 5 5" xfId="4162"/>
    <cellStyle name="Comma 3 5 5 2" xfId="4163"/>
    <cellStyle name="Comma 3 5 5 2 2" xfId="4164"/>
    <cellStyle name="Comma 3 5 5 2 3" xfId="4165"/>
    <cellStyle name="Comma 3 5 5 3" xfId="4166"/>
    <cellStyle name="Comma 3 5 5 4" xfId="4167"/>
    <cellStyle name="Comma 3 5 6" xfId="4168"/>
    <cellStyle name="Comma 3 5 6 2" xfId="4169"/>
    <cellStyle name="Comma 3 5 6 2 2" xfId="4170"/>
    <cellStyle name="Comma 3 5 6 2 3" xfId="4171"/>
    <cellStyle name="Comma 3 5 6 3" xfId="4172"/>
    <cellStyle name="Comma 3 5 6 4" xfId="4173"/>
    <cellStyle name="Comma 3 5 7" xfId="4174"/>
    <cellStyle name="Comma 3 5 7 2" xfId="4175"/>
    <cellStyle name="Comma 3 5 7 3" xfId="4176"/>
    <cellStyle name="Comma 3 5 8" xfId="4177"/>
    <cellStyle name="Comma 3 5 9" xfId="4178"/>
    <cellStyle name="Comma 3 50" xfId="246"/>
    <cellStyle name="Comma 3 51" xfId="247"/>
    <cellStyle name="Comma 3 6" xfId="248"/>
    <cellStyle name="Comma 3 6 10" xfId="249"/>
    <cellStyle name="Comma 3 6 11" xfId="250"/>
    <cellStyle name="Comma 3 6 12" xfId="251"/>
    <cellStyle name="Comma 3 6 13" xfId="252"/>
    <cellStyle name="Comma 3 6 14" xfId="253"/>
    <cellStyle name="Comma 3 6 15" xfId="254"/>
    <cellStyle name="Comma 3 6 16" xfId="255"/>
    <cellStyle name="Comma 3 6 17" xfId="256"/>
    <cellStyle name="Comma 3 6 18" xfId="257"/>
    <cellStyle name="Comma 3 6 19" xfId="258"/>
    <cellStyle name="Comma 3 6 2" xfId="259"/>
    <cellStyle name="Comma 3 6 20" xfId="260"/>
    <cellStyle name="Comma 3 6 21" xfId="261"/>
    <cellStyle name="Comma 3 6 22" xfId="262"/>
    <cellStyle name="Comma 3 6 23" xfId="263"/>
    <cellStyle name="Comma 3 6 24" xfId="264"/>
    <cellStyle name="Comma 3 6 25" xfId="265"/>
    <cellStyle name="Comma 3 6 26" xfId="266"/>
    <cellStyle name="Comma 3 6 27" xfId="267"/>
    <cellStyle name="Comma 3 6 28" xfId="268"/>
    <cellStyle name="Comma 3 6 29" xfId="269"/>
    <cellStyle name="Comma 3 6 3" xfId="270"/>
    <cellStyle name="Comma 3 6 30" xfId="271"/>
    <cellStyle name="Comma 3 6 31" xfId="272"/>
    <cellStyle name="Comma 3 6 32" xfId="273"/>
    <cellStyle name="Comma 3 6 33" xfId="274"/>
    <cellStyle name="Comma 3 6 34" xfId="275"/>
    <cellStyle name="Comma 3 6 4" xfId="276"/>
    <cellStyle name="Comma 3 6 5" xfId="277"/>
    <cellStyle name="Comma 3 6 6" xfId="278"/>
    <cellStyle name="Comma 3 6 7" xfId="279"/>
    <cellStyle name="Comma 3 6 8" xfId="280"/>
    <cellStyle name="Comma 3 6 9" xfId="281"/>
    <cellStyle name="Comma 3 7" xfId="282"/>
    <cellStyle name="Comma 3 7 10" xfId="283"/>
    <cellStyle name="Comma 3 7 11" xfId="284"/>
    <cellStyle name="Comma 3 7 12" xfId="285"/>
    <cellStyle name="Comma 3 7 13" xfId="286"/>
    <cellStyle name="Comma 3 7 14" xfId="287"/>
    <cellStyle name="Comma 3 7 15" xfId="288"/>
    <cellStyle name="Comma 3 7 16" xfId="289"/>
    <cellStyle name="Comma 3 7 17" xfId="290"/>
    <cellStyle name="Comma 3 7 18" xfId="291"/>
    <cellStyle name="Comma 3 7 19" xfId="292"/>
    <cellStyle name="Comma 3 7 2" xfId="293"/>
    <cellStyle name="Comma 3 7 20" xfId="294"/>
    <cellStyle name="Comma 3 7 21" xfId="295"/>
    <cellStyle name="Comma 3 7 22" xfId="296"/>
    <cellStyle name="Comma 3 7 23" xfId="297"/>
    <cellStyle name="Comma 3 7 24" xfId="298"/>
    <cellStyle name="Comma 3 7 25" xfId="299"/>
    <cellStyle name="Comma 3 7 26" xfId="300"/>
    <cellStyle name="Comma 3 7 27" xfId="301"/>
    <cellStyle name="Comma 3 7 28" xfId="302"/>
    <cellStyle name="Comma 3 7 29" xfId="303"/>
    <cellStyle name="Comma 3 7 3" xfId="304"/>
    <cellStyle name="Comma 3 7 30" xfId="305"/>
    <cellStyle name="Comma 3 7 31" xfId="306"/>
    <cellStyle name="Comma 3 7 32" xfId="307"/>
    <cellStyle name="Comma 3 7 33" xfId="308"/>
    <cellStyle name="Comma 3 7 34" xfId="309"/>
    <cellStyle name="Comma 3 7 4" xfId="310"/>
    <cellStyle name="Comma 3 7 5" xfId="311"/>
    <cellStyle name="Comma 3 7 6" xfId="312"/>
    <cellStyle name="Comma 3 7 7" xfId="313"/>
    <cellStyle name="Comma 3 7 8" xfId="314"/>
    <cellStyle name="Comma 3 7 9" xfId="315"/>
    <cellStyle name="Comma 3 8" xfId="316"/>
    <cellStyle name="Comma 3 8 10" xfId="317"/>
    <cellStyle name="Comma 3 8 11" xfId="318"/>
    <cellStyle name="Comma 3 8 12" xfId="319"/>
    <cellStyle name="Comma 3 8 13" xfId="320"/>
    <cellStyle name="Comma 3 8 14" xfId="321"/>
    <cellStyle name="Comma 3 8 15" xfId="322"/>
    <cellStyle name="Comma 3 8 16" xfId="323"/>
    <cellStyle name="Comma 3 8 17" xfId="324"/>
    <cellStyle name="Comma 3 8 18" xfId="325"/>
    <cellStyle name="Comma 3 8 19" xfId="326"/>
    <cellStyle name="Comma 3 8 2" xfId="327"/>
    <cellStyle name="Comma 3 8 20" xfId="328"/>
    <cellStyle name="Comma 3 8 21" xfId="329"/>
    <cellStyle name="Comma 3 8 22" xfId="330"/>
    <cellStyle name="Comma 3 8 23" xfId="331"/>
    <cellStyle name="Comma 3 8 24" xfId="332"/>
    <cellStyle name="Comma 3 8 25" xfId="333"/>
    <cellStyle name="Comma 3 8 26" xfId="334"/>
    <cellStyle name="Comma 3 8 27" xfId="335"/>
    <cellStyle name="Comma 3 8 28" xfId="336"/>
    <cellStyle name="Comma 3 8 29" xfId="337"/>
    <cellStyle name="Comma 3 8 3" xfId="338"/>
    <cellStyle name="Comma 3 8 30" xfId="339"/>
    <cellStyle name="Comma 3 8 31" xfId="340"/>
    <cellStyle name="Comma 3 8 32" xfId="341"/>
    <cellStyle name="Comma 3 8 33" xfId="342"/>
    <cellStyle name="Comma 3 8 34" xfId="343"/>
    <cellStyle name="Comma 3 8 4" xfId="344"/>
    <cellStyle name="Comma 3 8 5" xfId="345"/>
    <cellStyle name="Comma 3 8 6" xfId="346"/>
    <cellStyle name="Comma 3 8 7" xfId="347"/>
    <cellStyle name="Comma 3 8 8" xfId="348"/>
    <cellStyle name="Comma 3 8 9" xfId="349"/>
    <cellStyle name="Comma 3 9" xfId="350"/>
    <cellStyle name="Comma 3 9 10" xfId="351"/>
    <cellStyle name="Comma 3 9 11" xfId="352"/>
    <cellStyle name="Comma 3 9 12" xfId="353"/>
    <cellStyle name="Comma 3 9 13" xfId="354"/>
    <cellStyle name="Comma 3 9 14" xfId="355"/>
    <cellStyle name="Comma 3 9 15" xfId="356"/>
    <cellStyle name="Comma 3 9 16" xfId="357"/>
    <cellStyle name="Comma 3 9 17" xfId="358"/>
    <cellStyle name="Comma 3 9 18" xfId="359"/>
    <cellStyle name="Comma 3 9 19" xfId="360"/>
    <cellStyle name="Comma 3 9 2" xfId="361"/>
    <cellStyle name="Comma 3 9 20" xfId="362"/>
    <cellStyle name="Comma 3 9 21" xfId="363"/>
    <cellStyle name="Comma 3 9 22" xfId="364"/>
    <cellStyle name="Comma 3 9 23" xfId="365"/>
    <cellStyle name="Comma 3 9 24" xfId="366"/>
    <cellStyle name="Comma 3 9 25" xfId="367"/>
    <cellStyle name="Comma 3 9 26" xfId="368"/>
    <cellStyle name="Comma 3 9 27" xfId="369"/>
    <cellStyle name="Comma 3 9 28" xfId="370"/>
    <cellStyle name="Comma 3 9 29" xfId="371"/>
    <cellStyle name="Comma 3 9 3" xfId="372"/>
    <cellStyle name="Comma 3 9 30" xfId="373"/>
    <cellStyle name="Comma 3 9 31" xfId="374"/>
    <cellStyle name="Comma 3 9 32" xfId="375"/>
    <cellStyle name="Comma 3 9 33" xfId="376"/>
    <cellStyle name="Comma 3 9 34" xfId="377"/>
    <cellStyle name="Comma 3 9 4" xfId="378"/>
    <cellStyle name="Comma 3 9 5" xfId="379"/>
    <cellStyle name="Comma 3 9 6" xfId="380"/>
    <cellStyle name="Comma 3 9 7" xfId="381"/>
    <cellStyle name="Comma 3 9 8" xfId="382"/>
    <cellStyle name="Comma 3 9 9" xfId="383"/>
    <cellStyle name="Comma 4" xfId="4179"/>
    <cellStyle name="Comma 5" xfId="4180"/>
    <cellStyle name="Comma 5 2" xfId="4181"/>
    <cellStyle name="Comma 5 3" xfId="4182"/>
    <cellStyle name="Comma 6" xfId="4183"/>
    <cellStyle name="Comma 6 2" xfId="4184"/>
    <cellStyle name="Comma 6 2 2" xfId="4185"/>
    <cellStyle name="Comma 6 2 2 2" xfId="4186"/>
    <cellStyle name="Comma 6 2 2 2 2" xfId="4187"/>
    <cellStyle name="Comma 6 2 2 2 3" xfId="4188"/>
    <cellStyle name="Comma 6 2 2 3" xfId="4189"/>
    <cellStyle name="Comma 6 2 2 4" xfId="4190"/>
    <cellStyle name="Comma 6 2 3" xfId="4191"/>
    <cellStyle name="Comma 6 2 3 2" xfId="4192"/>
    <cellStyle name="Comma 6 2 3 2 2" xfId="4193"/>
    <cellStyle name="Comma 6 2 3 2 3" xfId="4194"/>
    <cellStyle name="Comma 6 2 3 3" xfId="4195"/>
    <cellStyle name="Comma 6 2 3 4" xfId="4196"/>
    <cellStyle name="Comma 6 2 4" xfId="4197"/>
    <cellStyle name="Comma 6 2 4 2" xfId="4198"/>
    <cellStyle name="Comma 6 2 4 2 2" xfId="4199"/>
    <cellStyle name="Comma 6 2 4 2 3" xfId="4200"/>
    <cellStyle name="Comma 6 2 4 3" xfId="4201"/>
    <cellStyle name="Comma 6 2 4 4" xfId="4202"/>
    <cellStyle name="Comma 6 2 5" xfId="4203"/>
    <cellStyle name="Comma 6 2 5 2" xfId="4204"/>
    <cellStyle name="Comma 6 2 5 2 2" xfId="4205"/>
    <cellStyle name="Comma 6 2 5 2 3" xfId="4206"/>
    <cellStyle name="Comma 6 2 5 3" xfId="4207"/>
    <cellStyle name="Comma 6 2 5 4" xfId="4208"/>
    <cellStyle name="Comma 6 2 6" xfId="4209"/>
    <cellStyle name="Comma 6 2 6 2" xfId="4210"/>
    <cellStyle name="Comma 6 2 6 3" xfId="4211"/>
    <cellStyle name="Comma 6 2 7" xfId="4212"/>
    <cellStyle name="Comma 6 2 8" xfId="4213"/>
    <cellStyle name="Comma 6 3" xfId="4214"/>
    <cellStyle name="Comma 6 3 2" xfId="4215"/>
    <cellStyle name="Comma 6 3 2 2" xfId="4216"/>
    <cellStyle name="Comma 6 3 2 3" xfId="4217"/>
    <cellStyle name="Comma 6 3 3" xfId="4218"/>
    <cellStyle name="Comma 6 3 4" xfId="4219"/>
    <cellStyle name="Comma 6 4" xfId="4220"/>
    <cellStyle name="Comma 6 4 2" xfId="4221"/>
    <cellStyle name="Comma 6 4 2 2" xfId="4222"/>
    <cellStyle name="Comma 6 4 2 3" xfId="4223"/>
    <cellStyle name="Comma 6 4 3" xfId="4224"/>
    <cellStyle name="Comma 6 4 4" xfId="4225"/>
    <cellStyle name="Comma 6 5" xfId="4226"/>
    <cellStyle name="Comma 6 5 2" xfId="4227"/>
    <cellStyle name="Comma 6 5 2 2" xfId="4228"/>
    <cellStyle name="Comma 6 5 2 3" xfId="4229"/>
    <cellStyle name="Comma 6 5 3" xfId="4230"/>
    <cellStyle name="Comma 6 5 4" xfId="4231"/>
    <cellStyle name="Comma 6 6" xfId="4232"/>
    <cellStyle name="Comma 6 6 2" xfId="4233"/>
    <cellStyle name="Comma 6 6 2 2" xfId="4234"/>
    <cellStyle name="Comma 6 6 2 3" xfId="4235"/>
    <cellStyle name="Comma 6 6 3" xfId="4236"/>
    <cellStyle name="Comma 6 6 4" xfId="4237"/>
    <cellStyle name="Comma 6 7" xfId="4238"/>
    <cellStyle name="Comma 6 7 2" xfId="4239"/>
    <cellStyle name="Comma 6 7 3" xfId="4240"/>
    <cellStyle name="Comma 6 8" xfId="4241"/>
    <cellStyle name="Comma 6 9" xfId="4242"/>
    <cellStyle name="Currency 2" xfId="4243"/>
    <cellStyle name="Currency 3" xfId="4244"/>
    <cellStyle name="Excel Built-in Normal" xfId="4245"/>
    <cellStyle name="Hyperlink" xfId="2" builtinId="8"/>
    <cellStyle name="Hyperlink 2" xfId="4246"/>
    <cellStyle name="Hyperlink 2 10" xfId="384"/>
    <cellStyle name="Hyperlink 2 2" xfId="385"/>
    <cellStyle name="Hyperlink 2 2 2" xfId="4247"/>
    <cellStyle name="Hyperlink 2 2 2 2" xfId="4248"/>
    <cellStyle name="Hyperlink 2 2 2 3" xfId="4249"/>
    <cellStyle name="Hyperlink 2 2 2 4" xfId="4250"/>
    <cellStyle name="Hyperlink 2 2 2 5" xfId="4251"/>
    <cellStyle name="Hyperlink 2 2 3" xfId="4252"/>
    <cellStyle name="Hyperlink 2 2 4" xfId="4253"/>
    <cellStyle name="Hyperlink 2 2 5" xfId="4254"/>
    <cellStyle name="Hyperlink 2 3" xfId="386"/>
    <cellStyle name="Hyperlink 2 3 2" xfId="4255"/>
    <cellStyle name="Hyperlink 2 3 3" xfId="4256"/>
    <cellStyle name="Hyperlink 2 4" xfId="387"/>
    <cellStyle name="Hyperlink 2 4 2" xfId="4257"/>
    <cellStyle name="Hyperlink 2 4 3" xfId="4258"/>
    <cellStyle name="Hyperlink 2 5" xfId="388"/>
    <cellStyle name="Hyperlink 2 5 2" xfId="4259"/>
    <cellStyle name="Hyperlink 2 5 3" xfId="4260"/>
    <cellStyle name="Hyperlink 2 6" xfId="389"/>
    <cellStyle name="Hyperlink 2 6 2" xfId="4261"/>
    <cellStyle name="Hyperlink 2 6 3" xfId="4262"/>
    <cellStyle name="Hyperlink 2 7" xfId="390"/>
    <cellStyle name="Hyperlink 2 8" xfId="391"/>
    <cellStyle name="Hyperlink 2 9" xfId="392"/>
    <cellStyle name="Hyperlink 2_Market Size for Global Mining" xfId="4263"/>
    <cellStyle name="Mida_e" xfId="393"/>
    <cellStyle name="Normal" xfId="0" builtinId="0"/>
    <cellStyle name="Normal 10" xfId="394"/>
    <cellStyle name="Normal 10 10" xfId="395"/>
    <cellStyle name="Normal 10 11" xfId="396"/>
    <cellStyle name="Normal 10 12" xfId="397"/>
    <cellStyle name="Normal 10 13" xfId="398"/>
    <cellStyle name="Normal 10 14" xfId="4264"/>
    <cellStyle name="Normal 10 15" xfId="4265"/>
    <cellStyle name="Normal 10 16" xfId="4266"/>
    <cellStyle name="Normal 10 17" xfId="4267"/>
    <cellStyle name="Normal 10 18" xfId="4268"/>
    <cellStyle name="Normal 10 19" xfId="4269"/>
    <cellStyle name="Normal 10 2" xfId="399"/>
    <cellStyle name="Normal 10 20" xfId="4270"/>
    <cellStyle name="Normal 10 21" xfId="4271"/>
    <cellStyle name="Normal 10 3" xfId="400"/>
    <cellStyle name="Normal 10 4" xfId="401"/>
    <cellStyle name="Normal 10 5" xfId="402"/>
    <cellStyle name="Normal 10 6" xfId="403"/>
    <cellStyle name="Normal 10 7" xfId="404"/>
    <cellStyle name="Normal 10 8" xfId="405"/>
    <cellStyle name="Normal 10 9" xfId="406"/>
    <cellStyle name="Normal 11" xfId="407"/>
    <cellStyle name="Normal 11 10" xfId="408"/>
    <cellStyle name="Normal 11 11" xfId="409"/>
    <cellStyle name="Normal 11 12" xfId="410"/>
    <cellStyle name="Normal 11 13" xfId="411"/>
    <cellStyle name="Normal 11 14" xfId="412"/>
    <cellStyle name="Normal 11 15" xfId="413"/>
    <cellStyle name="Normal 11 16" xfId="414"/>
    <cellStyle name="Normal 11 17" xfId="415"/>
    <cellStyle name="Normal 11 18" xfId="416"/>
    <cellStyle name="Normal 11 19" xfId="417"/>
    <cellStyle name="Normal 11 2" xfId="418"/>
    <cellStyle name="Normal 11 2 2" xfId="419"/>
    <cellStyle name="Normal 11 2 3" xfId="420"/>
    <cellStyle name="Normal 11 20" xfId="421"/>
    <cellStyle name="Normal 11 21" xfId="422"/>
    <cellStyle name="Normal 11 22" xfId="423"/>
    <cellStyle name="Normal 11 23" xfId="424"/>
    <cellStyle name="Normal 11 24" xfId="425"/>
    <cellStyle name="Normal 11 25" xfId="426"/>
    <cellStyle name="Normal 11 26" xfId="427"/>
    <cellStyle name="Normal 11 27" xfId="428"/>
    <cellStyle name="Normal 11 28" xfId="429"/>
    <cellStyle name="Normal 11 29" xfId="430"/>
    <cellStyle name="Normal 11 3" xfId="431"/>
    <cellStyle name="Normal 11 30" xfId="432"/>
    <cellStyle name="Normal 11 31" xfId="433"/>
    <cellStyle name="Normal 11 32" xfId="434"/>
    <cellStyle name="Normal 11 33" xfId="435"/>
    <cellStyle name="Normal 11 34" xfId="436"/>
    <cellStyle name="Normal 11 35" xfId="437"/>
    <cellStyle name="Normal 11 36" xfId="438"/>
    <cellStyle name="Normal 11 37" xfId="439"/>
    <cellStyle name="Normal 11 38" xfId="440"/>
    <cellStyle name="Normal 11 39" xfId="441"/>
    <cellStyle name="Normal 11 4" xfId="442"/>
    <cellStyle name="Normal 11 40" xfId="443"/>
    <cellStyle name="Normal 11 41" xfId="444"/>
    <cellStyle name="Normal 11 42" xfId="445"/>
    <cellStyle name="Normal 11 43" xfId="446"/>
    <cellStyle name="Normal 11 44" xfId="447"/>
    <cellStyle name="Normal 11 45" xfId="448"/>
    <cellStyle name="Normal 11 46" xfId="449"/>
    <cellStyle name="Normal 11 47" xfId="450"/>
    <cellStyle name="Normal 11 48" xfId="451"/>
    <cellStyle name="Normal 11 49" xfId="452"/>
    <cellStyle name="Normal 11 5" xfId="453"/>
    <cellStyle name="Normal 11 50" xfId="454"/>
    <cellStyle name="Normal 11 51" xfId="455"/>
    <cellStyle name="Normal 11 52" xfId="456"/>
    <cellStyle name="Normal 11 53" xfId="457"/>
    <cellStyle name="Normal 11 54" xfId="458"/>
    <cellStyle name="Normal 11 55" xfId="459"/>
    <cellStyle name="Normal 11 56" xfId="460"/>
    <cellStyle name="Normal 11 57" xfId="461"/>
    <cellStyle name="Normal 11 58" xfId="462"/>
    <cellStyle name="Normal 11 59" xfId="463"/>
    <cellStyle name="Normal 11 6" xfId="464"/>
    <cellStyle name="Normal 11 60" xfId="465"/>
    <cellStyle name="Normal 11 61" xfId="466"/>
    <cellStyle name="Normal 11 62" xfId="467"/>
    <cellStyle name="Normal 11 63" xfId="468"/>
    <cellStyle name="Normal 11 64" xfId="469"/>
    <cellStyle name="Normal 11 65" xfId="470"/>
    <cellStyle name="Normal 11 66" xfId="471"/>
    <cellStyle name="Normal 11 67" xfId="472"/>
    <cellStyle name="Normal 11 68" xfId="473"/>
    <cellStyle name="Normal 11 69" xfId="474"/>
    <cellStyle name="Normal 11 7" xfId="475"/>
    <cellStyle name="Normal 11 70" xfId="476"/>
    <cellStyle name="Normal 11 71" xfId="477"/>
    <cellStyle name="Normal 11 72" xfId="478"/>
    <cellStyle name="Normal 11 73" xfId="479"/>
    <cellStyle name="Normal 11 74" xfId="480"/>
    <cellStyle name="Normal 11 75" xfId="481"/>
    <cellStyle name="Normal 11 76" xfId="482"/>
    <cellStyle name="Normal 11 77" xfId="483"/>
    <cellStyle name="Normal 11 78" xfId="484"/>
    <cellStyle name="Normal 11 79" xfId="485"/>
    <cellStyle name="Normal 11 8" xfId="486"/>
    <cellStyle name="Normal 11 80" xfId="487"/>
    <cellStyle name="Normal 11 81" xfId="488"/>
    <cellStyle name="Normal 11 82" xfId="489"/>
    <cellStyle name="Normal 11 83" xfId="490"/>
    <cellStyle name="Normal 11 84" xfId="491"/>
    <cellStyle name="Normal 11 85" xfId="492"/>
    <cellStyle name="Normal 11 86" xfId="493"/>
    <cellStyle name="Normal 11 87" xfId="494"/>
    <cellStyle name="Normal 11 88" xfId="495"/>
    <cellStyle name="Normal 11 89" xfId="496"/>
    <cellStyle name="Normal 11 9" xfId="497"/>
    <cellStyle name="Normal 11 90" xfId="498"/>
    <cellStyle name="Normal 11 91" xfId="499"/>
    <cellStyle name="Normal 12" xfId="500"/>
    <cellStyle name="Normal 12 10" xfId="501"/>
    <cellStyle name="Normal 12 11" xfId="502"/>
    <cellStyle name="Normal 12 12" xfId="503"/>
    <cellStyle name="Normal 12 13" xfId="504"/>
    <cellStyle name="Normal 12 14" xfId="505"/>
    <cellStyle name="Normal 12 15" xfId="506"/>
    <cellStyle name="Normal 12 16" xfId="507"/>
    <cellStyle name="Normal 12 17" xfId="508"/>
    <cellStyle name="Normal 12 18" xfId="509"/>
    <cellStyle name="Normal 12 19" xfId="510"/>
    <cellStyle name="Normal 12 2" xfId="511"/>
    <cellStyle name="Normal 12 20" xfId="512"/>
    <cellStyle name="Normal 12 21" xfId="513"/>
    <cellStyle name="Normal 12 22" xfId="514"/>
    <cellStyle name="Normal 12 23" xfId="515"/>
    <cellStyle name="Normal 12 24" xfId="516"/>
    <cellStyle name="Normal 12 25" xfId="517"/>
    <cellStyle name="Normal 12 26" xfId="518"/>
    <cellStyle name="Normal 12 27" xfId="519"/>
    <cellStyle name="Normal 12 28" xfId="520"/>
    <cellStyle name="Normal 12 29" xfId="521"/>
    <cellStyle name="Normal 12 3" xfId="522"/>
    <cellStyle name="Normal 12 30" xfId="523"/>
    <cellStyle name="Normal 12 31" xfId="524"/>
    <cellStyle name="Normal 12 32" xfId="525"/>
    <cellStyle name="Normal 12 33" xfId="526"/>
    <cellStyle name="Normal 12 34" xfId="527"/>
    <cellStyle name="Normal 12 35" xfId="528"/>
    <cellStyle name="Normal 12 36" xfId="529"/>
    <cellStyle name="Normal 12 37" xfId="530"/>
    <cellStyle name="Normal 12 38" xfId="531"/>
    <cellStyle name="Normal 12 39" xfId="532"/>
    <cellStyle name="Normal 12 4" xfId="533"/>
    <cellStyle name="Normal 12 40" xfId="534"/>
    <cellStyle name="Normal 12 41" xfId="535"/>
    <cellStyle name="Normal 12 42" xfId="536"/>
    <cellStyle name="Normal 12 43" xfId="537"/>
    <cellStyle name="Normal 12 44" xfId="538"/>
    <cellStyle name="Normal 12 45" xfId="539"/>
    <cellStyle name="Normal 12 46" xfId="540"/>
    <cellStyle name="Normal 12 47" xfId="541"/>
    <cellStyle name="Normal 12 48" xfId="542"/>
    <cellStyle name="Normal 12 49" xfId="543"/>
    <cellStyle name="Normal 12 5" xfId="544"/>
    <cellStyle name="Normal 12 50" xfId="545"/>
    <cellStyle name="Normal 12 51" xfId="546"/>
    <cellStyle name="Normal 12 52" xfId="547"/>
    <cellStyle name="Normal 12 53" xfId="548"/>
    <cellStyle name="Normal 12 54" xfId="549"/>
    <cellStyle name="Normal 12 55" xfId="550"/>
    <cellStyle name="Normal 12 56" xfId="551"/>
    <cellStyle name="Normal 12 57" xfId="552"/>
    <cellStyle name="Normal 12 58" xfId="553"/>
    <cellStyle name="Normal 12 59" xfId="554"/>
    <cellStyle name="Normal 12 6" xfId="555"/>
    <cellStyle name="Normal 12 60" xfId="556"/>
    <cellStyle name="Normal 12 61" xfId="557"/>
    <cellStyle name="Normal 12 62" xfId="558"/>
    <cellStyle name="Normal 12 63" xfId="559"/>
    <cellStyle name="Normal 12 64" xfId="560"/>
    <cellStyle name="Normal 12 65" xfId="561"/>
    <cellStyle name="Normal 12 66" xfId="562"/>
    <cellStyle name="Normal 12 67" xfId="563"/>
    <cellStyle name="Normal 12 68" xfId="564"/>
    <cellStyle name="Normal 12 69" xfId="565"/>
    <cellStyle name="Normal 12 7" xfId="566"/>
    <cellStyle name="Normal 12 8" xfId="567"/>
    <cellStyle name="Normal 12 9" xfId="568"/>
    <cellStyle name="Normal 13" xfId="569"/>
    <cellStyle name="Normal 13 10" xfId="570"/>
    <cellStyle name="Normal 13 11" xfId="571"/>
    <cellStyle name="Normal 13 12" xfId="572"/>
    <cellStyle name="Normal 13 13" xfId="573"/>
    <cellStyle name="Normal 13 14" xfId="574"/>
    <cellStyle name="Normal 13 15" xfId="575"/>
    <cellStyle name="Normal 13 16" xfId="576"/>
    <cellStyle name="Normal 13 17" xfId="577"/>
    <cellStyle name="Normal 13 18" xfId="578"/>
    <cellStyle name="Normal 13 19" xfId="579"/>
    <cellStyle name="Normal 13 2" xfId="580"/>
    <cellStyle name="Normal 13 20" xfId="581"/>
    <cellStyle name="Normal 13 21" xfId="582"/>
    <cellStyle name="Normal 13 22" xfId="583"/>
    <cellStyle name="Normal 13 23" xfId="584"/>
    <cellStyle name="Normal 13 24" xfId="585"/>
    <cellStyle name="Normal 13 25" xfId="586"/>
    <cellStyle name="Normal 13 26" xfId="587"/>
    <cellStyle name="Normal 13 27" xfId="588"/>
    <cellStyle name="Normal 13 28" xfId="589"/>
    <cellStyle name="Normal 13 29" xfId="590"/>
    <cellStyle name="Normal 13 3" xfId="591"/>
    <cellStyle name="Normal 13 30" xfId="592"/>
    <cellStyle name="Normal 13 31" xfId="593"/>
    <cellStyle name="Normal 13 32" xfId="594"/>
    <cellStyle name="Normal 13 33" xfId="595"/>
    <cellStyle name="Normal 13 34" xfId="596"/>
    <cellStyle name="Normal 13 35" xfId="597"/>
    <cellStyle name="Normal 13 36" xfId="598"/>
    <cellStyle name="Normal 13 37" xfId="599"/>
    <cellStyle name="Normal 13 38" xfId="600"/>
    <cellStyle name="Normal 13 39" xfId="601"/>
    <cellStyle name="Normal 13 4" xfId="602"/>
    <cellStyle name="Normal 13 40" xfId="603"/>
    <cellStyle name="Normal 13 41" xfId="604"/>
    <cellStyle name="Normal 13 42" xfId="605"/>
    <cellStyle name="Normal 13 43" xfId="606"/>
    <cellStyle name="Normal 13 44" xfId="607"/>
    <cellStyle name="Normal 13 45" xfId="608"/>
    <cellStyle name="Normal 13 46" xfId="609"/>
    <cellStyle name="Normal 13 47" xfId="610"/>
    <cellStyle name="Normal 13 48" xfId="611"/>
    <cellStyle name="Normal 13 49" xfId="612"/>
    <cellStyle name="Normal 13 5" xfId="613"/>
    <cellStyle name="Normal 13 50" xfId="614"/>
    <cellStyle name="Normal 13 51" xfId="615"/>
    <cellStyle name="Normal 13 52" xfId="616"/>
    <cellStyle name="Normal 13 53" xfId="617"/>
    <cellStyle name="Normal 13 54" xfId="618"/>
    <cellStyle name="Normal 13 55" xfId="619"/>
    <cellStyle name="Normal 13 56" xfId="620"/>
    <cellStyle name="Normal 13 57" xfId="621"/>
    <cellStyle name="Normal 13 58" xfId="622"/>
    <cellStyle name="Normal 13 59" xfId="623"/>
    <cellStyle name="Normal 13 6" xfId="624"/>
    <cellStyle name="Normal 13 60" xfId="625"/>
    <cellStyle name="Normal 13 61" xfId="626"/>
    <cellStyle name="Normal 13 62" xfId="627"/>
    <cellStyle name="Normal 13 63" xfId="628"/>
    <cellStyle name="Normal 13 64" xfId="629"/>
    <cellStyle name="Normal 13 65" xfId="630"/>
    <cellStyle name="Normal 13 66" xfId="631"/>
    <cellStyle name="Normal 13 67" xfId="632"/>
    <cellStyle name="Normal 13 68" xfId="633"/>
    <cellStyle name="Normal 13 69" xfId="634"/>
    <cellStyle name="Normal 13 7" xfId="635"/>
    <cellStyle name="Normal 13 8" xfId="636"/>
    <cellStyle name="Normal 13 9" xfId="637"/>
    <cellStyle name="Normal 14" xfId="638"/>
    <cellStyle name="Normal 14 10" xfId="639"/>
    <cellStyle name="Normal 14 11" xfId="640"/>
    <cellStyle name="Normal 14 12" xfId="641"/>
    <cellStyle name="Normal 14 13" xfId="642"/>
    <cellStyle name="Normal 14 14" xfId="643"/>
    <cellStyle name="Normal 14 15" xfId="644"/>
    <cellStyle name="Normal 14 16" xfId="645"/>
    <cellStyle name="Normal 14 17" xfId="646"/>
    <cellStyle name="Normal 14 18" xfId="647"/>
    <cellStyle name="Normal 14 19" xfId="648"/>
    <cellStyle name="Normal 14 2" xfId="649"/>
    <cellStyle name="Normal 14 20" xfId="650"/>
    <cellStyle name="Normal 14 21" xfId="651"/>
    <cellStyle name="Normal 14 22" xfId="652"/>
    <cellStyle name="Normal 14 23" xfId="653"/>
    <cellStyle name="Normal 14 24" xfId="654"/>
    <cellStyle name="Normal 14 25" xfId="655"/>
    <cellStyle name="Normal 14 26" xfId="656"/>
    <cellStyle name="Normal 14 27" xfId="657"/>
    <cellStyle name="Normal 14 28" xfId="658"/>
    <cellStyle name="Normal 14 29" xfId="659"/>
    <cellStyle name="Normal 14 3" xfId="660"/>
    <cellStyle name="Normal 14 30" xfId="661"/>
    <cellStyle name="Normal 14 31" xfId="662"/>
    <cellStyle name="Normal 14 32" xfId="663"/>
    <cellStyle name="Normal 14 33" xfId="664"/>
    <cellStyle name="Normal 14 34" xfId="665"/>
    <cellStyle name="Normal 14 35" xfId="666"/>
    <cellStyle name="Normal 14 36" xfId="667"/>
    <cellStyle name="Normal 14 37" xfId="668"/>
    <cellStyle name="Normal 14 38" xfId="669"/>
    <cellStyle name="Normal 14 39" xfId="670"/>
    <cellStyle name="Normal 14 4" xfId="671"/>
    <cellStyle name="Normal 14 40" xfId="672"/>
    <cellStyle name="Normal 14 41" xfId="673"/>
    <cellStyle name="Normal 14 42" xfId="674"/>
    <cellStyle name="Normal 14 43" xfId="675"/>
    <cellStyle name="Normal 14 44" xfId="676"/>
    <cellStyle name="Normal 14 45" xfId="677"/>
    <cellStyle name="Normal 14 46" xfId="678"/>
    <cellStyle name="Normal 14 47" xfId="679"/>
    <cellStyle name="Normal 14 48" xfId="680"/>
    <cellStyle name="Normal 14 49" xfId="681"/>
    <cellStyle name="Normal 14 5" xfId="682"/>
    <cellStyle name="Normal 14 50" xfId="683"/>
    <cellStyle name="Normal 14 51" xfId="684"/>
    <cellStyle name="Normal 14 52" xfId="685"/>
    <cellStyle name="Normal 14 53" xfId="686"/>
    <cellStyle name="Normal 14 54" xfId="687"/>
    <cellStyle name="Normal 14 55" xfId="688"/>
    <cellStyle name="Normal 14 56" xfId="689"/>
    <cellStyle name="Normal 14 57" xfId="690"/>
    <cellStyle name="Normal 14 58" xfId="691"/>
    <cellStyle name="Normal 14 59" xfId="692"/>
    <cellStyle name="Normal 14 6" xfId="693"/>
    <cellStyle name="Normal 14 60" xfId="694"/>
    <cellStyle name="Normal 14 61" xfId="695"/>
    <cellStyle name="Normal 14 62" xfId="696"/>
    <cellStyle name="Normal 14 63" xfId="697"/>
    <cellStyle name="Normal 14 64" xfId="698"/>
    <cellStyle name="Normal 14 65" xfId="699"/>
    <cellStyle name="Normal 14 66" xfId="700"/>
    <cellStyle name="Normal 14 67" xfId="701"/>
    <cellStyle name="Normal 14 68" xfId="702"/>
    <cellStyle name="Normal 14 69" xfId="703"/>
    <cellStyle name="Normal 14 7" xfId="704"/>
    <cellStyle name="Normal 14 8" xfId="705"/>
    <cellStyle name="Normal 14 9" xfId="706"/>
    <cellStyle name="Normal 15" xfId="707"/>
    <cellStyle name="Normal 15 10" xfId="708"/>
    <cellStyle name="Normal 15 11" xfId="709"/>
    <cellStyle name="Normal 15 12" xfId="710"/>
    <cellStyle name="Normal 15 13" xfId="711"/>
    <cellStyle name="Normal 15 14" xfId="712"/>
    <cellStyle name="Normal 15 15" xfId="713"/>
    <cellStyle name="Normal 15 16" xfId="714"/>
    <cellStyle name="Normal 15 17" xfId="715"/>
    <cellStyle name="Normal 15 18" xfId="716"/>
    <cellStyle name="Normal 15 19" xfId="717"/>
    <cellStyle name="Normal 15 2" xfId="718"/>
    <cellStyle name="Normal 15 2 2" xfId="719"/>
    <cellStyle name="Normal 15 2 3" xfId="720"/>
    <cellStyle name="Normal 15 20" xfId="721"/>
    <cellStyle name="Normal 15 21" xfId="722"/>
    <cellStyle name="Normal 15 22" xfId="723"/>
    <cellStyle name="Normal 15 23" xfId="724"/>
    <cellStyle name="Normal 15 24" xfId="725"/>
    <cellStyle name="Normal 15 25" xfId="726"/>
    <cellStyle name="Normal 15 26" xfId="727"/>
    <cellStyle name="Normal 15 27" xfId="728"/>
    <cellStyle name="Normal 15 28" xfId="729"/>
    <cellStyle name="Normal 15 29" xfId="730"/>
    <cellStyle name="Normal 15 3" xfId="731"/>
    <cellStyle name="Normal 15 30" xfId="732"/>
    <cellStyle name="Normal 15 31" xfId="733"/>
    <cellStyle name="Normal 15 32" xfId="734"/>
    <cellStyle name="Normal 15 33" xfId="735"/>
    <cellStyle name="Normal 15 34" xfId="736"/>
    <cellStyle name="Normal 15 35" xfId="737"/>
    <cellStyle name="Normal 15 36" xfId="738"/>
    <cellStyle name="Normal 15 37" xfId="739"/>
    <cellStyle name="Normal 15 38" xfId="740"/>
    <cellStyle name="Normal 15 39" xfId="741"/>
    <cellStyle name="Normal 15 4" xfId="742"/>
    <cellStyle name="Normal 15 40" xfId="743"/>
    <cellStyle name="Normal 15 41" xfId="744"/>
    <cellStyle name="Normal 15 42" xfId="745"/>
    <cellStyle name="Normal 15 43" xfId="746"/>
    <cellStyle name="Normal 15 44" xfId="747"/>
    <cellStyle name="Normal 15 45" xfId="748"/>
    <cellStyle name="Normal 15 46" xfId="749"/>
    <cellStyle name="Normal 15 47" xfId="750"/>
    <cellStyle name="Normal 15 48" xfId="751"/>
    <cellStyle name="Normal 15 49" xfId="752"/>
    <cellStyle name="Normal 15 5" xfId="753"/>
    <cellStyle name="Normal 15 50" xfId="754"/>
    <cellStyle name="Normal 15 51" xfId="755"/>
    <cellStyle name="Normal 15 52" xfId="756"/>
    <cellStyle name="Normal 15 53" xfId="757"/>
    <cellStyle name="Normal 15 54" xfId="758"/>
    <cellStyle name="Normal 15 55" xfId="759"/>
    <cellStyle name="Normal 15 56" xfId="760"/>
    <cellStyle name="Normal 15 57" xfId="761"/>
    <cellStyle name="Normal 15 58" xfId="762"/>
    <cellStyle name="Normal 15 59" xfId="763"/>
    <cellStyle name="Normal 15 6" xfId="764"/>
    <cellStyle name="Normal 15 60" xfId="765"/>
    <cellStyle name="Normal 15 61" xfId="766"/>
    <cellStyle name="Normal 15 62" xfId="767"/>
    <cellStyle name="Normal 15 63" xfId="768"/>
    <cellStyle name="Normal 15 64" xfId="769"/>
    <cellStyle name="Normal 15 65" xfId="770"/>
    <cellStyle name="Normal 15 66" xfId="771"/>
    <cellStyle name="Normal 15 67" xfId="772"/>
    <cellStyle name="Normal 15 68" xfId="773"/>
    <cellStyle name="Normal 15 69" xfId="774"/>
    <cellStyle name="Normal 15 7" xfId="775"/>
    <cellStyle name="Normal 15 70" xfId="776"/>
    <cellStyle name="Normal 15 71" xfId="777"/>
    <cellStyle name="Normal 15 72" xfId="778"/>
    <cellStyle name="Normal 15 73" xfId="779"/>
    <cellStyle name="Normal 15 74" xfId="780"/>
    <cellStyle name="Normal 15 75" xfId="781"/>
    <cellStyle name="Normal 15 76" xfId="782"/>
    <cellStyle name="Normal 15 77" xfId="783"/>
    <cellStyle name="Normal 15 78" xfId="784"/>
    <cellStyle name="Normal 15 79" xfId="785"/>
    <cellStyle name="Normal 15 8" xfId="786"/>
    <cellStyle name="Normal 15 9" xfId="787"/>
    <cellStyle name="Normal 16" xfId="788"/>
    <cellStyle name="Normal 16 10" xfId="789"/>
    <cellStyle name="Normal 16 11" xfId="790"/>
    <cellStyle name="Normal 16 12" xfId="791"/>
    <cellStyle name="Normal 16 13" xfId="792"/>
    <cellStyle name="Normal 16 14" xfId="793"/>
    <cellStyle name="Normal 16 15" xfId="794"/>
    <cellStyle name="Normal 16 16" xfId="795"/>
    <cellStyle name="Normal 16 17" xfId="796"/>
    <cellStyle name="Normal 16 18" xfId="797"/>
    <cellStyle name="Normal 16 19" xfId="798"/>
    <cellStyle name="Normal 16 2" xfId="799"/>
    <cellStyle name="Normal 16 20" xfId="800"/>
    <cellStyle name="Normal 16 21" xfId="801"/>
    <cellStyle name="Normal 16 22" xfId="802"/>
    <cellStyle name="Normal 16 23" xfId="803"/>
    <cellStyle name="Normal 16 24" xfId="804"/>
    <cellStyle name="Normal 16 25" xfId="805"/>
    <cellStyle name="Normal 16 26" xfId="806"/>
    <cellStyle name="Normal 16 27" xfId="807"/>
    <cellStyle name="Normal 16 28" xfId="808"/>
    <cellStyle name="Normal 16 29" xfId="809"/>
    <cellStyle name="Normal 16 3" xfId="810"/>
    <cellStyle name="Normal 16 30" xfId="811"/>
    <cellStyle name="Normal 16 31" xfId="812"/>
    <cellStyle name="Normal 16 32" xfId="813"/>
    <cellStyle name="Normal 16 33" xfId="814"/>
    <cellStyle name="Normal 16 34" xfId="815"/>
    <cellStyle name="Normal 16 35" xfId="816"/>
    <cellStyle name="Normal 16 36" xfId="817"/>
    <cellStyle name="Normal 16 37" xfId="818"/>
    <cellStyle name="Normal 16 38" xfId="819"/>
    <cellStyle name="Normal 16 39" xfId="820"/>
    <cellStyle name="Normal 16 4" xfId="821"/>
    <cellStyle name="Normal 16 40" xfId="822"/>
    <cellStyle name="Normal 16 41" xfId="823"/>
    <cellStyle name="Normal 16 42" xfId="824"/>
    <cellStyle name="Normal 16 43" xfId="825"/>
    <cellStyle name="Normal 16 44" xfId="826"/>
    <cellStyle name="Normal 16 45" xfId="827"/>
    <cellStyle name="Normal 16 46" xfId="828"/>
    <cellStyle name="Normal 16 47" xfId="829"/>
    <cellStyle name="Normal 16 48" xfId="830"/>
    <cellStyle name="Normal 16 49" xfId="831"/>
    <cellStyle name="Normal 16 5" xfId="832"/>
    <cellStyle name="Normal 16 50" xfId="833"/>
    <cellStyle name="Normal 16 51" xfId="834"/>
    <cellStyle name="Normal 16 52" xfId="835"/>
    <cellStyle name="Normal 16 53" xfId="836"/>
    <cellStyle name="Normal 16 54" xfId="837"/>
    <cellStyle name="Normal 16 55" xfId="838"/>
    <cellStyle name="Normal 16 56" xfId="839"/>
    <cellStyle name="Normal 16 57" xfId="840"/>
    <cellStyle name="Normal 16 58" xfId="841"/>
    <cellStyle name="Normal 16 59" xfId="842"/>
    <cellStyle name="Normal 16 6" xfId="843"/>
    <cellStyle name="Normal 16 60" xfId="844"/>
    <cellStyle name="Normal 16 61" xfId="845"/>
    <cellStyle name="Normal 16 62" xfId="846"/>
    <cellStyle name="Normal 16 63" xfId="847"/>
    <cellStyle name="Normal 16 64" xfId="848"/>
    <cellStyle name="Normal 16 65" xfId="849"/>
    <cellStyle name="Normal 16 66" xfId="850"/>
    <cellStyle name="Normal 16 67" xfId="851"/>
    <cellStyle name="Normal 16 68" xfId="852"/>
    <cellStyle name="Normal 16 69" xfId="853"/>
    <cellStyle name="Normal 16 7" xfId="854"/>
    <cellStyle name="Normal 16 8" xfId="855"/>
    <cellStyle name="Normal 16 9" xfId="856"/>
    <cellStyle name="Normal 17" xfId="857"/>
    <cellStyle name="Normal 17 10" xfId="858"/>
    <cellStyle name="Normal 17 11" xfId="859"/>
    <cellStyle name="Normal 17 12" xfId="860"/>
    <cellStyle name="Normal 17 13" xfId="861"/>
    <cellStyle name="Normal 17 14" xfId="862"/>
    <cellStyle name="Normal 17 15" xfId="863"/>
    <cellStyle name="Normal 17 16" xfId="864"/>
    <cellStyle name="Normal 17 17" xfId="865"/>
    <cellStyle name="Normal 17 18" xfId="866"/>
    <cellStyle name="Normal 17 19" xfId="867"/>
    <cellStyle name="Normal 17 2" xfId="868"/>
    <cellStyle name="Normal 17 20" xfId="869"/>
    <cellStyle name="Normal 17 21" xfId="870"/>
    <cellStyle name="Normal 17 22" xfId="871"/>
    <cellStyle name="Normal 17 23" xfId="872"/>
    <cellStyle name="Normal 17 24" xfId="873"/>
    <cellStyle name="Normal 17 25" xfId="874"/>
    <cellStyle name="Normal 17 26" xfId="875"/>
    <cellStyle name="Normal 17 27" xfId="876"/>
    <cellStyle name="Normal 17 28" xfId="877"/>
    <cellStyle name="Normal 17 29" xfId="878"/>
    <cellStyle name="Normal 17 3" xfId="879"/>
    <cellStyle name="Normal 17 30" xfId="880"/>
    <cellStyle name="Normal 17 31" xfId="881"/>
    <cellStyle name="Normal 17 32" xfId="882"/>
    <cellStyle name="Normal 17 33" xfId="883"/>
    <cellStyle name="Normal 17 34" xfId="884"/>
    <cellStyle name="Normal 17 35" xfId="885"/>
    <cellStyle name="Normal 17 36" xfId="886"/>
    <cellStyle name="Normal 17 37" xfId="887"/>
    <cellStyle name="Normal 17 38" xfId="888"/>
    <cellStyle name="Normal 17 39" xfId="889"/>
    <cellStyle name="Normal 17 4" xfId="890"/>
    <cellStyle name="Normal 17 40" xfId="891"/>
    <cellStyle name="Normal 17 41" xfId="892"/>
    <cellStyle name="Normal 17 42" xfId="893"/>
    <cellStyle name="Normal 17 43" xfId="894"/>
    <cellStyle name="Normal 17 44" xfId="895"/>
    <cellStyle name="Normal 17 45" xfId="896"/>
    <cellStyle name="Normal 17 46" xfId="897"/>
    <cellStyle name="Normal 17 47" xfId="898"/>
    <cellStyle name="Normal 17 48" xfId="899"/>
    <cellStyle name="Normal 17 49" xfId="900"/>
    <cellStyle name="Normal 17 5" xfId="901"/>
    <cellStyle name="Normal 17 50" xfId="902"/>
    <cellStyle name="Normal 17 51" xfId="903"/>
    <cellStyle name="Normal 17 52" xfId="904"/>
    <cellStyle name="Normal 17 53" xfId="905"/>
    <cellStyle name="Normal 17 54" xfId="906"/>
    <cellStyle name="Normal 17 55" xfId="907"/>
    <cellStyle name="Normal 17 56" xfId="908"/>
    <cellStyle name="Normal 17 57" xfId="909"/>
    <cellStyle name="Normal 17 58" xfId="910"/>
    <cellStyle name="Normal 17 59" xfId="911"/>
    <cellStyle name="Normal 17 6" xfId="912"/>
    <cellStyle name="Normal 17 60" xfId="913"/>
    <cellStyle name="Normal 17 61" xfId="914"/>
    <cellStyle name="Normal 17 62" xfId="915"/>
    <cellStyle name="Normal 17 63" xfId="916"/>
    <cellStyle name="Normal 17 64" xfId="917"/>
    <cellStyle name="Normal 17 65" xfId="918"/>
    <cellStyle name="Normal 17 66" xfId="919"/>
    <cellStyle name="Normal 17 67" xfId="920"/>
    <cellStyle name="Normal 17 68" xfId="921"/>
    <cellStyle name="Normal 17 69" xfId="922"/>
    <cellStyle name="Normal 17 7" xfId="923"/>
    <cellStyle name="Normal 17 8" xfId="924"/>
    <cellStyle name="Normal 17 9" xfId="925"/>
    <cellStyle name="Normal 18" xfId="926"/>
    <cellStyle name="Normal 18 10" xfId="927"/>
    <cellStyle name="Normal 18 11" xfId="928"/>
    <cellStyle name="Normal 18 12" xfId="929"/>
    <cellStyle name="Normal 18 13" xfId="930"/>
    <cellStyle name="Normal 18 14" xfId="931"/>
    <cellStyle name="Normal 18 15" xfId="932"/>
    <cellStyle name="Normal 18 16" xfId="933"/>
    <cellStyle name="Normal 18 17" xfId="934"/>
    <cellStyle name="Normal 18 18" xfId="935"/>
    <cellStyle name="Normal 18 19" xfId="936"/>
    <cellStyle name="Normal 18 2" xfId="937"/>
    <cellStyle name="Normal 18 20" xfId="938"/>
    <cellStyle name="Normal 18 21" xfId="939"/>
    <cellStyle name="Normal 18 22" xfId="940"/>
    <cellStyle name="Normal 18 23" xfId="941"/>
    <cellStyle name="Normal 18 24" xfId="942"/>
    <cellStyle name="Normal 18 25" xfId="943"/>
    <cellStyle name="Normal 18 26" xfId="944"/>
    <cellStyle name="Normal 18 27" xfId="945"/>
    <cellStyle name="Normal 18 28" xfId="946"/>
    <cellStyle name="Normal 18 29" xfId="947"/>
    <cellStyle name="Normal 18 3" xfId="948"/>
    <cellStyle name="Normal 18 30" xfId="949"/>
    <cellStyle name="Normal 18 31" xfId="950"/>
    <cellStyle name="Normal 18 32" xfId="951"/>
    <cellStyle name="Normal 18 33" xfId="952"/>
    <cellStyle name="Normal 18 34" xfId="953"/>
    <cellStyle name="Normal 18 35" xfId="954"/>
    <cellStyle name="Normal 18 36" xfId="955"/>
    <cellStyle name="Normal 18 37" xfId="956"/>
    <cellStyle name="Normal 18 38" xfId="957"/>
    <cellStyle name="Normal 18 39" xfId="958"/>
    <cellStyle name="Normal 18 4" xfId="959"/>
    <cellStyle name="Normal 18 40" xfId="960"/>
    <cellStyle name="Normal 18 41" xfId="961"/>
    <cellStyle name="Normal 18 42" xfId="962"/>
    <cellStyle name="Normal 18 43" xfId="963"/>
    <cellStyle name="Normal 18 44" xfId="964"/>
    <cellStyle name="Normal 18 45" xfId="965"/>
    <cellStyle name="Normal 18 46" xfId="966"/>
    <cellStyle name="Normal 18 47" xfId="967"/>
    <cellStyle name="Normal 18 48" xfId="968"/>
    <cellStyle name="Normal 18 49" xfId="969"/>
    <cellStyle name="Normal 18 5" xfId="970"/>
    <cellStyle name="Normal 18 50" xfId="971"/>
    <cellStyle name="Normal 18 51" xfId="972"/>
    <cellStyle name="Normal 18 52" xfId="973"/>
    <cellStyle name="Normal 18 53" xfId="974"/>
    <cellStyle name="Normal 18 54" xfId="975"/>
    <cellStyle name="Normal 18 55" xfId="976"/>
    <cellStyle name="Normal 18 56" xfId="977"/>
    <cellStyle name="Normal 18 57" xfId="978"/>
    <cellStyle name="Normal 18 58" xfId="979"/>
    <cellStyle name="Normal 18 59" xfId="980"/>
    <cellStyle name="Normal 18 6" xfId="981"/>
    <cellStyle name="Normal 18 60" xfId="982"/>
    <cellStyle name="Normal 18 61" xfId="983"/>
    <cellStyle name="Normal 18 62" xfId="984"/>
    <cellStyle name="Normal 18 63" xfId="985"/>
    <cellStyle name="Normal 18 64" xfId="986"/>
    <cellStyle name="Normal 18 65" xfId="987"/>
    <cellStyle name="Normal 18 66" xfId="988"/>
    <cellStyle name="Normal 18 67" xfId="989"/>
    <cellStyle name="Normal 18 68" xfId="990"/>
    <cellStyle name="Normal 18 69" xfId="991"/>
    <cellStyle name="Normal 18 7" xfId="992"/>
    <cellStyle name="Normal 18 8" xfId="993"/>
    <cellStyle name="Normal 18 9" xfId="994"/>
    <cellStyle name="Normal 19" xfId="995"/>
    <cellStyle name="Normal 19 10" xfId="996"/>
    <cellStyle name="Normal 19 11" xfId="997"/>
    <cellStyle name="Normal 19 12" xfId="998"/>
    <cellStyle name="Normal 19 13" xfId="999"/>
    <cellStyle name="Normal 19 14" xfId="1000"/>
    <cellStyle name="Normal 19 15" xfId="1001"/>
    <cellStyle name="Normal 19 16" xfId="1002"/>
    <cellStyle name="Normal 19 17" xfId="1003"/>
    <cellStyle name="Normal 19 18" xfId="1004"/>
    <cellStyle name="Normal 19 19" xfId="1005"/>
    <cellStyle name="Normal 19 2" xfId="1006"/>
    <cellStyle name="Normal 19 20" xfId="1007"/>
    <cellStyle name="Normal 19 21" xfId="1008"/>
    <cellStyle name="Normal 19 22" xfId="1009"/>
    <cellStyle name="Normal 19 23" xfId="1010"/>
    <cellStyle name="Normal 19 24" xfId="1011"/>
    <cellStyle name="Normal 19 25" xfId="1012"/>
    <cellStyle name="Normal 19 26" xfId="1013"/>
    <cellStyle name="Normal 19 27" xfId="1014"/>
    <cellStyle name="Normal 19 28" xfId="1015"/>
    <cellStyle name="Normal 19 29" xfId="1016"/>
    <cellStyle name="Normal 19 3" xfId="1017"/>
    <cellStyle name="Normal 19 30" xfId="1018"/>
    <cellStyle name="Normal 19 31" xfId="1019"/>
    <cellStyle name="Normal 19 32" xfId="1020"/>
    <cellStyle name="Normal 19 33" xfId="1021"/>
    <cellStyle name="Normal 19 34" xfId="1022"/>
    <cellStyle name="Normal 19 35" xfId="1023"/>
    <cellStyle name="Normal 19 36" xfId="1024"/>
    <cellStyle name="Normal 19 37" xfId="1025"/>
    <cellStyle name="Normal 19 38" xfId="1026"/>
    <cellStyle name="Normal 19 39" xfId="1027"/>
    <cellStyle name="Normal 19 4" xfId="1028"/>
    <cellStyle name="Normal 19 40" xfId="1029"/>
    <cellStyle name="Normal 19 41" xfId="1030"/>
    <cellStyle name="Normal 19 42" xfId="1031"/>
    <cellStyle name="Normal 19 43" xfId="1032"/>
    <cellStyle name="Normal 19 44" xfId="1033"/>
    <cellStyle name="Normal 19 45" xfId="1034"/>
    <cellStyle name="Normal 19 46" xfId="1035"/>
    <cellStyle name="Normal 19 47" xfId="1036"/>
    <cellStyle name="Normal 19 48" xfId="1037"/>
    <cellStyle name="Normal 19 49" xfId="1038"/>
    <cellStyle name="Normal 19 5" xfId="1039"/>
    <cellStyle name="Normal 19 50" xfId="1040"/>
    <cellStyle name="Normal 19 51" xfId="1041"/>
    <cellStyle name="Normal 19 52" xfId="1042"/>
    <cellStyle name="Normal 19 53" xfId="1043"/>
    <cellStyle name="Normal 19 54" xfId="1044"/>
    <cellStyle name="Normal 19 55" xfId="1045"/>
    <cellStyle name="Normal 19 56" xfId="1046"/>
    <cellStyle name="Normal 19 57" xfId="1047"/>
    <cellStyle name="Normal 19 58" xfId="1048"/>
    <cellStyle name="Normal 19 59" xfId="1049"/>
    <cellStyle name="Normal 19 6" xfId="1050"/>
    <cellStyle name="Normal 19 60" xfId="1051"/>
    <cellStyle name="Normal 19 61" xfId="1052"/>
    <cellStyle name="Normal 19 62" xfId="1053"/>
    <cellStyle name="Normal 19 63" xfId="1054"/>
    <cellStyle name="Normal 19 64" xfId="1055"/>
    <cellStyle name="Normal 19 65" xfId="1056"/>
    <cellStyle name="Normal 19 66" xfId="1057"/>
    <cellStyle name="Normal 19 67" xfId="1058"/>
    <cellStyle name="Normal 19 68" xfId="1059"/>
    <cellStyle name="Normal 19 69" xfId="1060"/>
    <cellStyle name="Normal 19 7" xfId="1061"/>
    <cellStyle name="Normal 19 8" xfId="1062"/>
    <cellStyle name="Normal 19 9" xfId="1063"/>
    <cellStyle name="Normal 2" xfId="3"/>
    <cellStyle name="Normal 2 10" xfId="1064"/>
    <cellStyle name="Normal 2 11" xfId="1065"/>
    <cellStyle name="Normal 2 12" xfId="1066"/>
    <cellStyle name="Normal 2 13" xfId="1067"/>
    <cellStyle name="Normal 2 14" xfId="1068"/>
    <cellStyle name="Normal 2 15" xfId="1069"/>
    <cellStyle name="Normal 2 16" xfId="1070"/>
    <cellStyle name="Normal 2 17" xfId="1071"/>
    <cellStyle name="Normal 2 17 10" xfId="1072"/>
    <cellStyle name="Normal 2 17 11" xfId="1073"/>
    <cellStyle name="Normal 2 17 12" xfId="1074"/>
    <cellStyle name="Normal 2 17 13" xfId="1075"/>
    <cellStyle name="Normal 2 17 14" xfId="1076"/>
    <cellStyle name="Normal 2 17 15" xfId="1077"/>
    <cellStyle name="Normal 2 17 16" xfId="1078"/>
    <cellStyle name="Normal 2 17 17" xfId="1079"/>
    <cellStyle name="Normal 2 17 18" xfId="1080"/>
    <cellStyle name="Normal 2 17 19" xfId="1081"/>
    <cellStyle name="Normal 2 17 2" xfId="1082"/>
    <cellStyle name="Normal 2 17 2 2" xfId="1083"/>
    <cellStyle name="Normal 2 17 2 2 10" xfId="1084"/>
    <cellStyle name="Normal 2 17 2 2 11" xfId="1085"/>
    <cellStyle name="Normal 2 17 2 2 12" xfId="1086"/>
    <cellStyle name="Normal 2 17 2 2 13" xfId="1087"/>
    <cellStyle name="Normal 2 17 2 2 14" xfId="1088"/>
    <cellStyle name="Normal 2 17 2 2 15" xfId="1089"/>
    <cellStyle name="Normal 2 17 2 2 16" xfId="1090"/>
    <cellStyle name="Normal 2 17 2 2 17" xfId="1091"/>
    <cellStyle name="Normal 2 17 2 2 18" xfId="1092"/>
    <cellStyle name="Normal 2 17 2 2 19" xfId="1093"/>
    <cellStyle name="Normal 2 17 2 2 2" xfId="1094"/>
    <cellStyle name="Normal 2 17 2 2 20" xfId="1095"/>
    <cellStyle name="Normal 2 17 2 2 21" xfId="1096"/>
    <cellStyle name="Normal 2 17 2 2 22" xfId="1097"/>
    <cellStyle name="Normal 2 17 2 2 23" xfId="1098"/>
    <cellStyle name="Normal 2 17 2 2 24" xfId="1099"/>
    <cellStyle name="Normal 2 17 2 2 25" xfId="1100"/>
    <cellStyle name="Normal 2 17 2 2 26" xfId="1101"/>
    <cellStyle name="Normal 2 17 2 2 27" xfId="1102"/>
    <cellStyle name="Normal 2 17 2 2 28" xfId="1103"/>
    <cellStyle name="Normal 2 17 2 2 29" xfId="1104"/>
    <cellStyle name="Normal 2 17 2 2 3" xfId="1105"/>
    <cellStyle name="Normal 2 17 2 2 30" xfId="1106"/>
    <cellStyle name="Normal 2 17 2 2 31" xfId="1107"/>
    <cellStyle name="Normal 2 17 2 2 32" xfId="1108"/>
    <cellStyle name="Normal 2 17 2 2 33" xfId="1109"/>
    <cellStyle name="Normal 2 17 2 2 34" xfId="1110"/>
    <cellStyle name="Normal 2 17 2 2 35" xfId="1111"/>
    <cellStyle name="Normal 2 17 2 2 36" xfId="1112"/>
    <cellStyle name="Normal 2 17 2 2 37" xfId="1113"/>
    <cellStyle name="Normal 2 17 2 2 38" xfId="1114"/>
    <cellStyle name="Normal 2 17 2 2 39" xfId="1115"/>
    <cellStyle name="Normal 2 17 2 2 4" xfId="1116"/>
    <cellStyle name="Normal 2 17 2 2 40" xfId="1117"/>
    <cellStyle name="Normal 2 17 2 2 41" xfId="1118"/>
    <cellStyle name="Normal 2 17 2 2 42" xfId="1119"/>
    <cellStyle name="Normal 2 17 2 2 43" xfId="1120"/>
    <cellStyle name="Normal 2 17 2 2 44" xfId="1121"/>
    <cellStyle name="Normal 2 17 2 2 45" xfId="1122"/>
    <cellStyle name="Normal 2 17 2 2 46" xfId="1123"/>
    <cellStyle name="Normal 2 17 2 2 47" xfId="1124"/>
    <cellStyle name="Normal 2 17 2 2 48" xfId="1125"/>
    <cellStyle name="Normal 2 17 2 2 49" xfId="1126"/>
    <cellStyle name="Normal 2 17 2 2 5" xfId="1127"/>
    <cellStyle name="Normal 2 17 2 2 50" xfId="1128"/>
    <cellStyle name="Normal 2 17 2 2 51" xfId="1129"/>
    <cellStyle name="Normal 2 17 2 2 52" xfId="1130"/>
    <cellStyle name="Normal 2 17 2 2 53" xfId="1131"/>
    <cellStyle name="Normal 2 17 2 2 54" xfId="1132"/>
    <cellStyle name="Normal 2 17 2 2 55" xfId="1133"/>
    <cellStyle name="Normal 2 17 2 2 56" xfId="1134"/>
    <cellStyle name="Normal 2 17 2 2 57" xfId="1135"/>
    <cellStyle name="Normal 2 17 2 2 58" xfId="1136"/>
    <cellStyle name="Normal 2 17 2 2 59" xfId="1137"/>
    <cellStyle name="Normal 2 17 2 2 6" xfId="1138"/>
    <cellStyle name="Normal 2 17 2 2 60" xfId="1139"/>
    <cellStyle name="Normal 2 17 2 2 61" xfId="1140"/>
    <cellStyle name="Normal 2 17 2 2 62" xfId="1141"/>
    <cellStyle name="Normal 2 17 2 2 63" xfId="1142"/>
    <cellStyle name="Normal 2 17 2 2 64" xfId="1143"/>
    <cellStyle name="Normal 2 17 2 2 65" xfId="1144"/>
    <cellStyle name="Normal 2 17 2 2 66" xfId="1145"/>
    <cellStyle name="Normal 2 17 2 2 67" xfId="1146"/>
    <cellStyle name="Normal 2 17 2 2 68" xfId="1147"/>
    <cellStyle name="Normal 2 17 2 2 7" xfId="1148"/>
    <cellStyle name="Normal 2 17 2 2 8" xfId="1149"/>
    <cellStyle name="Normal 2 17 2 2 9" xfId="1150"/>
    <cellStyle name="Normal 2 17 2 3" xfId="1151"/>
    <cellStyle name="Normal 2 17 2 4" xfId="1152"/>
    <cellStyle name="Normal 2 17 2 5" xfId="1153"/>
    <cellStyle name="Normal 2 17 2 6" xfId="1154"/>
    <cellStyle name="Normal 2 17 2 7" xfId="1155"/>
    <cellStyle name="Normal 2 17 2 8" xfId="1156"/>
    <cellStyle name="Normal 2 17 20" xfId="1157"/>
    <cellStyle name="Normal 2 17 21" xfId="1158"/>
    <cellStyle name="Normal 2 17 22" xfId="1159"/>
    <cellStyle name="Normal 2 17 23" xfId="1160"/>
    <cellStyle name="Normal 2 17 24" xfId="1161"/>
    <cellStyle name="Normal 2 17 25" xfId="1162"/>
    <cellStyle name="Normal 2 17 26" xfId="1163"/>
    <cellStyle name="Normal 2 17 27" xfId="1164"/>
    <cellStyle name="Normal 2 17 28" xfId="1165"/>
    <cellStyle name="Normal 2 17 29" xfId="1166"/>
    <cellStyle name="Normal 2 17 3" xfId="1167"/>
    <cellStyle name="Normal 2 17 3 2" xfId="1168"/>
    <cellStyle name="Normal 2 17 3 2 10" xfId="1169"/>
    <cellStyle name="Normal 2 17 3 2 11" xfId="1170"/>
    <cellStyle name="Normal 2 17 3 2 12" xfId="1171"/>
    <cellStyle name="Normal 2 17 3 2 13" xfId="1172"/>
    <cellStyle name="Normal 2 17 3 2 14" xfId="1173"/>
    <cellStyle name="Normal 2 17 3 2 15" xfId="1174"/>
    <cellStyle name="Normal 2 17 3 2 16" xfId="1175"/>
    <cellStyle name="Normal 2 17 3 2 17" xfId="1176"/>
    <cellStyle name="Normal 2 17 3 2 18" xfId="1177"/>
    <cellStyle name="Normal 2 17 3 2 19" xfId="1178"/>
    <cellStyle name="Normal 2 17 3 2 2" xfId="1179"/>
    <cellStyle name="Normal 2 17 3 2 20" xfId="1180"/>
    <cellStyle name="Normal 2 17 3 2 21" xfId="1181"/>
    <cellStyle name="Normal 2 17 3 2 22" xfId="1182"/>
    <cellStyle name="Normal 2 17 3 2 23" xfId="1183"/>
    <cellStyle name="Normal 2 17 3 2 24" xfId="1184"/>
    <cellStyle name="Normal 2 17 3 2 25" xfId="1185"/>
    <cellStyle name="Normal 2 17 3 2 26" xfId="1186"/>
    <cellStyle name="Normal 2 17 3 2 27" xfId="1187"/>
    <cellStyle name="Normal 2 17 3 2 28" xfId="1188"/>
    <cellStyle name="Normal 2 17 3 2 29" xfId="1189"/>
    <cellStyle name="Normal 2 17 3 2 3" xfId="1190"/>
    <cellStyle name="Normal 2 17 3 2 30" xfId="1191"/>
    <cellStyle name="Normal 2 17 3 2 31" xfId="1192"/>
    <cellStyle name="Normal 2 17 3 2 32" xfId="1193"/>
    <cellStyle name="Normal 2 17 3 2 33" xfId="1194"/>
    <cellStyle name="Normal 2 17 3 2 34" xfId="1195"/>
    <cellStyle name="Normal 2 17 3 2 35" xfId="1196"/>
    <cellStyle name="Normal 2 17 3 2 36" xfId="1197"/>
    <cellStyle name="Normal 2 17 3 2 37" xfId="1198"/>
    <cellStyle name="Normal 2 17 3 2 38" xfId="1199"/>
    <cellStyle name="Normal 2 17 3 2 39" xfId="1200"/>
    <cellStyle name="Normal 2 17 3 2 4" xfId="1201"/>
    <cellStyle name="Normal 2 17 3 2 40" xfId="1202"/>
    <cellStyle name="Normal 2 17 3 2 41" xfId="1203"/>
    <cellStyle name="Normal 2 17 3 2 42" xfId="1204"/>
    <cellStyle name="Normal 2 17 3 2 43" xfId="1205"/>
    <cellStyle name="Normal 2 17 3 2 44" xfId="1206"/>
    <cellStyle name="Normal 2 17 3 2 45" xfId="1207"/>
    <cellStyle name="Normal 2 17 3 2 46" xfId="1208"/>
    <cellStyle name="Normal 2 17 3 2 47" xfId="1209"/>
    <cellStyle name="Normal 2 17 3 2 48" xfId="1210"/>
    <cellStyle name="Normal 2 17 3 2 49" xfId="1211"/>
    <cellStyle name="Normal 2 17 3 2 5" xfId="1212"/>
    <cellStyle name="Normal 2 17 3 2 50" xfId="1213"/>
    <cellStyle name="Normal 2 17 3 2 51" xfId="1214"/>
    <cellStyle name="Normal 2 17 3 2 52" xfId="1215"/>
    <cellStyle name="Normal 2 17 3 2 53" xfId="1216"/>
    <cellStyle name="Normal 2 17 3 2 54" xfId="1217"/>
    <cellStyle name="Normal 2 17 3 2 55" xfId="1218"/>
    <cellStyle name="Normal 2 17 3 2 56" xfId="1219"/>
    <cellStyle name="Normal 2 17 3 2 57" xfId="1220"/>
    <cellStyle name="Normal 2 17 3 2 58" xfId="1221"/>
    <cellStyle name="Normal 2 17 3 2 59" xfId="1222"/>
    <cellStyle name="Normal 2 17 3 2 6" xfId="1223"/>
    <cellStyle name="Normal 2 17 3 2 60" xfId="1224"/>
    <cellStyle name="Normal 2 17 3 2 61" xfId="1225"/>
    <cellStyle name="Normal 2 17 3 2 62" xfId="1226"/>
    <cellStyle name="Normal 2 17 3 2 63" xfId="1227"/>
    <cellStyle name="Normal 2 17 3 2 64" xfId="1228"/>
    <cellStyle name="Normal 2 17 3 2 65" xfId="1229"/>
    <cellStyle name="Normal 2 17 3 2 66" xfId="1230"/>
    <cellStyle name="Normal 2 17 3 2 67" xfId="1231"/>
    <cellStyle name="Normal 2 17 3 2 7" xfId="1232"/>
    <cellStyle name="Normal 2 17 3 2 8" xfId="1233"/>
    <cellStyle name="Normal 2 17 3 2 9" xfId="1234"/>
    <cellStyle name="Normal 2 17 30" xfId="1235"/>
    <cellStyle name="Normal 2 17 31" xfId="1236"/>
    <cellStyle name="Normal 2 17 32" xfId="1237"/>
    <cellStyle name="Normal 2 17 33" xfId="1238"/>
    <cellStyle name="Normal 2 17 34" xfId="1239"/>
    <cellStyle name="Normal 2 17 35" xfId="1240"/>
    <cellStyle name="Normal 2 17 36" xfId="1241"/>
    <cellStyle name="Normal 2 17 37" xfId="1242"/>
    <cellStyle name="Normal 2 17 38" xfId="1243"/>
    <cellStyle name="Normal 2 17 39" xfId="1244"/>
    <cellStyle name="Normal 2 17 4" xfId="1245"/>
    <cellStyle name="Normal 2 17 4 10" xfId="1246"/>
    <cellStyle name="Normal 2 17 4 11" xfId="1247"/>
    <cellStyle name="Normal 2 17 4 12" xfId="1248"/>
    <cellStyle name="Normal 2 17 4 13" xfId="1249"/>
    <cellStyle name="Normal 2 17 4 14" xfId="1250"/>
    <cellStyle name="Normal 2 17 4 15" xfId="1251"/>
    <cellStyle name="Normal 2 17 4 16" xfId="1252"/>
    <cellStyle name="Normal 2 17 4 17" xfId="1253"/>
    <cellStyle name="Normal 2 17 4 18" xfId="1254"/>
    <cellStyle name="Normal 2 17 4 19" xfId="1255"/>
    <cellStyle name="Normal 2 17 4 2" xfId="1256"/>
    <cellStyle name="Normal 2 17 4 20" xfId="1257"/>
    <cellStyle name="Normal 2 17 4 21" xfId="1258"/>
    <cellStyle name="Normal 2 17 4 22" xfId="1259"/>
    <cellStyle name="Normal 2 17 4 23" xfId="1260"/>
    <cellStyle name="Normal 2 17 4 24" xfId="1261"/>
    <cellStyle name="Normal 2 17 4 25" xfId="1262"/>
    <cellStyle name="Normal 2 17 4 26" xfId="1263"/>
    <cellStyle name="Normal 2 17 4 27" xfId="1264"/>
    <cellStyle name="Normal 2 17 4 28" xfId="1265"/>
    <cellStyle name="Normal 2 17 4 29" xfId="1266"/>
    <cellStyle name="Normal 2 17 4 3" xfId="1267"/>
    <cellStyle name="Normal 2 17 4 30" xfId="1268"/>
    <cellStyle name="Normal 2 17 4 31" xfId="1269"/>
    <cellStyle name="Normal 2 17 4 32" xfId="1270"/>
    <cellStyle name="Normal 2 17 4 33" xfId="1271"/>
    <cellStyle name="Normal 2 17 4 34" xfId="1272"/>
    <cellStyle name="Normal 2 17 4 35" xfId="1273"/>
    <cellStyle name="Normal 2 17 4 36" xfId="1274"/>
    <cellStyle name="Normal 2 17 4 37" xfId="1275"/>
    <cellStyle name="Normal 2 17 4 38" xfId="1276"/>
    <cellStyle name="Normal 2 17 4 39" xfId="1277"/>
    <cellStyle name="Normal 2 17 4 4" xfId="1278"/>
    <cellStyle name="Normal 2 17 4 40" xfId="1279"/>
    <cellStyle name="Normal 2 17 4 41" xfId="1280"/>
    <cellStyle name="Normal 2 17 4 42" xfId="1281"/>
    <cellStyle name="Normal 2 17 4 43" xfId="1282"/>
    <cellStyle name="Normal 2 17 4 44" xfId="1283"/>
    <cellStyle name="Normal 2 17 4 45" xfId="1284"/>
    <cellStyle name="Normal 2 17 4 46" xfId="1285"/>
    <cellStyle name="Normal 2 17 4 47" xfId="1286"/>
    <cellStyle name="Normal 2 17 4 48" xfId="1287"/>
    <cellStyle name="Normal 2 17 4 49" xfId="1288"/>
    <cellStyle name="Normal 2 17 4 5" xfId="1289"/>
    <cellStyle name="Normal 2 17 4 50" xfId="1290"/>
    <cellStyle name="Normal 2 17 4 51" xfId="1291"/>
    <cellStyle name="Normal 2 17 4 52" xfId="1292"/>
    <cellStyle name="Normal 2 17 4 53" xfId="1293"/>
    <cellStyle name="Normal 2 17 4 54" xfId="1294"/>
    <cellStyle name="Normal 2 17 4 55" xfId="1295"/>
    <cellStyle name="Normal 2 17 4 56" xfId="1296"/>
    <cellStyle name="Normal 2 17 4 57" xfId="1297"/>
    <cellStyle name="Normal 2 17 4 58" xfId="1298"/>
    <cellStyle name="Normal 2 17 4 59" xfId="1299"/>
    <cellStyle name="Normal 2 17 4 6" xfId="1300"/>
    <cellStyle name="Normal 2 17 4 60" xfId="1301"/>
    <cellStyle name="Normal 2 17 4 61" xfId="1302"/>
    <cellStyle name="Normal 2 17 4 62" xfId="1303"/>
    <cellStyle name="Normal 2 17 4 63" xfId="1304"/>
    <cellStyle name="Normal 2 17 4 64" xfId="1305"/>
    <cellStyle name="Normal 2 17 4 65" xfId="1306"/>
    <cellStyle name="Normal 2 17 4 66" xfId="1307"/>
    <cellStyle name="Normal 2 17 4 67" xfId="1308"/>
    <cellStyle name="Normal 2 17 4 7" xfId="1309"/>
    <cellStyle name="Normal 2 17 4 8" xfId="1310"/>
    <cellStyle name="Normal 2 17 4 9" xfId="1311"/>
    <cellStyle name="Normal 2 17 40" xfId="1312"/>
    <cellStyle name="Normal 2 17 41" xfId="1313"/>
    <cellStyle name="Normal 2 17 42" xfId="1314"/>
    <cellStyle name="Normal 2 17 43" xfId="1315"/>
    <cellStyle name="Normal 2 17 44" xfId="1316"/>
    <cellStyle name="Normal 2 17 45" xfId="1317"/>
    <cellStyle name="Normal 2 17 46" xfId="1318"/>
    <cellStyle name="Normal 2 17 47" xfId="1319"/>
    <cellStyle name="Normal 2 17 48" xfId="1320"/>
    <cellStyle name="Normal 2 17 49" xfId="1321"/>
    <cellStyle name="Normal 2 17 5" xfId="1322"/>
    <cellStyle name="Normal 2 17 5 10" xfId="1323"/>
    <cellStyle name="Normal 2 17 5 11" xfId="1324"/>
    <cellStyle name="Normal 2 17 5 12" xfId="1325"/>
    <cellStyle name="Normal 2 17 5 13" xfId="1326"/>
    <cellStyle name="Normal 2 17 5 14" xfId="1327"/>
    <cellStyle name="Normal 2 17 5 15" xfId="1328"/>
    <cellStyle name="Normal 2 17 5 16" xfId="1329"/>
    <cellStyle name="Normal 2 17 5 17" xfId="1330"/>
    <cellStyle name="Normal 2 17 5 18" xfId="1331"/>
    <cellStyle name="Normal 2 17 5 19" xfId="1332"/>
    <cellStyle name="Normal 2 17 5 2" xfId="1333"/>
    <cellStyle name="Normal 2 17 5 20" xfId="1334"/>
    <cellStyle name="Normal 2 17 5 21" xfId="1335"/>
    <cellStyle name="Normal 2 17 5 22" xfId="1336"/>
    <cellStyle name="Normal 2 17 5 23" xfId="1337"/>
    <cellStyle name="Normal 2 17 5 24" xfId="1338"/>
    <cellStyle name="Normal 2 17 5 25" xfId="1339"/>
    <cellStyle name="Normal 2 17 5 26" xfId="1340"/>
    <cellStyle name="Normal 2 17 5 27" xfId="1341"/>
    <cellStyle name="Normal 2 17 5 28" xfId="1342"/>
    <cellStyle name="Normal 2 17 5 29" xfId="1343"/>
    <cellStyle name="Normal 2 17 5 3" xfId="1344"/>
    <cellStyle name="Normal 2 17 5 30" xfId="1345"/>
    <cellStyle name="Normal 2 17 5 31" xfId="1346"/>
    <cellStyle name="Normal 2 17 5 32" xfId="1347"/>
    <cellStyle name="Normal 2 17 5 33" xfId="1348"/>
    <cellStyle name="Normal 2 17 5 34" xfId="1349"/>
    <cellStyle name="Normal 2 17 5 35" xfId="1350"/>
    <cellStyle name="Normal 2 17 5 36" xfId="1351"/>
    <cellStyle name="Normal 2 17 5 37" xfId="1352"/>
    <cellStyle name="Normal 2 17 5 38" xfId="1353"/>
    <cellStyle name="Normal 2 17 5 39" xfId="1354"/>
    <cellStyle name="Normal 2 17 5 4" xfId="1355"/>
    <cellStyle name="Normal 2 17 5 40" xfId="1356"/>
    <cellStyle name="Normal 2 17 5 41" xfId="1357"/>
    <cellStyle name="Normal 2 17 5 42" xfId="1358"/>
    <cellStyle name="Normal 2 17 5 43" xfId="1359"/>
    <cellStyle name="Normal 2 17 5 44" xfId="1360"/>
    <cellStyle name="Normal 2 17 5 45" xfId="1361"/>
    <cellStyle name="Normal 2 17 5 46" xfId="1362"/>
    <cellStyle name="Normal 2 17 5 47" xfId="1363"/>
    <cellStyle name="Normal 2 17 5 48" xfId="1364"/>
    <cellStyle name="Normal 2 17 5 49" xfId="1365"/>
    <cellStyle name="Normal 2 17 5 5" xfId="1366"/>
    <cellStyle name="Normal 2 17 5 50" xfId="1367"/>
    <cellStyle name="Normal 2 17 5 51" xfId="1368"/>
    <cellStyle name="Normal 2 17 5 52" xfId="1369"/>
    <cellStyle name="Normal 2 17 5 53" xfId="1370"/>
    <cellStyle name="Normal 2 17 5 54" xfId="1371"/>
    <cellStyle name="Normal 2 17 5 55" xfId="1372"/>
    <cellStyle name="Normal 2 17 5 56" xfId="1373"/>
    <cellStyle name="Normal 2 17 5 57" xfId="1374"/>
    <cellStyle name="Normal 2 17 5 58" xfId="1375"/>
    <cellStyle name="Normal 2 17 5 59" xfId="1376"/>
    <cellStyle name="Normal 2 17 5 6" xfId="1377"/>
    <cellStyle name="Normal 2 17 5 60" xfId="1378"/>
    <cellStyle name="Normal 2 17 5 61" xfId="1379"/>
    <cellStyle name="Normal 2 17 5 62" xfId="1380"/>
    <cellStyle name="Normal 2 17 5 63" xfId="1381"/>
    <cellStyle name="Normal 2 17 5 64" xfId="1382"/>
    <cellStyle name="Normal 2 17 5 65" xfId="1383"/>
    <cellStyle name="Normal 2 17 5 66" xfId="1384"/>
    <cellStyle name="Normal 2 17 5 67" xfId="1385"/>
    <cellStyle name="Normal 2 17 5 7" xfId="1386"/>
    <cellStyle name="Normal 2 17 5 8" xfId="1387"/>
    <cellStyle name="Normal 2 17 5 9" xfId="1388"/>
    <cellStyle name="Normal 2 17 50" xfId="1389"/>
    <cellStyle name="Normal 2 17 51" xfId="1390"/>
    <cellStyle name="Normal 2 17 52" xfId="1391"/>
    <cellStyle name="Normal 2 17 53" xfId="1392"/>
    <cellStyle name="Normal 2 17 54" xfId="1393"/>
    <cellStyle name="Normal 2 17 55" xfId="1394"/>
    <cellStyle name="Normal 2 17 56" xfId="1395"/>
    <cellStyle name="Normal 2 17 57" xfId="1396"/>
    <cellStyle name="Normal 2 17 58" xfId="1397"/>
    <cellStyle name="Normal 2 17 59" xfId="1398"/>
    <cellStyle name="Normal 2 17 6" xfId="1399"/>
    <cellStyle name="Normal 2 17 6 10" xfId="1400"/>
    <cellStyle name="Normal 2 17 6 11" xfId="1401"/>
    <cellStyle name="Normal 2 17 6 12" xfId="1402"/>
    <cellStyle name="Normal 2 17 6 13" xfId="1403"/>
    <cellStyle name="Normal 2 17 6 14" xfId="1404"/>
    <cellStyle name="Normal 2 17 6 15" xfId="1405"/>
    <cellStyle name="Normal 2 17 6 16" xfId="1406"/>
    <cellStyle name="Normal 2 17 6 17" xfId="1407"/>
    <cellStyle name="Normal 2 17 6 18" xfId="1408"/>
    <cellStyle name="Normal 2 17 6 19" xfId="1409"/>
    <cellStyle name="Normal 2 17 6 2" xfId="1410"/>
    <cellStyle name="Normal 2 17 6 20" xfId="1411"/>
    <cellStyle name="Normal 2 17 6 21" xfId="1412"/>
    <cellStyle name="Normal 2 17 6 22" xfId="1413"/>
    <cellStyle name="Normal 2 17 6 23" xfId="1414"/>
    <cellStyle name="Normal 2 17 6 24" xfId="1415"/>
    <cellStyle name="Normal 2 17 6 25" xfId="1416"/>
    <cellStyle name="Normal 2 17 6 26" xfId="1417"/>
    <cellStyle name="Normal 2 17 6 27" xfId="1418"/>
    <cellStyle name="Normal 2 17 6 28" xfId="1419"/>
    <cellStyle name="Normal 2 17 6 29" xfId="1420"/>
    <cellStyle name="Normal 2 17 6 3" xfId="1421"/>
    <cellStyle name="Normal 2 17 6 30" xfId="1422"/>
    <cellStyle name="Normal 2 17 6 31" xfId="1423"/>
    <cellStyle name="Normal 2 17 6 32" xfId="1424"/>
    <cellStyle name="Normal 2 17 6 33" xfId="1425"/>
    <cellStyle name="Normal 2 17 6 34" xfId="1426"/>
    <cellStyle name="Normal 2 17 6 35" xfId="1427"/>
    <cellStyle name="Normal 2 17 6 36" xfId="1428"/>
    <cellStyle name="Normal 2 17 6 37" xfId="1429"/>
    <cellStyle name="Normal 2 17 6 38" xfId="1430"/>
    <cellStyle name="Normal 2 17 6 39" xfId="1431"/>
    <cellStyle name="Normal 2 17 6 4" xfId="1432"/>
    <cellStyle name="Normal 2 17 6 40" xfId="1433"/>
    <cellStyle name="Normal 2 17 6 41" xfId="1434"/>
    <cellStyle name="Normal 2 17 6 42" xfId="1435"/>
    <cellStyle name="Normal 2 17 6 43" xfId="1436"/>
    <cellStyle name="Normal 2 17 6 44" xfId="1437"/>
    <cellStyle name="Normal 2 17 6 45" xfId="1438"/>
    <cellStyle name="Normal 2 17 6 46" xfId="1439"/>
    <cellStyle name="Normal 2 17 6 47" xfId="1440"/>
    <cellStyle name="Normal 2 17 6 48" xfId="1441"/>
    <cellStyle name="Normal 2 17 6 49" xfId="1442"/>
    <cellStyle name="Normal 2 17 6 5" xfId="1443"/>
    <cellStyle name="Normal 2 17 6 50" xfId="1444"/>
    <cellStyle name="Normal 2 17 6 51" xfId="1445"/>
    <cellStyle name="Normal 2 17 6 52" xfId="1446"/>
    <cellStyle name="Normal 2 17 6 53" xfId="1447"/>
    <cellStyle name="Normal 2 17 6 54" xfId="1448"/>
    <cellStyle name="Normal 2 17 6 55" xfId="1449"/>
    <cellStyle name="Normal 2 17 6 56" xfId="1450"/>
    <cellStyle name="Normal 2 17 6 57" xfId="1451"/>
    <cellStyle name="Normal 2 17 6 58" xfId="1452"/>
    <cellStyle name="Normal 2 17 6 59" xfId="1453"/>
    <cellStyle name="Normal 2 17 6 6" xfId="1454"/>
    <cellStyle name="Normal 2 17 6 60" xfId="1455"/>
    <cellStyle name="Normal 2 17 6 61" xfId="1456"/>
    <cellStyle name="Normal 2 17 6 62" xfId="1457"/>
    <cellStyle name="Normal 2 17 6 63" xfId="1458"/>
    <cellStyle name="Normal 2 17 6 64" xfId="1459"/>
    <cellStyle name="Normal 2 17 6 65" xfId="1460"/>
    <cellStyle name="Normal 2 17 6 66" xfId="1461"/>
    <cellStyle name="Normal 2 17 6 67" xfId="1462"/>
    <cellStyle name="Normal 2 17 6 7" xfId="1463"/>
    <cellStyle name="Normal 2 17 6 8" xfId="1464"/>
    <cellStyle name="Normal 2 17 6 9" xfId="1465"/>
    <cellStyle name="Normal 2 17 60" xfId="1466"/>
    <cellStyle name="Normal 2 17 61" xfId="1467"/>
    <cellStyle name="Normal 2 17 62" xfId="1468"/>
    <cellStyle name="Normal 2 17 63" xfId="1469"/>
    <cellStyle name="Normal 2 17 64" xfId="1470"/>
    <cellStyle name="Normal 2 17 65" xfId="1471"/>
    <cellStyle name="Normal 2 17 66" xfId="1472"/>
    <cellStyle name="Normal 2 17 67" xfId="1473"/>
    <cellStyle name="Normal 2 17 68" xfId="1474"/>
    <cellStyle name="Normal 2 17 69" xfId="1475"/>
    <cellStyle name="Normal 2 17 7" xfId="1476"/>
    <cellStyle name="Normal 2 17 7 10" xfId="1477"/>
    <cellStyle name="Normal 2 17 7 11" xfId="1478"/>
    <cellStyle name="Normal 2 17 7 12" xfId="1479"/>
    <cellStyle name="Normal 2 17 7 13" xfId="1480"/>
    <cellStyle name="Normal 2 17 7 14" xfId="1481"/>
    <cellStyle name="Normal 2 17 7 15" xfId="1482"/>
    <cellStyle name="Normal 2 17 7 16" xfId="1483"/>
    <cellStyle name="Normal 2 17 7 17" xfId="1484"/>
    <cellStyle name="Normal 2 17 7 18" xfId="1485"/>
    <cellStyle name="Normal 2 17 7 19" xfId="1486"/>
    <cellStyle name="Normal 2 17 7 2" xfId="1487"/>
    <cellStyle name="Normal 2 17 7 20" xfId="1488"/>
    <cellStyle name="Normal 2 17 7 21" xfId="1489"/>
    <cellStyle name="Normal 2 17 7 22" xfId="1490"/>
    <cellStyle name="Normal 2 17 7 23" xfId="1491"/>
    <cellStyle name="Normal 2 17 7 24" xfId="1492"/>
    <cellStyle name="Normal 2 17 7 25" xfId="1493"/>
    <cellStyle name="Normal 2 17 7 26" xfId="1494"/>
    <cellStyle name="Normal 2 17 7 27" xfId="1495"/>
    <cellStyle name="Normal 2 17 7 28" xfId="1496"/>
    <cellStyle name="Normal 2 17 7 29" xfId="1497"/>
    <cellStyle name="Normal 2 17 7 3" xfId="1498"/>
    <cellStyle name="Normal 2 17 7 30" xfId="1499"/>
    <cellStyle name="Normal 2 17 7 31" xfId="1500"/>
    <cellStyle name="Normal 2 17 7 32" xfId="1501"/>
    <cellStyle name="Normal 2 17 7 33" xfId="1502"/>
    <cellStyle name="Normal 2 17 7 34" xfId="1503"/>
    <cellStyle name="Normal 2 17 7 35" xfId="1504"/>
    <cellStyle name="Normal 2 17 7 36" xfId="1505"/>
    <cellStyle name="Normal 2 17 7 37" xfId="1506"/>
    <cellStyle name="Normal 2 17 7 38" xfId="1507"/>
    <cellStyle name="Normal 2 17 7 39" xfId="1508"/>
    <cellStyle name="Normal 2 17 7 4" xfId="1509"/>
    <cellStyle name="Normal 2 17 7 40" xfId="1510"/>
    <cellStyle name="Normal 2 17 7 41" xfId="1511"/>
    <cellStyle name="Normal 2 17 7 42" xfId="1512"/>
    <cellStyle name="Normal 2 17 7 43" xfId="1513"/>
    <cellStyle name="Normal 2 17 7 44" xfId="1514"/>
    <cellStyle name="Normal 2 17 7 45" xfId="1515"/>
    <cellStyle name="Normal 2 17 7 46" xfId="1516"/>
    <cellStyle name="Normal 2 17 7 47" xfId="1517"/>
    <cellStyle name="Normal 2 17 7 48" xfId="1518"/>
    <cellStyle name="Normal 2 17 7 49" xfId="1519"/>
    <cellStyle name="Normal 2 17 7 5" xfId="1520"/>
    <cellStyle name="Normal 2 17 7 50" xfId="1521"/>
    <cellStyle name="Normal 2 17 7 51" xfId="1522"/>
    <cellStyle name="Normal 2 17 7 52" xfId="1523"/>
    <cellStyle name="Normal 2 17 7 53" xfId="1524"/>
    <cellStyle name="Normal 2 17 7 54" xfId="1525"/>
    <cellStyle name="Normal 2 17 7 55" xfId="1526"/>
    <cellStyle name="Normal 2 17 7 56" xfId="1527"/>
    <cellStyle name="Normal 2 17 7 57" xfId="1528"/>
    <cellStyle name="Normal 2 17 7 58" xfId="1529"/>
    <cellStyle name="Normal 2 17 7 59" xfId="1530"/>
    <cellStyle name="Normal 2 17 7 6" xfId="1531"/>
    <cellStyle name="Normal 2 17 7 60" xfId="1532"/>
    <cellStyle name="Normal 2 17 7 61" xfId="1533"/>
    <cellStyle name="Normal 2 17 7 62" xfId="1534"/>
    <cellStyle name="Normal 2 17 7 63" xfId="1535"/>
    <cellStyle name="Normal 2 17 7 64" xfId="1536"/>
    <cellStyle name="Normal 2 17 7 65" xfId="1537"/>
    <cellStyle name="Normal 2 17 7 66" xfId="1538"/>
    <cellStyle name="Normal 2 17 7 67" xfId="1539"/>
    <cellStyle name="Normal 2 17 7 7" xfId="1540"/>
    <cellStyle name="Normal 2 17 7 8" xfId="1541"/>
    <cellStyle name="Normal 2 17 7 9" xfId="1542"/>
    <cellStyle name="Normal 2 17 70" xfId="1543"/>
    <cellStyle name="Normal 2 17 71" xfId="1544"/>
    <cellStyle name="Normal 2 17 72" xfId="1545"/>
    <cellStyle name="Normal 2 17 73" xfId="1546"/>
    <cellStyle name="Normal 2 17 74" xfId="1547"/>
    <cellStyle name="Normal 2 17 8" xfId="1548"/>
    <cellStyle name="Normal 2 17 8 10" xfId="1549"/>
    <cellStyle name="Normal 2 17 8 11" xfId="1550"/>
    <cellStyle name="Normal 2 17 8 12" xfId="1551"/>
    <cellStyle name="Normal 2 17 8 13" xfId="1552"/>
    <cellStyle name="Normal 2 17 8 14" xfId="1553"/>
    <cellStyle name="Normal 2 17 8 15" xfId="1554"/>
    <cellStyle name="Normal 2 17 8 16" xfId="1555"/>
    <cellStyle name="Normal 2 17 8 17" xfId="1556"/>
    <cellStyle name="Normal 2 17 8 18" xfId="1557"/>
    <cellStyle name="Normal 2 17 8 19" xfId="1558"/>
    <cellStyle name="Normal 2 17 8 2" xfId="1559"/>
    <cellStyle name="Normal 2 17 8 20" xfId="1560"/>
    <cellStyle name="Normal 2 17 8 21" xfId="1561"/>
    <cellStyle name="Normal 2 17 8 22" xfId="1562"/>
    <cellStyle name="Normal 2 17 8 23" xfId="1563"/>
    <cellStyle name="Normal 2 17 8 24" xfId="1564"/>
    <cellStyle name="Normal 2 17 8 25" xfId="1565"/>
    <cellStyle name="Normal 2 17 8 26" xfId="1566"/>
    <cellStyle name="Normal 2 17 8 27" xfId="1567"/>
    <cellStyle name="Normal 2 17 8 28" xfId="1568"/>
    <cellStyle name="Normal 2 17 8 29" xfId="1569"/>
    <cellStyle name="Normal 2 17 8 3" xfId="1570"/>
    <cellStyle name="Normal 2 17 8 30" xfId="1571"/>
    <cellStyle name="Normal 2 17 8 31" xfId="1572"/>
    <cellStyle name="Normal 2 17 8 32" xfId="1573"/>
    <cellStyle name="Normal 2 17 8 33" xfId="1574"/>
    <cellStyle name="Normal 2 17 8 34" xfId="1575"/>
    <cellStyle name="Normal 2 17 8 35" xfId="1576"/>
    <cellStyle name="Normal 2 17 8 36" xfId="1577"/>
    <cellStyle name="Normal 2 17 8 37" xfId="1578"/>
    <cellStyle name="Normal 2 17 8 38" xfId="1579"/>
    <cellStyle name="Normal 2 17 8 39" xfId="1580"/>
    <cellStyle name="Normal 2 17 8 4" xfId="1581"/>
    <cellStyle name="Normal 2 17 8 40" xfId="1582"/>
    <cellStyle name="Normal 2 17 8 41" xfId="1583"/>
    <cellStyle name="Normal 2 17 8 42" xfId="1584"/>
    <cellStyle name="Normal 2 17 8 43" xfId="1585"/>
    <cellStyle name="Normal 2 17 8 44" xfId="1586"/>
    <cellStyle name="Normal 2 17 8 45" xfId="1587"/>
    <cellStyle name="Normal 2 17 8 46" xfId="1588"/>
    <cellStyle name="Normal 2 17 8 47" xfId="1589"/>
    <cellStyle name="Normal 2 17 8 48" xfId="1590"/>
    <cellStyle name="Normal 2 17 8 49" xfId="1591"/>
    <cellStyle name="Normal 2 17 8 5" xfId="1592"/>
    <cellStyle name="Normal 2 17 8 50" xfId="1593"/>
    <cellStyle name="Normal 2 17 8 51" xfId="1594"/>
    <cellStyle name="Normal 2 17 8 52" xfId="1595"/>
    <cellStyle name="Normal 2 17 8 53" xfId="1596"/>
    <cellStyle name="Normal 2 17 8 54" xfId="1597"/>
    <cellStyle name="Normal 2 17 8 55" xfId="1598"/>
    <cellStyle name="Normal 2 17 8 56" xfId="1599"/>
    <cellStyle name="Normal 2 17 8 57" xfId="1600"/>
    <cellStyle name="Normal 2 17 8 58" xfId="1601"/>
    <cellStyle name="Normal 2 17 8 59" xfId="1602"/>
    <cellStyle name="Normal 2 17 8 6" xfId="1603"/>
    <cellStyle name="Normal 2 17 8 60" xfId="1604"/>
    <cellStyle name="Normal 2 17 8 61" xfId="1605"/>
    <cellStyle name="Normal 2 17 8 62" xfId="1606"/>
    <cellStyle name="Normal 2 17 8 63" xfId="1607"/>
    <cellStyle name="Normal 2 17 8 64" xfId="1608"/>
    <cellStyle name="Normal 2 17 8 65" xfId="1609"/>
    <cellStyle name="Normal 2 17 8 66" xfId="1610"/>
    <cellStyle name="Normal 2 17 8 67" xfId="1611"/>
    <cellStyle name="Normal 2 17 8 7" xfId="1612"/>
    <cellStyle name="Normal 2 17 8 8" xfId="1613"/>
    <cellStyle name="Normal 2 17 8 9" xfId="1614"/>
    <cellStyle name="Normal 2 17 9" xfId="1615"/>
    <cellStyle name="Normal 2 18" xfId="1616"/>
    <cellStyle name="Normal 2 19" xfId="1617"/>
    <cellStyle name="Normal 2 19 10" xfId="1618"/>
    <cellStyle name="Normal 2 19 11" xfId="1619"/>
    <cellStyle name="Normal 2 19 12" xfId="1620"/>
    <cellStyle name="Normal 2 19 13" xfId="1621"/>
    <cellStyle name="Normal 2 19 14" xfId="1622"/>
    <cellStyle name="Normal 2 19 15" xfId="1623"/>
    <cellStyle name="Normal 2 19 16" xfId="1624"/>
    <cellStyle name="Normal 2 19 17" xfId="1625"/>
    <cellStyle name="Normal 2 19 18" xfId="1626"/>
    <cellStyle name="Normal 2 19 19" xfId="1627"/>
    <cellStyle name="Normal 2 19 2" xfId="1628"/>
    <cellStyle name="Normal 2 19 20" xfId="1629"/>
    <cellStyle name="Normal 2 19 21" xfId="1630"/>
    <cellStyle name="Normal 2 19 22" xfId="1631"/>
    <cellStyle name="Normal 2 19 23" xfId="1632"/>
    <cellStyle name="Normal 2 19 24" xfId="1633"/>
    <cellStyle name="Normal 2 19 25" xfId="1634"/>
    <cellStyle name="Normal 2 19 26" xfId="1635"/>
    <cellStyle name="Normal 2 19 27" xfId="1636"/>
    <cellStyle name="Normal 2 19 28" xfId="1637"/>
    <cellStyle name="Normal 2 19 29" xfId="1638"/>
    <cellStyle name="Normal 2 19 3" xfId="1639"/>
    <cellStyle name="Normal 2 19 30" xfId="1640"/>
    <cellStyle name="Normal 2 19 31" xfId="1641"/>
    <cellStyle name="Normal 2 19 32" xfId="1642"/>
    <cellStyle name="Normal 2 19 33" xfId="1643"/>
    <cellStyle name="Normal 2 19 34" xfId="1644"/>
    <cellStyle name="Normal 2 19 35" xfId="1645"/>
    <cellStyle name="Normal 2 19 36" xfId="1646"/>
    <cellStyle name="Normal 2 19 37" xfId="1647"/>
    <cellStyle name="Normal 2 19 38" xfId="1648"/>
    <cellStyle name="Normal 2 19 39" xfId="1649"/>
    <cellStyle name="Normal 2 19 4" xfId="1650"/>
    <cellStyle name="Normal 2 19 40" xfId="1651"/>
    <cellStyle name="Normal 2 19 41" xfId="1652"/>
    <cellStyle name="Normal 2 19 42" xfId="1653"/>
    <cellStyle name="Normal 2 19 43" xfId="1654"/>
    <cellStyle name="Normal 2 19 44" xfId="1655"/>
    <cellStyle name="Normal 2 19 45" xfId="1656"/>
    <cellStyle name="Normal 2 19 46" xfId="1657"/>
    <cellStyle name="Normal 2 19 47" xfId="1658"/>
    <cellStyle name="Normal 2 19 48" xfId="1659"/>
    <cellStyle name="Normal 2 19 49" xfId="1660"/>
    <cellStyle name="Normal 2 19 5" xfId="1661"/>
    <cellStyle name="Normal 2 19 50" xfId="1662"/>
    <cellStyle name="Normal 2 19 51" xfId="1663"/>
    <cellStyle name="Normal 2 19 52" xfId="1664"/>
    <cellStyle name="Normal 2 19 53" xfId="1665"/>
    <cellStyle name="Normal 2 19 54" xfId="1666"/>
    <cellStyle name="Normal 2 19 55" xfId="1667"/>
    <cellStyle name="Normal 2 19 56" xfId="1668"/>
    <cellStyle name="Normal 2 19 57" xfId="1669"/>
    <cellStyle name="Normal 2 19 58" xfId="1670"/>
    <cellStyle name="Normal 2 19 59" xfId="1671"/>
    <cellStyle name="Normal 2 19 6" xfId="1672"/>
    <cellStyle name="Normal 2 19 60" xfId="1673"/>
    <cellStyle name="Normal 2 19 61" xfId="1674"/>
    <cellStyle name="Normal 2 19 62" xfId="1675"/>
    <cellStyle name="Normal 2 19 63" xfId="1676"/>
    <cellStyle name="Normal 2 19 64" xfId="1677"/>
    <cellStyle name="Normal 2 19 65" xfId="1678"/>
    <cellStyle name="Normal 2 19 66" xfId="1679"/>
    <cellStyle name="Normal 2 19 67" xfId="1680"/>
    <cellStyle name="Normal 2 19 68" xfId="1681"/>
    <cellStyle name="Normal 2 19 7" xfId="1682"/>
    <cellStyle name="Normal 2 19 8" xfId="1683"/>
    <cellStyle name="Normal 2 19 9" xfId="1684"/>
    <cellStyle name="Normal 2 2" xfId="1685"/>
    <cellStyle name="Normal 2 2 10" xfId="4272"/>
    <cellStyle name="Normal 2 2 11" xfId="4273"/>
    <cellStyle name="Normal 2 2 12" xfId="4274"/>
    <cellStyle name="Normal 2 2 13" xfId="4275"/>
    <cellStyle name="Normal 2 2 14" xfId="4276"/>
    <cellStyle name="Normal 2 2 15" xfId="4277"/>
    <cellStyle name="Normal 2 2 15 2" xfId="4278"/>
    <cellStyle name="Normal 2 2 15 2 2" xfId="4279"/>
    <cellStyle name="Normal 2 2 15 2 2 2" xfId="4280"/>
    <cellStyle name="Normal 2 2 15 2 2 3" xfId="4281"/>
    <cellStyle name="Normal 2 2 15 2 3" xfId="4282"/>
    <cellStyle name="Normal 2 2 15 2 4" xfId="4283"/>
    <cellStyle name="Normal 2 2 15 3" xfId="4284"/>
    <cellStyle name="Normal 2 2 15 3 2" xfId="4285"/>
    <cellStyle name="Normal 2 2 15 3 2 2" xfId="4286"/>
    <cellStyle name="Normal 2 2 15 3 2 3" xfId="4287"/>
    <cellStyle name="Normal 2 2 15 3 3" xfId="4288"/>
    <cellStyle name="Normal 2 2 15 3 4" xfId="4289"/>
    <cellStyle name="Normal 2 2 15 4" xfId="4290"/>
    <cellStyle name="Normal 2 2 15 4 2" xfId="4291"/>
    <cellStyle name="Normal 2 2 15 4 2 2" xfId="4292"/>
    <cellStyle name="Normal 2 2 15 4 2 3" xfId="4293"/>
    <cellStyle name="Normal 2 2 15 4 3" xfId="4294"/>
    <cellStyle name="Normal 2 2 15 4 4" xfId="4295"/>
    <cellStyle name="Normal 2 2 15 5" xfId="4296"/>
    <cellStyle name="Normal 2 2 15 5 2" xfId="4297"/>
    <cellStyle name="Normal 2 2 15 5 2 2" xfId="4298"/>
    <cellStyle name="Normal 2 2 15 5 2 3" xfId="4299"/>
    <cellStyle name="Normal 2 2 15 5 3" xfId="4300"/>
    <cellStyle name="Normal 2 2 15 5 4" xfId="4301"/>
    <cellStyle name="Normal 2 2 15 6" xfId="4302"/>
    <cellStyle name="Normal 2 2 15 6 2" xfId="4303"/>
    <cellStyle name="Normal 2 2 15 6 3" xfId="4304"/>
    <cellStyle name="Normal 2 2 15 7" xfId="4305"/>
    <cellStyle name="Normal 2 2 15 8" xfId="4306"/>
    <cellStyle name="Normal 2 2 16" xfId="4307"/>
    <cellStyle name="Normal 2 2 16 2" xfId="4308"/>
    <cellStyle name="Normal 2 2 16 2 2" xfId="4309"/>
    <cellStyle name="Normal 2 2 16 2 2 2" xfId="4310"/>
    <cellStyle name="Normal 2 2 16 2 2 3" xfId="4311"/>
    <cellStyle name="Normal 2 2 16 2 3" xfId="4312"/>
    <cellStyle name="Normal 2 2 16 2 4" xfId="4313"/>
    <cellStyle name="Normal 2 2 16 3" xfId="4314"/>
    <cellStyle name="Normal 2 2 16 3 2" xfId="4315"/>
    <cellStyle name="Normal 2 2 16 3 2 2" xfId="4316"/>
    <cellStyle name="Normal 2 2 16 3 2 3" xfId="4317"/>
    <cellStyle name="Normal 2 2 16 3 3" xfId="4318"/>
    <cellStyle name="Normal 2 2 16 3 4" xfId="4319"/>
    <cellStyle name="Normal 2 2 16 4" xfId="4320"/>
    <cellStyle name="Normal 2 2 16 4 2" xfId="4321"/>
    <cellStyle name="Normal 2 2 16 4 2 2" xfId="4322"/>
    <cellStyle name="Normal 2 2 16 4 2 3" xfId="4323"/>
    <cellStyle name="Normal 2 2 16 4 3" xfId="4324"/>
    <cellStyle name="Normal 2 2 16 4 4" xfId="4325"/>
    <cellStyle name="Normal 2 2 16 5" xfId="4326"/>
    <cellStyle name="Normal 2 2 16 5 2" xfId="4327"/>
    <cellStyle name="Normal 2 2 16 5 2 2" xfId="4328"/>
    <cellStyle name="Normal 2 2 16 5 2 3" xfId="4329"/>
    <cellStyle name="Normal 2 2 16 5 3" xfId="4330"/>
    <cellStyle name="Normal 2 2 16 5 4" xfId="4331"/>
    <cellStyle name="Normal 2 2 16 6" xfId="4332"/>
    <cellStyle name="Normal 2 2 16 6 2" xfId="4333"/>
    <cellStyle name="Normal 2 2 16 6 3" xfId="4334"/>
    <cellStyle name="Normal 2 2 16 7" xfId="4335"/>
    <cellStyle name="Normal 2 2 16 8" xfId="4336"/>
    <cellStyle name="Normal 2 2 17" xfId="4337"/>
    <cellStyle name="Normal 2 2 17 2" xfId="4338"/>
    <cellStyle name="Normal 2 2 17 2 2" xfId="4339"/>
    <cellStyle name="Normal 2 2 17 2 2 2" xfId="4340"/>
    <cellStyle name="Normal 2 2 17 2 2 3" xfId="4341"/>
    <cellStyle name="Normal 2 2 17 2 3" xfId="4342"/>
    <cellStyle name="Normal 2 2 17 2 4" xfId="4343"/>
    <cellStyle name="Normal 2 2 17 3" xfId="4344"/>
    <cellStyle name="Normal 2 2 17 3 2" xfId="4345"/>
    <cellStyle name="Normal 2 2 17 3 2 2" xfId="4346"/>
    <cellStyle name="Normal 2 2 17 3 2 3" xfId="4347"/>
    <cellStyle name="Normal 2 2 17 3 3" xfId="4348"/>
    <cellStyle name="Normal 2 2 17 3 4" xfId="4349"/>
    <cellStyle name="Normal 2 2 17 4" xfId="4350"/>
    <cellStyle name="Normal 2 2 17 4 2" xfId="4351"/>
    <cellStyle name="Normal 2 2 17 4 2 2" xfId="4352"/>
    <cellStyle name="Normal 2 2 17 4 2 3" xfId="4353"/>
    <cellStyle name="Normal 2 2 17 4 3" xfId="4354"/>
    <cellStyle name="Normal 2 2 17 4 4" xfId="4355"/>
    <cellStyle name="Normal 2 2 17 5" xfId="4356"/>
    <cellStyle name="Normal 2 2 17 5 2" xfId="4357"/>
    <cellStyle name="Normal 2 2 17 5 2 2" xfId="4358"/>
    <cellStyle name="Normal 2 2 17 5 2 3" xfId="4359"/>
    <cellStyle name="Normal 2 2 17 5 3" xfId="4360"/>
    <cellStyle name="Normal 2 2 17 5 4" xfId="4361"/>
    <cellStyle name="Normal 2 2 17 6" xfId="4362"/>
    <cellStyle name="Normal 2 2 17 6 2" xfId="4363"/>
    <cellStyle name="Normal 2 2 17 6 3" xfId="4364"/>
    <cellStyle name="Normal 2 2 17 7" xfId="4365"/>
    <cellStyle name="Normal 2 2 17 8" xfId="4366"/>
    <cellStyle name="Normal 2 2 18" xfId="4367"/>
    <cellStyle name="Normal 2 2 19" xfId="4368"/>
    <cellStyle name="Normal 2 2 2" xfId="4369"/>
    <cellStyle name="Normal 2 2 2 10" xfId="4370"/>
    <cellStyle name="Normal 2 2 2 11" xfId="4371"/>
    <cellStyle name="Normal 2 2 2 11 2" xfId="4372"/>
    <cellStyle name="Normal 2 2 2 11 3" xfId="4373"/>
    <cellStyle name="Normal 2 2 2 12" xfId="4374"/>
    <cellStyle name="Normal 2 2 2 13" xfId="4375"/>
    <cellStyle name="Normal 2 2 2 2" xfId="4376"/>
    <cellStyle name="Normal 2 2 2 2 2" xfId="4377"/>
    <cellStyle name="Normal 2 2 2 2 2 2" xfId="4378"/>
    <cellStyle name="Normal 2 2 2 2 2 2 2" xfId="4379"/>
    <cellStyle name="Normal 2 2 2 2 2 2 3" xfId="4380"/>
    <cellStyle name="Normal 2 2 2 2 2 3" xfId="4381"/>
    <cellStyle name="Normal 2 2 2 2 2 4" xfId="4382"/>
    <cellStyle name="Normal 2 2 2 2 3" xfId="4383"/>
    <cellStyle name="Normal 2 2 2 2 3 2" xfId="4384"/>
    <cellStyle name="Normal 2 2 2 2 3 2 2" xfId="4385"/>
    <cellStyle name="Normal 2 2 2 2 3 2 3" xfId="4386"/>
    <cellStyle name="Normal 2 2 2 2 3 3" xfId="4387"/>
    <cellStyle name="Normal 2 2 2 2 3 4" xfId="4388"/>
    <cellStyle name="Normal 2 2 2 2 4" xfId="4389"/>
    <cellStyle name="Normal 2 2 2 2 4 2" xfId="4390"/>
    <cellStyle name="Normal 2 2 2 2 4 2 2" xfId="4391"/>
    <cellStyle name="Normal 2 2 2 2 4 2 3" xfId="4392"/>
    <cellStyle name="Normal 2 2 2 2 4 3" xfId="4393"/>
    <cellStyle name="Normal 2 2 2 2 4 4" xfId="4394"/>
    <cellStyle name="Normal 2 2 2 2 5" xfId="4395"/>
    <cellStyle name="Normal 2 2 2 2 5 2" xfId="4396"/>
    <cellStyle name="Normal 2 2 2 2 5 2 2" xfId="4397"/>
    <cellStyle name="Normal 2 2 2 2 5 2 3" xfId="4398"/>
    <cellStyle name="Normal 2 2 2 2 5 3" xfId="4399"/>
    <cellStyle name="Normal 2 2 2 2 5 4" xfId="4400"/>
    <cellStyle name="Normal 2 2 2 2 6" xfId="4401"/>
    <cellStyle name="Normal 2 2 2 2 6 2" xfId="4402"/>
    <cellStyle name="Normal 2 2 2 2 6 3" xfId="4403"/>
    <cellStyle name="Normal 2 2 2 2 7" xfId="4404"/>
    <cellStyle name="Normal 2 2 2 2 8" xfId="4405"/>
    <cellStyle name="Normal 2 2 2 3" xfId="4406"/>
    <cellStyle name="Normal 2 2 2 3 2" xfId="4407"/>
    <cellStyle name="Normal 2 2 2 3 2 2" xfId="4408"/>
    <cellStyle name="Normal 2 2 2 3 2 2 2" xfId="4409"/>
    <cellStyle name="Normal 2 2 2 3 2 2 3" xfId="4410"/>
    <cellStyle name="Normal 2 2 2 3 2 3" xfId="4411"/>
    <cellStyle name="Normal 2 2 2 3 2 4" xfId="4412"/>
    <cellStyle name="Normal 2 2 2 3 3" xfId="4413"/>
    <cellStyle name="Normal 2 2 2 3 3 2" xfId="4414"/>
    <cellStyle name="Normal 2 2 2 3 3 2 2" xfId="4415"/>
    <cellStyle name="Normal 2 2 2 3 3 2 3" xfId="4416"/>
    <cellStyle name="Normal 2 2 2 3 3 3" xfId="4417"/>
    <cellStyle name="Normal 2 2 2 3 3 4" xfId="4418"/>
    <cellStyle name="Normal 2 2 2 3 4" xfId="4419"/>
    <cellStyle name="Normal 2 2 2 3 4 2" xfId="4420"/>
    <cellStyle name="Normal 2 2 2 3 4 2 2" xfId="4421"/>
    <cellStyle name="Normal 2 2 2 3 4 2 3" xfId="4422"/>
    <cellStyle name="Normal 2 2 2 3 4 3" xfId="4423"/>
    <cellStyle name="Normal 2 2 2 3 4 4" xfId="4424"/>
    <cellStyle name="Normal 2 2 2 3 5" xfId="4425"/>
    <cellStyle name="Normal 2 2 2 3 5 2" xfId="4426"/>
    <cellStyle name="Normal 2 2 2 3 5 2 2" xfId="4427"/>
    <cellStyle name="Normal 2 2 2 3 5 2 3" xfId="4428"/>
    <cellStyle name="Normal 2 2 2 3 5 3" xfId="4429"/>
    <cellStyle name="Normal 2 2 2 3 5 4" xfId="4430"/>
    <cellStyle name="Normal 2 2 2 3 6" xfId="4431"/>
    <cellStyle name="Normal 2 2 2 3 6 2" xfId="4432"/>
    <cellStyle name="Normal 2 2 2 3 6 3" xfId="4433"/>
    <cellStyle name="Normal 2 2 2 3 7" xfId="4434"/>
    <cellStyle name="Normal 2 2 2 3 8" xfId="4435"/>
    <cellStyle name="Normal 2 2 2 4" xfId="4436"/>
    <cellStyle name="Normal 2 2 2 4 2" xfId="4437"/>
    <cellStyle name="Normal 2 2 2 4 2 2" xfId="4438"/>
    <cellStyle name="Normal 2 2 2 4 2 2 2" xfId="4439"/>
    <cellStyle name="Normal 2 2 2 4 2 2 3" xfId="4440"/>
    <cellStyle name="Normal 2 2 2 4 2 3" xfId="4441"/>
    <cellStyle name="Normal 2 2 2 4 2 4" xfId="4442"/>
    <cellStyle name="Normal 2 2 2 4 3" xfId="4443"/>
    <cellStyle name="Normal 2 2 2 4 3 2" xfId="4444"/>
    <cellStyle name="Normal 2 2 2 4 3 2 2" xfId="4445"/>
    <cellStyle name="Normal 2 2 2 4 3 2 3" xfId="4446"/>
    <cellStyle name="Normal 2 2 2 4 3 3" xfId="4447"/>
    <cellStyle name="Normal 2 2 2 4 3 4" xfId="4448"/>
    <cellStyle name="Normal 2 2 2 4 4" xfId="4449"/>
    <cellStyle name="Normal 2 2 2 4 4 2" xfId="4450"/>
    <cellStyle name="Normal 2 2 2 4 4 2 2" xfId="4451"/>
    <cellStyle name="Normal 2 2 2 4 4 2 3" xfId="4452"/>
    <cellStyle name="Normal 2 2 2 4 4 3" xfId="4453"/>
    <cellStyle name="Normal 2 2 2 4 4 4" xfId="4454"/>
    <cellStyle name="Normal 2 2 2 4 5" xfId="4455"/>
    <cellStyle name="Normal 2 2 2 4 5 2" xfId="4456"/>
    <cellStyle name="Normal 2 2 2 4 5 2 2" xfId="4457"/>
    <cellStyle name="Normal 2 2 2 4 5 2 3" xfId="4458"/>
    <cellStyle name="Normal 2 2 2 4 5 3" xfId="4459"/>
    <cellStyle name="Normal 2 2 2 4 5 4" xfId="4460"/>
    <cellStyle name="Normal 2 2 2 4 6" xfId="4461"/>
    <cellStyle name="Normal 2 2 2 4 6 2" xfId="4462"/>
    <cellStyle name="Normal 2 2 2 4 6 3" xfId="4463"/>
    <cellStyle name="Normal 2 2 2 4 7" xfId="4464"/>
    <cellStyle name="Normal 2 2 2 4 8" xfId="4465"/>
    <cellStyle name="Normal 2 2 2 5" xfId="4466"/>
    <cellStyle name="Normal 2 2 2 5 2" xfId="4467"/>
    <cellStyle name="Normal 2 2 2 5 2 2" xfId="4468"/>
    <cellStyle name="Normal 2 2 2 5 2 2 2" xfId="4469"/>
    <cellStyle name="Normal 2 2 2 5 2 2 3" xfId="4470"/>
    <cellStyle name="Normal 2 2 2 5 2 3" xfId="4471"/>
    <cellStyle name="Normal 2 2 2 5 2 4" xfId="4472"/>
    <cellStyle name="Normal 2 2 2 5 3" xfId="4473"/>
    <cellStyle name="Normal 2 2 2 5 3 2" xfId="4474"/>
    <cellStyle name="Normal 2 2 2 5 3 2 2" xfId="4475"/>
    <cellStyle name="Normal 2 2 2 5 3 2 3" xfId="4476"/>
    <cellStyle name="Normal 2 2 2 5 3 3" xfId="4477"/>
    <cellStyle name="Normal 2 2 2 5 3 4" xfId="4478"/>
    <cellStyle name="Normal 2 2 2 5 4" xfId="4479"/>
    <cellStyle name="Normal 2 2 2 5 4 2" xfId="4480"/>
    <cellStyle name="Normal 2 2 2 5 4 2 2" xfId="4481"/>
    <cellStyle name="Normal 2 2 2 5 4 2 3" xfId="4482"/>
    <cellStyle name="Normal 2 2 2 5 4 3" xfId="4483"/>
    <cellStyle name="Normal 2 2 2 5 4 4" xfId="4484"/>
    <cellStyle name="Normal 2 2 2 5 5" xfId="4485"/>
    <cellStyle name="Normal 2 2 2 5 5 2" xfId="4486"/>
    <cellStyle name="Normal 2 2 2 5 5 2 2" xfId="4487"/>
    <cellStyle name="Normal 2 2 2 5 5 2 3" xfId="4488"/>
    <cellStyle name="Normal 2 2 2 5 5 3" xfId="4489"/>
    <cellStyle name="Normal 2 2 2 5 5 4" xfId="4490"/>
    <cellStyle name="Normal 2 2 2 5 6" xfId="4491"/>
    <cellStyle name="Normal 2 2 2 5 6 2" xfId="4492"/>
    <cellStyle name="Normal 2 2 2 5 6 3" xfId="4493"/>
    <cellStyle name="Normal 2 2 2 5 7" xfId="4494"/>
    <cellStyle name="Normal 2 2 2 5 8" xfId="4495"/>
    <cellStyle name="Normal 2 2 2 6" xfId="4496"/>
    <cellStyle name="Normal 2 2 2 6 2" xfId="4497"/>
    <cellStyle name="Normal 2 2 2 6 2 2" xfId="4498"/>
    <cellStyle name="Normal 2 2 2 6 2 2 2" xfId="4499"/>
    <cellStyle name="Normal 2 2 2 6 2 2 3" xfId="4500"/>
    <cellStyle name="Normal 2 2 2 6 2 3" xfId="4501"/>
    <cellStyle name="Normal 2 2 2 6 2 4" xfId="4502"/>
    <cellStyle name="Normal 2 2 2 6 3" xfId="4503"/>
    <cellStyle name="Normal 2 2 2 6 3 2" xfId="4504"/>
    <cellStyle name="Normal 2 2 2 6 3 2 2" xfId="4505"/>
    <cellStyle name="Normal 2 2 2 6 3 2 3" xfId="4506"/>
    <cellStyle name="Normal 2 2 2 6 3 3" xfId="4507"/>
    <cellStyle name="Normal 2 2 2 6 3 4" xfId="4508"/>
    <cellStyle name="Normal 2 2 2 6 4" xfId="4509"/>
    <cellStyle name="Normal 2 2 2 6 4 2" xfId="4510"/>
    <cellStyle name="Normal 2 2 2 6 4 2 2" xfId="4511"/>
    <cellStyle name="Normal 2 2 2 6 4 2 3" xfId="4512"/>
    <cellStyle name="Normal 2 2 2 6 4 3" xfId="4513"/>
    <cellStyle name="Normal 2 2 2 6 4 4" xfId="4514"/>
    <cellStyle name="Normal 2 2 2 6 5" xfId="4515"/>
    <cellStyle name="Normal 2 2 2 6 5 2" xfId="4516"/>
    <cellStyle name="Normal 2 2 2 6 5 2 2" xfId="4517"/>
    <cellStyle name="Normal 2 2 2 6 5 2 3" xfId="4518"/>
    <cellStyle name="Normal 2 2 2 6 5 3" xfId="4519"/>
    <cellStyle name="Normal 2 2 2 6 5 4" xfId="4520"/>
    <cellStyle name="Normal 2 2 2 6 6" xfId="4521"/>
    <cellStyle name="Normal 2 2 2 6 6 2" xfId="4522"/>
    <cellStyle name="Normal 2 2 2 6 6 3" xfId="4523"/>
    <cellStyle name="Normal 2 2 2 6 7" xfId="4524"/>
    <cellStyle name="Normal 2 2 2 6 8" xfId="4525"/>
    <cellStyle name="Normal 2 2 2 7" xfId="4526"/>
    <cellStyle name="Normal 2 2 2 8" xfId="4527"/>
    <cellStyle name="Normal 2 2 2 9" xfId="4528"/>
    <cellStyle name="Normal 2 2 20" xfId="4529"/>
    <cellStyle name="Normal 2 2 21" xfId="4530"/>
    <cellStyle name="Normal 2 2 3" xfId="4531"/>
    <cellStyle name="Normal 2 2 3 2" xfId="4532"/>
    <cellStyle name="Normal 2 2 3 2 2" xfId="4533"/>
    <cellStyle name="Normal 2 2 3 2 2 2" xfId="4534"/>
    <cellStyle name="Normal 2 2 3 2 2 2 2" xfId="4535"/>
    <cellStyle name="Normal 2 2 3 2 2 2 3" xfId="4536"/>
    <cellStyle name="Normal 2 2 3 2 2 3" xfId="4537"/>
    <cellStyle name="Normal 2 2 3 2 2 4" xfId="4538"/>
    <cellStyle name="Normal 2 2 3 2 3" xfId="4539"/>
    <cellStyle name="Normal 2 2 3 2 3 2" xfId="4540"/>
    <cellStyle name="Normal 2 2 3 2 3 2 2" xfId="4541"/>
    <cellStyle name="Normal 2 2 3 2 3 2 3" xfId="4542"/>
    <cellStyle name="Normal 2 2 3 2 3 3" xfId="4543"/>
    <cellStyle name="Normal 2 2 3 2 3 4" xfId="4544"/>
    <cellStyle name="Normal 2 2 3 2 4" xfId="4545"/>
    <cellStyle name="Normal 2 2 3 2 4 2" xfId="4546"/>
    <cellStyle name="Normal 2 2 3 2 4 2 2" xfId="4547"/>
    <cellStyle name="Normal 2 2 3 2 4 2 3" xfId="4548"/>
    <cellStyle name="Normal 2 2 3 2 4 3" xfId="4549"/>
    <cellStyle name="Normal 2 2 3 2 4 4" xfId="4550"/>
    <cellStyle name="Normal 2 2 3 2 5" xfId="4551"/>
    <cellStyle name="Normal 2 2 3 2 5 2" xfId="4552"/>
    <cellStyle name="Normal 2 2 3 2 5 2 2" xfId="4553"/>
    <cellStyle name="Normal 2 2 3 2 5 2 3" xfId="4554"/>
    <cellStyle name="Normal 2 2 3 2 5 3" xfId="4555"/>
    <cellStyle name="Normal 2 2 3 2 5 4" xfId="4556"/>
    <cellStyle name="Normal 2 2 3 2 6" xfId="4557"/>
    <cellStyle name="Normal 2 2 3 2 6 2" xfId="4558"/>
    <cellStyle name="Normal 2 2 3 2 6 3" xfId="4559"/>
    <cellStyle name="Normal 2 2 3 2 7" xfId="4560"/>
    <cellStyle name="Normal 2 2 3 2 8" xfId="4561"/>
    <cellStyle name="Normal 2 2 3 3" xfId="4562"/>
    <cellStyle name="Normal 2 2 3 3 2" xfId="4563"/>
    <cellStyle name="Normal 2 2 3 3 2 2" xfId="4564"/>
    <cellStyle name="Normal 2 2 3 3 2 3" xfId="4565"/>
    <cellStyle name="Normal 2 2 3 3 3" xfId="4566"/>
    <cellStyle name="Normal 2 2 3 3 4" xfId="4567"/>
    <cellStyle name="Normal 2 2 3 4" xfId="4568"/>
    <cellStyle name="Normal 2 2 3 4 2" xfId="4569"/>
    <cellStyle name="Normal 2 2 3 4 2 2" xfId="4570"/>
    <cellStyle name="Normal 2 2 3 4 2 3" xfId="4571"/>
    <cellStyle name="Normal 2 2 3 4 3" xfId="4572"/>
    <cellStyle name="Normal 2 2 3 4 4" xfId="4573"/>
    <cellStyle name="Normal 2 2 3 5" xfId="4574"/>
    <cellStyle name="Normal 2 2 3 5 2" xfId="4575"/>
    <cellStyle name="Normal 2 2 3 5 2 2" xfId="4576"/>
    <cellStyle name="Normal 2 2 3 5 2 3" xfId="4577"/>
    <cellStyle name="Normal 2 2 3 5 3" xfId="4578"/>
    <cellStyle name="Normal 2 2 3 5 4" xfId="4579"/>
    <cellStyle name="Normal 2 2 3 6" xfId="4580"/>
    <cellStyle name="Normal 2 2 3 6 2" xfId="4581"/>
    <cellStyle name="Normal 2 2 3 6 2 2" xfId="4582"/>
    <cellStyle name="Normal 2 2 3 6 2 3" xfId="4583"/>
    <cellStyle name="Normal 2 2 3 6 3" xfId="4584"/>
    <cellStyle name="Normal 2 2 3 6 4" xfId="4585"/>
    <cellStyle name="Normal 2 2 3 7" xfId="4586"/>
    <cellStyle name="Normal 2 2 3 7 2" xfId="4587"/>
    <cellStyle name="Normal 2 2 3 7 3" xfId="4588"/>
    <cellStyle name="Normal 2 2 3 8" xfId="4589"/>
    <cellStyle name="Normal 2 2 3 9" xfId="4590"/>
    <cellStyle name="Normal 2 2 4" xfId="4591"/>
    <cellStyle name="Normal 2 2 4 2" xfId="4592"/>
    <cellStyle name="Normal 2 2 4 2 2" xfId="4593"/>
    <cellStyle name="Normal 2 2 4 2 2 2" xfId="4594"/>
    <cellStyle name="Normal 2 2 4 2 2 2 2" xfId="4595"/>
    <cellStyle name="Normal 2 2 4 2 2 2 3" xfId="4596"/>
    <cellStyle name="Normal 2 2 4 2 2 3" xfId="4597"/>
    <cellStyle name="Normal 2 2 4 2 2 4" xfId="4598"/>
    <cellStyle name="Normal 2 2 4 2 3" xfId="4599"/>
    <cellStyle name="Normal 2 2 4 2 3 2" xfId="4600"/>
    <cellStyle name="Normal 2 2 4 2 3 2 2" xfId="4601"/>
    <cellStyle name="Normal 2 2 4 2 3 2 3" xfId="4602"/>
    <cellStyle name="Normal 2 2 4 2 3 3" xfId="4603"/>
    <cellStyle name="Normal 2 2 4 2 3 4" xfId="4604"/>
    <cellStyle name="Normal 2 2 4 2 4" xfId="4605"/>
    <cellStyle name="Normal 2 2 4 2 4 2" xfId="4606"/>
    <cellStyle name="Normal 2 2 4 2 4 2 2" xfId="4607"/>
    <cellStyle name="Normal 2 2 4 2 4 2 3" xfId="4608"/>
    <cellStyle name="Normal 2 2 4 2 4 3" xfId="4609"/>
    <cellStyle name="Normal 2 2 4 2 4 4" xfId="4610"/>
    <cellStyle name="Normal 2 2 4 2 5" xfId="4611"/>
    <cellStyle name="Normal 2 2 4 2 5 2" xfId="4612"/>
    <cellStyle name="Normal 2 2 4 2 5 2 2" xfId="4613"/>
    <cellStyle name="Normal 2 2 4 2 5 2 3" xfId="4614"/>
    <cellStyle name="Normal 2 2 4 2 5 3" xfId="4615"/>
    <cellStyle name="Normal 2 2 4 2 5 4" xfId="4616"/>
    <cellStyle name="Normal 2 2 4 2 6" xfId="4617"/>
    <cellStyle name="Normal 2 2 4 2 6 2" xfId="4618"/>
    <cellStyle name="Normal 2 2 4 2 6 3" xfId="4619"/>
    <cellStyle name="Normal 2 2 4 2 7" xfId="4620"/>
    <cellStyle name="Normal 2 2 4 2 8" xfId="4621"/>
    <cellStyle name="Normal 2 2 4 3" xfId="4622"/>
    <cellStyle name="Normal 2 2 4 3 2" xfId="4623"/>
    <cellStyle name="Normal 2 2 4 3 2 2" xfId="4624"/>
    <cellStyle name="Normal 2 2 4 3 2 3" xfId="4625"/>
    <cellStyle name="Normal 2 2 4 3 3" xfId="4626"/>
    <cellStyle name="Normal 2 2 4 3 4" xfId="4627"/>
    <cellStyle name="Normal 2 2 4 4" xfId="4628"/>
    <cellStyle name="Normal 2 2 4 4 2" xfId="4629"/>
    <cellStyle name="Normal 2 2 4 4 2 2" xfId="4630"/>
    <cellStyle name="Normal 2 2 4 4 2 3" xfId="4631"/>
    <cellStyle name="Normal 2 2 4 4 3" xfId="4632"/>
    <cellStyle name="Normal 2 2 4 4 4" xfId="4633"/>
    <cellStyle name="Normal 2 2 4 5" xfId="4634"/>
    <cellStyle name="Normal 2 2 4 5 2" xfId="4635"/>
    <cellStyle name="Normal 2 2 4 5 2 2" xfId="4636"/>
    <cellStyle name="Normal 2 2 4 5 2 3" xfId="4637"/>
    <cellStyle name="Normal 2 2 4 5 3" xfId="4638"/>
    <cellStyle name="Normal 2 2 4 5 4" xfId="4639"/>
    <cellStyle name="Normal 2 2 4 6" xfId="4640"/>
    <cellStyle name="Normal 2 2 4 6 2" xfId="4641"/>
    <cellStyle name="Normal 2 2 4 6 2 2" xfId="4642"/>
    <cellStyle name="Normal 2 2 4 6 2 3" xfId="4643"/>
    <cellStyle name="Normal 2 2 4 6 3" xfId="4644"/>
    <cellStyle name="Normal 2 2 4 6 4" xfId="4645"/>
    <cellStyle name="Normal 2 2 4 7" xfId="4646"/>
    <cellStyle name="Normal 2 2 4 7 2" xfId="4647"/>
    <cellStyle name="Normal 2 2 4 7 3" xfId="4648"/>
    <cellStyle name="Normal 2 2 4 8" xfId="4649"/>
    <cellStyle name="Normal 2 2 4 9" xfId="4650"/>
    <cellStyle name="Normal 2 2 5" xfId="4651"/>
    <cellStyle name="Normal 2 2 6" xfId="4652"/>
    <cellStyle name="Normal 2 2 7" xfId="4653"/>
    <cellStyle name="Normal 2 2 8" xfId="4654"/>
    <cellStyle name="Normal 2 2 9" xfId="4655"/>
    <cellStyle name="Normal 2 20" xfId="1686"/>
    <cellStyle name="Normal 2 21" xfId="1687"/>
    <cellStyle name="Normal 2 22" xfId="1688"/>
    <cellStyle name="Normal 2 23" xfId="1689"/>
    <cellStyle name="Normal 2 24" xfId="1690"/>
    <cellStyle name="Normal 2 25" xfId="1691"/>
    <cellStyle name="Normal 2 26" xfId="1692"/>
    <cellStyle name="Normal 2 27" xfId="1693"/>
    <cellStyle name="Normal 2 28" xfId="1694"/>
    <cellStyle name="Normal 2 29" xfId="1695"/>
    <cellStyle name="Normal 2 3" xfId="1696"/>
    <cellStyle name="Normal 2 3 10" xfId="4656"/>
    <cellStyle name="Normal 2 3 10 2" xfId="4657"/>
    <cellStyle name="Normal 2 3 10 2 2" xfId="4658"/>
    <cellStyle name="Normal 2 3 10 2 3" xfId="4659"/>
    <cellStyle name="Normal 2 3 10 3" xfId="4660"/>
    <cellStyle name="Normal 2 3 10 4" xfId="4661"/>
    <cellStyle name="Normal 2 3 11" xfId="4662"/>
    <cellStyle name="Normal 2 3 11 2" xfId="4663"/>
    <cellStyle name="Normal 2 3 11 2 2" xfId="4664"/>
    <cellStyle name="Normal 2 3 11 2 3" xfId="4665"/>
    <cellStyle name="Normal 2 3 11 3" xfId="4666"/>
    <cellStyle name="Normal 2 3 11 4" xfId="4667"/>
    <cellStyle name="Normal 2 3 12" xfId="4668"/>
    <cellStyle name="Normal 2 3 12 2" xfId="4669"/>
    <cellStyle name="Normal 2 3 12 3" xfId="4670"/>
    <cellStyle name="Normal 2 3 13" xfId="4671"/>
    <cellStyle name="Normal 2 3 14" xfId="4672"/>
    <cellStyle name="Normal 2 3 2" xfId="4673"/>
    <cellStyle name="Normal 2 3 2 2" xfId="4674"/>
    <cellStyle name="Normal 2 3 2 3" xfId="4675"/>
    <cellStyle name="Normal 2 3 2 3 2" xfId="4676"/>
    <cellStyle name="Normal 2 3 2 3 2 2" xfId="4677"/>
    <cellStyle name="Normal 2 3 2 3 2 3" xfId="4678"/>
    <cellStyle name="Normal 2 3 2 3 3" xfId="4679"/>
    <cellStyle name="Normal 2 3 2 3 4" xfId="4680"/>
    <cellStyle name="Normal 2 3 2 4" xfId="4681"/>
    <cellStyle name="Normal 2 3 2 4 2" xfId="4682"/>
    <cellStyle name="Normal 2 3 2 4 2 2" xfId="4683"/>
    <cellStyle name="Normal 2 3 2 4 2 3" xfId="4684"/>
    <cellStyle name="Normal 2 3 2 4 3" xfId="4685"/>
    <cellStyle name="Normal 2 3 2 4 4" xfId="4686"/>
    <cellStyle name="Normal 2 3 2 5" xfId="4687"/>
    <cellStyle name="Normal 2 3 2 5 2" xfId="4688"/>
    <cellStyle name="Normal 2 3 2 5 2 2" xfId="4689"/>
    <cellStyle name="Normal 2 3 2 5 2 3" xfId="4690"/>
    <cellStyle name="Normal 2 3 2 5 3" xfId="4691"/>
    <cellStyle name="Normal 2 3 2 5 4" xfId="4692"/>
    <cellStyle name="Normal 2 3 2 6" xfId="4693"/>
    <cellStyle name="Normal 2 3 2 6 2" xfId="4694"/>
    <cellStyle name="Normal 2 3 2 6 2 2" xfId="4695"/>
    <cellStyle name="Normal 2 3 2 6 2 3" xfId="4696"/>
    <cellStyle name="Normal 2 3 2 6 3" xfId="4697"/>
    <cellStyle name="Normal 2 3 2 6 4" xfId="4698"/>
    <cellStyle name="Normal 2 3 2 7" xfId="4699"/>
    <cellStyle name="Normal 2 3 2 7 2" xfId="4700"/>
    <cellStyle name="Normal 2 3 2 7 3" xfId="4701"/>
    <cellStyle name="Normal 2 3 2 8" xfId="4702"/>
    <cellStyle name="Normal 2 3 2 9" xfId="4703"/>
    <cellStyle name="Normal 2 3 3" xfId="4704"/>
    <cellStyle name="Normal 2 3 4" xfId="4705"/>
    <cellStyle name="Normal 2 3 5" xfId="4706"/>
    <cellStyle name="Normal 2 3 6" xfId="4707"/>
    <cellStyle name="Normal 2 3 7" xfId="4708"/>
    <cellStyle name="Normal 2 3 8" xfId="4709"/>
    <cellStyle name="Normal 2 3 8 2" xfId="4710"/>
    <cellStyle name="Normal 2 3 8 2 2" xfId="4711"/>
    <cellStyle name="Normal 2 3 8 2 3" xfId="4712"/>
    <cellStyle name="Normal 2 3 8 3" xfId="4713"/>
    <cellStyle name="Normal 2 3 8 4" xfId="4714"/>
    <cellStyle name="Normal 2 3 9" xfId="4715"/>
    <cellStyle name="Normal 2 3 9 2" xfId="4716"/>
    <cellStyle name="Normal 2 3 9 2 2" xfId="4717"/>
    <cellStyle name="Normal 2 3 9 2 3" xfId="4718"/>
    <cellStyle name="Normal 2 3 9 3" xfId="4719"/>
    <cellStyle name="Normal 2 3 9 4" xfId="4720"/>
    <cellStyle name="Normal 2 30" xfId="1697"/>
    <cellStyle name="Normal 2 31" xfId="1698"/>
    <cellStyle name="Normal 2 32" xfId="1699"/>
    <cellStyle name="Normal 2 33" xfId="1700"/>
    <cellStyle name="Normal 2 34" xfId="1701"/>
    <cellStyle name="Normal 2 35" xfId="1702"/>
    <cellStyle name="Normal 2 36" xfId="1703"/>
    <cellStyle name="Normal 2 37" xfId="1704"/>
    <cellStyle name="Normal 2 38" xfId="1705"/>
    <cellStyle name="Normal 2 39" xfId="1706"/>
    <cellStyle name="Normal 2 4" xfId="1707"/>
    <cellStyle name="Normal 2 4 10" xfId="4721"/>
    <cellStyle name="Normal 2 4 10 2" xfId="4722"/>
    <cellStyle name="Normal 2 4 10 2 2" xfId="4723"/>
    <cellStyle name="Normal 2 4 10 2 3" xfId="4724"/>
    <cellStyle name="Normal 2 4 10 3" xfId="4725"/>
    <cellStyle name="Normal 2 4 10 4" xfId="4726"/>
    <cellStyle name="Normal 2 4 11" xfId="4727"/>
    <cellStyle name="Normal 2 4 11 2" xfId="4728"/>
    <cellStyle name="Normal 2 4 11 2 2" xfId="4729"/>
    <cellStyle name="Normal 2 4 11 2 3" xfId="4730"/>
    <cellStyle name="Normal 2 4 11 3" xfId="4731"/>
    <cellStyle name="Normal 2 4 11 4" xfId="4732"/>
    <cellStyle name="Normal 2 4 12" xfId="4733"/>
    <cellStyle name="Normal 2 4 12 2" xfId="4734"/>
    <cellStyle name="Normal 2 4 12 3" xfId="4735"/>
    <cellStyle name="Normal 2 4 13" xfId="4736"/>
    <cellStyle name="Normal 2 4 14" xfId="4737"/>
    <cellStyle name="Normal 2 4 2" xfId="4738"/>
    <cellStyle name="Normal 2 4 2 2" xfId="4739"/>
    <cellStyle name="Normal 2 4 2 3" xfId="4740"/>
    <cellStyle name="Normal 2 4 2 3 2" xfId="4741"/>
    <cellStyle name="Normal 2 4 2 3 2 2" xfId="4742"/>
    <cellStyle name="Normal 2 4 2 3 2 3" xfId="4743"/>
    <cellStyle name="Normal 2 4 2 3 3" xfId="4744"/>
    <cellStyle name="Normal 2 4 2 3 4" xfId="4745"/>
    <cellStyle name="Normal 2 4 2 4" xfId="4746"/>
    <cellStyle name="Normal 2 4 2 4 2" xfId="4747"/>
    <cellStyle name="Normal 2 4 2 4 2 2" xfId="4748"/>
    <cellStyle name="Normal 2 4 2 4 2 3" xfId="4749"/>
    <cellStyle name="Normal 2 4 2 4 3" xfId="4750"/>
    <cellStyle name="Normal 2 4 2 4 4" xfId="4751"/>
    <cellStyle name="Normal 2 4 2 5" xfId="4752"/>
    <cellStyle name="Normal 2 4 2 5 2" xfId="4753"/>
    <cellStyle name="Normal 2 4 2 5 2 2" xfId="4754"/>
    <cellStyle name="Normal 2 4 2 5 2 3" xfId="4755"/>
    <cellStyle name="Normal 2 4 2 5 3" xfId="4756"/>
    <cellStyle name="Normal 2 4 2 5 4" xfId="4757"/>
    <cellStyle name="Normal 2 4 2 6" xfId="4758"/>
    <cellStyle name="Normal 2 4 2 6 2" xfId="4759"/>
    <cellStyle name="Normal 2 4 2 6 2 2" xfId="4760"/>
    <cellStyle name="Normal 2 4 2 6 2 3" xfId="4761"/>
    <cellStyle name="Normal 2 4 2 6 3" xfId="4762"/>
    <cellStyle name="Normal 2 4 2 6 4" xfId="4763"/>
    <cellStyle name="Normal 2 4 2 7" xfId="4764"/>
    <cellStyle name="Normal 2 4 2 7 2" xfId="4765"/>
    <cellStyle name="Normal 2 4 2 7 3" xfId="4766"/>
    <cellStyle name="Normal 2 4 2 8" xfId="4767"/>
    <cellStyle name="Normal 2 4 2 9" xfId="4768"/>
    <cellStyle name="Normal 2 4 3" xfId="4769"/>
    <cellStyle name="Normal 2 4 4" xfId="4770"/>
    <cellStyle name="Normal 2 4 5" xfId="4771"/>
    <cellStyle name="Normal 2 4 6" xfId="4772"/>
    <cellStyle name="Normal 2 4 7" xfId="4773"/>
    <cellStyle name="Normal 2 4 8" xfId="4774"/>
    <cellStyle name="Normal 2 4 8 2" xfId="4775"/>
    <cellStyle name="Normal 2 4 8 2 2" xfId="4776"/>
    <cellStyle name="Normal 2 4 8 2 3" xfId="4777"/>
    <cellStyle name="Normal 2 4 8 3" xfId="4778"/>
    <cellStyle name="Normal 2 4 8 4" xfId="4779"/>
    <cellStyle name="Normal 2 4 9" xfId="4780"/>
    <cellStyle name="Normal 2 4 9 2" xfId="4781"/>
    <cellStyle name="Normal 2 4 9 2 2" xfId="4782"/>
    <cellStyle name="Normal 2 4 9 2 3" xfId="4783"/>
    <cellStyle name="Normal 2 4 9 3" xfId="4784"/>
    <cellStyle name="Normal 2 4 9 4" xfId="4785"/>
    <cellStyle name="Normal 2 40" xfId="1708"/>
    <cellStyle name="Normal 2 41" xfId="1709"/>
    <cellStyle name="Normal 2 42" xfId="1710"/>
    <cellStyle name="Normal 2 42 2" xfId="4786"/>
    <cellStyle name="Normal 2 42 3" xfId="4787"/>
    <cellStyle name="Normal 2 42 4" xfId="4788"/>
    <cellStyle name="Normal 2 42 5" xfId="4789"/>
    <cellStyle name="Normal 2 42 6" xfId="4790"/>
    <cellStyle name="Normal 2 42 7" xfId="4791"/>
    <cellStyle name="Normal 2 43" xfId="1711"/>
    <cellStyle name="Normal 2 44" xfId="1712"/>
    <cellStyle name="Normal 2 44 2" xfId="4792"/>
    <cellStyle name="Normal 2 44 2 2" xfId="4793"/>
    <cellStyle name="Normal 2 44 2 2 2" xfId="4794"/>
    <cellStyle name="Normal 2 44 2 2 3" xfId="4795"/>
    <cellStyle name="Normal 2 44 2 3" xfId="4796"/>
    <cellStyle name="Normal 2 44 2 4" xfId="4797"/>
    <cellStyle name="Normal 2 44 3" xfId="4798"/>
    <cellStyle name="Normal 2 44 3 2" xfId="4799"/>
    <cellStyle name="Normal 2 44 3 2 2" xfId="4800"/>
    <cellStyle name="Normal 2 44 3 2 3" xfId="4801"/>
    <cellStyle name="Normal 2 44 3 3" xfId="4802"/>
    <cellStyle name="Normal 2 44 3 4" xfId="4803"/>
    <cellStyle name="Normal 2 44 4" xfId="4804"/>
    <cellStyle name="Normal 2 44 4 2" xfId="4805"/>
    <cellStyle name="Normal 2 44 4 2 2" xfId="4806"/>
    <cellStyle name="Normal 2 44 4 2 3" xfId="4807"/>
    <cellStyle name="Normal 2 44 4 3" xfId="4808"/>
    <cellStyle name="Normal 2 44 4 4" xfId="4809"/>
    <cellStyle name="Normal 2 44 5" xfId="4810"/>
    <cellStyle name="Normal 2 44 5 2" xfId="4811"/>
    <cellStyle name="Normal 2 44 5 2 2" xfId="4812"/>
    <cellStyle name="Normal 2 44 5 2 3" xfId="4813"/>
    <cellStyle name="Normal 2 44 5 3" xfId="4814"/>
    <cellStyle name="Normal 2 44 5 4" xfId="4815"/>
    <cellStyle name="Normal 2 44 6" xfId="4816"/>
    <cellStyle name="Normal 2 44 6 2" xfId="4817"/>
    <cellStyle name="Normal 2 44 6 3" xfId="4818"/>
    <cellStyle name="Normal 2 44 7" xfId="4819"/>
    <cellStyle name="Normal 2 44 8" xfId="4820"/>
    <cellStyle name="Normal 2 45" xfId="1713"/>
    <cellStyle name="Normal 2 45 2" xfId="4821"/>
    <cellStyle name="Normal 2 45 2 2" xfId="4822"/>
    <cellStyle name="Normal 2 45 2 2 2" xfId="4823"/>
    <cellStyle name="Normal 2 45 2 2 3" xfId="4824"/>
    <cellStyle name="Normal 2 45 2 3" xfId="4825"/>
    <cellStyle name="Normal 2 45 2 4" xfId="4826"/>
    <cellStyle name="Normal 2 45 3" xfId="4827"/>
    <cellStyle name="Normal 2 45 3 2" xfId="4828"/>
    <cellStyle name="Normal 2 45 3 2 2" xfId="4829"/>
    <cellStyle name="Normal 2 45 3 2 3" xfId="4830"/>
    <cellStyle name="Normal 2 45 3 3" xfId="4831"/>
    <cellStyle name="Normal 2 45 3 4" xfId="4832"/>
    <cellStyle name="Normal 2 45 4" xfId="4833"/>
    <cellStyle name="Normal 2 45 4 2" xfId="4834"/>
    <cellStyle name="Normal 2 45 4 2 2" xfId="4835"/>
    <cellStyle name="Normal 2 45 4 2 3" xfId="4836"/>
    <cellStyle name="Normal 2 45 4 3" xfId="4837"/>
    <cellStyle name="Normal 2 45 4 4" xfId="4838"/>
    <cellStyle name="Normal 2 45 5" xfId="4839"/>
    <cellStyle name="Normal 2 45 5 2" xfId="4840"/>
    <cellStyle name="Normal 2 45 5 2 2" xfId="4841"/>
    <cellStyle name="Normal 2 45 5 2 3" xfId="4842"/>
    <cellStyle name="Normal 2 45 5 3" xfId="4843"/>
    <cellStyle name="Normal 2 45 5 4" xfId="4844"/>
    <cellStyle name="Normal 2 45 6" xfId="4845"/>
    <cellStyle name="Normal 2 45 6 2" xfId="4846"/>
    <cellStyle name="Normal 2 45 6 3" xfId="4847"/>
    <cellStyle name="Normal 2 45 7" xfId="4848"/>
    <cellStyle name="Normal 2 45 8" xfId="4849"/>
    <cellStyle name="Normal 2 46" xfId="1714"/>
    <cellStyle name="Normal 2 46 2" xfId="4850"/>
    <cellStyle name="Normal 2 46 2 2" xfId="4851"/>
    <cellStyle name="Normal 2 46 2 2 2" xfId="4852"/>
    <cellStyle name="Normal 2 46 2 2 3" xfId="4853"/>
    <cellStyle name="Normal 2 46 2 3" xfId="4854"/>
    <cellStyle name="Normal 2 46 2 4" xfId="4855"/>
    <cellStyle name="Normal 2 46 3" xfId="4856"/>
    <cellStyle name="Normal 2 46 3 2" xfId="4857"/>
    <cellStyle name="Normal 2 46 3 2 2" xfId="4858"/>
    <cellStyle name="Normal 2 46 3 2 3" xfId="4859"/>
    <cellStyle name="Normal 2 46 3 3" xfId="4860"/>
    <cellStyle name="Normal 2 46 3 4" xfId="4861"/>
    <cellStyle name="Normal 2 46 4" xfId="4862"/>
    <cellStyle name="Normal 2 46 4 2" xfId="4863"/>
    <cellStyle name="Normal 2 46 4 2 2" xfId="4864"/>
    <cellStyle name="Normal 2 46 4 2 3" xfId="4865"/>
    <cellStyle name="Normal 2 46 4 3" xfId="4866"/>
    <cellStyle name="Normal 2 46 4 4" xfId="4867"/>
    <cellStyle name="Normal 2 46 5" xfId="4868"/>
    <cellStyle name="Normal 2 46 5 2" xfId="4869"/>
    <cellStyle name="Normal 2 46 5 2 2" xfId="4870"/>
    <cellStyle name="Normal 2 46 5 2 3" xfId="4871"/>
    <cellStyle name="Normal 2 46 5 3" xfId="4872"/>
    <cellStyle name="Normal 2 46 5 4" xfId="4873"/>
    <cellStyle name="Normal 2 46 6" xfId="4874"/>
    <cellStyle name="Normal 2 46 6 2" xfId="4875"/>
    <cellStyle name="Normal 2 46 6 3" xfId="4876"/>
    <cellStyle name="Normal 2 46 7" xfId="4877"/>
    <cellStyle name="Normal 2 46 8" xfId="4878"/>
    <cellStyle name="Normal 2 47" xfId="1715"/>
    <cellStyle name="Normal 2 47 2" xfId="4879"/>
    <cellStyle name="Normal 2 47 2 2" xfId="4880"/>
    <cellStyle name="Normal 2 47 2 2 2" xfId="4881"/>
    <cellStyle name="Normal 2 47 2 2 3" xfId="4882"/>
    <cellStyle name="Normal 2 47 2 3" xfId="4883"/>
    <cellStyle name="Normal 2 47 2 4" xfId="4884"/>
    <cellStyle name="Normal 2 47 3" xfId="4885"/>
    <cellStyle name="Normal 2 47 3 2" xfId="4886"/>
    <cellStyle name="Normal 2 47 3 2 2" xfId="4887"/>
    <cellStyle name="Normal 2 47 3 2 3" xfId="4888"/>
    <cellStyle name="Normal 2 47 3 3" xfId="4889"/>
    <cellStyle name="Normal 2 47 3 4" xfId="4890"/>
    <cellStyle name="Normal 2 47 4" xfId="4891"/>
    <cellStyle name="Normal 2 47 4 2" xfId="4892"/>
    <cellStyle name="Normal 2 47 4 2 2" xfId="4893"/>
    <cellStyle name="Normal 2 47 4 2 3" xfId="4894"/>
    <cellStyle name="Normal 2 47 4 3" xfId="4895"/>
    <cellStyle name="Normal 2 47 4 4" xfId="4896"/>
    <cellStyle name="Normal 2 47 5" xfId="4897"/>
    <cellStyle name="Normal 2 47 5 2" xfId="4898"/>
    <cellStyle name="Normal 2 47 5 2 2" xfId="4899"/>
    <cellStyle name="Normal 2 47 5 2 3" xfId="4900"/>
    <cellStyle name="Normal 2 47 5 3" xfId="4901"/>
    <cellStyle name="Normal 2 47 5 4" xfId="4902"/>
    <cellStyle name="Normal 2 47 6" xfId="4903"/>
    <cellStyle name="Normal 2 47 6 2" xfId="4904"/>
    <cellStyle name="Normal 2 47 6 3" xfId="4905"/>
    <cellStyle name="Normal 2 47 7" xfId="4906"/>
    <cellStyle name="Normal 2 47 8" xfId="4907"/>
    <cellStyle name="Normal 2 48" xfId="1716"/>
    <cellStyle name="Normal 2 49" xfId="1717"/>
    <cellStyle name="Normal 2 5" xfId="1718"/>
    <cellStyle name="Normal 2 5 10" xfId="4908"/>
    <cellStyle name="Normal 2 5 10 2" xfId="4909"/>
    <cellStyle name="Normal 2 5 10 2 2" xfId="4910"/>
    <cellStyle name="Normal 2 5 10 2 3" xfId="4911"/>
    <cellStyle name="Normal 2 5 10 3" xfId="4912"/>
    <cellStyle name="Normal 2 5 10 4" xfId="4913"/>
    <cellStyle name="Normal 2 5 11" xfId="4914"/>
    <cellStyle name="Normal 2 5 11 2" xfId="4915"/>
    <cellStyle name="Normal 2 5 11 2 2" xfId="4916"/>
    <cellStyle name="Normal 2 5 11 2 3" xfId="4917"/>
    <cellStyle name="Normal 2 5 11 3" xfId="4918"/>
    <cellStyle name="Normal 2 5 11 4" xfId="4919"/>
    <cellStyle name="Normal 2 5 12" xfId="4920"/>
    <cellStyle name="Normal 2 5 12 2" xfId="4921"/>
    <cellStyle name="Normal 2 5 12 3" xfId="4922"/>
    <cellStyle name="Normal 2 5 13" xfId="4923"/>
    <cellStyle name="Normal 2 5 14" xfId="4924"/>
    <cellStyle name="Normal 2 5 2" xfId="4925"/>
    <cellStyle name="Normal 2 5 2 2" xfId="4926"/>
    <cellStyle name="Normal 2 5 2 3" xfId="4927"/>
    <cellStyle name="Normal 2 5 2 3 2" xfId="4928"/>
    <cellStyle name="Normal 2 5 2 3 2 2" xfId="4929"/>
    <cellStyle name="Normal 2 5 2 3 2 3" xfId="4930"/>
    <cellStyle name="Normal 2 5 2 3 3" xfId="4931"/>
    <cellStyle name="Normal 2 5 2 3 4" xfId="4932"/>
    <cellStyle name="Normal 2 5 2 4" xfId="4933"/>
    <cellStyle name="Normal 2 5 2 4 2" xfId="4934"/>
    <cellStyle name="Normal 2 5 2 4 2 2" xfId="4935"/>
    <cellStyle name="Normal 2 5 2 4 2 3" xfId="4936"/>
    <cellStyle name="Normal 2 5 2 4 3" xfId="4937"/>
    <cellStyle name="Normal 2 5 2 4 4" xfId="4938"/>
    <cellStyle name="Normal 2 5 2 5" xfId="4939"/>
    <cellStyle name="Normal 2 5 2 5 2" xfId="4940"/>
    <cellStyle name="Normal 2 5 2 5 2 2" xfId="4941"/>
    <cellStyle name="Normal 2 5 2 5 2 3" xfId="4942"/>
    <cellStyle name="Normal 2 5 2 5 3" xfId="4943"/>
    <cellStyle name="Normal 2 5 2 5 4" xfId="4944"/>
    <cellStyle name="Normal 2 5 2 6" xfId="4945"/>
    <cellStyle name="Normal 2 5 2 6 2" xfId="4946"/>
    <cellStyle name="Normal 2 5 2 6 2 2" xfId="4947"/>
    <cellStyle name="Normal 2 5 2 6 2 3" xfId="4948"/>
    <cellStyle name="Normal 2 5 2 6 3" xfId="4949"/>
    <cellStyle name="Normal 2 5 2 6 4" xfId="4950"/>
    <cellStyle name="Normal 2 5 2 7" xfId="4951"/>
    <cellStyle name="Normal 2 5 2 7 2" xfId="4952"/>
    <cellStyle name="Normal 2 5 2 7 3" xfId="4953"/>
    <cellStyle name="Normal 2 5 2 8" xfId="4954"/>
    <cellStyle name="Normal 2 5 2 9" xfId="4955"/>
    <cellStyle name="Normal 2 5 3" xfId="4956"/>
    <cellStyle name="Normal 2 5 4" xfId="4957"/>
    <cellStyle name="Normal 2 5 5" xfId="4958"/>
    <cellStyle name="Normal 2 5 6" xfId="4959"/>
    <cellStyle name="Normal 2 5 7" xfId="4960"/>
    <cellStyle name="Normal 2 5 8" xfId="4961"/>
    <cellStyle name="Normal 2 5 8 2" xfId="4962"/>
    <cellStyle name="Normal 2 5 8 2 2" xfId="4963"/>
    <cellStyle name="Normal 2 5 8 2 3" xfId="4964"/>
    <cellStyle name="Normal 2 5 8 3" xfId="4965"/>
    <cellStyle name="Normal 2 5 8 4" xfId="4966"/>
    <cellStyle name="Normal 2 5 9" xfId="4967"/>
    <cellStyle name="Normal 2 5 9 2" xfId="4968"/>
    <cellStyle name="Normal 2 5 9 2 2" xfId="4969"/>
    <cellStyle name="Normal 2 5 9 2 3" xfId="4970"/>
    <cellStyle name="Normal 2 5 9 3" xfId="4971"/>
    <cellStyle name="Normal 2 5 9 4" xfId="4972"/>
    <cellStyle name="Normal 2 50" xfId="1719"/>
    <cellStyle name="Normal 2 51" xfId="1720"/>
    <cellStyle name="Normal 2 52" xfId="1721"/>
    <cellStyle name="Normal 2 53" xfId="1722"/>
    <cellStyle name="Normal 2 54" xfId="1723"/>
    <cellStyle name="Normal 2 55" xfId="1724"/>
    <cellStyle name="Normal 2 56" xfId="1725"/>
    <cellStyle name="Normal 2 57" xfId="1726"/>
    <cellStyle name="Normal 2 58" xfId="1727"/>
    <cellStyle name="Normal 2 59" xfId="1728"/>
    <cellStyle name="Normal 2 6" xfId="1729"/>
    <cellStyle name="Normal 2 6 10" xfId="4973"/>
    <cellStyle name="Normal 2 6 10 2" xfId="4974"/>
    <cellStyle name="Normal 2 6 10 2 2" xfId="4975"/>
    <cellStyle name="Normal 2 6 10 2 3" xfId="4976"/>
    <cellStyle name="Normal 2 6 10 3" xfId="4977"/>
    <cellStyle name="Normal 2 6 10 4" xfId="4978"/>
    <cellStyle name="Normal 2 6 11" xfId="4979"/>
    <cellStyle name="Normal 2 6 11 2" xfId="4980"/>
    <cellStyle name="Normal 2 6 11 2 2" xfId="4981"/>
    <cellStyle name="Normal 2 6 11 2 3" xfId="4982"/>
    <cellStyle name="Normal 2 6 11 3" xfId="4983"/>
    <cellStyle name="Normal 2 6 11 4" xfId="4984"/>
    <cellStyle name="Normal 2 6 12" xfId="4985"/>
    <cellStyle name="Normal 2 6 12 2" xfId="4986"/>
    <cellStyle name="Normal 2 6 12 3" xfId="4987"/>
    <cellStyle name="Normal 2 6 13" xfId="4988"/>
    <cellStyle name="Normal 2 6 14" xfId="4989"/>
    <cellStyle name="Normal 2 6 2" xfId="4990"/>
    <cellStyle name="Normal 2 6 2 2" xfId="4991"/>
    <cellStyle name="Normal 2 6 2 3" xfId="4992"/>
    <cellStyle name="Normal 2 6 2 3 2" xfId="4993"/>
    <cellStyle name="Normal 2 6 2 3 2 2" xfId="4994"/>
    <cellStyle name="Normal 2 6 2 3 2 3" xfId="4995"/>
    <cellStyle name="Normal 2 6 2 3 3" xfId="4996"/>
    <cellStyle name="Normal 2 6 2 3 4" xfId="4997"/>
    <cellStyle name="Normal 2 6 2 4" xfId="4998"/>
    <cellStyle name="Normal 2 6 2 4 2" xfId="4999"/>
    <cellStyle name="Normal 2 6 2 4 2 2" xfId="5000"/>
    <cellStyle name="Normal 2 6 2 4 2 3" xfId="5001"/>
    <cellStyle name="Normal 2 6 2 4 3" xfId="5002"/>
    <cellStyle name="Normal 2 6 2 4 4" xfId="5003"/>
    <cellStyle name="Normal 2 6 2 5" xfId="5004"/>
    <cellStyle name="Normal 2 6 2 5 2" xfId="5005"/>
    <cellStyle name="Normal 2 6 2 5 2 2" xfId="5006"/>
    <cellStyle name="Normal 2 6 2 5 2 3" xfId="5007"/>
    <cellStyle name="Normal 2 6 2 5 3" xfId="5008"/>
    <cellStyle name="Normal 2 6 2 5 4" xfId="5009"/>
    <cellStyle name="Normal 2 6 2 6" xfId="5010"/>
    <cellStyle name="Normal 2 6 2 6 2" xfId="5011"/>
    <cellStyle name="Normal 2 6 2 6 2 2" xfId="5012"/>
    <cellStyle name="Normal 2 6 2 6 2 3" xfId="5013"/>
    <cellStyle name="Normal 2 6 2 6 3" xfId="5014"/>
    <cellStyle name="Normal 2 6 2 6 4" xfId="5015"/>
    <cellStyle name="Normal 2 6 2 7" xfId="5016"/>
    <cellStyle name="Normal 2 6 2 7 2" xfId="5017"/>
    <cellStyle name="Normal 2 6 2 7 3" xfId="5018"/>
    <cellStyle name="Normal 2 6 2 8" xfId="5019"/>
    <cellStyle name="Normal 2 6 2 9" xfId="5020"/>
    <cellStyle name="Normal 2 6 3" xfId="5021"/>
    <cellStyle name="Normal 2 6 4" xfId="5022"/>
    <cellStyle name="Normal 2 6 5" xfId="5023"/>
    <cellStyle name="Normal 2 6 6" xfId="5024"/>
    <cellStyle name="Normal 2 6 7" xfId="5025"/>
    <cellStyle name="Normal 2 6 8" xfId="5026"/>
    <cellStyle name="Normal 2 6 8 2" xfId="5027"/>
    <cellStyle name="Normal 2 6 8 2 2" xfId="5028"/>
    <cellStyle name="Normal 2 6 8 2 3" xfId="5029"/>
    <cellStyle name="Normal 2 6 8 3" xfId="5030"/>
    <cellStyle name="Normal 2 6 8 4" xfId="5031"/>
    <cellStyle name="Normal 2 6 9" xfId="5032"/>
    <cellStyle name="Normal 2 6 9 2" xfId="5033"/>
    <cellStyle name="Normal 2 6 9 2 2" xfId="5034"/>
    <cellStyle name="Normal 2 6 9 2 3" xfId="5035"/>
    <cellStyle name="Normal 2 6 9 3" xfId="5036"/>
    <cellStyle name="Normal 2 6 9 4" xfId="5037"/>
    <cellStyle name="Normal 2 60" xfId="1730"/>
    <cellStyle name="Normal 2 61" xfId="1731"/>
    <cellStyle name="Normal 2 62" xfId="1732"/>
    <cellStyle name="Normal 2 63" xfId="1733"/>
    <cellStyle name="Normal 2 64" xfId="1734"/>
    <cellStyle name="Normal 2 64 2" xfId="5038"/>
    <cellStyle name="Normal 2 64 3" xfId="5039"/>
    <cellStyle name="Normal 2 65" xfId="1735"/>
    <cellStyle name="Normal 2 66" xfId="1736"/>
    <cellStyle name="Normal 2 67" xfId="1737"/>
    <cellStyle name="Normal 2 68" xfId="1738"/>
    <cellStyle name="Normal 2 69" xfId="1739"/>
    <cellStyle name="Normal 2 7" xfId="1740"/>
    <cellStyle name="Normal 2 7 10" xfId="5040"/>
    <cellStyle name="Normal 2 7 10 2" xfId="5041"/>
    <cellStyle name="Normal 2 7 10 2 2" xfId="5042"/>
    <cellStyle name="Normal 2 7 10 2 3" xfId="5043"/>
    <cellStyle name="Normal 2 7 10 3" xfId="5044"/>
    <cellStyle name="Normal 2 7 10 4" xfId="5045"/>
    <cellStyle name="Normal 2 7 11" xfId="5046"/>
    <cellStyle name="Normal 2 7 11 2" xfId="5047"/>
    <cellStyle name="Normal 2 7 11 2 2" xfId="5048"/>
    <cellStyle name="Normal 2 7 11 2 3" xfId="5049"/>
    <cellStyle name="Normal 2 7 11 3" xfId="5050"/>
    <cellStyle name="Normal 2 7 11 4" xfId="5051"/>
    <cellStyle name="Normal 2 7 12" xfId="5052"/>
    <cellStyle name="Normal 2 7 12 2" xfId="5053"/>
    <cellStyle name="Normal 2 7 12 3" xfId="5054"/>
    <cellStyle name="Normal 2 7 13" xfId="5055"/>
    <cellStyle name="Normal 2 7 14" xfId="5056"/>
    <cellStyle name="Normal 2 7 2" xfId="5057"/>
    <cellStyle name="Normal 2 7 2 2" xfId="5058"/>
    <cellStyle name="Normal 2 7 2 3" xfId="5059"/>
    <cellStyle name="Normal 2 7 2 3 2" xfId="5060"/>
    <cellStyle name="Normal 2 7 2 3 2 2" xfId="5061"/>
    <cellStyle name="Normal 2 7 2 3 2 3" xfId="5062"/>
    <cellStyle name="Normal 2 7 2 3 3" xfId="5063"/>
    <cellStyle name="Normal 2 7 2 3 4" xfId="5064"/>
    <cellStyle name="Normal 2 7 2 4" xfId="5065"/>
    <cellStyle name="Normal 2 7 2 4 2" xfId="5066"/>
    <cellStyle name="Normal 2 7 2 4 2 2" xfId="5067"/>
    <cellStyle name="Normal 2 7 2 4 2 3" xfId="5068"/>
    <cellStyle name="Normal 2 7 2 4 3" xfId="5069"/>
    <cellStyle name="Normal 2 7 2 4 4" xfId="5070"/>
    <cellStyle name="Normal 2 7 2 5" xfId="5071"/>
    <cellStyle name="Normal 2 7 2 5 2" xfId="5072"/>
    <cellStyle name="Normal 2 7 2 5 2 2" xfId="5073"/>
    <cellStyle name="Normal 2 7 2 5 2 3" xfId="5074"/>
    <cellStyle name="Normal 2 7 2 5 3" xfId="5075"/>
    <cellStyle name="Normal 2 7 2 5 4" xfId="5076"/>
    <cellStyle name="Normal 2 7 2 6" xfId="5077"/>
    <cellStyle name="Normal 2 7 2 6 2" xfId="5078"/>
    <cellStyle name="Normal 2 7 2 6 2 2" xfId="5079"/>
    <cellStyle name="Normal 2 7 2 6 2 3" xfId="5080"/>
    <cellStyle name="Normal 2 7 2 6 3" xfId="5081"/>
    <cellStyle name="Normal 2 7 2 6 4" xfId="5082"/>
    <cellStyle name="Normal 2 7 2 7" xfId="5083"/>
    <cellStyle name="Normal 2 7 2 7 2" xfId="5084"/>
    <cellStyle name="Normal 2 7 2 7 3" xfId="5085"/>
    <cellStyle name="Normal 2 7 2 8" xfId="5086"/>
    <cellStyle name="Normal 2 7 2 9" xfId="5087"/>
    <cellStyle name="Normal 2 7 3" xfId="5088"/>
    <cellStyle name="Normal 2 7 4" xfId="5089"/>
    <cellStyle name="Normal 2 7 5" xfId="5090"/>
    <cellStyle name="Normal 2 7 6" xfId="5091"/>
    <cellStyle name="Normal 2 7 7" xfId="5092"/>
    <cellStyle name="Normal 2 7 8" xfId="5093"/>
    <cellStyle name="Normal 2 7 8 2" xfId="5094"/>
    <cellStyle name="Normal 2 7 8 2 2" xfId="5095"/>
    <cellStyle name="Normal 2 7 8 2 3" xfId="5096"/>
    <cellStyle name="Normal 2 7 8 3" xfId="5097"/>
    <cellStyle name="Normal 2 7 8 4" xfId="5098"/>
    <cellStyle name="Normal 2 7 9" xfId="5099"/>
    <cellStyle name="Normal 2 7 9 2" xfId="5100"/>
    <cellStyle name="Normal 2 7 9 2 2" xfId="5101"/>
    <cellStyle name="Normal 2 7 9 2 3" xfId="5102"/>
    <cellStyle name="Normal 2 7 9 3" xfId="5103"/>
    <cellStyle name="Normal 2 7 9 4" xfId="5104"/>
    <cellStyle name="Normal 2 70" xfId="1741"/>
    <cellStyle name="Normal 2 71" xfId="1742"/>
    <cellStyle name="Normal 2 72" xfId="1743"/>
    <cellStyle name="Normal 2 73" xfId="1744"/>
    <cellStyle name="Normal 2 74" xfId="1745"/>
    <cellStyle name="Normal 2 75" xfId="1746"/>
    <cellStyle name="Normal 2 76" xfId="1747"/>
    <cellStyle name="Normal 2 77" xfId="1748"/>
    <cellStyle name="Normal 2 78" xfId="1749"/>
    <cellStyle name="Normal 2 79" xfId="1750"/>
    <cellStyle name="Normal 2 8" xfId="1751"/>
    <cellStyle name="Normal 2 8 2" xfId="5105"/>
    <cellStyle name="Normal 2 8 3" xfId="5106"/>
    <cellStyle name="Normal 2 8 4" xfId="5107"/>
    <cellStyle name="Normal 2 8 5" xfId="5108"/>
    <cellStyle name="Normal 2 8 6" xfId="5109"/>
    <cellStyle name="Normal 2 8 7" xfId="5110"/>
    <cellStyle name="Normal 2 80" xfId="1752"/>
    <cellStyle name="Normal 2 81" xfId="1753"/>
    <cellStyle name="Normal 2 82" xfId="1754"/>
    <cellStyle name="Normal 2 83" xfId="1755"/>
    <cellStyle name="Normal 2 84" xfId="1756"/>
    <cellStyle name="Normal 2 85" xfId="1757"/>
    <cellStyle name="Normal 2 86" xfId="1758"/>
    <cellStyle name="Normal 2 87" xfId="1759"/>
    <cellStyle name="Normal 2 88" xfId="1760"/>
    <cellStyle name="Normal 2 89" xfId="1761"/>
    <cellStyle name="Normal 2 9" xfId="1762"/>
    <cellStyle name="Normal 2 9 2" xfId="5111"/>
    <cellStyle name="Normal 2 9 3" xfId="5112"/>
    <cellStyle name="Normal 2 9 4" xfId="5113"/>
    <cellStyle name="Normal 2 9 5" xfId="5114"/>
    <cellStyle name="Normal 2 9 6" xfId="5115"/>
    <cellStyle name="Normal 2 9 7" xfId="5116"/>
    <cellStyle name="Normal 20" xfId="1763"/>
    <cellStyle name="Normal 20 10" xfId="1764"/>
    <cellStyle name="Normal 20 11" xfId="1765"/>
    <cellStyle name="Normal 20 12" xfId="1766"/>
    <cellStyle name="Normal 20 13" xfId="1767"/>
    <cellStyle name="Normal 20 14" xfId="1768"/>
    <cellStyle name="Normal 20 15" xfId="1769"/>
    <cellStyle name="Normal 20 16" xfId="1770"/>
    <cellStyle name="Normal 20 17" xfId="1771"/>
    <cellStyle name="Normal 20 18" xfId="1772"/>
    <cellStyle name="Normal 20 19" xfId="1773"/>
    <cellStyle name="Normal 20 2" xfId="1774"/>
    <cellStyle name="Normal 20 20" xfId="1775"/>
    <cellStyle name="Normal 20 21" xfId="1776"/>
    <cellStyle name="Normal 20 22" xfId="1777"/>
    <cellStyle name="Normal 20 23" xfId="1778"/>
    <cellStyle name="Normal 20 24" xfId="1779"/>
    <cellStyle name="Normal 20 25" xfId="1780"/>
    <cellStyle name="Normal 20 26" xfId="1781"/>
    <cellStyle name="Normal 20 27" xfId="1782"/>
    <cellStyle name="Normal 20 28" xfId="1783"/>
    <cellStyle name="Normal 20 29" xfId="1784"/>
    <cellStyle name="Normal 20 3" xfId="1785"/>
    <cellStyle name="Normal 20 30" xfId="1786"/>
    <cellStyle name="Normal 20 31" xfId="1787"/>
    <cellStyle name="Normal 20 32" xfId="1788"/>
    <cellStyle name="Normal 20 33" xfId="1789"/>
    <cellStyle name="Normal 20 34" xfId="1790"/>
    <cellStyle name="Normal 20 35" xfId="1791"/>
    <cellStyle name="Normal 20 36" xfId="1792"/>
    <cellStyle name="Normal 20 37" xfId="1793"/>
    <cellStyle name="Normal 20 38" xfId="1794"/>
    <cellStyle name="Normal 20 39" xfId="1795"/>
    <cellStyle name="Normal 20 4" xfId="1796"/>
    <cellStyle name="Normal 20 40" xfId="1797"/>
    <cellStyle name="Normal 20 41" xfId="1798"/>
    <cellStyle name="Normal 20 42" xfId="1799"/>
    <cellStyle name="Normal 20 43" xfId="1800"/>
    <cellStyle name="Normal 20 44" xfId="1801"/>
    <cellStyle name="Normal 20 45" xfId="1802"/>
    <cellStyle name="Normal 20 46" xfId="1803"/>
    <cellStyle name="Normal 20 47" xfId="1804"/>
    <cellStyle name="Normal 20 48" xfId="1805"/>
    <cellStyle name="Normal 20 49" xfId="1806"/>
    <cellStyle name="Normal 20 5" xfId="1807"/>
    <cellStyle name="Normal 20 50" xfId="1808"/>
    <cellStyle name="Normal 20 51" xfId="1809"/>
    <cellStyle name="Normal 20 52" xfId="1810"/>
    <cellStyle name="Normal 20 53" xfId="1811"/>
    <cellStyle name="Normal 20 54" xfId="1812"/>
    <cellStyle name="Normal 20 55" xfId="1813"/>
    <cellStyle name="Normal 20 56" xfId="1814"/>
    <cellStyle name="Normal 20 57" xfId="1815"/>
    <cellStyle name="Normal 20 58" xfId="1816"/>
    <cellStyle name="Normal 20 59" xfId="1817"/>
    <cellStyle name="Normal 20 6" xfId="1818"/>
    <cellStyle name="Normal 20 60" xfId="1819"/>
    <cellStyle name="Normal 20 61" xfId="1820"/>
    <cellStyle name="Normal 20 62" xfId="1821"/>
    <cellStyle name="Normal 20 63" xfId="1822"/>
    <cellStyle name="Normal 20 64" xfId="1823"/>
    <cellStyle name="Normal 20 65" xfId="1824"/>
    <cellStyle name="Normal 20 66" xfId="1825"/>
    <cellStyle name="Normal 20 67" xfId="1826"/>
    <cellStyle name="Normal 20 68" xfId="1827"/>
    <cellStyle name="Normal 20 69" xfId="1828"/>
    <cellStyle name="Normal 20 7" xfId="1829"/>
    <cellStyle name="Normal 20 8" xfId="1830"/>
    <cellStyle name="Normal 20 9" xfId="1831"/>
    <cellStyle name="Normal 21" xfId="1832"/>
    <cellStyle name="Normal 21 10" xfId="1833"/>
    <cellStyle name="Normal 21 11" xfId="1834"/>
    <cellStyle name="Normal 21 12" xfId="1835"/>
    <cellStyle name="Normal 21 13" xfId="1836"/>
    <cellStyle name="Normal 21 14" xfId="1837"/>
    <cellStyle name="Normal 21 15" xfId="1838"/>
    <cellStyle name="Normal 21 16" xfId="1839"/>
    <cellStyle name="Normal 21 17" xfId="1840"/>
    <cellStyle name="Normal 21 18" xfId="1841"/>
    <cellStyle name="Normal 21 19" xfId="1842"/>
    <cellStyle name="Normal 21 2" xfId="1843"/>
    <cellStyle name="Normal 21 20" xfId="1844"/>
    <cellStyle name="Normal 21 21" xfId="1845"/>
    <cellStyle name="Normal 21 22" xfId="1846"/>
    <cellStyle name="Normal 21 23" xfId="1847"/>
    <cellStyle name="Normal 21 24" xfId="1848"/>
    <cellStyle name="Normal 21 25" xfId="1849"/>
    <cellStyle name="Normal 21 26" xfId="1850"/>
    <cellStyle name="Normal 21 27" xfId="1851"/>
    <cellStyle name="Normal 21 28" xfId="1852"/>
    <cellStyle name="Normal 21 29" xfId="1853"/>
    <cellStyle name="Normal 21 3" xfId="1854"/>
    <cellStyle name="Normal 21 30" xfId="1855"/>
    <cellStyle name="Normal 21 31" xfId="1856"/>
    <cellStyle name="Normal 21 32" xfId="1857"/>
    <cellStyle name="Normal 21 33" xfId="1858"/>
    <cellStyle name="Normal 21 34" xfId="1859"/>
    <cellStyle name="Normal 21 35" xfId="1860"/>
    <cellStyle name="Normal 21 36" xfId="1861"/>
    <cellStyle name="Normal 21 37" xfId="1862"/>
    <cellStyle name="Normal 21 38" xfId="1863"/>
    <cellStyle name="Normal 21 39" xfId="1864"/>
    <cellStyle name="Normal 21 4" xfId="1865"/>
    <cellStyle name="Normal 21 40" xfId="1866"/>
    <cellStyle name="Normal 21 41" xfId="1867"/>
    <cellStyle name="Normal 21 42" xfId="1868"/>
    <cellStyle name="Normal 21 43" xfId="1869"/>
    <cellStyle name="Normal 21 44" xfId="1870"/>
    <cellStyle name="Normal 21 45" xfId="1871"/>
    <cellStyle name="Normal 21 46" xfId="1872"/>
    <cellStyle name="Normal 21 47" xfId="1873"/>
    <cellStyle name="Normal 21 48" xfId="1874"/>
    <cellStyle name="Normal 21 49" xfId="1875"/>
    <cellStyle name="Normal 21 5" xfId="1876"/>
    <cellStyle name="Normal 21 50" xfId="1877"/>
    <cellStyle name="Normal 21 51" xfId="1878"/>
    <cellStyle name="Normal 21 52" xfId="1879"/>
    <cellStyle name="Normal 21 53" xfId="1880"/>
    <cellStyle name="Normal 21 54" xfId="1881"/>
    <cellStyle name="Normal 21 55" xfId="1882"/>
    <cellStyle name="Normal 21 56" xfId="1883"/>
    <cellStyle name="Normal 21 57" xfId="1884"/>
    <cellStyle name="Normal 21 58" xfId="1885"/>
    <cellStyle name="Normal 21 59" xfId="1886"/>
    <cellStyle name="Normal 21 6" xfId="1887"/>
    <cellStyle name="Normal 21 60" xfId="1888"/>
    <cellStyle name="Normal 21 61" xfId="1889"/>
    <cellStyle name="Normal 21 62" xfId="1890"/>
    <cellStyle name="Normal 21 63" xfId="1891"/>
    <cellStyle name="Normal 21 64" xfId="1892"/>
    <cellStyle name="Normal 21 65" xfId="1893"/>
    <cellStyle name="Normal 21 66" xfId="1894"/>
    <cellStyle name="Normal 21 67" xfId="1895"/>
    <cellStyle name="Normal 21 68" xfId="1896"/>
    <cellStyle name="Normal 21 69" xfId="1897"/>
    <cellStyle name="Normal 21 7" xfId="1898"/>
    <cellStyle name="Normal 21 8" xfId="1899"/>
    <cellStyle name="Normal 21 9" xfId="1900"/>
    <cellStyle name="Normal 22" xfId="1901"/>
    <cellStyle name="Normal 22 10" xfId="1902"/>
    <cellStyle name="Normal 22 11" xfId="1903"/>
    <cellStyle name="Normal 22 12" xfId="1904"/>
    <cellStyle name="Normal 22 13" xfId="1905"/>
    <cellStyle name="Normal 22 14" xfId="1906"/>
    <cellStyle name="Normal 22 15" xfId="1907"/>
    <cellStyle name="Normal 22 16" xfId="1908"/>
    <cellStyle name="Normal 22 17" xfId="1909"/>
    <cellStyle name="Normal 22 18" xfId="1910"/>
    <cellStyle name="Normal 22 19" xfId="1911"/>
    <cellStyle name="Normal 22 2" xfId="1912"/>
    <cellStyle name="Normal 22 20" xfId="1913"/>
    <cellStyle name="Normal 22 21" xfId="1914"/>
    <cellStyle name="Normal 22 22" xfId="1915"/>
    <cellStyle name="Normal 22 23" xfId="1916"/>
    <cellStyle name="Normal 22 24" xfId="1917"/>
    <cellStyle name="Normal 22 25" xfId="1918"/>
    <cellStyle name="Normal 22 26" xfId="1919"/>
    <cellStyle name="Normal 22 27" xfId="1920"/>
    <cellStyle name="Normal 22 28" xfId="1921"/>
    <cellStyle name="Normal 22 29" xfId="1922"/>
    <cellStyle name="Normal 22 3" xfId="1923"/>
    <cellStyle name="Normal 22 30" xfId="1924"/>
    <cellStyle name="Normal 22 31" xfId="1925"/>
    <cellStyle name="Normal 22 32" xfId="1926"/>
    <cellStyle name="Normal 22 33" xfId="1927"/>
    <cellStyle name="Normal 22 34" xfId="1928"/>
    <cellStyle name="Normal 22 35" xfId="1929"/>
    <cellStyle name="Normal 22 36" xfId="1930"/>
    <cellStyle name="Normal 22 37" xfId="1931"/>
    <cellStyle name="Normal 22 38" xfId="1932"/>
    <cellStyle name="Normal 22 39" xfId="1933"/>
    <cellStyle name="Normal 22 4" xfId="1934"/>
    <cellStyle name="Normal 22 40" xfId="1935"/>
    <cellStyle name="Normal 22 41" xfId="1936"/>
    <cellStyle name="Normal 22 42" xfId="1937"/>
    <cellStyle name="Normal 22 43" xfId="1938"/>
    <cellStyle name="Normal 22 44" xfId="1939"/>
    <cellStyle name="Normal 22 45" xfId="1940"/>
    <cellStyle name="Normal 22 46" xfId="1941"/>
    <cellStyle name="Normal 22 47" xfId="1942"/>
    <cellStyle name="Normal 22 48" xfId="1943"/>
    <cellStyle name="Normal 22 49" xfId="1944"/>
    <cellStyle name="Normal 22 5" xfId="1945"/>
    <cellStyle name="Normal 22 50" xfId="1946"/>
    <cellStyle name="Normal 22 51" xfId="1947"/>
    <cellStyle name="Normal 22 52" xfId="1948"/>
    <cellStyle name="Normal 22 53" xfId="1949"/>
    <cellStyle name="Normal 22 54" xfId="1950"/>
    <cellStyle name="Normal 22 55" xfId="1951"/>
    <cellStyle name="Normal 22 56" xfId="1952"/>
    <cellStyle name="Normal 22 57" xfId="1953"/>
    <cellStyle name="Normal 22 58" xfId="1954"/>
    <cellStyle name="Normal 22 59" xfId="1955"/>
    <cellStyle name="Normal 22 6" xfId="1956"/>
    <cellStyle name="Normal 22 60" xfId="1957"/>
    <cellStyle name="Normal 22 61" xfId="1958"/>
    <cellStyle name="Normal 22 62" xfId="1959"/>
    <cellStyle name="Normal 22 63" xfId="1960"/>
    <cellStyle name="Normal 22 64" xfId="1961"/>
    <cellStyle name="Normal 22 65" xfId="1962"/>
    <cellStyle name="Normal 22 66" xfId="1963"/>
    <cellStyle name="Normal 22 67" xfId="1964"/>
    <cellStyle name="Normal 22 68" xfId="1965"/>
    <cellStyle name="Normal 22 69" xfId="1966"/>
    <cellStyle name="Normal 22 7" xfId="1967"/>
    <cellStyle name="Normal 22 8" xfId="1968"/>
    <cellStyle name="Normal 22 9" xfId="1969"/>
    <cellStyle name="Normal 23" xfId="1970"/>
    <cellStyle name="Normal 23 10" xfId="5117"/>
    <cellStyle name="Normal 23 10 2" xfId="5118"/>
    <cellStyle name="Normal 23 10 2 2" xfId="5119"/>
    <cellStyle name="Normal 23 10 2 3" xfId="5120"/>
    <cellStyle name="Normal 23 10 3" xfId="5121"/>
    <cellStyle name="Normal 23 10 4" xfId="5122"/>
    <cellStyle name="Normal 23 11" xfId="5123"/>
    <cellStyle name="Normal 23 11 2" xfId="5124"/>
    <cellStyle name="Normal 23 11 2 2" xfId="5125"/>
    <cellStyle name="Normal 23 11 2 3" xfId="5126"/>
    <cellStyle name="Normal 23 11 3" xfId="5127"/>
    <cellStyle name="Normal 23 11 4" xfId="5128"/>
    <cellStyle name="Normal 23 12" xfId="5129"/>
    <cellStyle name="Normal 23 12 2" xfId="5130"/>
    <cellStyle name="Normal 23 12 3" xfId="5131"/>
    <cellStyle name="Normal 23 13" xfId="5132"/>
    <cellStyle name="Normal 23 14" xfId="5133"/>
    <cellStyle name="Normal 23 2" xfId="1971"/>
    <cellStyle name="Normal 23 3" xfId="5134"/>
    <cellStyle name="Normal 23 4" xfId="5135"/>
    <cellStyle name="Normal 23 5" xfId="5136"/>
    <cellStyle name="Normal 23 6" xfId="5137"/>
    <cellStyle name="Normal 23 7" xfId="5138"/>
    <cellStyle name="Normal 23 8" xfId="5139"/>
    <cellStyle name="Normal 23 8 2" xfId="5140"/>
    <cellStyle name="Normal 23 8 2 2" xfId="5141"/>
    <cellStyle name="Normal 23 8 2 3" xfId="5142"/>
    <cellStyle name="Normal 23 8 3" xfId="5143"/>
    <cellStyle name="Normal 23 8 4" xfId="5144"/>
    <cellStyle name="Normal 23 9" xfId="5145"/>
    <cellStyle name="Normal 23 9 2" xfId="5146"/>
    <cellStyle name="Normal 23 9 2 2" xfId="5147"/>
    <cellStyle name="Normal 23 9 2 3" xfId="5148"/>
    <cellStyle name="Normal 23 9 3" xfId="5149"/>
    <cellStyle name="Normal 23 9 4" xfId="5150"/>
    <cellStyle name="Normal 24" xfId="1972"/>
    <cellStyle name="Normal 24 10" xfId="1973"/>
    <cellStyle name="Normal 24 11" xfId="1974"/>
    <cellStyle name="Normal 24 12" xfId="1975"/>
    <cellStyle name="Normal 24 13" xfId="1976"/>
    <cellStyle name="Normal 24 14" xfId="1977"/>
    <cellStyle name="Normal 24 15" xfId="1978"/>
    <cellStyle name="Normal 24 16" xfId="1979"/>
    <cellStyle name="Normal 24 17" xfId="1980"/>
    <cellStyle name="Normal 24 18" xfId="1981"/>
    <cellStyle name="Normal 24 19" xfId="1982"/>
    <cellStyle name="Normal 24 2" xfId="1983"/>
    <cellStyle name="Normal 24 20" xfId="1984"/>
    <cellStyle name="Normal 24 21" xfId="1985"/>
    <cellStyle name="Normal 24 22" xfId="1986"/>
    <cellStyle name="Normal 24 23" xfId="5151"/>
    <cellStyle name="Normal 24 24" xfId="5152"/>
    <cellStyle name="Normal 24 25" xfId="5153"/>
    <cellStyle name="Normal 24 26" xfId="5154"/>
    <cellStyle name="Normal 24 27" xfId="5155"/>
    <cellStyle name="Normal 24 28" xfId="5156"/>
    <cellStyle name="Normal 24 29" xfId="5157"/>
    <cellStyle name="Normal 24 3" xfId="1987"/>
    <cellStyle name="Normal 24 30" xfId="5158"/>
    <cellStyle name="Normal 24 31" xfId="5159"/>
    <cellStyle name="Normal 24 31 2" xfId="5160"/>
    <cellStyle name="Normal 24 31 3" xfId="5161"/>
    <cellStyle name="Normal 24 32" xfId="5162"/>
    <cellStyle name="Normal 24 33" xfId="5163"/>
    <cellStyle name="Normal 24 4" xfId="1988"/>
    <cellStyle name="Normal 24 5" xfId="1989"/>
    <cellStyle name="Normal 24 6" xfId="1990"/>
    <cellStyle name="Normal 24 7" xfId="1991"/>
    <cellStyle name="Normal 24 8" xfId="1992"/>
    <cellStyle name="Normal 24 9" xfId="1993"/>
    <cellStyle name="Normal 25" xfId="1994"/>
    <cellStyle name="Normal 25 2" xfId="5164"/>
    <cellStyle name="Normal 25 3" xfId="5165"/>
    <cellStyle name="Normal 26" xfId="1995"/>
    <cellStyle name="Normal 26 2" xfId="5166"/>
    <cellStyle name="Normal 26 3" xfId="5167"/>
    <cellStyle name="Normal 27" xfId="1996"/>
    <cellStyle name="Normal 27 2" xfId="5168"/>
    <cellStyle name="Normal 28" xfId="1997"/>
    <cellStyle name="Normal 29" xfId="1998"/>
    <cellStyle name="Normal 3" xfId="1999"/>
    <cellStyle name="Normal 3 10" xfId="2000"/>
    <cellStyle name="Normal 3 11" xfId="2001"/>
    <cellStyle name="Normal 3 12" xfId="2002"/>
    <cellStyle name="Normal 3 13" xfId="2003"/>
    <cellStyle name="Normal 3 14" xfId="2004"/>
    <cellStyle name="Normal 3 15" xfId="2005"/>
    <cellStyle name="Normal 3 16" xfId="2006"/>
    <cellStyle name="Normal 3 17" xfId="2007"/>
    <cellStyle name="Normal 3 17 2" xfId="5169"/>
    <cellStyle name="Normal 3 17 3" xfId="5170"/>
    <cellStyle name="Normal 3 17 4" xfId="5171"/>
    <cellStyle name="Normal 3 17 5" xfId="5172"/>
    <cellStyle name="Normal 3 17 6" xfId="5173"/>
    <cellStyle name="Normal 3 17 7" xfId="5174"/>
    <cellStyle name="Normal 3 18" xfId="2008"/>
    <cellStyle name="Normal 3 19" xfId="2009"/>
    <cellStyle name="Normal 3 19 2" xfId="5175"/>
    <cellStyle name="Normal 3 19 3" xfId="5176"/>
    <cellStyle name="Normal 3 19 3 2" xfId="5177"/>
    <cellStyle name="Normal 3 19 3 2 2" xfId="5178"/>
    <cellStyle name="Normal 3 19 3 2 3" xfId="5179"/>
    <cellStyle name="Normal 3 19 3 3" xfId="5180"/>
    <cellStyle name="Normal 3 19 3 4" xfId="5181"/>
    <cellStyle name="Normal 3 19 4" xfId="5182"/>
    <cellStyle name="Normal 3 19 4 2" xfId="5183"/>
    <cellStyle name="Normal 3 19 4 2 2" xfId="5184"/>
    <cellStyle name="Normal 3 19 4 2 3" xfId="5185"/>
    <cellStyle name="Normal 3 19 4 3" xfId="5186"/>
    <cellStyle name="Normal 3 19 4 4" xfId="5187"/>
    <cellStyle name="Normal 3 19 5" xfId="5188"/>
    <cellStyle name="Normal 3 19 5 2" xfId="5189"/>
    <cellStyle name="Normal 3 19 5 2 2" xfId="5190"/>
    <cellStyle name="Normal 3 19 5 2 3" xfId="5191"/>
    <cellStyle name="Normal 3 19 5 3" xfId="5192"/>
    <cellStyle name="Normal 3 19 5 4" xfId="5193"/>
    <cellStyle name="Normal 3 19 6" xfId="5194"/>
    <cellStyle name="Normal 3 19 6 2" xfId="5195"/>
    <cellStyle name="Normal 3 19 6 2 2" xfId="5196"/>
    <cellStyle name="Normal 3 19 6 2 3" xfId="5197"/>
    <cellStyle name="Normal 3 19 6 3" xfId="5198"/>
    <cellStyle name="Normal 3 19 6 4" xfId="5199"/>
    <cellStyle name="Normal 3 19 7" xfId="5200"/>
    <cellStyle name="Normal 3 19 7 2" xfId="5201"/>
    <cellStyle name="Normal 3 19 7 3" xfId="5202"/>
    <cellStyle name="Normal 3 19 8" xfId="5203"/>
    <cellStyle name="Normal 3 19 9" xfId="5204"/>
    <cellStyle name="Normal 3 2" xfId="2010"/>
    <cellStyle name="Normal 3 2 10" xfId="5205"/>
    <cellStyle name="Normal 3 2 11" xfId="5206"/>
    <cellStyle name="Normal 3 2 11 2" xfId="5207"/>
    <cellStyle name="Normal 3 2 11 2 2" xfId="5208"/>
    <cellStyle name="Normal 3 2 11 2 2 2" xfId="5209"/>
    <cellStyle name="Normal 3 2 11 2 2 3" xfId="5210"/>
    <cellStyle name="Normal 3 2 11 2 3" xfId="5211"/>
    <cellStyle name="Normal 3 2 11 2 4" xfId="5212"/>
    <cellStyle name="Normal 3 2 11 3" xfId="5213"/>
    <cellStyle name="Normal 3 2 11 3 2" xfId="5214"/>
    <cellStyle name="Normal 3 2 11 3 2 2" xfId="5215"/>
    <cellStyle name="Normal 3 2 11 3 2 3" xfId="5216"/>
    <cellStyle name="Normal 3 2 11 3 3" xfId="5217"/>
    <cellStyle name="Normal 3 2 11 3 4" xfId="5218"/>
    <cellStyle name="Normal 3 2 11 4" xfId="5219"/>
    <cellStyle name="Normal 3 2 11 4 2" xfId="5220"/>
    <cellStyle name="Normal 3 2 11 4 2 2" xfId="5221"/>
    <cellStyle name="Normal 3 2 11 4 2 3" xfId="5222"/>
    <cellStyle name="Normal 3 2 11 4 3" xfId="5223"/>
    <cellStyle name="Normal 3 2 11 4 4" xfId="5224"/>
    <cellStyle name="Normal 3 2 11 5" xfId="5225"/>
    <cellStyle name="Normal 3 2 11 5 2" xfId="5226"/>
    <cellStyle name="Normal 3 2 11 5 2 2" xfId="5227"/>
    <cellStyle name="Normal 3 2 11 5 2 3" xfId="5228"/>
    <cellStyle name="Normal 3 2 11 5 3" xfId="5229"/>
    <cellStyle name="Normal 3 2 11 5 4" xfId="5230"/>
    <cellStyle name="Normal 3 2 11 6" xfId="5231"/>
    <cellStyle name="Normal 3 2 11 6 2" xfId="5232"/>
    <cellStyle name="Normal 3 2 11 6 3" xfId="5233"/>
    <cellStyle name="Normal 3 2 11 7" xfId="5234"/>
    <cellStyle name="Normal 3 2 11 8" xfId="5235"/>
    <cellStyle name="Normal 3 2 12" xfId="5236"/>
    <cellStyle name="Normal 3 2 12 2" xfId="5237"/>
    <cellStyle name="Normal 3 2 12 2 2" xfId="5238"/>
    <cellStyle name="Normal 3 2 12 2 2 2" xfId="5239"/>
    <cellStyle name="Normal 3 2 12 2 2 3" xfId="5240"/>
    <cellStyle name="Normal 3 2 12 2 3" xfId="5241"/>
    <cellStyle name="Normal 3 2 12 2 4" xfId="5242"/>
    <cellStyle name="Normal 3 2 12 3" xfId="5243"/>
    <cellStyle name="Normal 3 2 12 3 2" xfId="5244"/>
    <cellStyle name="Normal 3 2 12 3 2 2" xfId="5245"/>
    <cellStyle name="Normal 3 2 12 3 2 3" xfId="5246"/>
    <cellStyle name="Normal 3 2 12 3 3" xfId="5247"/>
    <cellStyle name="Normal 3 2 12 3 4" xfId="5248"/>
    <cellStyle name="Normal 3 2 12 4" xfId="5249"/>
    <cellStyle name="Normal 3 2 12 4 2" xfId="5250"/>
    <cellStyle name="Normal 3 2 12 4 2 2" xfId="5251"/>
    <cellStyle name="Normal 3 2 12 4 2 3" xfId="5252"/>
    <cellStyle name="Normal 3 2 12 4 3" xfId="5253"/>
    <cellStyle name="Normal 3 2 12 4 4" xfId="5254"/>
    <cellStyle name="Normal 3 2 12 5" xfId="5255"/>
    <cellStyle name="Normal 3 2 12 5 2" xfId="5256"/>
    <cellStyle name="Normal 3 2 12 5 2 2" xfId="5257"/>
    <cellStyle name="Normal 3 2 12 5 2 3" xfId="5258"/>
    <cellStyle name="Normal 3 2 12 5 3" xfId="5259"/>
    <cellStyle name="Normal 3 2 12 5 4" xfId="5260"/>
    <cellStyle name="Normal 3 2 12 6" xfId="5261"/>
    <cellStyle name="Normal 3 2 12 6 2" xfId="5262"/>
    <cellStyle name="Normal 3 2 12 6 3" xfId="5263"/>
    <cellStyle name="Normal 3 2 12 7" xfId="5264"/>
    <cellStyle name="Normal 3 2 12 8" xfId="5265"/>
    <cellStyle name="Normal 3 2 13" xfId="5266"/>
    <cellStyle name="Normal 3 2 13 2" xfId="5267"/>
    <cellStyle name="Normal 3 2 13 2 2" xfId="5268"/>
    <cellStyle name="Normal 3 2 13 2 2 2" xfId="5269"/>
    <cellStyle name="Normal 3 2 13 2 2 3" xfId="5270"/>
    <cellStyle name="Normal 3 2 13 2 3" xfId="5271"/>
    <cellStyle name="Normal 3 2 13 2 4" xfId="5272"/>
    <cellStyle name="Normal 3 2 13 3" xfId="5273"/>
    <cellStyle name="Normal 3 2 13 3 2" xfId="5274"/>
    <cellStyle name="Normal 3 2 13 3 2 2" xfId="5275"/>
    <cellStyle name="Normal 3 2 13 3 2 3" xfId="5276"/>
    <cellStyle name="Normal 3 2 13 3 3" xfId="5277"/>
    <cellStyle name="Normal 3 2 13 3 4" xfId="5278"/>
    <cellStyle name="Normal 3 2 13 4" xfId="5279"/>
    <cellStyle name="Normal 3 2 13 4 2" xfId="5280"/>
    <cellStyle name="Normal 3 2 13 4 2 2" xfId="5281"/>
    <cellStyle name="Normal 3 2 13 4 2 3" xfId="5282"/>
    <cellStyle name="Normal 3 2 13 4 3" xfId="5283"/>
    <cellStyle name="Normal 3 2 13 4 4" xfId="5284"/>
    <cellStyle name="Normal 3 2 13 5" xfId="5285"/>
    <cellStyle name="Normal 3 2 13 5 2" xfId="5286"/>
    <cellStyle name="Normal 3 2 13 5 2 2" xfId="5287"/>
    <cellStyle name="Normal 3 2 13 5 2 3" xfId="5288"/>
    <cellStyle name="Normal 3 2 13 5 3" xfId="5289"/>
    <cellStyle name="Normal 3 2 13 5 4" xfId="5290"/>
    <cellStyle name="Normal 3 2 13 6" xfId="5291"/>
    <cellStyle name="Normal 3 2 13 6 2" xfId="5292"/>
    <cellStyle name="Normal 3 2 13 6 3" xfId="5293"/>
    <cellStyle name="Normal 3 2 13 7" xfId="5294"/>
    <cellStyle name="Normal 3 2 13 8" xfId="5295"/>
    <cellStyle name="Normal 3 2 14" xfId="5296"/>
    <cellStyle name="Normal 3 2 14 2" xfId="5297"/>
    <cellStyle name="Normal 3 2 14 2 2" xfId="5298"/>
    <cellStyle name="Normal 3 2 14 2 2 2" xfId="5299"/>
    <cellStyle name="Normal 3 2 14 2 2 3" xfId="5300"/>
    <cellStyle name="Normal 3 2 14 2 3" xfId="5301"/>
    <cellStyle name="Normal 3 2 14 2 4" xfId="5302"/>
    <cellStyle name="Normal 3 2 14 3" xfId="5303"/>
    <cellStyle name="Normal 3 2 14 3 2" xfId="5304"/>
    <cellStyle name="Normal 3 2 14 3 2 2" xfId="5305"/>
    <cellStyle name="Normal 3 2 14 3 2 3" xfId="5306"/>
    <cellStyle name="Normal 3 2 14 3 3" xfId="5307"/>
    <cellStyle name="Normal 3 2 14 3 4" xfId="5308"/>
    <cellStyle name="Normal 3 2 14 4" xfId="5309"/>
    <cellStyle name="Normal 3 2 14 4 2" xfId="5310"/>
    <cellStyle name="Normal 3 2 14 4 2 2" xfId="5311"/>
    <cellStyle name="Normal 3 2 14 4 2 3" xfId="5312"/>
    <cellStyle name="Normal 3 2 14 4 3" xfId="5313"/>
    <cellStyle name="Normal 3 2 14 4 4" xfId="5314"/>
    <cellStyle name="Normal 3 2 14 5" xfId="5315"/>
    <cellStyle name="Normal 3 2 14 5 2" xfId="5316"/>
    <cellStyle name="Normal 3 2 14 5 2 2" xfId="5317"/>
    <cellStyle name="Normal 3 2 14 5 2 3" xfId="5318"/>
    <cellStyle name="Normal 3 2 14 5 3" xfId="5319"/>
    <cellStyle name="Normal 3 2 14 5 4" xfId="5320"/>
    <cellStyle name="Normal 3 2 14 6" xfId="5321"/>
    <cellStyle name="Normal 3 2 14 6 2" xfId="5322"/>
    <cellStyle name="Normal 3 2 14 6 3" xfId="5323"/>
    <cellStyle name="Normal 3 2 14 7" xfId="5324"/>
    <cellStyle name="Normal 3 2 14 8" xfId="5325"/>
    <cellStyle name="Normal 3 2 15" xfId="5326"/>
    <cellStyle name="Normal 3 2 15 2" xfId="5327"/>
    <cellStyle name="Normal 3 2 15 2 2" xfId="5328"/>
    <cellStyle name="Normal 3 2 15 2 2 2" xfId="5329"/>
    <cellStyle name="Normal 3 2 15 2 2 3" xfId="5330"/>
    <cellStyle name="Normal 3 2 15 2 3" xfId="5331"/>
    <cellStyle name="Normal 3 2 15 2 4" xfId="5332"/>
    <cellStyle name="Normal 3 2 15 3" xfId="5333"/>
    <cellStyle name="Normal 3 2 15 3 2" xfId="5334"/>
    <cellStyle name="Normal 3 2 15 3 2 2" xfId="5335"/>
    <cellStyle name="Normal 3 2 15 3 2 3" xfId="5336"/>
    <cellStyle name="Normal 3 2 15 3 3" xfId="5337"/>
    <cellStyle name="Normal 3 2 15 3 4" xfId="5338"/>
    <cellStyle name="Normal 3 2 15 4" xfId="5339"/>
    <cellStyle name="Normal 3 2 15 4 2" xfId="5340"/>
    <cellStyle name="Normal 3 2 15 4 2 2" xfId="5341"/>
    <cellStyle name="Normal 3 2 15 4 2 3" xfId="5342"/>
    <cellStyle name="Normal 3 2 15 4 3" xfId="5343"/>
    <cellStyle name="Normal 3 2 15 4 4" xfId="5344"/>
    <cellStyle name="Normal 3 2 15 5" xfId="5345"/>
    <cellStyle name="Normal 3 2 15 5 2" xfId="5346"/>
    <cellStyle name="Normal 3 2 15 5 2 2" xfId="5347"/>
    <cellStyle name="Normal 3 2 15 5 2 3" xfId="5348"/>
    <cellStyle name="Normal 3 2 15 5 3" xfId="5349"/>
    <cellStyle name="Normal 3 2 15 5 4" xfId="5350"/>
    <cellStyle name="Normal 3 2 15 6" xfId="5351"/>
    <cellStyle name="Normal 3 2 15 6 2" xfId="5352"/>
    <cellStyle name="Normal 3 2 15 6 3" xfId="5353"/>
    <cellStyle name="Normal 3 2 15 7" xfId="5354"/>
    <cellStyle name="Normal 3 2 15 8" xfId="5355"/>
    <cellStyle name="Normal 3 2 16" xfId="5356"/>
    <cellStyle name="Normal 3 2 16 2" xfId="5357"/>
    <cellStyle name="Normal 3 2 16 2 2" xfId="5358"/>
    <cellStyle name="Normal 3 2 16 2 2 2" xfId="5359"/>
    <cellStyle name="Normal 3 2 16 2 2 3" xfId="5360"/>
    <cellStyle name="Normal 3 2 16 2 3" xfId="5361"/>
    <cellStyle name="Normal 3 2 16 2 4" xfId="5362"/>
    <cellStyle name="Normal 3 2 16 3" xfId="5363"/>
    <cellStyle name="Normal 3 2 16 3 2" xfId="5364"/>
    <cellStyle name="Normal 3 2 16 3 2 2" xfId="5365"/>
    <cellStyle name="Normal 3 2 16 3 2 3" xfId="5366"/>
    <cellStyle name="Normal 3 2 16 3 3" xfId="5367"/>
    <cellStyle name="Normal 3 2 16 3 4" xfId="5368"/>
    <cellStyle name="Normal 3 2 16 4" xfId="5369"/>
    <cellStyle name="Normal 3 2 16 4 2" xfId="5370"/>
    <cellStyle name="Normal 3 2 16 4 2 2" xfId="5371"/>
    <cellStyle name="Normal 3 2 16 4 2 3" xfId="5372"/>
    <cellStyle name="Normal 3 2 16 4 3" xfId="5373"/>
    <cellStyle name="Normal 3 2 16 4 4" xfId="5374"/>
    <cellStyle name="Normal 3 2 16 5" xfId="5375"/>
    <cellStyle name="Normal 3 2 16 5 2" xfId="5376"/>
    <cellStyle name="Normal 3 2 16 5 2 2" xfId="5377"/>
    <cellStyle name="Normal 3 2 16 5 2 3" xfId="5378"/>
    <cellStyle name="Normal 3 2 16 5 3" xfId="5379"/>
    <cellStyle name="Normal 3 2 16 5 4" xfId="5380"/>
    <cellStyle name="Normal 3 2 16 6" xfId="5381"/>
    <cellStyle name="Normal 3 2 16 6 2" xfId="5382"/>
    <cellStyle name="Normal 3 2 16 6 3" xfId="5383"/>
    <cellStyle name="Normal 3 2 16 7" xfId="5384"/>
    <cellStyle name="Normal 3 2 16 8" xfId="5385"/>
    <cellStyle name="Normal 3 2 17" xfId="5386"/>
    <cellStyle name="Normal 3 2 17 2" xfId="5387"/>
    <cellStyle name="Normal 3 2 17 2 2" xfId="5388"/>
    <cellStyle name="Normal 3 2 17 2 3" xfId="5389"/>
    <cellStyle name="Normal 3 2 17 3" xfId="5390"/>
    <cellStyle name="Normal 3 2 17 4" xfId="5391"/>
    <cellStyle name="Normal 3 2 18" xfId="5392"/>
    <cellStyle name="Normal 3 2 18 2" xfId="5393"/>
    <cellStyle name="Normal 3 2 18 2 2" xfId="5394"/>
    <cellStyle name="Normal 3 2 18 2 3" xfId="5395"/>
    <cellStyle name="Normal 3 2 18 3" xfId="5396"/>
    <cellStyle name="Normal 3 2 18 4" xfId="5397"/>
    <cellStyle name="Normal 3 2 19" xfId="5398"/>
    <cellStyle name="Normal 3 2 19 2" xfId="5399"/>
    <cellStyle name="Normal 3 2 19 2 2" xfId="5400"/>
    <cellStyle name="Normal 3 2 19 2 3" xfId="5401"/>
    <cellStyle name="Normal 3 2 19 3" xfId="5402"/>
    <cellStyle name="Normal 3 2 19 4" xfId="5403"/>
    <cellStyle name="Normal 3 2 2" xfId="5404"/>
    <cellStyle name="Normal 3 2 2 2" xfId="5405"/>
    <cellStyle name="Normal 3 2 2 2 2" xfId="5406"/>
    <cellStyle name="Normal 3 2 2 2 2 2" xfId="5407"/>
    <cellStyle name="Normal 3 2 2 2 2 2 2" xfId="5408"/>
    <cellStyle name="Normal 3 2 2 2 2 2 3" xfId="5409"/>
    <cellStyle name="Normal 3 2 2 2 2 3" xfId="5410"/>
    <cellStyle name="Normal 3 2 2 2 2 4" xfId="5411"/>
    <cellStyle name="Normal 3 2 2 2 3" xfId="5412"/>
    <cellStyle name="Normal 3 2 2 2 3 2" xfId="5413"/>
    <cellStyle name="Normal 3 2 2 2 3 2 2" xfId="5414"/>
    <cellStyle name="Normal 3 2 2 2 3 2 3" xfId="5415"/>
    <cellStyle name="Normal 3 2 2 2 3 3" xfId="5416"/>
    <cellStyle name="Normal 3 2 2 2 3 4" xfId="5417"/>
    <cellStyle name="Normal 3 2 2 2 4" xfId="5418"/>
    <cellStyle name="Normal 3 2 2 2 4 2" xfId="5419"/>
    <cellStyle name="Normal 3 2 2 2 4 2 2" xfId="5420"/>
    <cellStyle name="Normal 3 2 2 2 4 2 3" xfId="5421"/>
    <cellStyle name="Normal 3 2 2 2 4 3" xfId="5422"/>
    <cellStyle name="Normal 3 2 2 2 4 4" xfId="5423"/>
    <cellStyle name="Normal 3 2 2 2 5" xfId="5424"/>
    <cellStyle name="Normal 3 2 2 2 5 2" xfId="5425"/>
    <cellStyle name="Normal 3 2 2 2 5 2 2" xfId="5426"/>
    <cellStyle name="Normal 3 2 2 2 5 2 3" xfId="5427"/>
    <cellStyle name="Normal 3 2 2 2 5 3" xfId="5428"/>
    <cellStyle name="Normal 3 2 2 2 5 4" xfId="5429"/>
    <cellStyle name="Normal 3 2 2 2 6" xfId="5430"/>
    <cellStyle name="Normal 3 2 2 2 6 2" xfId="5431"/>
    <cellStyle name="Normal 3 2 2 2 6 3" xfId="5432"/>
    <cellStyle name="Normal 3 2 2 2 7" xfId="5433"/>
    <cellStyle name="Normal 3 2 2 2 8" xfId="5434"/>
    <cellStyle name="Normal 3 2 2 3" xfId="5435"/>
    <cellStyle name="Normal 3 2 2 4" xfId="5436"/>
    <cellStyle name="Normal 3 2 2 5" xfId="5437"/>
    <cellStyle name="Normal 3 2 2 6" xfId="5438"/>
    <cellStyle name="Normal 3 2 2 7" xfId="5439"/>
    <cellStyle name="Normal 3 2 2 7 2" xfId="5440"/>
    <cellStyle name="Normal 3 2 2 7 3" xfId="5441"/>
    <cellStyle name="Normal 3 2 2 8" xfId="5442"/>
    <cellStyle name="Normal 3 2 2 9" xfId="5443"/>
    <cellStyle name="Normal 3 2 20" xfId="5444"/>
    <cellStyle name="Normal 3 2 20 2" xfId="5445"/>
    <cellStyle name="Normal 3 2 20 2 2" xfId="5446"/>
    <cellStyle name="Normal 3 2 20 2 3" xfId="5447"/>
    <cellStyle name="Normal 3 2 20 3" xfId="5448"/>
    <cellStyle name="Normal 3 2 20 4" xfId="5449"/>
    <cellStyle name="Normal 3 2 3" xfId="5450"/>
    <cellStyle name="Normal 3 2 3 2" xfId="5451"/>
    <cellStyle name="Normal 3 2 3 2 2" xfId="5452"/>
    <cellStyle name="Normal 3 2 3 2 2 2" xfId="5453"/>
    <cellStyle name="Normal 3 2 3 2 2 2 2" xfId="5454"/>
    <cellStyle name="Normal 3 2 3 2 2 2 3" xfId="5455"/>
    <cellStyle name="Normal 3 2 3 2 2 3" xfId="5456"/>
    <cellStyle name="Normal 3 2 3 2 2 4" xfId="5457"/>
    <cellStyle name="Normal 3 2 3 2 3" xfId="5458"/>
    <cellStyle name="Normal 3 2 3 2 3 2" xfId="5459"/>
    <cellStyle name="Normal 3 2 3 2 3 2 2" xfId="5460"/>
    <cellStyle name="Normal 3 2 3 2 3 2 3" xfId="5461"/>
    <cellStyle name="Normal 3 2 3 2 3 3" xfId="5462"/>
    <cellStyle name="Normal 3 2 3 2 3 4" xfId="5463"/>
    <cellStyle name="Normal 3 2 3 2 4" xfId="5464"/>
    <cellStyle name="Normal 3 2 3 2 4 2" xfId="5465"/>
    <cellStyle name="Normal 3 2 3 2 4 2 2" xfId="5466"/>
    <cellStyle name="Normal 3 2 3 2 4 2 3" xfId="5467"/>
    <cellStyle name="Normal 3 2 3 2 4 3" xfId="5468"/>
    <cellStyle name="Normal 3 2 3 2 4 4" xfId="5469"/>
    <cellStyle name="Normal 3 2 3 2 5" xfId="5470"/>
    <cellStyle name="Normal 3 2 3 2 5 2" xfId="5471"/>
    <cellStyle name="Normal 3 2 3 2 5 2 2" xfId="5472"/>
    <cellStyle name="Normal 3 2 3 2 5 2 3" xfId="5473"/>
    <cellStyle name="Normal 3 2 3 2 5 3" xfId="5474"/>
    <cellStyle name="Normal 3 2 3 2 5 4" xfId="5475"/>
    <cellStyle name="Normal 3 2 3 2 6" xfId="5476"/>
    <cellStyle name="Normal 3 2 3 2 6 2" xfId="5477"/>
    <cellStyle name="Normal 3 2 3 2 6 3" xfId="5478"/>
    <cellStyle name="Normal 3 2 3 2 7" xfId="5479"/>
    <cellStyle name="Normal 3 2 3 2 8" xfId="5480"/>
    <cellStyle name="Normal 3 2 3 3" xfId="5481"/>
    <cellStyle name="Normal 3 2 3 3 2" xfId="5482"/>
    <cellStyle name="Normal 3 2 3 3 2 2" xfId="5483"/>
    <cellStyle name="Normal 3 2 3 3 2 3" xfId="5484"/>
    <cellStyle name="Normal 3 2 3 3 3" xfId="5485"/>
    <cellStyle name="Normal 3 2 3 3 4" xfId="5486"/>
    <cellStyle name="Normal 3 2 3 4" xfId="5487"/>
    <cellStyle name="Normal 3 2 3 4 2" xfId="5488"/>
    <cellStyle name="Normal 3 2 3 4 2 2" xfId="5489"/>
    <cellStyle name="Normal 3 2 3 4 2 3" xfId="5490"/>
    <cellStyle name="Normal 3 2 3 4 3" xfId="5491"/>
    <cellStyle name="Normal 3 2 3 4 4" xfId="5492"/>
    <cellStyle name="Normal 3 2 3 5" xfId="5493"/>
    <cellStyle name="Normal 3 2 3 5 2" xfId="5494"/>
    <cellStyle name="Normal 3 2 3 5 2 2" xfId="5495"/>
    <cellStyle name="Normal 3 2 3 5 2 3" xfId="5496"/>
    <cellStyle name="Normal 3 2 3 5 3" xfId="5497"/>
    <cellStyle name="Normal 3 2 3 5 4" xfId="5498"/>
    <cellStyle name="Normal 3 2 3 6" xfId="5499"/>
    <cellStyle name="Normal 3 2 3 6 2" xfId="5500"/>
    <cellStyle name="Normal 3 2 3 6 2 2" xfId="5501"/>
    <cellStyle name="Normal 3 2 3 6 2 3" xfId="5502"/>
    <cellStyle name="Normal 3 2 3 6 3" xfId="5503"/>
    <cellStyle name="Normal 3 2 3 6 4" xfId="5504"/>
    <cellStyle name="Normal 3 2 3 7" xfId="5505"/>
    <cellStyle name="Normal 3 2 3 7 2" xfId="5506"/>
    <cellStyle name="Normal 3 2 3 7 3" xfId="5507"/>
    <cellStyle name="Normal 3 2 3 8" xfId="5508"/>
    <cellStyle name="Normal 3 2 3 9" xfId="5509"/>
    <cellStyle name="Normal 3 2 4" xfId="5510"/>
    <cellStyle name="Normal 3 2 4 2" xfId="5511"/>
    <cellStyle name="Normal 3 2 4 2 2" xfId="5512"/>
    <cellStyle name="Normal 3 2 4 2 2 2" xfId="5513"/>
    <cellStyle name="Normal 3 2 4 2 2 2 2" xfId="5514"/>
    <cellStyle name="Normal 3 2 4 2 2 2 3" xfId="5515"/>
    <cellStyle name="Normal 3 2 4 2 2 3" xfId="5516"/>
    <cellStyle name="Normal 3 2 4 2 2 4" xfId="5517"/>
    <cellStyle name="Normal 3 2 4 2 3" xfId="5518"/>
    <cellStyle name="Normal 3 2 4 2 3 2" xfId="5519"/>
    <cellStyle name="Normal 3 2 4 2 3 2 2" xfId="5520"/>
    <cellStyle name="Normal 3 2 4 2 3 2 3" xfId="5521"/>
    <cellStyle name="Normal 3 2 4 2 3 3" xfId="5522"/>
    <cellStyle name="Normal 3 2 4 2 3 4" xfId="5523"/>
    <cellStyle name="Normal 3 2 4 2 4" xfId="5524"/>
    <cellStyle name="Normal 3 2 4 2 4 2" xfId="5525"/>
    <cellStyle name="Normal 3 2 4 2 4 2 2" xfId="5526"/>
    <cellStyle name="Normal 3 2 4 2 4 2 3" xfId="5527"/>
    <cellStyle name="Normal 3 2 4 2 4 3" xfId="5528"/>
    <cellStyle name="Normal 3 2 4 2 4 4" xfId="5529"/>
    <cellStyle name="Normal 3 2 4 2 5" xfId="5530"/>
    <cellStyle name="Normal 3 2 4 2 5 2" xfId="5531"/>
    <cellStyle name="Normal 3 2 4 2 5 2 2" xfId="5532"/>
    <cellStyle name="Normal 3 2 4 2 5 2 3" xfId="5533"/>
    <cellStyle name="Normal 3 2 4 2 5 3" xfId="5534"/>
    <cellStyle name="Normal 3 2 4 2 5 4" xfId="5535"/>
    <cellStyle name="Normal 3 2 4 2 6" xfId="5536"/>
    <cellStyle name="Normal 3 2 4 2 6 2" xfId="5537"/>
    <cellStyle name="Normal 3 2 4 2 6 3" xfId="5538"/>
    <cellStyle name="Normal 3 2 4 2 7" xfId="5539"/>
    <cellStyle name="Normal 3 2 4 2 8" xfId="5540"/>
    <cellStyle name="Normal 3 2 4 3" xfId="5541"/>
    <cellStyle name="Normal 3 2 4 3 2" xfId="5542"/>
    <cellStyle name="Normal 3 2 4 3 2 2" xfId="5543"/>
    <cellStyle name="Normal 3 2 4 3 2 3" xfId="5544"/>
    <cellStyle name="Normal 3 2 4 3 3" xfId="5545"/>
    <cellStyle name="Normal 3 2 4 3 4" xfId="5546"/>
    <cellStyle name="Normal 3 2 4 4" xfId="5547"/>
    <cellStyle name="Normal 3 2 4 4 2" xfId="5548"/>
    <cellStyle name="Normal 3 2 4 4 2 2" xfId="5549"/>
    <cellStyle name="Normal 3 2 4 4 2 3" xfId="5550"/>
    <cellStyle name="Normal 3 2 4 4 3" xfId="5551"/>
    <cellStyle name="Normal 3 2 4 4 4" xfId="5552"/>
    <cellStyle name="Normal 3 2 4 5" xfId="5553"/>
    <cellStyle name="Normal 3 2 4 5 2" xfId="5554"/>
    <cellStyle name="Normal 3 2 4 5 2 2" xfId="5555"/>
    <cellStyle name="Normal 3 2 4 5 2 3" xfId="5556"/>
    <cellStyle name="Normal 3 2 4 5 3" xfId="5557"/>
    <cellStyle name="Normal 3 2 4 5 4" xfId="5558"/>
    <cellStyle name="Normal 3 2 4 6" xfId="5559"/>
    <cellStyle name="Normal 3 2 4 6 2" xfId="5560"/>
    <cellStyle name="Normal 3 2 4 6 2 2" xfId="5561"/>
    <cellStyle name="Normal 3 2 4 6 2 3" xfId="5562"/>
    <cellStyle name="Normal 3 2 4 6 3" xfId="5563"/>
    <cellStyle name="Normal 3 2 4 6 4" xfId="5564"/>
    <cellStyle name="Normal 3 2 4 7" xfId="5565"/>
    <cellStyle name="Normal 3 2 4 7 2" xfId="5566"/>
    <cellStyle name="Normal 3 2 4 7 3" xfId="5567"/>
    <cellStyle name="Normal 3 2 4 8" xfId="5568"/>
    <cellStyle name="Normal 3 2 4 9" xfId="5569"/>
    <cellStyle name="Normal 3 2 5" xfId="5570"/>
    <cellStyle name="Normal 3 2 6" xfId="5571"/>
    <cellStyle name="Normal 3 2 7" xfId="5572"/>
    <cellStyle name="Normal 3 2 8" xfId="5573"/>
    <cellStyle name="Normal 3 2 9" xfId="5574"/>
    <cellStyle name="Normal 3 20" xfId="2011"/>
    <cellStyle name="Normal 3 21" xfId="2012"/>
    <cellStyle name="Normal 3 22" xfId="2013"/>
    <cellStyle name="Normal 3 23" xfId="2014"/>
    <cellStyle name="Normal 3 24" xfId="2015"/>
    <cellStyle name="Normal 3 25" xfId="2016"/>
    <cellStyle name="Normal 3 26" xfId="2017"/>
    <cellStyle name="Normal 3 27" xfId="2018"/>
    <cellStyle name="Normal 3 28" xfId="2019"/>
    <cellStyle name="Normal 3 29" xfId="2020"/>
    <cellStyle name="Normal 3 3" xfId="2021"/>
    <cellStyle name="Normal 3 3 10" xfId="5575"/>
    <cellStyle name="Normal 3 3 10 2" xfId="5576"/>
    <cellStyle name="Normal 3 3 10 2 2" xfId="5577"/>
    <cellStyle name="Normal 3 3 10 2 3" xfId="5578"/>
    <cellStyle name="Normal 3 3 10 3" xfId="5579"/>
    <cellStyle name="Normal 3 3 10 4" xfId="5580"/>
    <cellStyle name="Normal 3 3 11" xfId="5581"/>
    <cellStyle name="Normal 3 3 11 2" xfId="5582"/>
    <cellStyle name="Normal 3 3 11 2 2" xfId="5583"/>
    <cellStyle name="Normal 3 3 11 2 3" xfId="5584"/>
    <cellStyle name="Normal 3 3 11 3" xfId="5585"/>
    <cellStyle name="Normal 3 3 11 4" xfId="5586"/>
    <cellStyle name="Normal 3 3 12" xfId="5587"/>
    <cellStyle name="Normal 3 3 12 2" xfId="5588"/>
    <cellStyle name="Normal 3 3 12 3" xfId="5589"/>
    <cellStyle name="Normal 3 3 13" xfId="5590"/>
    <cellStyle name="Normal 3 3 14" xfId="5591"/>
    <cellStyle name="Normal 3 3 2" xfId="5592"/>
    <cellStyle name="Normal 3 3 2 2" xfId="5593"/>
    <cellStyle name="Normal 3 3 2 3" xfId="5594"/>
    <cellStyle name="Normal 3 3 2 3 2" xfId="5595"/>
    <cellStyle name="Normal 3 3 2 3 2 2" xfId="5596"/>
    <cellStyle name="Normal 3 3 2 3 2 3" xfId="5597"/>
    <cellStyle name="Normal 3 3 2 3 3" xfId="5598"/>
    <cellStyle name="Normal 3 3 2 3 4" xfId="5599"/>
    <cellStyle name="Normal 3 3 2 4" xfId="5600"/>
    <cellStyle name="Normal 3 3 2 4 2" xfId="5601"/>
    <cellStyle name="Normal 3 3 2 4 2 2" xfId="5602"/>
    <cellStyle name="Normal 3 3 2 4 2 3" xfId="5603"/>
    <cellStyle name="Normal 3 3 2 4 3" xfId="5604"/>
    <cellStyle name="Normal 3 3 2 4 4" xfId="5605"/>
    <cellStyle name="Normal 3 3 2 5" xfId="5606"/>
    <cellStyle name="Normal 3 3 2 5 2" xfId="5607"/>
    <cellStyle name="Normal 3 3 2 5 2 2" xfId="5608"/>
    <cellStyle name="Normal 3 3 2 5 2 3" xfId="5609"/>
    <cellStyle name="Normal 3 3 2 5 3" xfId="5610"/>
    <cellStyle name="Normal 3 3 2 5 4" xfId="5611"/>
    <cellStyle name="Normal 3 3 2 6" xfId="5612"/>
    <cellStyle name="Normal 3 3 2 6 2" xfId="5613"/>
    <cellStyle name="Normal 3 3 2 6 2 2" xfId="5614"/>
    <cellStyle name="Normal 3 3 2 6 2 3" xfId="5615"/>
    <cellStyle name="Normal 3 3 2 6 3" xfId="5616"/>
    <cellStyle name="Normal 3 3 2 6 4" xfId="5617"/>
    <cellStyle name="Normal 3 3 2 7" xfId="5618"/>
    <cellStyle name="Normal 3 3 2 7 2" xfId="5619"/>
    <cellStyle name="Normal 3 3 2 7 3" xfId="5620"/>
    <cellStyle name="Normal 3 3 2 8" xfId="5621"/>
    <cellStyle name="Normal 3 3 2 9" xfId="5622"/>
    <cellStyle name="Normal 3 3 3" xfId="5623"/>
    <cellStyle name="Normal 3 3 4" xfId="5624"/>
    <cellStyle name="Normal 3 3 5" xfId="5625"/>
    <cellStyle name="Normal 3 3 6" xfId="5626"/>
    <cellStyle name="Normal 3 3 7" xfId="5627"/>
    <cellStyle name="Normal 3 3 8" xfId="5628"/>
    <cellStyle name="Normal 3 3 8 2" xfId="5629"/>
    <cellStyle name="Normal 3 3 8 2 2" xfId="5630"/>
    <cellStyle name="Normal 3 3 8 2 3" xfId="5631"/>
    <cellStyle name="Normal 3 3 8 3" xfId="5632"/>
    <cellStyle name="Normal 3 3 8 4" xfId="5633"/>
    <cellStyle name="Normal 3 3 9" xfId="5634"/>
    <cellStyle name="Normal 3 3 9 2" xfId="5635"/>
    <cellStyle name="Normal 3 3 9 2 2" xfId="5636"/>
    <cellStyle name="Normal 3 3 9 2 3" xfId="5637"/>
    <cellStyle name="Normal 3 3 9 3" xfId="5638"/>
    <cellStyle name="Normal 3 3 9 4" xfId="5639"/>
    <cellStyle name="Normal 3 30" xfId="2022"/>
    <cellStyle name="Normal 3 31" xfId="2023"/>
    <cellStyle name="Normal 3 31 2" xfId="5640"/>
    <cellStyle name="Normal 3 31 3" xfId="5641"/>
    <cellStyle name="Normal 3 32" xfId="2024"/>
    <cellStyle name="Normal 3 32 2" xfId="5642"/>
    <cellStyle name="Normal 3 32 3" xfId="5643"/>
    <cellStyle name="Normal 3 33" xfId="2025"/>
    <cellStyle name="Normal 3 33 2" xfId="5644"/>
    <cellStyle name="Normal 3 33 3" xfId="5645"/>
    <cellStyle name="Normal 3 34" xfId="2026"/>
    <cellStyle name="Normal 3 34 2" xfId="5646"/>
    <cellStyle name="Normal 3 34 3" xfId="5647"/>
    <cellStyle name="Normal 3 35" xfId="2027"/>
    <cellStyle name="Normal 3 35 2" xfId="5648"/>
    <cellStyle name="Normal 3 35 3" xfId="5649"/>
    <cellStyle name="Normal 3 36" xfId="2028"/>
    <cellStyle name="Normal 3 37" xfId="2029"/>
    <cellStyle name="Normal 3 38" xfId="2030"/>
    <cellStyle name="Normal 3 39" xfId="2031"/>
    <cellStyle name="Normal 3 4" xfId="2032"/>
    <cellStyle name="Normal 3 4 10" xfId="5650"/>
    <cellStyle name="Normal 3 4 10 2" xfId="5651"/>
    <cellStyle name="Normal 3 4 10 2 2" xfId="5652"/>
    <cellStyle name="Normal 3 4 10 2 3" xfId="5653"/>
    <cellStyle name="Normal 3 4 10 3" xfId="5654"/>
    <cellStyle name="Normal 3 4 10 4" xfId="5655"/>
    <cellStyle name="Normal 3 4 11" xfId="5656"/>
    <cellStyle name="Normal 3 4 11 2" xfId="5657"/>
    <cellStyle name="Normal 3 4 11 2 2" xfId="5658"/>
    <cellStyle name="Normal 3 4 11 2 3" xfId="5659"/>
    <cellStyle name="Normal 3 4 11 3" xfId="5660"/>
    <cellStyle name="Normal 3 4 11 4" xfId="5661"/>
    <cellStyle name="Normal 3 4 12" xfId="5662"/>
    <cellStyle name="Normal 3 4 12 2" xfId="5663"/>
    <cellStyle name="Normal 3 4 12 3" xfId="5664"/>
    <cellStyle name="Normal 3 4 13" xfId="5665"/>
    <cellStyle name="Normal 3 4 14" xfId="5666"/>
    <cellStyle name="Normal 3 4 2" xfId="5667"/>
    <cellStyle name="Normal 3 4 2 2" xfId="5668"/>
    <cellStyle name="Normal 3 4 2 3" xfId="5669"/>
    <cellStyle name="Normal 3 4 2 3 2" xfId="5670"/>
    <cellStyle name="Normal 3 4 2 3 2 2" xfId="5671"/>
    <cellStyle name="Normal 3 4 2 3 2 3" xfId="5672"/>
    <cellStyle name="Normal 3 4 2 3 3" xfId="5673"/>
    <cellStyle name="Normal 3 4 2 3 4" xfId="5674"/>
    <cellStyle name="Normal 3 4 2 4" xfId="5675"/>
    <cellStyle name="Normal 3 4 2 4 2" xfId="5676"/>
    <cellStyle name="Normal 3 4 2 4 2 2" xfId="5677"/>
    <cellStyle name="Normal 3 4 2 4 2 3" xfId="5678"/>
    <cellStyle name="Normal 3 4 2 4 3" xfId="5679"/>
    <cellStyle name="Normal 3 4 2 4 4" xfId="5680"/>
    <cellStyle name="Normal 3 4 2 5" xfId="5681"/>
    <cellStyle name="Normal 3 4 2 5 2" xfId="5682"/>
    <cellStyle name="Normal 3 4 2 5 2 2" xfId="5683"/>
    <cellStyle name="Normal 3 4 2 5 2 3" xfId="5684"/>
    <cellStyle name="Normal 3 4 2 5 3" xfId="5685"/>
    <cellStyle name="Normal 3 4 2 5 4" xfId="5686"/>
    <cellStyle name="Normal 3 4 2 6" xfId="5687"/>
    <cellStyle name="Normal 3 4 2 6 2" xfId="5688"/>
    <cellStyle name="Normal 3 4 2 6 2 2" xfId="5689"/>
    <cellStyle name="Normal 3 4 2 6 2 3" xfId="5690"/>
    <cellStyle name="Normal 3 4 2 6 3" xfId="5691"/>
    <cellStyle name="Normal 3 4 2 6 4" xfId="5692"/>
    <cellStyle name="Normal 3 4 2 7" xfId="5693"/>
    <cellStyle name="Normal 3 4 2 7 2" xfId="5694"/>
    <cellStyle name="Normal 3 4 2 7 3" xfId="5695"/>
    <cellStyle name="Normal 3 4 2 8" xfId="5696"/>
    <cellStyle name="Normal 3 4 2 9" xfId="5697"/>
    <cellStyle name="Normal 3 4 3" xfId="5698"/>
    <cellStyle name="Normal 3 4 4" xfId="5699"/>
    <cellStyle name="Normal 3 4 5" xfId="5700"/>
    <cellStyle name="Normal 3 4 6" xfId="5701"/>
    <cellStyle name="Normal 3 4 7" xfId="5702"/>
    <cellStyle name="Normal 3 4 8" xfId="5703"/>
    <cellStyle name="Normal 3 4 8 2" xfId="5704"/>
    <cellStyle name="Normal 3 4 8 2 2" xfId="5705"/>
    <cellStyle name="Normal 3 4 8 2 3" xfId="5706"/>
    <cellStyle name="Normal 3 4 8 3" xfId="5707"/>
    <cellStyle name="Normal 3 4 8 4" xfId="5708"/>
    <cellStyle name="Normal 3 4 9" xfId="5709"/>
    <cellStyle name="Normal 3 4 9 2" xfId="5710"/>
    <cellStyle name="Normal 3 4 9 2 2" xfId="5711"/>
    <cellStyle name="Normal 3 4 9 2 3" xfId="5712"/>
    <cellStyle name="Normal 3 4 9 3" xfId="5713"/>
    <cellStyle name="Normal 3 4 9 4" xfId="5714"/>
    <cellStyle name="Normal 3 40" xfId="2033"/>
    <cellStyle name="Normal 3 41" xfId="2034"/>
    <cellStyle name="Normal 3 42" xfId="2035"/>
    <cellStyle name="Normal 3 43" xfId="2036"/>
    <cellStyle name="Normal 3 44" xfId="2037"/>
    <cellStyle name="Normal 3 45" xfId="2038"/>
    <cellStyle name="Normal 3 46" xfId="2039"/>
    <cellStyle name="Normal 3 47" xfId="2040"/>
    <cellStyle name="Normal 3 48" xfId="2041"/>
    <cellStyle name="Normal 3 49" xfId="2042"/>
    <cellStyle name="Normal 3 5" xfId="2043"/>
    <cellStyle name="Normal 3 5 10" xfId="5715"/>
    <cellStyle name="Normal 3 5 10 2" xfId="5716"/>
    <cellStyle name="Normal 3 5 10 2 2" xfId="5717"/>
    <cellStyle name="Normal 3 5 10 2 3" xfId="5718"/>
    <cellStyle name="Normal 3 5 10 3" xfId="5719"/>
    <cellStyle name="Normal 3 5 10 4" xfId="5720"/>
    <cellStyle name="Normal 3 5 11" xfId="5721"/>
    <cellStyle name="Normal 3 5 11 2" xfId="5722"/>
    <cellStyle name="Normal 3 5 11 2 2" xfId="5723"/>
    <cellStyle name="Normal 3 5 11 2 3" xfId="5724"/>
    <cellStyle name="Normal 3 5 11 3" xfId="5725"/>
    <cellStyle name="Normal 3 5 11 4" xfId="5726"/>
    <cellStyle name="Normal 3 5 12" xfId="5727"/>
    <cellStyle name="Normal 3 5 12 2" xfId="5728"/>
    <cellStyle name="Normal 3 5 12 3" xfId="5729"/>
    <cellStyle name="Normal 3 5 13" xfId="5730"/>
    <cellStyle name="Normal 3 5 14" xfId="5731"/>
    <cellStyle name="Normal 3 5 2" xfId="5732"/>
    <cellStyle name="Normal 3 5 2 2" xfId="5733"/>
    <cellStyle name="Normal 3 5 2 3" xfId="5734"/>
    <cellStyle name="Normal 3 5 2 3 2" xfId="5735"/>
    <cellStyle name="Normal 3 5 2 3 2 2" xfId="5736"/>
    <cellStyle name="Normal 3 5 2 3 2 3" xfId="5737"/>
    <cellStyle name="Normal 3 5 2 3 3" xfId="5738"/>
    <cellStyle name="Normal 3 5 2 3 4" xfId="5739"/>
    <cellStyle name="Normal 3 5 2 4" xfId="5740"/>
    <cellStyle name="Normal 3 5 2 4 2" xfId="5741"/>
    <cellStyle name="Normal 3 5 2 4 2 2" xfId="5742"/>
    <cellStyle name="Normal 3 5 2 4 2 3" xfId="5743"/>
    <cellStyle name="Normal 3 5 2 4 3" xfId="5744"/>
    <cellStyle name="Normal 3 5 2 4 4" xfId="5745"/>
    <cellStyle name="Normal 3 5 2 5" xfId="5746"/>
    <cellStyle name="Normal 3 5 2 5 2" xfId="5747"/>
    <cellStyle name="Normal 3 5 2 5 2 2" xfId="5748"/>
    <cellStyle name="Normal 3 5 2 5 2 3" xfId="5749"/>
    <cellStyle name="Normal 3 5 2 5 3" xfId="5750"/>
    <cellStyle name="Normal 3 5 2 5 4" xfId="5751"/>
    <cellStyle name="Normal 3 5 2 6" xfId="5752"/>
    <cellStyle name="Normal 3 5 2 6 2" xfId="5753"/>
    <cellStyle name="Normal 3 5 2 6 2 2" xfId="5754"/>
    <cellStyle name="Normal 3 5 2 6 2 3" xfId="5755"/>
    <cellStyle name="Normal 3 5 2 6 3" xfId="5756"/>
    <cellStyle name="Normal 3 5 2 6 4" xfId="5757"/>
    <cellStyle name="Normal 3 5 2 7" xfId="5758"/>
    <cellStyle name="Normal 3 5 2 7 2" xfId="5759"/>
    <cellStyle name="Normal 3 5 2 7 3" xfId="5760"/>
    <cellStyle name="Normal 3 5 2 8" xfId="5761"/>
    <cellStyle name="Normal 3 5 2 9" xfId="5762"/>
    <cellStyle name="Normal 3 5 3" xfId="5763"/>
    <cellStyle name="Normal 3 5 4" xfId="5764"/>
    <cellStyle name="Normal 3 5 5" xfId="5765"/>
    <cellStyle name="Normal 3 5 6" xfId="5766"/>
    <cellStyle name="Normal 3 5 7" xfId="5767"/>
    <cellStyle name="Normal 3 5 8" xfId="5768"/>
    <cellStyle name="Normal 3 5 8 2" xfId="5769"/>
    <cellStyle name="Normal 3 5 8 2 2" xfId="5770"/>
    <cellStyle name="Normal 3 5 8 2 3" xfId="5771"/>
    <cellStyle name="Normal 3 5 8 3" xfId="5772"/>
    <cellStyle name="Normal 3 5 8 4" xfId="5773"/>
    <cellStyle name="Normal 3 5 9" xfId="5774"/>
    <cellStyle name="Normal 3 5 9 2" xfId="5775"/>
    <cellStyle name="Normal 3 5 9 2 2" xfId="5776"/>
    <cellStyle name="Normal 3 5 9 2 3" xfId="5777"/>
    <cellStyle name="Normal 3 5 9 3" xfId="5778"/>
    <cellStyle name="Normal 3 5 9 4" xfId="5779"/>
    <cellStyle name="Normal 3 50" xfId="2044"/>
    <cellStyle name="Normal 3 51" xfId="2045"/>
    <cellStyle name="Normal 3 52" xfId="2046"/>
    <cellStyle name="Normal 3 53" xfId="2047"/>
    <cellStyle name="Normal 3 54" xfId="2048"/>
    <cellStyle name="Normal 3 55" xfId="2049"/>
    <cellStyle name="Normal 3 56" xfId="2050"/>
    <cellStyle name="Normal 3 57" xfId="2051"/>
    <cellStyle name="Normal 3 58" xfId="2052"/>
    <cellStyle name="Normal 3 59" xfId="2053"/>
    <cellStyle name="Normal 3 6" xfId="2054"/>
    <cellStyle name="Normal 3 6 10" xfId="5780"/>
    <cellStyle name="Normal 3 6 10 2" xfId="5781"/>
    <cellStyle name="Normal 3 6 10 2 2" xfId="5782"/>
    <cellStyle name="Normal 3 6 10 2 3" xfId="5783"/>
    <cellStyle name="Normal 3 6 10 3" xfId="5784"/>
    <cellStyle name="Normal 3 6 10 4" xfId="5785"/>
    <cellStyle name="Normal 3 6 11" xfId="5786"/>
    <cellStyle name="Normal 3 6 11 2" xfId="5787"/>
    <cellStyle name="Normal 3 6 11 2 2" xfId="5788"/>
    <cellStyle name="Normal 3 6 11 2 3" xfId="5789"/>
    <cellStyle name="Normal 3 6 11 3" xfId="5790"/>
    <cellStyle name="Normal 3 6 11 4" xfId="5791"/>
    <cellStyle name="Normal 3 6 12" xfId="5792"/>
    <cellStyle name="Normal 3 6 12 2" xfId="5793"/>
    <cellStyle name="Normal 3 6 12 3" xfId="5794"/>
    <cellStyle name="Normal 3 6 13" xfId="5795"/>
    <cellStyle name="Normal 3 6 14" xfId="5796"/>
    <cellStyle name="Normal 3 6 2" xfId="5797"/>
    <cellStyle name="Normal 3 6 2 2" xfId="5798"/>
    <cellStyle name="Normal 3 6 2 3" xfId="5799"/>
    <cellStyle name="Normal 3 6 2 3 2" xfId="5800"/>
    <cellStyle name="Normal 3 6 2 3 2 2" xfId="5801"/>
    <cellStyle name="Normal 3 6 2 3 2 3" xfId="5802"/>
    <cellStyle name="Normal 3 6 2 3 3" xfId="5803"/>
    <cellStyle name="Normal 3 6 2 3 4" xfId="5804"/>
    <cellStyle name="Normal 3 6 2 4" xfId="5805"/>
    <cellStyle name="Normal 3 6 2 4 2" xfId="5806"/>
    <cellStyle name="Normal 3 6 2 4 2 2" xfId="5807"/>
    <cellStyle name="Normal 3 6 2 4 2 3" xfId="5808"/>
    <cellStyle name="Normal 3 6 2 4 3" xfId="5809"/>
    <cellStyle name="Normal 3 6 2 4 4" xfId="5810"/>
    <cellStyle name="Normal 3 6 2 5" xfId="5811"/>
    <cellStyle name="Normal 3 6 2 5 2" xfId="5812"/>
    <cellStyle name="Normal 3 6 2 5 2 2" xfId="5813"/>
    <cellStyle name="Normal 3 6 2 5 2 3" xfId="5814"/>
    <cellStyle name="Normal 3 6 2 5 3" xfId="5815"/>
    <cellStyle name="Normal 3 6 2 5 4" xfId="5816"/>
    <cellStyle name="Normal 3 6 2 6" xfId="5817"/>
    <cellStyle name="Normal 3 6 2 6 2" xfId="5818"/>
    <cellStyle name="Normal 3 6 2 6 2 2" xfId="5819"/>
    <cellStyle name="Normal 3 6 2 6 2 3" xfId="5820"/>
    <cellStyle name="Normal 3 6 2 6 3" xfId="5821"/>
    <cellStyle name="Normal 3 6 2 6 4" xfId="5822"/>
    <cellStyle name="Normal 3 6 2 7" xfId="5823"/>
    <cellStyle name="Normal 3 6 2 7 2" xfId="5824"/>
    <cellStyle name="Normal 3 6 2 7 3" xfId="5825"/>
    <cellStyle name="Normal 3 6 2 8" xfId="5826"/>
    <cellStyle name="Normal 3 6 2 9" xfId="5827"/>
    <cellStyle name="Normal 3 6 3" xfId="5828"/>
    <cellStyle name="Normal 3 6 4" xfId="5829"/>
    <cellStyle name="Normal 3 6 5" xfId="5830"/>
    <cellStyle name="Normal 3 6 6" xfId="5831"/>
    <cellStyle name="Normal 3 6 7" xfId="5832"/>
    <cellStyle name="Normal 3 6 8" xfId="5833"/>
    <cellStyle name="Normal 3 6 8 2" xfId="5834"/>
    <cellStyle name="Normal 3 6 8 2 2" xfId="5835"/>
    <cellStyle name="Normal 3 6 8 2 3" xfId="5836"/>
    <cellStyle name="Normal 3 6 8 3" xfId="5837"/>
    <cellStyle name="Normal 3 6 8 4" xfId="5838"/>
    <cellStyle name="Normal 3 6 9" xfId="5839"/>
    <cellStyle name="Normal 3 6 9 2" xfId="5840"/>
    <cellStyle name="Normal 3 6 9 2 2" xfId="5841"/>
    <cellStyle name="Normal 3 6 9 2 3" xfId="5842"/>
    <cellStyle name="Normal 3 6 9 3" xfId="5843"/>
    <cellStyle name="Normal 3 6 9 4" xfId="5844"/>
    <cellStyle name="Normal 3 60" xfId="2055"/>
    <cellStyle name="Normal 3 61" xfId="2056"/>
    <cellStyle name="Normal 3 62" xfId="2057"/>
    <cellStyle name="Normal 3 63" xfId="2058"/>
    <cellStyle name="Normal 3 64" xfId="2059"/>
    <cellStyle name="Normal 3 65" xfId="2060"/>
    <cellStyle name="Normal 3 66" xfId="2061"/>
    <cellStyle name="Normal 3 7" xfId="2062"/>
    <cellStyle name="Normal 3 7 10" xfId="5845"/>
    <cellStyle name="Normal 3 7 10 2" xfId="5846"/>
    <cellStyle name="Normal 3 7 10 2 2" xfId="5847"/>
    <cellStyle name="Normal 3 7 10 2 3" xfId="5848"/>
    <cellStyle name="Normal 3 7 10 3" xfId="5849"/>
    <cellStyle name="Normal 3 7 10 4" xfId="5850"/>
    <cellStyle name="Normal 3 7 11" xfId="5851"/>
    <cellStyle name="Normal 3 7 11 2" xfId="5852"/>
    <cellStyle name="Normal 3 7 11 2 2" xfId="5853"/>
    <cellStyle name="Normal 3 7 11 2 3" xfId="5854"/>
    <cellStyle name="Normal 3 7 11 3" xfId="5855"/>
    <cellStyle name="Normal 3 7 11 4" xfId="5856"/>
    <cellStyle name="Normal 3 7 12" xfId="5857"/>
    <cellStyle name="Normal 3 7 12 2" xfId="5858"/>
    <cellStyle name="Normal 3 7 12 3" xfId="5859"/>
    <cellStyle name="Normal 3 7 13" xfId="5860"/>
    <cellStyle name="Normal 3 7 14" xfId="5861"/>
    <cellStyle name="Normal 3 7 2" xfId="5862"/>
    <cellStyle name="Normal 3 7 2 2" xfId="5863"/>
    <cellStyle name="Normal 3 7 2 3" xfId="5864"/>
    <cellStyle name="Normal 3 7 2 3 2" xfId="5865"/>
    <cellStyle name="Normal 3 7 2 3 2 2" xfId="5866"/>
    <cellStyle name="Normal 3 7 2 3 2 3" xfId="5867"/>
    <cellStyle name="Normal 3 7 2 3 3" xfId="5868"/>
    <cellStyle name="Normal 3 7 2 3 4" xfId="5869"/>
    <cellStyle name="Normal 3 7 2 4" xfId="5870"/>
    <cellStyle name="Normal 3 7 2 4 2" xfId="5871"/>
    <cellStyle name="Normal 3 7 2 4 2 2" xfId="5872"/>
    <cellStyle name="Normal 3 7 2 4 2 3" xfId="5873"/>
    <cellStyle name="Normal 3 7 2 4 3" xfId="5874"/>
    <cellStyle name="Normal 3 7 2 4 4" xfId="5875"/>
    <cellStyle name="Normal 3 7 2 5" xfId="5876"/>
    <cellStyle name="Normal 3 7 2 5 2" xfId="5877"/>
    <cellStyle name="Normal 3 7 2 5 2 2" xfId="5878"/>
    <cellStyle name="Normal 3 7 2 5 2 3" xfId="5879"/>
    <cellStyle name="Normal 3 7 2 5 3" xfId="5880"/>
    <cellStyle name="Normal 3 7 2 5 4" xfId="5881"/>
    <cellStyle name="Normal 3 7 2 6" xfId="5882"/>
    <cellStyle name="Normal 3 7 2 6 2" xfId="5883"/>
    <cellStyle name="Normal 3 7 2 6 2 2" xfId="5884"/>
    <cellStyle name="Normal 3 7 2 6 2 3" xfId="5885"/>
    <cellStyle name="Normal 3 7 2 6 3" xfId="5886"/>
    <cellStyle name="Normal 3 7 2 6 4" xfId="5887"/>
    <cellStyle name="Normal 3 7 2 7" xfId="5888"/>
    <cellStyle name="Normal 3 7 2 7 2" xfId="5889"/>
    <cellStyle name="Normal 3 7 2 7 3" xfId="5890"/>
    <cellStyle name="Normal 3 7 2 8" xfId="5891"/>
    <cellStyle name="Normal 3 7 2 9" xfId="5892"/>
    <cellStyle name="Normal 3 7 3" xfId="5893"/>
    <cellStyle name="Normal 3 7 4" xfId="5894"/>
    <cellStyle name="Normal 3 7 5" xfId="5895"/>
    <cellStyle name="Normal 3 7 6" xfId="5896"/>
    <cellStyle name="Normal 3 7 7" xfId="5897"/>
    <cellStyle name="Normal 3 7 8" xfId="5898"/>
    <cellStyle name="Normal 3 7 8 2" xfId="5899"/>
    <cellStyle name="Normal 3 7 8 2 2" xfId="5900"/>
    <cellStyle name="Normal 3 7 8 2 3" xfId="5901"/>
    <cellStyle name="Normal 3 7 8 3" xfId="5902"/>
    <cellStyle name="Normal 3 7 8 4" xfId="5903"/>
    <cellStyle name="Normal 3 7 9" xfId="5904"/>
    <cellStyle name="Normal 3 7 9 2" xfId="5905"/>
    <cellStyle name="Normal 3 7 9 2 2" xfId="5906"/>
    <cellStyle name="Normal 3 7 9 2 3" xfId="5907"/>
    <cellStyle name="Normal 3 7 9 3" xfId="5908"/>
    <cellStyle name="Normal 3 7 9 4" xfId="5909"/>
    <cellStyle name="Normal 3 8" xfId="2063"/>
    <cellStyle name="Normal 3 8 2" xfId="5910"/>
    <cellStyle name="Normal 3 8 3" xfId="5911"/>
    <cellStyle name="Normal 3 8 4" xfId="5912"/>
    <cellStyle name="Normal 3 8 5" xfId="5913"/>
    <cellStyle name="Normal 3 8 6" xfId="5914"/>
    <cellStyle name="Normal 3 8 7" xfId="5915"/>
    <cellStyle name="Normal 3 9" xfId="2064"/>
    <cellStyle name="Normal 3 9 2" xfId="5916"/>
    <cellStyle name="Normal 3 9 3" xfId="5917"/>
    <cellStyle name="Normal 3 9 4" xfId="5918"/>
    <cellStyle name="Normal 3 9 5" xfId="5919"/>
    <cellStyle name="Normal 3 9 6" xfId="5920"/>
    <cellStyle name="Normal 3 9 7" xfId="5921"/>
    <cellStyle name="Normal 30" xfId="2065"/>
    <cellStyle name="Normal 31" xfId="2066"/>
    <cellStyle name="Normal 32" xfId="2067"/>
    <cellStyle name="Normal 33" xfId="2068"/>
    <cellStyle name="Normal 34" xfId="2069"/>
    <cellStyle name="Normal 35" xfId="2070"/>
    <cellStyle name="Normal 36" xfId="2071"/>
    <cellStyle name="Normal 37" xfId="2072"/>
    <cellStyle name="Normal 38" xfId="2073"/>
    <cellStyle name="Normal 39" xfId="2074"/>
    <cellStyle name="Normal 4" xfId="2075"/>
    <cellStyle name="Normal 4 10" xfId="2076"/>
    <cellStyle name="Normal 4 11" xfId="2077"/>
    <cellStyle name="Normal 4 12" xfId="2078"/>
    <cellStyle name="Normal 4 13" xfId="2079"/>
    <cellStyle name="Normal 4 14" xfId="2080"/>
    <cellStyle name="Normal 4 15" xfId="2081"/>
    <cellStyle name="Normal 4 15 2" xfId="5922"/>
    <cellStyle name="Normal 4 15 3" xfId="5923"/>
    <cellStyle name="Normal 4 15 3 2" xfId="5924"/>
    <cellStyle name="Normal 4 15 3 2 2" xfId="5925"/>
    <cellStyle name="Normal 4 15 3 2 3" xfId="5926"/>
    <cellStyle name="Normal 4 15 3 3" xfId="5927"/>
    <cellStyle name="Normal 4 15 3 4" xfId="5928"/>
    <cellStyle name="Normal 4 15 4" xfId="5929"/>
    <cellStyle name="Normal 4 15 4 2" xfId="5930"/>
    <cellStyle name="Normal 4 15 4 2 2" xfId="5931"/>
    <cellStyle name="Normal 4 15 4 2 3" xfId="5932"/>
    <cellStyle name="Normal 4 15 4 3" xfId="5933"/>
    <cellStyle name="Normal 4 15 4 4" xfId="5934"/>
    <cellStyle name="Normal 4 15 5" xfId="5935"/>
    <cellStyle name="Normal 4 15 5 2" xfId="5936"/>
    <cellStyle name="Normal 4 15 5 2 2" xfId="5937"/>
    <cellStyle name="Normal 4 15 5 2 3" xfId="5938"/>
    <cellStyle name="Normal 4 15 5 3" xfId="5939"/>
    <cellStyle name="Normal 4 15 5 4" xfId="5940"/>
    <cellStyle name="Normal 4 15 6" xfId="5941"/>
    <cellStyle name="Normal 4 15 6 2" xfId="5942"/>
    <cellStyle name="Normal 4 15 6 2 2" xfId="5943"/>
    <cellStyle name="Normal 4 15 6 2 3" xfId="5944"/>
    <cellStyle name="Normal 4 15 6 3" xfId="5945"/>
    <cellStyle name="Normal 4 15 6 4" xfId="5946"/>
    <cellStyle name="Normal 4 15 7" xfId="5947"/>
    <cellStyle name="Normal 4 15 7 2" xfId="5948"/>
    <cellStyle name="Normal 4 15 7 3" xfId="5949"/>
    <cellStyle name="Normal 4 15 8" xfId="5950"/>
    <cellStyle name="Normal 4 15 9" xfId="5951"/>
    <cellStyle name="Normal 4 16" xfId="2082"/>
    <cellStyle name="Normal 4 17" xfId="2083"/>
    <cellStyle name="Normal 4 18" xfId="2084"/>
    <cellStyle name="Normal 4 19" xfId="2085"/>
    <cellStyle name="Normal 4 2" xfId="2086"/>
    <cellStyle name="Normal 4 20" xfId="2087"/>
    <cellStyle name="Normal 4 21" xfId="2088"/>
    <cellStyle name="Normal 4 22" xfId="2089"/>
    <cellStyle name="Normal 4 23" xfId="2090"/>
    <cellStyle name="Normal 4 24" xfId="5952"/>
    <cellStyle name="Normal 4 25" xfId="5953"/>
    <cellStyle name="Normal 4 26" xfId="5954"/>
    <cellStyle name="Normal 4 27" xfId="5955"/>
    <cellStyle name="Normal 4 27 2" xfId="5956"/>
    <cellStyle name="Normal 4 27 2 2" xfId="5957"/>
    <cellStyle name="Normal 4 27 2 3" xfId="5958"/>
    <cellStyle name="Normal 4 27 3" xfId="5959"/>
    <cellStyle name="Normal 4 27 4" xfId="5960"/>
    <cellStyle name="Normal 4 28" xfId="5961"/>
    <cellStyle name="Normal 4 28 2" xfId="5962"/>
    <cellStyle name="Normal 4 28 2 2" xfId="5963"/>
    <cellStyle name="Normal 4 28 2 3" xfId="5964"/>
    <cellStyle name="Normal 4 28 3" xfId="5965"/>
    <cellStyle name="Normal 4 28 4" xfId="5966"/>
    <cellStyle name="Normal 4 29" xfId="5967"/>
    <cellStyle name="Normal 4 29 2" xfId="5968"/>
    <cellStyle name="Normal 4 29 2 2" xfId="5969"/>
    <cellStyle name="Normal 4 29 2 3" xfId="5970"/>
    <cellStyle name="Normal 4 29 3" xfId="5971"/>
    <cellStyle name="Normal 4 29 4" xfId="5972"/>
    <cellStyle name="Normal 4 3" xfId="2091"/>
    <cellStyle name="Normal 4 3 2" xfId="5973"/>
    <cellStyle name="Normal 4 3 3" xfId="5974"/>
    <cellStyle name="Normal 4 3 4" xfId="5975"/>
    <cellStyle name="Normal 4 3 5" xfId="5976"/>
    <cellStyle name="Normal 4 3 6" xfId="5977"/>
    <cellStyle name="Normal 4 3 7" xfId="5978"/>
    <cellStyle name="Normal 4 30" xfId="5979"/>
    <cellStyle name="Normal 4 30 2" xfId="5980"/>
    <cellStyle name="Normal 4 30 2 2" xfId="5981"/>
    <cellStyle name="Normal 4 30 2 3" xfId="5982"/>
    <cellStyle name="Normal 4 30 3" xfId="5983"/>
    <cellStyle name="Normal 4 30 4" xfId="5984"/>
    <cellStyle name="Normal 4 31" xfId="5985"/>
    <cellStyle name="Normal 4 31 2" xfId="5986"/>
    <cellStyle name="Normal 4 31 3" xfId="5987"/>
    <cellStyle name="Normal 4 32" xfId="5988"/>
    <cellStyle name="Normal 4 33" xfId="5989"/>
    <cellStyle name="Normal 4 4" xfId="2092"/>
    <cellStyle name="Normal 4 4 2" xfId="5990"/>
    <cellStyle name="Normal 4 4 3" xfId="5991"/>
    <cellStyle name="Normal 4 4 4" xfId="5992"/>
    <cellStyle name="Normal 4 4 5" xfId="5993"/>
    <cellStyle name="Normal 4 4 6" xfId="5994"/>
    <cellStyle name="Normal 4 4 7" xfId="5995"/>
    <cellStyle name="Normal 4 5" xfId="2093"/>
    <cellStyle name="Normal 4 6" xfId="2094"/>
    <cellStyle name="Normal 4 7" xfId="2095"/>
    <cellStyle name="Normal 4 8" xfId="2096"/>
    <cellStyle name="Normal 4 9" xfId="2097"/>
    <cellStyle name="Normal 40" xfId="2098"/>
    <cellStyle name="Normal 41" xfId="2099"/>
    <cellStyle name="Normal 42" xfId="2100"/>
    <cellStyle name="Normal 43" xfId="2101"/>
    <cellStyle name="Normal 44" xfId="2102"/>
    <cellStyle name="Normal 45" xfId="2103"/>
    <cellStyle name="Normal 46" xfId="2104"/>
    <cellStyle name="Normal 47" xfId="2105"/>
    <cellStyle name="Normal 48" xfId="2106"/>
    <cellStyle name="Normal 49" xfId="2107"/>
    <cellStyle name="Normal 5" xfId="2108"/>
    <cellStyle name="Normal 5 10" xfId="2109"/>
    <cellStyle name="Normal 5 11" xfId="2110"/>
    <cellStyle name="Normal 5 12" xfId="2111"/>
    <cellStyle name="Normal 5 13" xfId="2112"/>
    <cellStyle name="Normal 5 14" xfId="2113"/>
    <cellStyle name="Normal 5 15" xfId="2114"/>
    <cellStyle name="Normal 5 2" xfId="2115"/>
    <cellStyle name="Normal 5 3" xfId="2116"/>
    <cellStyle name="Normal 5 4" xfId="2117"/>
    <cellStyle name="Normal 5 5" xfId="2118"/>
    <cellStyle name="Normal 5 6" xfId="2119"/>
    <cellStyle name="Normal 5 7" xfId="2120"/>
    <cellStyle name="Normal 5 8" xfId="2121"/>
    <cellStyle name="Normal 5 9" xfId="2122"/>
    <cellStyle name="Normal 50" xfId="2123"/>
    <cellStyle name="Normal 51" xfId="2124"/>
    <cellStyle name="Normal 52" xfId="2432"/>
    <cellStyle name="Normal 52 2" xfId="2125"/>
    <cellStyle name="Normal 53" xfId="2433"/>
    <cellStyle name="Normal 53 2" xfId="2126"/>
    <cellStyle name="Normal 53 3" xfId="2127"/>
    <cellStyle name="Normal 53 4" xfId="2128"/>
    <cellStyle name="Normal 53 5" xfId="2129"/>
    <cellStyle name="Normal 53 6" xfId="2130"/>
    <cellStyle name="Normal 53 7" xfId="2131"/>
    <cellStyle name="Normal 54" xfId="2436"/>
    <cellStyle name="Normal 54 2" xfId="2132"/>
    <cellStyle name="Normal 54 3" xfId="2133"/>
    <cellStyle name="Normal 54 4" xfId="2134"/>
    <cellStyle name="Normal 54 5" xfId="2135"/>
    <cellStyle name="Normal 54 6" xfId="2136"/>
    <cellStyle name="Normal 54 7" xfId="2137"/>
    <cellStyle name="Normal 55" xfId="2437"/>
    <cellStyle name="Normal 55 2" xfId="2138"/>
    <cellStyle name="Normal 55 3" xfId="2139"/>
    <cellStyle name="Normal 55 4" xfId="2140"/>
    <cellStyle name="Normal 55 5" xfId="2141"/>
    <cellStyle name="Normal 55 6" xfId="2142"/>
    <cellStyle name="Normal 55 7" xfId="2143"/>
    <cellStyle name="Normal 56 2" xfId="2144"/>
    <cellStyle name="Normal 56 3" xfId="2145"/>
    <cellStyle name="Normal 56 4" xfId="2146"/>
    <cellStyle name="Normal 56 5" xfId="2147"/>
    <cellStyle name="Normal 56 6" xfId="2148"/>
    <cellStyle name="Normal 56 7" xfId="2149"/>
    <cellStyle name="Normal 57 2" xfId="2150"/>
    <cellStyle name="Normal 57 3" xfId="2151"/>
    <cellStyle name="Normal 57 4" xfId="2152"/>
    <cellStyle name="Normal 57 5" xfId="2153"/>
    <cellStyle name="Normal 57 6" xfId="2154"/>
    <cellStyle name="Normal 57 7" xfId="2155"/>
    <cellStyle name="Normal 58 2" xfId="2156"/>
    <cellStyle name="Normal 58 3" xfId="2157"/>
    <cellStyle name="Normal 58 4" xfId="2158"/>
    <cellStyle name="Normal 58 5" xfId="2159"/>
    <cellStyle name="Normal 58 6" xfId="2160"/>
    <cellStyle name="Normal 58 7" xfId="2161"/>
    <cellStyle name="Normal 6" xfId="2162"/>
    <cellStyle name="Normal 6 10" xfId="2163"/>
    <cellStyle name="Normal 6 11" xfId="2164"/>
    <cellStyle name="Normal 6 12" xfId="2165"/>
    <cellStyle name="Normal 6 13" xfId="2166"/>
    <cellStyle name="Normal 6 14" xfId="2167"/>
    <cellStyle name="Normal 6 15" xfId="2168"/>
    <cellStyle name="Normal 6 16" xfId="2169"/>
    <cellStyle name="Normal 6 17" xfId="2170"/>
    <cellStyle name="Normal 6 18" xfId="2171"/>
    <cellStyle name="Normal 6 19" xfId="2172"/>
    <cellStyle name="Normal 6 2" xfId="2173"/>
    <cellStyle name="Normal 6 20" xfId="2174"/>
    <cellStyle name="Normal 6 21" xfId="2175"/>
    <cellStyle name="Normal 6 22" xfId="2176"/>
    <cellStyle name="Normal 6 23" xfId="2177"/>
    <cellStyle name="Normal 6 24" xfId="2178"/>
    <cellStyle name="Normal 6 25" xfId="2179"/>
    <cellStyle name="Normal 6 26" xfId="2180"/>
    <cellStyle name="Normal 6 27" xfId="2181"/>
    <cellStyle name="Normal 6 28" xfId="2182"/>
    <cellStyle name="Normal 6 29" xfId="2183"/>
    <cellStyle name="Normal 6 3" xfId="2184"/>
    <cellStyle name="Normal 6 30" xfId="2185"/>
    <cellStyle name="Normal 6 31" xfId="2186"/>
    <cellStyle name="Normal 6 32" xfId="2187"/>
    <cellStyle name="Normal 6 33" xfId="2188"/>
    <cellStyle name="Normal 6 34" xfId="2189"/>
    <cellStyle name="Normal 6 35" xfId="2190"/>
    <cellStyle name="Normal 6 36" xfId="2191"/>
    <cellStyle name="Normal 6 37" xfId="2192"/>
    <cellStyle name="Normal 6 38" xfId="2193"/>
    <cellStyle name="Normal 6 39" xfId="2194"/>
    <cellStyle name="Normal 6 4" xfId="2195"/>
    <cellStyle name="Normal 6 40" xfId="2196"/>
    <cellStyle name="Normal 6 41" xfId="2197"/>
    <cellStyle name="Normal 6 42" xfId="2198"/>
    <cellStyle name="Normal 6 43" xfId="2199"/>
    <cellStyle name="Normal 6 44" xfId="2200"/>
    <cellStyle name="Normal 6 45" xfId="2201"/>
    <cellStyle name="Normal 6 46" xfId="2202"/>
    <cellStyle name="Normal 6 47" xfId="2203"/>
    <cellStyle name="Normal 6 48" xfId="2204"/>
    <cellStyle name="Normal 6 49" xfId="2205"/>
    <cellStyle name="Normal 6 5" xfId="2206"/>
    <cellStyle name="Normal 6 50" xfId="2207"/>
    <cellStyle name="Normal 6 51" xfId="2208"/>
    <cellStyle name="Normal 6 52" xfId="2209"/>
    <cellStyle name="Normal 6 53" xfId="2210"/>
    <cellStyle name="Normal 6 54" xfId="2211"/>
    <cellStyle name="Normal 6 55" xfId="2212"/>
    <cellStyle name="Normal 6 56" xfId="2213"/>
    <cellStyle name="Normal 6 57" xfId="2214"/>
    <cellStyle name="Normal 6 58" xfId="2215"/>
    <cellStyle name="Normal 6 59" xfId="2216"/>
    <cellStyle name="Normal 6 6" xfId="2217"/>
    <cellStyle name="Normal 6 60" xfId="2218"/>
    <cellStyle name="Normal 6 61" xfId="2219"/>
    <cellStyle name="Normal 6 62" xfId="2220"/>
    <cellStyle name="Normal 6 63" xfId="2221"/>
    <cellStyle name="Normal 6 64" xfId="2222"/>
    <cellStyle name="Normal 6 65" xfId="2223"/>
    <cellStyle name="Normal 6 66" xfId="2224"/>
    <cellStyle name="Normal 6 67" xfId="2225"/>
    <cellStyle name="Normal 6 68" xfId="2226"/>
    <cellStyle name="Normal 6 69" xfId="2227"/>
    <cellStyle name="Normal 6 7" xfId="2228"/>
    <cellStyle name="Normal 6 70" xfId="2229"/>
    <cellStyle name="Normal 6 71" xfId="2230"/>
    <cellStyle name="Normal 6 72" xfId="2231"/>
    <cellStyle name="Normal 6 73" xfId="2232"/>
    <cellStyle name="Normal 6 74" xfId="2233"/>
    <cellStyle name="Normal 6 75" xfId="2234"/>
    <cellStyle name="Normal 6 76" xfId="2235"/>
    <cellStyle name="Normal 6 77" xfId="2236"/>
    <cellStyle name="Normal 6 78" xfId="2237"/>
    <cellStyle name="Normal 6 79" xfId="2238"/>
    <cellStyle name="Normal 6 8" xfId="2239"/>
    <cellStyle name="Normal 6 9" xfId="2240"/>
    <cellStyle name="Normal 7" xfId="2241"/>
    <cellStyle name="Normal 7 10" xfId="2242"/>
    <cellStyle name="Normal 7 11" xfId="2243"/>
    <cellStyle name="Normal 7 12" xfId="2244"/>
    <cellStyle name="Normal 7 13" xfId="2245"/>
    <cellStyle name="Normal 7 14" xfId="2246"/>
    <cellStyle name="Normal 7 15" xfId="5996"/>
    <cellStyle name="Normal 7 15 2" xfId="5997"/>
    <cellStyle name="Normal 7 15 3" xfId="5998"/>
    <cellStyle name="Normal 7 16" xfId="5999"/>
    <cellStyle name="Normal 7 16 2" xfId="6000"/>
    <cellStyle name="Normal 7 16 3" xfId="6001"/>
    <cellStyle name="Normal 7 17" xfId="6002"/>
    <cellStyle name="Normal 7 18" xfId="6003"/>
    <cellStyle name="Normal 7 19" xfId="6004"/>
    <cellStyle name="Normal 7 2" xfId="2247"/>
    <cellStyle name="Normal 7 20" xfId="6005"/>
    <cellStyle name="Normal 7 21" xfId="6006"/>
    <cellStyle name="Normal 7 22" xfId="6007"/>
    <cellStyle name="Normal 7 23" xfId="6008"/>
    <cellStyle name="Normal 7 24" xfId="6009"/>
    <cellStyle name="Normal 7 3" xfId="2248"/>
    <cellStyle name="Normal 7 4" xfId="2249"/>
    <cellStyle name="Normal 7 5" xfId="2250"/>
    <cellStyle name="Normal 7 6" xfId="2251"/>
    <cellStyle name="Normal 7 7" xfId="2252"/>
    <cellStyle name="Normal 7 8" xfId="2253"/>
    <cellStyle name="Normal 7 9" xfId="2254"/>
    <cellStyle name="Normal 8" xfId="2255"/>
    <cellStyle name="Normal 8 10" xfId="2256"/>
    <cellStyle name="Normal 8 11" xfId="2257"/>
    <cellStyle name="Normal 8 12" xfId="2258"/>
    <cellStyle name="Normal 8 13" xfId="2259"/>
    <cellStyle name="Normal 8 14" xfId="2260"/>
    <cellStyle name="Normal 8 15" xfId="6010"/>
    <cellStyle name="Normal 8 15 2" xfId="6011"/>
    <cellStyle name="Normal 8 15 2 2" xfId="6012"/>
    <cellStyle name="Normal 8 15 2 2 2" xfId="6013"/>
    <cellStyle name="Normal 8 15 2 2 3" xfId="6014"/>
    <cellStyle name="Normal 8 15 2 3" xfId="6015"/>
    <cellStyle name="Normal 8 15 2 4" xfId="6016"/>
    <cellStyle name="Normal 8 15 3" xfId="6017"/>
    <cellStyle name="Normal 8 15 3 2" xfId="6018"/>
    <cellStyle name="Normal 8 15 3 2 2" xfId="6019"/>
    <cellStyle name="Normal 8 15 3 2 3" xfId="6020"/>
    <cellStyle name="Normal 8 15 3 3" xfId="6021"/>
    <cellStyle name="Normal 8 15 3 4" xfId="6022"/>
    <cellStyle name="Normal 8 15 4" xfId="6023"/>
    <cellStyle name="Normal 8 15 4 2" xfId="6024"/>
    <cellStyle name="Normal 8 15 4 2 2" xfId="6025"/>
    <cellStyle name="Normal 8 15 4 2 3" xfId="6026"/>
    <cellStyle name="Normal 8 15 4 3" xfId="6027"/>
    <cellStyle name="Normal 8 15 4 4" xfId="6028"/>
    <cellStyle name="Normal 8 15 5" xfId="6029"/>
    <cellStyle name="Normal 8 15 5 2" xfId="6030"/>
    <cellStyle name="Normal 8 15 5 2 2" xfId="6031"/>
    <cellStyle name="Normal 8 15 5 2 3" xfId="6032"/>
    <cellStyle name="Normal 8 15 5 3" xfId="6033"/>
    <cellStyle name="Normal 8 15 5 4" xfId="6034"/>
    <cellStyle name="Normal 8 15 6" xfId="6035"/>
    <cellStyle name="Normal 8 15 6 2" xfId="6036"/>
    <cellStyle name="Normal 8 15 6 3" xfId="6037"/>
    <cellStyle name="Normal 8 15 7" xfId="6038"/>
    <cellStyle name="Normal 8 15 8" xfId="6039"/>
    <cellStyle name="Normal 8 16" xfId="6040"/>
    <cellStyle name="Normal 8 17" xfId="6041"/>
    <cellStyle name="Normal 8 18" xfId="6042"/>
    <cellStyle name="Normal 8 19" xfId="6043"/>
    <cellStyle name="Normal 8 2" xfId="2261"/>
    <cellStyle name="Normal 8 20" xfId="6044"/>
    <cellStyle name="Normal 8 21" xfId="6045"/>
    <cellStyle name="Normal 8 21 2" xfId="6046"/>
    <cellStyle name="Normal 8 21 2 2" xfId="6047"/>
    <cellStyle name="Normal 8 21 2 3" xfId="6048"/>
    <cellStyle name="Normal 8 21 3" xfId="6049"/>
    <cellStyle name="Normal 8 21 4" xfId="6050"/>
    <cellStyle name="Normal 8 22" xfId="6051"/>
    <cellStyle name="Normal 8 22 2" xfId="6052"/>
    <cellStyle name="Normal 8 22 2 2" xfId="6053"/>
    <cellStyle name="Normal 8 22 2 3" xfId="6054"/>
    <cellStyle name="Normal 8 22 3" xfId="6055"/>
    <cellStyle name="Normal 8 22 4" xfId="6056"/>
    <cellStyle name="Normal 8 23" xfId="6057"/>
    <cellStyle name="Normal 8 23 2" xfId="6058"/>
    <cellStyle name="Normal 8 23 2 2" xfId="6059"/>
    <cellStyle name="Normal 8 23 2 3" xfId="6060"/>
    <cellStyle name="Normal 8 23 3" xfId="6061"/>
    <cellStyle name="Normal 8 23 4" xfId="6062"/>
    <cellStyle name="Normal 8 24" xfId="6063"/>
    <cellStyle name="Normal 8 24 2" xfId="6064"/>
    <cellStyle name="Normal 8 24 2 2" xfId="6065"/>
    <cellStyle name="Normal 8 24 2 3" xfId="6066"/>
    <cellStyle name="Normal 8 24 3" xfId="6067"/>
    <cellStyle name="Normal 8 24 4" xfId="6068"/>
    <cellStyle name="Normal 8 25" xfId="6069"/>
    <cellStyle name="Normal 8 25 2" xfId="6070"/>
    <cellStyle name="Normal 8 25 3" xfId="6071"/>
    <cellStyle name="Normal 8 26" xfId="6072"/>
    <cellStyle name="Normal 8 27" xfId="6073"/>
    <cellStyle name="Normal 8 3" xfId="2262"/>
    <cellStyle name="Normal 8 4" xfId="2263"/>
    <cellStyle name="Normal 8 5" xfId="2264"/>
    <cellStyle name="Normal 8 6" xfId="2265"/>
    <cellStyle name="Normal 8 7" xfId="2266"/>
    <cellStyle name="Normal 8 8" xfId="2267"/>
    <cellStyle name="Normal 8 9" xfId="2268"/>
    <cellStyle name="Normal 9" xfId="2269"/>
    <cellStyle name="Normal 9 10" xfId="2270"/>
    <cellStyle name="Normal 9 11" xfId="2271"/>
    <cellStyle name="Normal 9 12" xfId="2272"/>
    <cellStyle name="Normal 9 13" xfId="2273"/>
    <cellStyle name="Normal 9 14" xfId="2274"/>
    <cellStyle name="Normal 9 15" xfId="2275"/>
    <cellStyle name="Normal 9 16" xfId="2276"/>
    <cellStyle name="Normal 9 17" xfId="2277"/>
    <cellStyle name="Normal 9 18" xfId="2278"/>
    <cellStyle name="Normal 9 19" xfId="2279"/>
    <cellStyle name="Normal 9 2" xfId="2280"/>
    <cellStyle name="Normal 9 20" xfId="2281"/>
    <cellStyle name="Normal 9 21" xfId="2282"/>
    <cellStyle name="Normal 9 22" xfId="2283"/>
    <cellStyle name="Normal 9 23" xfId="2284"/>
    <cellStyle name="Normal 9 24" xfId="2285"/>
    <cellStyle name="Normal 9 25" xfId="2286"/>
    <cellStyle name="Normal 9 26" xfId="2287"/>
    <cellStyle name="Normal 9 27" xfId="2288"/>
    <cellStyle name="Normal 9 28" xfId="2289"/>
    <cellStyle name="Normal 9 29" xfId="2290"/>
    <cellStyle name="Normal 9 3" xfId="2291"/>
    <cellStyle name="Normal 9 30" xfId="2292"/>
    <cellStyle name="Normal 9 31" xfId="2293"/>
    <cellStyle name="Normal 9 32" xfId="2294"/>
    <cellStyle name="Normal 9 33" xfId="2295"/>
    <cellStyle name="Normal 9 34" xfId="2296"/>
    <cellStyle name="Normal 9 35" xfId="2297"/>
    <cellStyle name="Normal 9 36" xfId="2298"/>
    <cellStyle name="Normal 9 37" xfId="2299"/>
    <cellStyle name="Normal 9 37 2" xfId="6074"/>
    <cellStyle name="Normal 9 37 3" xfId="6075"/>
    <cellStyle name="Normal 9 37 3 2" xfId="6076"/>
    <cellStyle name="Normal 9 37 3 2 2" xfId="6077"/>
    <cellStyle name="Normal 9 37 3 2 3" xfId="6078"/>
    <cellStyle name="Normal 9 37 3 3" xfId="6079"/>
    <cellStyle name="Normal 9 37 3 4" xfId="6080"/>
    <cellStyle name="Normal 9 37 4" xfId="6081"/>
    <cellStyle name="Normal 9 37 4 2" xfId="6082"/>
    <cellStyle name="Normal 9 37 4 2 2" xfId="6083"/>
    <cellStyle name="Normal 9 37 4 2 3" xfId="6084"/>
    <cellStyle name="Normal 9 37 4 3" xfId="6085"/>
    <cellStyle name="Normal 9 37 4 4" xfId="6086"/>
    <cellStyle name="Normal 9 37 5" xfId="6087"/>
    <cellStyle name="Normal 9 37 5 2" xfId="6088"/>
    <cellStyle name="Normal 9 37 5 2 2" xfId="6089"/>
    <cellStyle name="Normal 9 37 5 2 3" xfId="6090"/>
    <cellStyle name="Normal 9 37 5 3" xfId="6091"/>
    <cellStyle name="Normal 9 37 5 4" xfId="6092"/>
    <cellStyle name="Normal 9 37 6" xfId="6093"/>
    <cellStyle name="Normal 9 37 6 2" xfId="6094"/>
    <cellStyle name="Normal 9 37 6 2 2" xfId="6095"/>
    <cellStyle name="Normal 9 37 6 2 3" xfId="6096"/>
    <cellStyle name="Normal 9 37 6 3" xfId="6097"/>
    <cellStyle name="Normal 9 37 6 4" xfId="6098"/>
    <cellStyle name="Normal 9 37 7" xfId="6099"/>
    <cellStyle name="Normal 9 37 7 2" xfId="6100"/>
    <cellStyle name="Normal 9 37 7 3" xfId="6101"/>
    <cellStyle name="Normal 9 37 8" xfId="6102"/>
    <cellStyle name="Normal 9 37 9" xfId="6103"/>
    <cellStyle name="Normal 9 38" xfId="2300"/>
    <cellStyle name="Normal 9 39" xfId="2301"/>
    <cellStyle name="Normal 9 4" xfId="2302"/>
    <cellStyle name="Normal 9 40" xfId="2303"/>
    <cellStyle name="Normal 9 41" xfId="2304"/>
    <cellStyle name="Normal 9 42" xfId="2305"/>
    <cellStyle name="Normal 9 43" xfId="2306"/>
    <cellStyle name="Normal 9 44" xfId="2307"/>
    <cellStyle name="Normal 9 45" xfId="2308"/>
    <cellStyle name="Normal 9 46" xfId="2309"/>
    <cellStyle name="Normal 9 47" xfId="2310"/>
    <cellStyle name="Normal 9 48" xfId="2311"/>
    <cellStyle name="Normal 9 49" xfId="2312"/>
    <cellStyle name="Normal 9 5" xfId="2313"/>
    <cellStyle name="Normal 9 50" xfId="2314"/>
    <cellStyle name="Normal 9 51" xfId="2315"/>
    <cellStyle name="Normal 9 52" xfId="2316"/>
    <cellStyle name="Normal 9 53" xfId="2317"/>
    <cellStyle name="Normal 9 54" xfId="2318"/>
    <cellStyle name="Normal 9 55" xfId="2319"/>
    <cellStyle name="Normal 9 56" xfId="2320"/>
    <cellStyle name="Normal 9 57" xfId="2321"/>
    <cellStyle name="Normal 9 58" xfId="2322"/>
    <cellStyle name="Normal 9 59" xfId="2323"/>
    <cellStyle name="Normal 9 6" xfId="2324"/>
    <cellStyle name="Normal 9 60" xfId="2325"/>
    <cellStyle name="Normal 9 61" xfId="2326"/>
    <cellStyle name="Normal 9 62" xfId="2327"/>
    <cellStyle name="Normal 9 63" xfId="2328"/>
    <cellStyle name="Normal 9 64" xfId="2329"/>
    <cellStyle name="Normal 9 65" xfId="2330"/>
    <cellStyle name="Normal 9 66" xfId="2331"/>
    <cellStyle name="Normal 9 67" xfId="2332"/>
    <cellStyle name="Normal 9 68" xfId="2333"/>
    <cellStyle name="Normal 9 69" xfId="2334"/>
    <cellStyle name="Normal 9 7" xfId="2335"/>
    <cellStyle name="Normal 9 70" xfId="2336"/>
    <cellStyle name="Normal 9 71" xfId="2337"/>
    <cellStyle name="Normal 9 72" xfId="2338"/>
    <cellStyle name="Normal 9 73" xfId="2339"/>
    <cellStyle name="Normal 9 74" xfId="2340"/>
    <cellStyle name="Normal 9 75" xfId="2341"/>
    <cellStyle name="Normal 9 76" xfId="2342"/>
    <cellStyle name="Normal 9 77" xfId="2343"/>
    <cellStyle name="Normal 9 78" xfId="2344"/>
    <cellStyle name="Normal 9 79" xfId="2345"/>
    <cellStyle name="Normal 9 8" xfId="2346"/>
    <cellStyle name="Normal 9 80" xfId="6104"/>
    <cellStyle name="Normal 9 81" xfId="6105"/>
    <cellStyle name="Normal 9 82" xfId="6106"/>
    <cellStyle name="Normal 9 83" xfId="6107"/>
    <cellStyle name="Normal 9 84" xfId="6108"/>
    <cellStyle name="Normal 9 85" xfId="6109"/>
    <cellStyle name="Normal 9 85 2" xfId="6110"/>
    <cellStyle name="Normal 9 85 2 2" xfId="6111"/>
    <cellStyle name="Normal 9 85 2 3" xfId="6112"/>
    <cellStyle name="Normal 9 85 3" xfId="6113"/>
    <cellStyle name="Normal 9 85 4" xfId="6114"/>
    <cellStyle name="Normal 9 86" xfId="6115"/>
    <cellStyle name="Normal 9 86 2" xfId="6116"/>
    <cellStyle name="Normal 9 86 2 2" xfId="6117"/>
    <cellStyle name="Normal 9 86 2 3" xfId="6118"/>
    <cellStyle name="Normal 9 86 3" xfId="6119"/>
    <cellStyle name="Normal 9 86 4" xfId="6120"/>
    <cellStyle name="Normal 9 87" xfId="6121"/>
    <cellStyle name="Normal 9 87 2" xfId="6122"/>
    <cellStyle name="Normal 9 87 2 2" xfId="6123"/>
    <cellStyle name="Normal 9 87 2 3" xfId="6124"/>
    <cellStyle name="Normal 9 87 3" xfId="6125"/>
    <cellStyle name="Normal 9 87 4" xfId="6126"/>
    <cellStyle name="Normal 9 88" xfId="6127"/>
    <cellStyle name="Normal 9 88 2" xfId="6128"/>
    <cellStyle name="Normal 9 88 2 2" xfId="6129"/>
    <cellStyle name="Normal 9 88 2 3" xfId="6130"/>
    <cellStyle name="Normal 9 88 3" xfId="6131"/>
    <cellStyle name="Normal 9 88 4" xfId="6132"/>
    <cellStyle name="Normal 9 89" xfId="6133"/>
    <cellStyle name="Normal 9 89 2" xfId="6134"/>
    <cellStyle name="Normal 9 89 3" xfId="6135"/>
    <cellStyle name="Normal 9 9" xfId="2347"/>
    <cellStyle name="Normal 9 90" xfId="6136"/>
    <cellStyle name="Normal 9 91" xfId="6137"/>
    <cellStyle name="Normál_ADKA2000 (2)" xfId="2348"/>
    <cellStyle name="Note 10" xfId="6138"/>
    <cellStyle name="Note 10 2" xfId="6139"/>
    <cellStyle name="Note 10 3" xfId="6140"/>
    <cellStyle name="Note 11" xfId="6141"/>
    <cellStyle name="Note 11 2" xfId="6142"/>
    <cellStyle name="Note 11 3" xfId="6143"/>
    <cellStyle name="Note 2" xfId="2349"/>
    <cellStyle name="Note 2 10" xfId="6144"/>
    <cellStyle name="Note 2 10 2" xfId="6145"/>
    <cellStyle name="Note 2 10 3" xfId="6146"/>
    <cellStyle name="Note 2 11" xfId="6147"/>
    <cellStyle name="Note 2 12" xfId="6148"/>
    <cellStyle name="Note 2 2" xfId="6149"/>
    <cellStyle name="Note 2 2 2" xfId="6150"/>
    <cellStyle name="Note 2 2 2 2" xfId="6151"/>
    <cellStyle name="Note 2 2 2 2 2" xfId="6152"/>
    <cellStyle name="Note 2 2 2 2 2 2" xfId="6153"/>
    <cellStyle name="Note 2 2 2 2 2 3" xfId="6154"/>
    <cellStyle name="Note 2 2 2 2 3" xfId="6155"/>
    <cellStyle name="Note 2 2 2 2 4" xfId="6156"/>
    <cellStyle name="Note 2 2 2 3" xfId="6157"/>
    <cellStyle name="Note 2 2 2 3 2" xfId="6158"/>
    <cellStyle name="Note 2 2 2 3 2 2" xfId="6159"/>
    <cellStyle name="Note 2 2 2 3 2 3" xfId="6160"/>
    <cellStyle name="Note 2 2 2 3 3" xfId="6161"/>
    <cellStyle name="Note 2 2 2 3 4" xfId="6162"/>
    <cellStyle name="Note 2 2 2 4" xfId="6163"/>
    <cellStyle name="Note 2 2 2 4 2" xfId="6164"/>
    <cellStyle name="Note 2 2 2 4 2 2" xfId="6165"/>
    <cellStyle name="Note 2 2 2 4 2 3" xfId="6166"/>
    <cellStyle name="Note 2 2 2 4 3" xfId="6167"/>
    <cellStyle name="Note 2 2 2 4 4" xfId="6168"/>
    <cellStyle name="Note 2 2 2 5" xfId="6169"/>
    <cellStyle name="Note 2 2 2 5 2" xfId="6170"/>
    <cellStyle name="Note 2 2 2 5 2 2" xfId="6171"/>
    <cellStyle name="Note 2 2 2 5 2 3" xfId="6172"/>
    <cellStyle name="Note 2 2 2 5 3" xfId="6173"/>
    <cellStyle name="Note 2 2 2 5 4" xfId="6174"/>
    <cellStyle name="Note 2 2 2 6" xfId="6175"/>
    <cellStyle name="Note 2 2 2 6 2" xfId="6176"/>
    <cellStyle name="Note 2 2 2 6 3" xfId="6177"/>
    <cellStyle name="Note 2 2 2 7" xfId="6178"/>
    <cellStyle name="Note 2 2 2 8" xfId="6179"/>
    <cellStyle name="Note 2 2 3" xfId="6180"/>
    <cellStyle name="Note 2 2 3 2" xfId="6181"/>
    <cellStyle name="Note 2 2 3 2 2" xfId="6182"/>
    <cellStyle name="Note 2 2 3 2 3" xfId="6183"/>
    <cellStyle name="Note 2 2 3 3" xfId="6184"/>
    <cellStyle name="Note 2 2 3 4" xfId="6185"/>
    <cellStyle name="Note 2 2 4" xfId="6186"/>
    <cellStyle name="Note 2 2 4 2" xfId="6187"/>
    <cellStyle name="Note 2 2 4 2 2" xfId="6188"/>
    <cellStyle name="Note 2 2 4 2 3" xfId="6189"/>
    <cellStyle name="Note 2 2 4 3" xfId="6190"/>
    <cellStyle name="Note 2 2 4 4" xfId="6191"/>
    <cellStyle name="Note 2 2 5" xfId="6192"/>
    <cellStyle name="Note 2 2 5 2" xfId="6193"/>
    <cellStyle name="Note 2 2 5 2 2" xfId="6194"/>
    <cellStyle name="Note 2 2 5 2 3" xfId="6195"/>
    <cellStyle name="Note 2 2 5 3" xfId="6196"/>
    <cellStyle name="Note 2 2 5 4" xfId="6197"/>
    <cellStyle name="Note 2 2 6" xfId="6198"/>
    <cellStyle name="Note 2 2 6 2" xfId="6199"/>
    <cellStyle name="Note 2 2 6 2 2" xfId="6200"/>
    <cellStyle name="Note 2 2 6 2 3" xfId="6201"/>
    <cellStyle name="Note 2 2 6 3" xfId="6202"/>
    <cellStyle name="Note 2 2 6 4" xfId="6203"/>
    <cellStyle name="Note 2 2 7" xfId="6204"/>
    <cellStyle name="Note 2 2 7 2" xfId="6205"/>
    <cellStyle name="Note 2 2 7 3" xfId="6206"/>
    <cellStyle name="Note 2 2 8" xfId="6207"/>
    <cellStyle name="Note 2 2 9" xfId="6208"/>
    <cellStyle name="Note 2 3" xfId="6209"/>
    <cellStyle name="Note 2 3 2" xfId="6210"/>
    <cellStyle name="Note 2 3 2 2" xfId="6211"/>
    <cellStyle name="Note 2 3 2 2 2" xfId="6212"/>
    <cellStyle name="Note 2 3 2 2 2 2" xfId="6213"/>
    <cellStyle name="Note 2 3 2 2 2 3" xfId="6214"/>
    <cellStyle name="Note 2 3 2 2 3" xfId="6215"/>
    <cellStyle name="Note 2 3 2 2 4" xfId="6216"/>
    <cellStyle name="Note 2 3 2 3" xfId="6217"/>
    <cellStyle name="Note 2 3 2 3 2" xfId="6218"/>
    <cellStyle name="Note 2 3 2 3 2 2" xfId="6219"/>
    <cellStyle name="Note 2 3 2 3 2 3" xfId="6220"/>
    <cellStyle name="Note 2 3 2 3 3" xfId="6221"/>
    <cellStyle name="Note 2 3 2 3 4" xfId="6222"/>
    <cellStyle name="Note 2 3 2 4" xfId="6223"/>
    <cellStyle name="Note 2 3 2 4 2" xfId="6224"/>
    <cellStyle name="Note 2 3 2 4 2 2" xfId="6225"/>
    <cellStyle name="Note 2 3 2 4 2 3" xfId="6226"/>
    <cellStyle name="Note 2 3 2 4 3" xfId="6227"/>
    <cellStyle name="Note 2 3 2 4 4" xfId="6228"/>
    <cellStyle name="Note 2 3 2 5" xfId="6229"/>
    <cellStyle name="Note 2 3 2 5 2" xfId="6230"/>
    <cellStyle name="Note 2 3 2 5 2 2" xfId="6231"/>
    <cellStyle name="Note 2 3 2 5 2 3" xfId="6232"/>
    <cellStyle name="Note 2 3 2 5 3" xfId="6233"/>
    <cellStyle name="Note 2 3 2 5 4" xfId="6234"/>
    <cellStyle name="Note 2 3 2 6" xfId="6235"/>
    <cellStyle name="Note 2 3 2 6 2" xfId="6236"/>
    <cellStyle name="Note 2 3 2 6 3" xfId="6237"/>
    <cellStyle name="Note 2 3 2 7" xfId="6238"/>
    <cellStyle name="Note 2 3 2 8" xfId="6239"/>
    <cellStyle name="Note 2 3 3" xfId="6240"/>
    <cellStyle name="Note 2 3 3 2" xfId="6241"/>
    <cellStyle name="Note 2 3 3 2 2" xfId="6242"/>
    <cellStyle name="Note 2 3 3 2 3" xfId="6243"/>
    <cellStyle name="Note 2 3 3 3" xfId="6244"/>
    <cellStyle name="Note 2 3 3 4" xfId="6245"/>
    <cellStyle name="Note 2 3 4" xfId="6246"/>
    <cellStyle name="Note 2 3 4 2" xfId="6247"/>
    <cellStyle name="Note 2 3 4 2 2" xfId="6248"/>
    <cellStyle name="Note 2 3 4 2 3" xfId="6249"/>
    <cellStyle name="Note 2 3 4 3" xfId="6250"/>
    <cellStyle name="Note 2 3 4 4" xfId="6251"/>
    <cellStyle name="Note 2 3 5" xfId="6252"/>
    <cellStyle name="Note 2 3 5 2" xfId="6253"/>
    <cellStyle name="Note 2 3 5 2 2" xfId="6254"/>
    <cellStyle name="Note 2 3 5 2 3" xfId="6255"/>
    <cellStyle name="Note 2 3 5 3" xfId="6256"/>
    <cellStyle name="Note 2 3 5 4" xfId="6257"/>
    <cellStyle name="Note 2 3 6" xfId="6258"/>
    <cellStyle name="Note 2 3 6 2" xfId="6259"/>
    <cellStyle name="Note 2 3 6 2 2" xfId="6260"/>
    <cellStyle name="Note 2 3 6 2 3" xfId="6261"/>
    <cellStyle name="Note 2 3 6 3" xfId="6262"/>
    <cellStyle name="Note 2 3 6 4" xfId="6263"/>
    <cellStyle name="Note 2 3 7" xfId="6264"/>
    <cellStyle name="Note 2 3 7 2" xfId="6265"/>
    <cellStyle name="Note 2 3 7 3" xfId="6266"/>
    <cellStyle name="Note 2 3 8" xfId="6267"/>
    <cellStyle name="Note 2 3 9" xfId="6268"/>
    <cellStyle name="Note 2 4" xfId="6269"/>
    <cellStyle name="Note 2 4 2" xfId="6270"/>
    <cellStyle name="Note 2 4 2 2" xfId="6271"/>
    <cellStyle name="Note 2 4 2 2 2" xfId="6272"/>
    <cellStyle name="Note 2 4 2 2 2 2" xfId="6273"/>
    <cellStyle name="Note 2 4 2 2 2 3" xfId="6274"/>
    <cellStyle name="Note 2 4 2 2 3" xfId="6275"/>
    <cellStyle name="Note 2 4 2 2 4" xfId="6276"/>
    <cellStyle name="Note 2 4 2 3" xfId="6277"/>
    <cellStyle name="Note 2 4 2 3 2" xfId="6278"/>
    <cellStyle name="Note 2 4 2 3 2 2" xfId="6279"/>
    <cellStyle name="Note 2 4 2 3 2 3" xfId="6280"/>
    <cellStyle name="Note 2 4 2 3 3" xfId="6281"/>
    <cellStyle name="Note 2 4 2 3 4" xfId="6282"/>
    <cellStyle name="Note 2 4 2 4" xfId="6283"/>
    <cellStyle name="Note 2 4 2 4 2" xfId="6284"/>
    <cellStyle name="Note 2 4 2 4 2 2" xfId="6285"/>
    <cellStyle name="Note 2 4 2 4 2 3" xfId="6286"/>
    <cellStyle name="Note 2 4 2 4 3" xfId="6287"/>
    <cellStyle name="Note 2 4 2 4 4" xfId="6288"/>
    <cellStyle name="Note 2 4 2 5" xfId="6289"/>
    <cellStyle name="Note 2 4 2 5 2" xfId="6290"/>
    <cellStyle name="Note 2 4 2 5 2 2" xfId="6291"/>
    <cellStyle name="Note 2 4 2 5 2 3" xfId="6292"/>
    <cellStyle name="Note 2 4 2 5 3" xfId="6293"/>
    <cellStyle name="Note 2 4 2 5 4" xfId="6294"/>
    <cellStyle name="Note 2 4 2 6" xfId="6295"/>
    <cellStyle name="Note 2 4 2 6 2" xfId="6296"/>
    <cellStyle name="Note 2 4 2 6 3" xfId="6297"/>
    <cellStyle name="Note 2 4 2 7" xfId="6298"/>
    <cellStyle name="Note 2 4 2 8" xfId="6299"/>
    <cellStyle name="Note 2 4 3" xfId="6300"/>
    <cellStyle name="Note 2 4 3 2" xfId="6301"/>
    <cellStyle name="Note 2 4 3 2 2" xfId="6302"/>
    <cellStyle name="Note 2 4 3 2 3" xfId="6303"/>
    <cellStyle name="Note 2 4 3 3" xfId="6304"/>
    <cellStyle name="Note 2 4 3 4" xfId="6305"/>
    <cellStyle name="Note 2 4 4" xfId="6306"/>
    <cellStyle name="Note 2 4 4 2" xfId="6307"/>
    <cellStyle name="Note 2 4 4 2 2" xfId="6308"/>
    <cellStyle name="Note 2 4 4 2 3" xfId="6309"/>
    <cellStyle name="Note 2 4 4 3" xfId="6310"/>
    <cellStyle name="Note 2 4 4 4" xfId="6311"/>
    <cellStyle name="Note 2 4 5" xfId="6312"/>
    <cellStyle name="Note 2 4 5 2" xfId="6313"/>
    <cellStyle name="Note 2 4 5 2 2" xfId="6314"/>
    <cellStyle name="Note 2 4 5 2 3" xfId="6315"/>
    <cellStyle name="Note 2 4 5 3" xfId="6316"/>
    <cellStyle name="Note 2 4 5 4" xfId="6317"/>
    <cellStyle name="Note 2 4 6" xfId="6318"/>
    <cellStyle name="Note 2 4 6 2" xfId="6319"/>
    <cellStyle name="Note 2 4 6 2 2" xfId="6320"/>
    <cellStyle name="Note 2 4 6 2 3" xfId="6321"/>
    <cellStyle name="Note 2 4 6 3" xfId="6322"/>
    <cellStyle name="Note 2 4 6 4" xfId="6323"/>
    <cellStyle name="Note 2 4 7" xfId="6324"/>
    <cellStyle name="Note 2 4 7 2" xfId="6325"/>
    <cellStyle name="Note 2 4 7 3" xfId="6326"/>
    <cellStyle name="Note 2 4 8" xfId="6327"/>
    <cellStyle name="Note 2 4 9" xfId="6328"/>
    <cellStyle name="Note 2 5" xfId="6329"/>
    <cellStyle name="Note 2 5 2" xfId="6330"/>
    <cellStyle name="Note 2 5 2 2" xfId="6331"/>
    <cellStyle name="Note 2 5 2 2 2" xfId="6332"/>
    <cellStyle name="Note 2 5 2 2 3" xfId="6333"/>
    <cellStyle name="Note 2 5 2 3" xfId="6334"/>
    <cellStyle name="Note 2 5 2 4" xfId="6335"/>
    <cellStyle name="Note 2 5 3" xfId="6336"/>
    <cellStyle name="Note 2 5 3 2" xfId="6337"/>
    <cellStyle name="Note 2 5 3 2 2" xfId="6338"/>
    <cellStyle name="Note 2 5 3 2 3" xfId="6339"/>
    <cellStyle name="Note 2 5 3 3" xfId="6340"/>
    <cellStyle name="Note 2 5 3 4" xfId="6341"/>
    <cellStyle name="Note 2 5 4" xfId="6342"/>
    <cellStyle name="Note 2 5 4 2" xfId="6343"/>
    <cellStyle name="Note 2 5 4 2 2" xfId="6344"/>
    <cellStyle name="Note 2 5 4 2 3" xfId="6345"/>
    <cellStyle name="Note 2 5 4 3" xfId="6346"/>
    <cellStyle name="Note 2 5 4 4" xfId="6347"/>
    <cellStyle name="Note 2 5 5" xfId="6348"/>
    <cellStyle name="Note 2 5 5 2" xfId="6349"/>
    <cellStyle name="Note 2 5 5 2 2" xfId="6350"/>
    <cellStyle name="Note 2 5 5 2 3" xfId="6351"/>
    <cellStyle name="Note 2 5 5 3" xfId="6352"/>
    <cellStyle name="Note 2 5 5 4" xfId="6353"/>
    <cellStyle name="Note 2 5 6" xfId="6354"/>
    <cellStyle name="Note 2 5 6 2" xfId="6355"/>
    <cellStyle name="Note 2 5 6 3" xfId="6356"/>
    <cellStyle name="Note 2 5 7" xfId="6357"/>
    <cellStyle name="Note 2 5 8" xfId="6358"/>
    <cellStyle name="Note 2 6" xfId="6359"/>
    <cellStyle name="Note 2 6 2" xfId="6360"/>
    <cellStyle name="Note 2 6 2 2" xfId="6361"/>
    <cellStyle name="Note 2 6 2 3" xfId="6362"/>
    <cellStyle name="Note 2 6 3" xfId="6363"/>
    <cellStyle name="Note 2 6 4" xfId="6364"/>
    <cellStyle name="Note 2 7" xfId="6365"/>
    <cellStyle name="Note 2 7 2" xfId="6366"/>
    <cellStyle name="Note 2 7 2 2" xfId="6367"/>
    <cellStyle name="Note 2 7 2 3" xfId="6368"/>
    <cellStyle name="Note 2 7 3" xfId="6369"/>
    <cellStyle name="Note 2 7 4" xfId="6370"/>
    <cellStyle name="Note 2 8" xfId="6371"/>
    <cellStyle name="Note 2 8 2" xfId="6372"/>
    <cellStyle name="Note 2 8 2 2" xfId="6373"/>
    <cellStyle name="Note 2 8 2 3" xfId="6374"/>
    <cellStyle name="Note 2 8 3" xfId="6375"/>
    <cellStyle name="Note 2 8 4" xfId="6376"/>
    <cellStyle name="Note 2 9" xfId="6377"/>
    <cellStyle name="Note 2 9 2" xfId="6378"/>
    <cellStyle name="Note 2 9 2 2" xfId="6379"/>
    <cellStyle name="Note 2 9 2 3" xfId="6380"/>
    <cellStyle name="Note 2 9 3" xfId="6381"/>
    <cellStyle name="Note 2 9 4" xfId="6382"/>
    <cellStyle name="Note 3" xfId="6383"/>
    <cellStyle name="Note 3 2" xfId="6384"/>
    <cellStyle name="Note 3 2 2" xfId="6385"/>
    <cellStyle name="Note 3 2 2 2" xfId="6386"/>
    <cellStyle name="Note 3 2 2 2 2" xfId="6387"/>
    <cellStyle name="Note 3 2 2 2 3" xfId="6388"/>
    <cellStyle name="Note 3 2 2 3" xfId="6389"/>
    <cellStyle name="Note 3 2 2 4" xfId="6390"/>
    <cellStyle name="Note 3 2 3" xfId="6391"/>
    <cellStyle name="Note 3 2 3 2" xfId="6392"/>
    <cellStyle name="Note 3 2 3 2 2" xfId="6393"/>
    <cellStyle name="Note 3 2 3 2 3" xfId="6394"/>
    <cellStyle name="Note 3 2 3 3" xfId="6395"/>
    <cellStyle name="Note 3 2 3 4" xfId="6396"/>
    <cellStyle name="Note 3 2 4" xfId="6397"/>
    <cellStyle name="Note 3 2 4 2" xfId="6398"/>
    <cellStyle name="Note 3 2 4 2 2" xfId="6399"/>
    <cellStyle name="Note 3 2 4 2 3" xfId="6400"/>
    <cellStyle name="Note 3 2 4 3" xfId="6401"/>
    <cellStyle name="Note 3 2 4 4" xfId="6402"/>
    <cellStyle name="Note 3 2 5" xfId="6403"/>
    <cellStyle name="Note 3 2 5 2" xfId="6404"/>
    <cellStyle name="Note 3 2 5 2 2" xfId="6405"/>
    <cellStyle name="Note 3 2 5 2 3" xfId="6406"/>
    <cellStyle name="Note 3 2 5 3" xfId="6407"/>
    <cellStyle name="Note 3 2 5 4" xfId="6408"/>
    <cellStyle name="Note 3 2 6" xfId="6409"/>
    <cellStyle name="Note 3 2 6 2" xfId="6410"/>
    <cellStyle name="Note 3 2 6 3" xfId="6411"/>
    <cellStyle name="Note 3 2 7" xfId="6412"/>
    <cellStyle name="Note 3 2 8" xfId="6413"/>
    <cellStyle name="Note 3 3" xfId="6414"/>
    <cellStyle name="Note 3 3 2" xfId="6415"/>
    <cellStyle name="Note 3 3 2 2" xfId="6416"/>
    <cellStyle name="Note 3 3 2 3" xfId="6417"/>
    <cellStyle name="Note 3 3 3" xfId="6418"/>
    <cellStyle name="Note 3 3 4" xfId="6419"/>
    <cellStyle name="Note 3 4" xfId="6420"/>
    <cellStyle name="Note 3 4 2" xfId="6421"/>
    <cellStyle name="Note 3 4 2 2" xfId="6422"/>
    <cellStyle name="Note 3 4 2 3" xfId="6423"/>
    <cellStyle name="Note 3 4 3" xfId="6424"/>
    <cellStyle name="Note 3 4 4" xfId="6425"/>
    <cellStyle name="Note 3 5" xfId="6426"/>
    <cellStyle name="Note 3 5 2" xfId="6427"/>
    <cellStyle name="Note 3 5 2 2" xfId="6428"/>
    <cellStyle name="Note 3 5 2 3" xfId="6429"/>
    <cellStyle name="Note 3 5 3" xfId="6430"/>
    <cellStyle name="Note 3 5 4" xfId="6431"/>
    <cellStyle name="Note 3 6" xfId="6432"/>
    <cellStyle name="Note 3 6 2" xfId="6433"/>
    <cellStyle name="Note 3 6 2 2" xfId="6434"/>
    <cellStyle name="Note 3 6 2 3" xfId="6435"/>
    <cellStyle name="Note 3 6 3" xfId="6436"/>
    <cellStyle name="Note 3 6 4" xfId="6437"/>
    <cellStyle name="Note 3 7" xfId="6438"/>
    <cellStyle name="Note 3 7 2" xfId="6439"/>
    <cellStyle name="Note 3 7 3" xfId="6440"/>
    <cellStyle name="Note 3 8" xfId="6441"/>
    <cellStyle name="Note 3 9" xfId="6442"/>
    <cellStyle name="Note 4" xfId="6443"/>
    <cellStyle name="Note 4 2" xfId="6444"/>
    <cellStyle name="Note 4 2 2" xfId="6445"/>
    <cellStyle name="Note 4 2 2 2" xfId="6446"/>
    <cellStyle name="Note 4 2 2 2 2" xfId="6447"/>
    <cellStyle name="Note 4 2 2 2 3" xfId="6448"/>
    <cellStyle name="Note 4 2 2 3" xfId="6449"/>
    <cellStyle name="Note 4 2 2 4" xfId="6450"/>
    <cellStyle name="Note 4 2 3" xfId="6451"/>
    <cellStyle name="Note 4 2 3 2" xfId="6452"/>
    <cellStyle name="Note 4 2 3 2 2" xfId="6453"/>
    <cellStyle name="Note 4 2 3 2 3" xfId="6454"/>
    <cellStyle name="Note 4 2 3 3" xfId="6455"/>
    <cellStyle name="Note 4 2 3 4" xfId="6456"/>
    <cellStyle name="Note 4 2 4" xfId="6457"/>
    <cellStyle name="Note 4 2 4 2" xfId="6458"/>
    <cellStyle name="Note 4 2 4 2 2" xfId="6459"/>
    <cellStyle name="Note 4 2 4 2 3" xfId="6460"/>
    <cellStyle name="Note 4 2 4 3" xfId="6461"/>
    <cellStyle name="Note 4 2 4 4" xfId="6462"/>
    <cellStyle name="Note 4 2 5" xfId="6463"/>
    <cellStyle name="Note 4 2 5 2" xfId="6464"/>
    <cellStyle name="Note 4 2 5 2 2" xfId="6465"/>
    <cellStyle name="Note 4 2 5 2 3" xfId="6466"/>
    <cellStyle name="Note 4 2 5 3" xfId="6467"/>
    <cellStyle name="Note 4 2 5 4" xfId="6468"/>
    <cellStyle name="Note 4 2 6" xfId="6469"/>
    <cellStyle name="Note 4 2 6 2" xfId="6470"/>
    <cellStyle name="Note 4 2 6 3" xfId="6471"/>
    <cellStyle name="Note 4 2 7" xfId="6472"/>
    <cellStyle name="Note 4 2 8" xfId="6473"/>
    <cellStyle name="Note 4 3" xfId="6474"/>
    <cellStyle name="Note 4 3 2" xfId="6475"/>
    <cellStyle name="Note 4 3 2 2" xfId="6476"/>
    <cellStyle name="Note 4 3 2 3" xfId="6477"/>
    <cellStyle name="Note 4 3 3" xfId="6478"/>
    <cellStyle name="Note 4 3 4" xfId="6479"/>
    <cellStyle name="Note 4 4" xfId="6480"/>
    <cellStyle name="Note 4 4 2" xfId="6481"/>
    <cellStyle name="Note 4 4 2 2" xfId="6482"/>
    <cellStyle name="Note 4 4 2 3" xfId="6483"/>
    <cellStyle name="Note 4 4 3" xfId="6484"/>
    <cellStyle name="Note 4 4 4" xfId="6485"/>
    <cellStyle name="Note 4 5" xfId="6486"/>
    <cellStyle name="Note 4 5 2" xfId="6487"/>
    <cellStyle name="Note 4 5 2 2" xfId="6488"/>
    <cellStyle name="Note 4 5 2 3" xfId="6489"/>
    <cellStyle name="Note 4 5 3" xfId="6490"/>
    <cellStyle name="Note 4 5 4" xfId="6491"/>
    <cellStyle name="Note 4 6" xfId="6492"/>
    <cellStyle name="Note 4 6 2" xfId="6493"/>
    <cellStyle name="Note 4 6 2 2" xfId="6494"/>
    <cellStyle name="Note 4 6 2 3" xfId="6495"/>
    <cellStyle name="Note 4 6 3" xfId="6496"/>
    <cellStyle name="Note 4 6 4" xfId="6497"/>
    <cellStyle name="Note 4 7" xfId="6498"/>
    <cellStyle name="Note 4 7 2" xfId="6499"/>
    <cellStyle name="Note 4 7 3" xfId="6500"/>
    <cellStyle name="Note 4 8" xfId="6501"/>
    <cellStyle name="Note 4 9" xfId="6502"/>
    <cellStyle name="Note 5" xfId="6503"/>
    <cellStyle name="Note 5 2" xfId="6504"/>
    <cellStyle name="Note 5 2 2" xfId="6505"/>
    <cellStyle name="Note 5 2 2 2" xfId="6506"/>
    <cellStyle name="Note 5 2 2 2 2" xfId="6507"/>
    <cellStyle name="Note 5 2 2 2 3" xfId="6508"/>
    <cellStyle name="Note 5 2 2 3" xfId="6509"/>
    <cellStyle name="Note 5 2 2 4" xfId="6510"/>
    <cellStyle name="Note 5 2 3" xfId="6511"/>
    <cellStyle name="Note 5 2 3 2" xfId="6512"/>
    <cellStyle name="Note 5 2 3 2 2" xfId="6513"/>
    <cellStyle name="Note 5 2 3 2 3" xfId="6514"/>
    <cellStyle name="Note 5 2 3 3" xfId="6515"/>
    <cellStyle name="Note 5 2 3 4" xfId="6516"/>
    <cellStyle name="Note 5 2 4" xfId="6517"/>
    <cellStyle name="Note 5 2 4 2" xfId="6518"/>
    <cellStyle name="Note 5 2 4 2 2" xfId="6519"/>
    <cellStyle name="Note 5 2 4 2 3" xfId="6520"/>
    <cellStyle name="Note 5 2 4 3" xfId="6521"/>
    <cellStyle name="Note 5 2 4 4" xfId="6522"/>
    <cellStyle name="Note 5 2 5" xfId="6523"/>
    <cellStyle name="Note 5 2 5 2" xfId="6524"/>
    <cellStyle name="Note 5 2 5 2 2" xfId="6525"/>
    <cellStyle name="Note 5 2 5 2 3" xfId="6526"/>
    <cellStyle name="Note 5 2 5 3" xfId="6527"/>
    <cellStyle name="Note 5 2 5 4" xfId="6528"/>
    <cellStyle name="Note 5 2 6" xfId="6529"/>
    <cellStyle name="Note 5 2 6 2" xfId="6530"/>
    <cellStyle name="Note 5 2 6 3" xfId="6531"/>
    <cellStyle name="Note 5 2 7" xfId="6532"/>
    <cellStyle name="Note 5 2 8" xfId="6533"/>
    <cellStyle name="Note 5 3" xfId="6534"/>
    <cellStyle name="Note 5 3 2" xfId="6535"/>
    <cellStyle name="Note 5 3 2 2" xfId="6536"/>
    <cellStyle name="Note 5 3 2 3" xfId="6537"/>
    <cellStyle name="Note 5 3 3" xfId="6538"/>
    <cellStyle name="Note 5 3 4" xfId="6539"/>
    <cellStyle name="Note 5 4" xfId="6540"/>
    <cellStyle name="Note 5 4 2" xfId="6541"/>
    <cellStyle name="Note 5 4 2 2" xfId="6542"/>
    <cellStyle name="Note 5 4 2 3" xfId="6543"/>
    <cellStyle name="Note 5 4 3" xfId="6544"/>
    <cellStyle name="Note 5 4 4" xfId="6545"/>
    <cellStyle name="Note 5 5" xfId="6546"/>
    <cellStyle name="Note 5 5 2" xfId="6547"/>
    <cellStyle name="Note 5 5 2 2" xfId="6548"/>
    <cellStyle name="Note 5 5 2 3" xfId="6549"/>
    <cellStyle name="Note 5 5 3" xfId="6550"/>
    <cellStyle name="Note 5 5 4" xfId="6551"/>
    <cellStyle name="Note 5 6" xfId="6552"/>
    <cellStyle name="Note 5 6 2" xfId="6553"/>
    <cellStyle name="Note 5 6 2 2" xfId="6554"/>
    <cellStyle name="Note 5 6 2 3" xfId="6555"/>
    <cellStyle name="Note 5 6 3" xfId="6556"/>
    <cellStyle name="Note 5 6 4" xfId="6557"/>
    <cellStyle name="Note 5 7" xfId="6558"/>
    <cellStyle name="Note 5 7 2" xfId="6559"/>
    <cellStyle name="Note 5 7 3" xfId="6560"/>
    <cellStyle name="Note 5 8" xfId="6561"/>
    <cellStyle name="Note 5 9" xfId="6562"/>
    <cellStyle name="Note 6" xfId="6563"/>
    <cellStyle name="Note 6 2" xfId="6564"/>
    <cellStyle name="Note 6 3" xfId="6565"/>
    <cellStyle name="Note 7" xfId="6566"/>
    <cellStyle name="Note 7 2" xfId="6567"/>
    <cellStyle name="Note 7 3" xfId="6568"/>
    <cellStyle name="Note 8" xfId="6569"/>
    <cellStyle name="Note 8 2" xfId="6570"/>
    <cellStyle name="Note 8 3" xfId="6571"/>
    <cellStyle name="Note 9" xfId="6572"/>
    <cellStyle name="Note 9 2" xfId="6573"/>
    <cellStyle name="Note 9 3" xfId="6574"/>
    <cellStyle name="Nuovo" xfId="6575"/>
    <cellStyle name="Percent" xfId="1" builtinId="5"/>
    <cellStyle name="Percent 10" xfId="6576"/>
    <cellStyle name="Percent 10 2" xfId="6577"/>
    <cellStyle name="Percent 10 2 2" xfId="6578"/>
    <cellStyle name="Percent 10 2 2 2" xfId="6579"/>
    <cellStyle name="Percent 10 2 2 3" xfId="6580"/>
    <cellStyle name="Percent 10 2 3" xfId="6581"/>
    <cellStyle name="Percent 10 2 4" xfId="6582"/>
    <cellStyle name="Percent 10 3" xfId="6583"/>
    <cellStyle name="Percent 10 3 2" xfId="6584"/>
    <cellStyle name="Percent 10 3 2 2" xfId="6585"/>
    <cellStyle name="Percent 10 3 2 3" xfId="6586"/>
    <cellStyle name="Percent 10 3 3" xfId="6587"/>
    <cellStyle name="Percent 10 3 4" xfId="6588"/>
    <cellStyle name="Percent 10 4" xfId="6589"/>
    <cellStyle name="Percent 10 4 2" xfId="6590"/>
    <cellStyle name="Percent 10 4 2 2" xfId="6591"/>
    <cellStyle name="Percent 10 4 2 3" xfId="6592"/>
    <cellStyle name="Percent 10 4 3" xfId="6593"/>
    <cellStyle name="Percent 10 4 4" xfId="6594"/>
    <cellStyle name="Percent 10 5" xfId="6595"/>
    <cellStyle name="Percent 10 5 2" xfId="6596"/>
    <cellStyle name="Percent 10 5 2 2" xfId="6597"/>
    <cellStyle name="Percent 10 5 2 3" xfId="6598"/>
    <cellStyle name="Percent 10 5 3" xfId="6599"/>
    <cellStyle name="Percent 10 5 4" xfId="6600"/>
    <cellStyle name="Percent 10 6" xfId="6601"/>
    <cellStyle name="Percent 10 6 2" xfId="6602"/>
    <cellStyle name="Percent 10 6 3" xfId="6603"/>
    <cellStyle name="Percent 10 7" xfId="6604"/>
    <cellStyle name="Percent 10 8" xfId="6605"/>
    <cellStyle name="Percent 12" xfId="6606"/>
    <cellStyle name="Percent 12 2" xfId="6607"/>
    <cellStyle name="Percent 12 3" xfId="6608"/>
    <cellStyle name="Percent 13" xfId="6609"/>
    <cellStyle name="Percent 13 2" xfId="6610"/>
    <cellStyle name="Percent 13 3" xfId="6611"/>
    <cellStyle name="Percent 2" xfId="2434"/>
    <cellStyle name="Percent 2 10" xfId="6612"/>
    <cellStyle name="Percent 2 10 2" xfId="6613"/>
    <cellStyle name="Percent 2 10 2 2" xfId="6614"/>
    <cellStyle name="Percent 2 10 2 2 2" xfId="6615"/>
    <cellStyle name="Percent 2 10 2 2 3" xfId="6616"/>
    <cellStyle name="Percent 2 10 2 3" xfId="6617"/>
    <cellStyle name="Percent 2 10 2 4" xfId="6618"/>
    <cellStyle name="Percent 2 10 3" xfId="6619"/>
    <cellStyle name="Percent 2 10 3 2" xfId="6620"/>
    <cellStyle name="Percent 2 10 3 2 2" xfId="6621"/>
    <cellStyle name="Percent 2 10 3 2 3" xfId="6622"/>
    <cellStyle name="Percent 2 10 3 3" xfId="6623"/>
    <cellStyle name="Percent 2 10 3 4" xfId="6624"/>
    <cellStyle name="Percent 2 10 4" xfId="6625"/>
    <cellStyle name="Percent 2 10 4 2" xfId="6626"/>
    <cellStyle name="Percent 2 10 4 2 2" xfId="6627"/>
    <cellStyle name="Percent 2 10 4 2 3" xfId="6628"/>
    <cellStyle name="Percent 2 10 4 3" xfId="6629"/>
    <cellStyle name="Percent 2 10 4 4" xfId="6630"/>
    <cellStyle name="Percent 2 10 5" xfId="6631"/>
    <cellStyle name="Percent 2 10 5 2" xfId="6632"/>
    <cellStyle name="Percent 2 10 5 2 2" xfId="6633"/>
    <cellStyle name="Percent 2 10 5 2 3" xfId="6634"/>
    <cellStyle name="Percent 2 10 5 3" xfId="6635"/>
    <cellStyle name="Percent 2 10 5 4" xfId="6636"/>
    <cellStyle name="Percent 2 10 6" xfId="6637"/>
    <cellStyle name="Percent 2 10 6 2" xfId="6638"/>
    <cellStyle name="Percent 2 10 6 3" xfId="6639"/>
    <cellStyle name="Percent 2 10 7" xfId="6640"/>
    <cellStyle name="Percent 2 10 8" xfId="6641"/>
    <cellStyle name="Percent 2 11" xfId="6642"/>
    <cellStyle name="Percent 2 11 2" xfId="6643"/>
    <cellStyle name="Percent 2 11 2 2" xfId="6644"/>
    <cellStyle name="Percent 2 11 2 2 2" xfId="6645"/>
    <cellStyle name="Percent 2 11 2 2 3" xfId="6646"/>
    <cellStyle name="Percent 2 11 2 3" xfId="6647"/>
    <cellStyle name="Percent 2 11 2 4" xfId="6648"/>
    <cellStyle name="Percent 2 11 3" xfId="6649"/>
    <cellStyle name="Percent 2 11 3 2" xfId="6650"/>
    <cellStyle name="Percent 2 11 3 2 2" xfId="6651"/>
    <cellStyle name="Percent 2 11 3 2 3" xfId="6652"/>
    <cellStyle name="Percent 2 11 3 3" xfId="6653"/>
    <cellStyle name="Percent 2 11 3 4" xfId="6654"/>
    <cellStyle name="Percent 2 11 4" xfId="6655"/>
    <cellStyle name="Percent 2 11 4 2" xfId="6656"/>
    <cellStyle name="Percent 2 11 4 2 2" xfId="6657"/>
    <cellStyle name="Percent 2 11 4 2 3" xfId="6658"/>
    <cellStyle name="Percent 2 11 4 3" xfId="6659"/>
    <cellStyle name="Percent 2 11 4 4" xfId="6660"/>
    <cellStyle name="Percent 2 11 5" xfId="6661"/>
    <cellStyle name="Percent 2 11 5 2" xfId="6662"/>
    <cellStyle name="Percent 2 11 5 2 2" xfId="6663"/>
    <cellStyle name="Percent 2 11 5 2 3" xfId="6664"/>
    <cellStyle name="Percent 2 11 5 3" xfId="6665"/>
    <cellStyle name="Percent 2 11 5 4" xfId="6666"/>
    <cellStyle name="Percent 2 11 6" xfId="6667"/>
    <cellStyle name="Percent 2 11 6 2" xfId="6668"/>
    <cellStyle name="Percent 2 11 6 3" xfId="6669"/>
    <cellStyle name="Percent 2 11 7" xfId="6670"/>
    <cellStyle name="Percent 2 11 8" xfId="6671"/>
    <cellStyle name="Percent 2 12" xfId="6672"/>
    <cellStyle name="Percent 2 12 2" xfId="6673"/>
    <cellStyle name="Percent 2 12 2 2" xfId="6674"/>
    <cellStyle name="Percent 2 12 2 2 2" xfId="6675"/>
    <cellStyle name="Percent 2 12 2 2 3" xfId="6676"/>
    <cellStyle name="Percent 2 12 2 3" xfId="6677"/>
    <cellStyle name="Percent 2 12 2 4" xfId="6678"/>
    <cellStyle name="Percent 2 12 3" xfId="6679"/>
    <cellStyle name="Percent 2 12 3 2" xfId="6680"/>
    <cellStyle name="Percent 2 12 3 2 2" xfId="6681"/>
    <cellStyle name="Percent 2 12 3 2 3" xfId="6682"/>
    <cellStyle name="Percent 2 12 3 3" xfId="6683"/>
    <cellStyle name="Percent 2 12 3 4" xfId="6684"/>
    <cellStyle name="Percent 2 12 4" xfId="6685"/>
    <cellStyle name="Percent 2 12 4 2" xfId="6686"/>
    <cellStyle name="Percent 2 12 4 2 2" xfId="6687"/>
    <cellStyle name="Percent 2 12 4 2 3" xfId="6688"/>
    <cellStyle name="Percent 2 12 4 3" xfId="6689"/>
    <cellStyle name="Percent 2 12 4 4" xfId="6690"/>
    <cellStyle name="Percent 2 12 5" xfId="6691"/>
    <cellStyle name="Percent 2 12 5 2" xfId="6692"/>
    <cellStyle name="Percent 2 12 5 2 2" xfId="6693"/>
    <cellStyle name="Percent 2 12 5 2 3" xfId="6694"/>
    <cellStyle name="Percent 2 12 5 3" xfId="6695"/>
    <cellStyle name="Percent 2 12 5 4" xfId="6696"/>
    <cellStyle name="Percent 2 12 6" xfId="6697"/>
    <cellStyle name="Percent 2 12 6 2" xfId="6698"/>
    <cellStyle name="Percent 2 12 6 3" xfId="6699"/>
    <cellStyle name="Percent 2 12 7" xfId="6700"/>
    <cellStyle name="Percent 2 12 8" xfId="6701"/>
    <cellStyle name="Percent 2 13" xfId="6702"/>
    <cellStyle name="Percent 2 13 2" xfId="6703"/>
    <cellStyle name="Percent 2 13 2 2" xfId="6704"/>
    <cellStyle name="Percent 2 13 2 2 2" xfId="6705"/>
    <cellStyle name="Percent 2 13 2 2 3" xfId="6706"/>
    <cellStyle name="Percent 2 13 2 3" xfId="6707"/>
    <cellStyle name="Percent 2 13 2 4" xfId="6708"/>
    <cellStyle name="Percent 2 13 3" xfId="6709"/>
    <cellStyle name="Percent 2 13 3 2" xfId="6710"/>
    <cellStyle name="Percent 2 13 3 2 2" xfId="6711"/>
    <cellStyle name="Percent 2 13 3 2 3" xfId="6712"/>
    <cellStyle name="Percent 2 13 3 3" xfId="6713"/>
    <cellStyle name="Percent 2 13 3 4" xfId="6714"/>
    <cellStyle name="Percent 2 13 4" xfId="6715"/>
    <cellStyle name="Percent 2 13 4 2" xfId="6716"/>
    <cellStyle name="Percent 2 13 4 2 2" xfId="6717"/>
    <cellStyle name="Percent 2 13 4 2 3" xfId="6718"/>
    <cellStyle name="Percent 2 13 4 3" xfId="6719"/>
    <cellStyle name="Percent 2 13 4 4" xfId="6720"/>
    <cellStyle name="Percent 2 13 5" xfId="6721"/>
    <cellStyle name="Percent 2 13 5 2" xfId="6722"/>
    <cellStyle name="Percent 2 13 5 2 2" xfId="6723"/>
    <cellStyle name="Percent 2 13 5 2 3" xfId="6724"/>
    <cellStyle name="Percent 2 13 5 3" xfId="6725"/>
    <cellStyle name="Percent 2 13 5 4" xfId="6726"/>
    <cellStyle name="Percent 2 13 6" xfId="6727"/>
    <cellStyle name="Percent 2 13 6 2" xfId="6728"/>
    <cellStyle name="Percent 2 13 6 3" xfId="6729"/>
    <cellStyle name="Percent 2 13 7" xfId="6730"/>
    <cellStyle name="Percent 2 13 8" xfId="6731"/>
    <cellStyle name="Percent 2 14" xfId="6732"/>
    <cellStyle name="Percent 2 15" xfId="6733"/>
    <cellStyle name="Percent 2 16" xfId="6734"/>
    <cellStyle name="Percent 2 17" xfId="6735"/>
    <cellStyle name="Percent 2 18" xfId="6736"/>
    <cellStyle name="Percent 2 19" xfId="6737"/>
    <cellStyle name="Percent 2 2" xfId="2350"/>
    <cellStyle name="Percent 2 2 10" xfId="6738"/>
    <cellStyle name="Percent 2 2 11" xfId="6739"/>
    <cellStyle name="Percent 2 2 12" xfId="6740"/>
    <cellStyle name="Percent 2 2 13" xfId="6741"/>
    <cellStyle name="Percent 2 2 14" xfId="6742"/>
    <cellStyle name="Percent 2 2 15" xfId="6743"/>
    <cellStyle name="Percent 2 2 15 2" xfId="6744"/>
    <cellStyle name="Percent 2 2 15 2 2" xfId="6745"/>
    <cellStyle name="Percent 2 2 15 2 3" xfId="6746"/>
    <cellStyle name="Percent 2 2 15 3" xfId="6747"/>
    <cellStyle name="Percent 2 2 15 4" xfId="6748"/>
    <cellStyle name="Percent 2 2 16" xfId="6749"/>
    <cellStyle name="Percent 2 2 16 2" xfId="6750"/>
    <cellStyle name="Percent 2 2 16 2 2" xfId="6751"/>
    <cellStyle name="Percent 2 2 16 2 3" xfId="6752"/>
    <cellStyle name="Percent 2 2 16 3" xfId="6753"/>
    <cellStyle name="Percent 2 2 16 4" xfId="6754"/>
    <cellStyle name="Percent 2 2 17" xfId="6755"/>
    <cellStyle name="Percent 2 2 17 2" xfId="6756"/>
    <cellStyle name="Percent 2 2 17 2 2" xfId="6757"/>
    <cellStyle name="Percent 2 2 17 2 3" xfId="6758"/>
    <cellStyle name="Percent 2 2 17 3" xfId="6759"/>
    <cellStyle name="Percent 2 2 17 4" xfId="6760"/>
    <cellStyle name="Percent 2 2 18" xfId="6761"/>
    <cellStyle name="Percent 2 2 18 2" xfId="6762"/>
    <cellStyle name="Percent 2 2 18 2 2" xfId="6763"/>
    <cellStyle name="Percent 2 2 18 2 3" xfId="6764"/>
    <cellStyle name="Percent 2 2 18 3" xfId="6765"/>
    <cellStyle name="Percent 2 2 18 4" xfId="6766"/>
    <cellStyle name="Percent 2 2 2" xfId="5"/>
    <cellStyle name="Percent 2 2 2 10" xfId="6767"/>
    <cellStyle name="Percent 2 2 2 2" xfId="6768"/>
    <cellStyle name="Percent 2 2 2 3" xfId="6769"/>
    <cellStyle name="Percent 2 2 2 4" xfId="6770"/>
    <cellStyle name="Percent 2 2 2 5" xfId="6771"/>
    <cellStyle name="Percent 2 2 2 6" xfId="6772"/>
    <cellStyle name="Percent 2 2 2 7" xfId="6773"/>
    <cellStyle name="Percent 2 2 2 8" xfId="6774"/>
    <cellStyle name="Percent 2 2 2 9" xfId="6775"/>
    <cellStyle name="Percent 2 2 3" xfId="6776"/>
    <cellStyle name="Percent 2 2 4" xfId="6777"/>
    <cellStyle name="Percent 2 2 5" xfId="6778"/>
    <cellStyle name="Percent 2 2 6" xfId="6779"/>
    <cellStyle name="Percent 2 2 7" xfId="6780"/>
    <cellStyle name="Percent 2 2 8" xfId="6781"/>
    <cellStyle name="Percent 2 2 9" xfId="6782"/>
    <cellStyle name="Percent 2 20" xfId="6783"/>
    <cellStyle name="Percent 2 21" xfId="6784"/>
    <cellStyle name="Percent 2 22" xfId="6785"/>
    <cellStyle name="Percent 2 23" xfId="6786"/>
    <cellStyle name="Percent 2 24" xfId="6787"/>
    <cellStyle name="Percent 2 24 2" xfId="6788"/>
    <cellStyle name="Percent 2 24 3" xfId="6789"/>
    <cellStyle name="Percent 2 25" xfId="6790"/>
    <cellStyle name="Percent 2 26" xfId="6791"/>
    <cellStyle name="Percent 2 3" xfId="6792"/>
    <cellStyle name="Percent 2 3 2" xfId="6793"/>
    <cellStyle name="Percent 2 3 2 2" xfId="6794"/>
    <cellStyle name="Percent 2 3 2 2 2" xfId="6795"/>
    <cellStyle name="Percent 2 3 2 2 2 2" xfId="6796"/>
    <cellStyle name="Percent 2 3 2 2 2 3" xfId="6797"/>
    <cellStyle name="Percent 2 3 2 2 3" xfId="6798"/>
    <cellStyle name="Percent 2 3 2 2 4" xfId="6799"/>
    <cellStyle name="Percent 2 3 2 3" xfId="6800"/>
    <cellStyle name="Percent 2 3 2 3 2" xfId="6801"/>
    <cellStyle name="Percent 2 3 2 3 2 2" xfId="6802"/>
    <cellStyle name="Percent 2 3 2 3 2 3" xfId="6803"/>
    <cellStyle name="Percent 2 3 2 3 3" xfId="6804"/>
    <cellStyle name="Percent 2 3 2 3 4" xfId="6805"/>
    <cellStyle name="Percent 2 3 2 4" xfId="6806"/>
    <cellStyle name="Percent 2 3 2 4 2" xfId="6807"/>
    <cellStyle name="Percent 2 3 2 4 2 2" xfId="6808"/>
    <cellStyle name="Percent 2 3 2 4 2 3" xfId="6809"/>
    <cellStyle name="Percent 2 3 2 4 3" xfId="6810"/>
    <cellStyle name="Percent 2 3 2 4 4" xfId="6811"/>
    <cellStyle name="Percent 2 3 2 5" xfId="6812"/>
    <cellStyle name="Percent 2 3 2 5 2" xfId="6813"/>
    <cellStyle name="Percent 2 3 2 5 2 2" xfId="6814"/>
    <cellStyle name="Percent 2 3 2 5 2 3" xfId="6815"/>
    <cellStyle name="Percent 2 3 2 5 3" xfId="6816"/>
    <cellStyle name="Percent 2 3 2 5 4" xfId="6817"/>
    <cellStyle name="Percent 2 3 2 6" xfId="6818"/>
    <cellStyle name="Percent 2 3 2 6 2" xfId="6819"/>
    <cellStyle name="Percent 2 3 2 6 3" xfId="6820"/>
    <cellStyle name="Percent 2 3 2 7" xfId="6821"/>
    <cellStyle name="Percent 2 3 2 8" xfId="6822"/>
    <cellStyle name="Percent 2 3 3" xfId="6823"/>
    <cellStyle name="Percent 2 3 3 2" xfId="6824"/>
    <cellStyle name="Percent 2 3 3 2 2" xfId="6825"/>
    <cellStyle name="Percent 2 3 3 2 3" xfId="6826"/>
    <cellStyle name="Percent 2 3 3 3" xfId="6827"/>
    <cellStyle name="Percent 2 3 3 4" xfId="6828"/>
    <cellStyle name="Percent 2 3 4" xfId="6829"/>
    <cellStyle name="Percent 2 3 4 2" xfId="6830"/>
    <cellStyle name="Percent 2 3 4 2 2" xfId="6831"/>
    <cellStyle name="Percent 2 3 4 2 3" xfId="6832"/>
    <cellStyle name="Percent 2 3 4 3" xfId="6833"/>
    <cellStyle name="Percent 2 3 4 4" xfId="6834"/>
    <cellStyle name="Percent 2 3 5" xfId="6835"/>
    <cellStyle name="Percent 2 3 5 2" xfId="6836"/>
    <cellStyle name="Percent 2 3 5 2 2" xfId="6837"/>
    <cellStyle name="Percent 2 3 5 2 3" xfId="6838"/>
    <cellStyle name="Percent 2 3 5 3" xfId="6839"/>
    <cellStyle name="Percent 2 3 5 4" xfId="6840"/>
    <cellStyle name="Percent 2 3 6" xfId="6841"/>
    <cellStyle name="Percent 2 3 6 2" xfId="6842"/>
    <cellStyle name="Percent 2 3 6 2 2" xfId="6843"/>
    <cellStyle name="Percent 2 3 6 2 3" xfId="6844"/>
    <cellStyle name="Percent 2 3 6 3" xfId="6845"/>
    <cellStyle name="Percent 2 3 6 4" xfId="6846"/>
    <cellStyle name="Percent 2 3 7" xfId="6847"/>
    <cellStyle name="Percent 2 3 7 2" xfId="6848"/>
    <cellStyle name="Percent 2 3 7 3" xfId="6849"/>
    <cellStyle name="Percent 2 3 8" xfId="6850"/>
    <cellStyle name="Percent 2 3 9" xfId="6851"/>
    <cellStyle name="Percent 2 4" xfId="6852"/>
    <cellStyle name="Percent 2 4 2" xfId="6853"/>
    <cellStyle name="Percent 2 4 2 2" xfId="6854"/>
    <cellStyle name="Percent 2 4 2 2 2" xfId="6855"/>
    <cellStyle name="Percent 2 4 2 2 2 2" xfId="6856"/>
    <cellStyle name="Percent 2 4 2 2 2 3" xfId="6857"/>
    <cellStyle name="Percent 2 4 2 2 3" xfId="6858"/>
    <cellStyle name="Percent 2 4 2 2 4" xfId="6859"/>
    <cellStyle name="Percent 2 4 2 3" xfId="6860"/>
    <cellStyle name="Percent 2 4 2 3 2" xfId="6861"/>
    <cellStyle name="Percent 2 4 2 3 2 2" xfId="6862"/>
    <cellStyle name="Percent 2 4 2 3 2 3" xfId="6863"/>
    <cellStyle name="Percent 2 4 2 3 3" xfId="6864"/>
    <cellStyle name="Percent 2 4 2 3 4" xfId="6865"/>
    <cellStyle name="Percent 2 4 2 4" xfId="6866"/>
    <cellStyle name="Percent 2 4 2 4 2" xfId="6867"/>
    <cellStyle name="Percent 2 4 2 4 2 2" xfId="6868"/>
    <cellStyle name="Percent 2 4 2 4 2 3" xfId="6869"/>
    <cellStyle name="Percent 2 4 2 4 3" xfId="6870"/>
    <cellStyle name="Percent 2 4 2 4 4" xfId="6871"/>
    <cellStyle name="Percent 2 4 2 5" xfId="6872"/>
    <cellStyle name="Percent 2 4 2 5 2" xfId="6873"/>
    <cellStyle name="Percent 2 4 2 5 2 2" xfId="6874"/>
    <cellStyle name="Percent 2 4 2 5 2 3" xfId="6875"/>
    <cellStyle name="Percent 2 4 2 5 3" xfId="6876"/>
    <cellStyle name="Percent 2 4 2 5 4" xfId="6877"/>
    <cellStyle name="Percent 2 4 2 6" xfId="6878"/>
    <cellStyle name="Percent 2 4 2 6 2" xfId="6879"/>
    <cellStyle name="Percent 2 4 2 6 3" xfId="6880"/>
    <cellStyle name="Percent 2 4 2 7" xfId="6881"/>
    <cellStyle name="Percent 2 4 2 8" xfId="6882"/>
    <cellStyle name="Percent 2 4 3" xfId="6883"/>
    <cellStyle name="Percent 2 4 3 2" xfId="6884"/>
    <cellStyle name="Percent 2 4 3 2 2" xfId="6885"/>
    <cellStyle name="Percent 2 4 3 2 3" xfId="6886"/>
    <cellStyle name="Percent 2 4 3 3" xfId="6887"/>
    <cellStyle name="Percent 2 4 3 4" xfId="6888"/>
    <cellStyle name="Percent 2 4 4" xfId="6889"/>
    <cellStyle name="Percent 2 4 4 2" xfId="6890"/>
    <cellStyle name="Percent 2 4 4 2 2" xfId="6891"/>
    <cellStyle name="Percent 2 4 4 2 3" xfId="6892"/>
    <cellStyle name="Percent 2 4 4 3" xfId="6893"/>
    <cellStyle name="Percent 2 4 4 4" xfId="6894"/>
    <cellStyle name="Percent 2 4 5" xfId="6895"/>
    <cellStyle name="Percent 2 4 5 2" xfId="6896"/>
    <cellStyle name="Percent 2 4 5 2 2" xfId="6897"/>
    <cellStyle name="Percent 2 4 5 2 3" xfId="6898"/>
    <cellStyle name="Percent 2 4 5 3" xfId="6899"/>
    <cellStyle name="Percent 2 4 5 4" xfId="6900"/>
    <cellStyle name="Percent 2 4 6" xfId="6901"/>
    <cellStyle name="Percent 2 4 6 2" xfId="6902"/>
    <cellStyle name="Percent 2 4 6 2 2" xfId="6903"/>
    <cellStyle name="Percent 2 4 6 2 3" xfId="6904"/>
    <cellStyle name="Percent 2 4 6 3" xfId="6905"/>
    <cellStyle name="Percent 2 4 6 4" xfId="6906"/>
    <cellStyle name="Percent 2 4 7" xfId="6907"/>
    <cellStyle name="Percent 2 4 7 2" xfId="6908"/>
    <cellStyle name="Percent 2 4 7 3" xfId="6909"/>
    <cellStyle name="Percent 2 4 8" xfId="6910"/>
    <cellStyle name="Percent 2 4 9" xfId="6911"/>
    <cellStyle name="Percent 2 5" xfId="6912"/>
    <cellStyle name="Percent 2 5 2" xfId="6913"/>
    <cellStyle name="Percent 2 5 2 2" xfId="6914"/>
    <cellStyle name="Percent 2 5 2 2 2" xfId="6915"/>
    <cellStyle name="Percent 2 5 2 2 2 2" xfId="6916"/>
    <cellStyle name="Percent 2 5 2 2 2 3" xfId="6917"/>
    <cellStyle name="Percent 2 5 2 2 3" xfId="6918"/>
    <cellStyle name="Percent 2 5 2 2 4" xfId="6919"/>
    <cellStyle name="Percent 2 5 2 3" xfId="6920"/>
    <cellStyle name="Percent 2 5 2 3 2" xfId="6921"/>
    <cellStyle name="Percent 2 5 2 3 2 2" xfId="6922"/>
    <cellStyle name="Percent 2 5 2 3 2 3" xfId="6923"/>
    <cellStyle name="Percent 2 5 2 3 3" xfId="6924"/>
    <cellStyle name="Percent 2 5 2 3 4" xfId="6925"/>
    <cellStyle name="Percent 2 5 2 4" xfId="6926"/>
    <cellStyle name="Percent 2 5 2 4 2" xfId="6927"/>
    <cellStyle name="Percent 2 5 2 4 2 2" xfId="6928"/>
    <cellStyle name="Percent 2 5 2 4 2 3" xfId="6929"/>
    <cellStyle name="Percent 2 5 2 4 3" xfId="6930"/>
    <cellStyle name="Percent 2 5 2 4 4" xfId="6931"/>
    <cellStyle name="Percent 2 5 2 5" xfId="6932"/>
    <cellStyle name="Percent 2 5 2 5 2" xfId="6933"/>
    <cellStyle name="Percent 2 5 2 5 2 2" xfId="6934"/>
    <cellStyle name="Percent 2 5 2 5 2 3" xfId="6935"/>
    <cellStyle name="Percent 2 5 2 5 3" xfId="6936"/>
    <cellStyle name="Percent 2 5 2 5 4" xfId="6937"/>
    <cellStyle name="Percent 2 5 2 6" xfId="6938"/>
    <cellStyle name="Percent 2 5 2 6 2" xfId="6939"/>
    <cellStyle name="Percent 2 5 2 6 3" xfId="6940"/>
    <cellStyle name="Percent 2 5 2 7" xfId="6941"/>
    <cellStyle name="Percent 2 5 2 8" xfId="6942"/>
    <cellStyle name="Percent 2 5 3" xfId="6943"/>
    <cellStyle name="Percent 2 5 3 2" xfId="6944"/>
    <cellStyle name="Percent 2 5 3 2 2" xfId="6945"/>
    <cellStyle name="Percent 2 5 3 2 3" xfId="6946"/>
    <cellStyle name="Percent 2 5 3 3" xfId="6947"/>
    <cellStyle name="Percent 2 5 3 4" xfId="6948"/>
    <cellStyle name="Percent 2 5 4" xfId="6949"/>
    <cellStyle name="Percent 2 5 4 2" xfId="6950"/>
    <cellStyle name="Percent 2 5 4 2 2" xfId="6951"/>
    <cellStyle name="Percent 2 5 4 2 3" xfId="6952"/>
    <cellStyle name="Percent 2 5 4 3" xfId="6953"/>
    <cellStyle name="Percent 2 5 4 4" xfId="6954"/>
    <cellStyle name="Percent 2 5 5" xfId="6955"/>
    <cellStyle name="Percent 2 5 5 2" xfId="6956"/>
    <cellStyle name="Percent 2 5 5 2 2" xfId="6957"/>
    <cellStyle name="Percent 2 5 5 2 3" xfId="6958"/>
    <cellStyle name="Percent 2 5 5 3" xfId="6959"/>
    <cellStyle name="Percent 2 5 5 4" xfId="6960"/>
    <cellStyle name="Percent 2 5 6" xfId="6961"/>
    <cellStyle name="Percent 2 5 6 2" xfId="6962"/>
    <cellStyle name="Percent 2 5 6 2 2" xfId="6963"/>
    <cellStyle name="Percent 2 5 6 2 3" xfId="6964"/>
    <cellStyle name="Percent 2 5 6 3" xfId="6965"/>
    <cellStyle name="Percent 2 5 6 4" xfId="6966"/>
    <cellStyle name="Percent 2 5 7" xfId="6967"/>
    <cellStyle name="Percent 2 5 7 2" xfId="6968"/>
    <cellStyle name="Percent 2 5 7 3" xfId="6969"/>
    <cellStyle name="Percent 2 5 8" xfId="6970"/>
    <cellStyle name="Percent 2 5 9" xfId="6971"/>
    <cellStyle name="Percent 2 6" xfId="6972"/>
    <cellStyle name="Percent 2 6 2" xfId="6973"/>
    <cellStyle name="Percent 2 6 2 2" xfId="6974"/>
    <cellStyle name="Percent 2 6 2 2 2" xfId="6975"/>
    <cellStyle name="Percent 2 6 2 2 2 2" xfId="6976"/>
    <cellStyle name="Percent 2 6 2 2 2 3" xfId="6977"/>
    <cellStyle name="Percent 2 6 2 2 3" xfId="6978"/>
    <cellStyle name="Percent 2 6 2 2 4" xfId="6979"/>
    <cellStyle name="Percent 2 6 2 3" xfId="6980"/>
    <cellStyle name="Percent 2 6 2 3 2" xfId="6981"/>
    <cellStyle name="Percent 2 6 2 3 2 2" xfId="6982"/>
    <cellStyle name="Percent 2 6 2 3 2 3" xfId="6983"/>
    <cellStyle name="Percent 2 6 2 3 3" xfId="6984"/>
    <cellStyle name="Percent 2 6 2 3 4" xfId="6985"/>
    <cellStyle name="Percent 2 6 2 4" xfId="6986"/>
    <cellStyle name="Percent 2 6 2 4 2" xfId="6987"/>
    <cellStyle name="Percent 2 6 2 4 2 2" xfId="6988"/>
    <cellStyle name="Percent 2 6 2 4 2 3" xfId="6989"/>
    <cellStyle name="Percent 2 6 2 4 3" xfId="6990"/>
    <cellStyle name="Percent 2 6 2 4 4" xfId="6991"/>
    <cellStyle name="Percent 2 6 2 5" xfId="6992"/>
    <cellStyle name="Percent 2 6 2 5 2" xfId="6993"/>
    <cellStyle name="Percent 2 6 2 5 2 2" xfId="6994"/>
    <cellStyle name="Percent 2 6 2 5 2 3" xfId="6995"/>
    <cellStyle name="Percent 2 6 2 5 3" xfId="6996"/>
    <cellStyle name="Percent 2 6 2 5 4" xfId="6997"/>
    <cellStyle name="Percent 2 6 2 6" xfId="6998"/>
    <cellStyle name="Percent 2 6 2 6 2" xfId="6999"/>
    <cellStyle name="Percent 2 6 2 6 3" xfId="7000"/>
    <cellStyle name="Percent 2 6 2 7" xfId="7001"/>
    <cellStyle name="Percent 2 6 2 8" xfId="7002"/>
    <cellStyle name="Percent 2 6 3" xfId="7003"/>
    <cellStyle name="Percent 2 6 3 2" xfId="7004"/>
    <cellStyle name="Percent 2 6 3 2 2" xfId="7005"/>
    <cellStyle name="Percent 2 6 3 2 3" xfId="7006"/>
    <cellStyle name="Percent 2 6 3 3" xfId="7007"/>
    <cellStyle name="Percent 2 6 3 4" xfId="7008"/>
    <cellStyle name="Percent 2 6 4" xfId="7009"/>
    <cellStyle name="Percent 2 6 4 2" xfId="7010"/>
    <cellStyle name="Percent 2 6 4 2 2" xfId="7011"/>
    <cellStyle name="Percent 2 6 4 2 3" xfId="7012"/>
    <cellStyle name="Percent 2 6 4 3" xfId="7013"/>
    <cellStyle name="Percent 2 6 4 4" xfId="7014"/>
    <cellStyle name="Percent 2 6 5" xfId="7015"/>
    <cellStyle name="Percent 2 6 5 2" xfId="7016"/>
    <cellStyle name="Percent 2 6 5 2 2" xfId="7017"/>
    <cellStyle name="Percent 2 6 5 2 3" xfId="7018"/>
    <cellStyle name="Percent 2 6 5 3" xfId="7019"/>
    <cellStyle name="Percent 2 6 5 4" xfId="7020"/>
    <cellStyle name="Percent 2 6 6" xfId="7021"/>
    <cellStyle name="Percent 2 6 6 2" xfId="7022"/>
    <cellStyle name="Percent 2 6 6 2 2" xfId="7023"/>
    <cellStyle name="Percent 2 6 6 2 3" xfId="7024"/>
    <cellStyle name="Percent 2 6 6 3" xfId="7025"/>
    <cellStyle name="Percent 2 6 6 4" xfId="7026"/>
    <cellStyle name="Percent 2 6 7" xfId="7027"/>
    <cellStyle name="Percent 2 6 7 2" xfId="7028"/>
    <cellStyle name="Percent 2 6 7 3" xfId="7029"/>
    <cellStyle name="Percent 2 6 8" xfId="7030"/>
    <cellStyle name="Percent 2 6 9" xfId="7031"/>
    <cellStyle name="Percent 2 7" xfId="7032"/>
    <cellStyle name="Percent 2 7 2" xfId="7033"/>
    <cellStyle name="Percent 2 7 2 2" xfId="7034"/>
    <cellStyle name="Percent 2 7 2 2 2" xfId="7035"/>
    <cellStyle name="Percent 2 7 2 2 2 2" xfId="7036"/>
    <cellStyle name="Percent 2 7 2 2 2 3" xfId="7037"/>
    <cellStyle name="Percent 2 7 2 2 3" xfId="7038"/>
    <cellStyle name="Percent 2 7 2 2 4" xfId="7039"/>
    <cellStyle name="Percent 2 7 2 3" xfId="7040"/>
    <cellStyle name="Percent 2 7 2 3 2" xfId="7041"/>
    <cellStyle name="Percent 2 7 2 3 2 2" xfId="7042"/>
    <cellStyle name="Percent 2 7 2 3 2 3" xfId="7043"/>
    <cellStyle name="Percent 2 7 2 3 3" xfId="7044"/>
    <cellStyle name="Percent 2 7 2 3 4" xfId="7045"/>
    <cellStyle name="Percent 2 7 2 4" xfId="7046"/>
    <cellStyle name="Percent 2 7 2 4 2" xfId="7047"/>
    <cellStyle name="Percent 2 7 2 4 2 2" xfId="7048"/>
    <cellStyle name="Percent 2 7 2 4 2 3" xfId="7049"/>
    <cellStyle name="Percent 2 7 2 4 3" xfId="7050"/>
    <cellStyle name="Percent 2 7 2 4 4" xfId="7051"/>
    <cellStyle name="Percent 2 7 2 5" xfId="7052"/>
    <cellStyle name="Percent 2 7 2 5 2" xfId="7053"/>
    <cellStyle name="Percent 2 7 2 5 2 2" xfId="7054"/>
    <cellStyle name="Percent 2 7 2 5 2 3" xfId="7055"/>
    <cellStyle name="Percent 2 7 2 5 3" xfId="7056"/>
    <cellStyle name="Percent 2 7 2 5 4" xfId="7057"/>
    <cellStyle name="Percent 2 7 2 6" xfId="7058"/>
    <cellStyle name="Percent 2 7 2 6 2" xfId="7059"/>
    <cellStyle name="Percent 2 7 2 6 3" xfId="7060"/>
    <cellStyle name="Percent 2 7 2 7" xfId="7061"/>
    <cellStyle name="Percent 2 7 2 8" xfId="7062"/>
    <cellStyle name="Percent 2 7 3" xfId="7063"/>
    <cellStyle name="Percent 2 7 3 2" xfId="7064"/>
    <cellStyle name="Percent 2 7 3 2 2" xfId="7065"/>
    <cellStyle name="Percent 2 7 3 2 3" xfId="7066"/>
    <cellStyle name="Percent 2 7 3 3" xfId="7067"/>
    <cellStyle name="Percent 2 7 3 4" xfId="7068"/>
    <cellStyle name="Percent 2 7 4" xfId="7069"/>
    <cellStyle name="Percent 2 7 4 2" xfId="7070"/>
    <cellStyle name="Percent 2 7 4 2 2" xfId="7071"/>
    <cellStyle name="Percent 2 7 4 2 3" xfId="7072"/>
    <cellStyle name="Percent 2 7 4 3" xfId="7073"/>
    <cellStyle name="Percent 2 7 4 4" xfId="7074"/>
    <cellStyle name="Percent 2 7 5" xfId="7075"/>
    <cellStyle name="Percent 2 7 5 2" xfId="7076"/>
    <cellStyle name="Percent 2 7 5 2 2" xfId="7077"/>
    <cellStyle name="Percent 2 7 5 2 3" xfId="7078"/>
    <cellStyle name="Percent 2 7 5 3" xfId="7079"/>
    <cellStyle name="Percent 2 7 5 4" xfId="7080"/>
    <cellStyle name="Percent 2 7 6" xfId="7081"/>
    <cellStyle name="Percent 2 7 6 2" xfId="7082"/>
    <cellStyle name="Percent 2 7 6 2 2" xfId="7083"/>
    <cellStyle name="Percent 2 7 6 2 3" xfId="7084"/>
    <cellStyle name="Percent 2 7 6 3" xfId="7085"/>
    <cellStyle name="Percent 2 7 6 4" xfId="7086"/>
    <cellStyle name="Percent 2 7 7" xfId="7087"/>
    <cellStyle name="Percent 2 7 7 2" xfId="7088"/>
    <cellStyle name="Percent 2 7 7 3" xfId="7089"/>
    <cellStyle name="Percent 2 7 8" xfId="7090"/>
    <cellStyle name="Percent 2 7 9" xfId="7091"/>
    <cellStyle name="Percent 2 8" xfId="7092"/>
    <cellStyle name="Percent 2 9" xfId="7093"/>
    <cellStyle name="Percent 21" xfId="7094"/>
    <cellStyle name="Percent 3" xfId="4"/>
    <cellStyle name="Percent 3 10" xfId="7095"/>
    <cellStyle name="Percent 3 11" xfId="7096"/>
    <cellStyle name="Percent 3 11 2" xfId="7097"/>
    <cellStyle name="Percent 3 11 3" xfId="7098"/>
    <cellStyle name="Percent 3 12" xfId="7099"/>
    <cellStyle name="Percent 3 13" xfId="7100"/>
    <cellStyle name="Percent 3 2" xfId="7101"/>
    <cellStyle name="Percent 3 2 2" xfId="7102"/>
    <cellStyle name="Percent 3 2 2 2" xfId="7103"/>
    <cellStyle name="Percent 3 2 2 3" xfId="7104"/>
    <cellStyle name="Percent 3 2 2 4" xfId="7105"/>
    <cellStyle name="Percent 3 2 2 5" xfId="7106"/>
    <cellStyle name="Percent 3 2 2 6" xfId="7107"/>
    <cellStyle name="Percent 3 2 2 6 2" xfId="7108"/>
    <cellStyle name="Percent 3 2 2 6 3" xfId="7109"/>
    <cellStyle name="Percent 3 2 2 7" xfId="7110"/>
    <cellStyle name="Percent 3 2 2 8" xfId="7111"/>
    <cellStyle name="Percent 3 2 3" xfId="7112"/>
    <cellStyle name="Percent 3 2 3 2" xfId="7113"/>
    <cellStyle name="Percent 3 2 3 2 2" xfId="7114"/>
    <cellStyle name="Percent 3 2 3 2 3" xfId="7115"/>
    <cellStyle name="Percent 3 2 3 3" xfId="7116"/>
    <cellStyle name="Percent 3 2 3 4" xfId="7117"/>
    <cellStyle name="Percent 3 2 4" xfId="7118"/>
    <cellStyle name="Percent 3 2 4 2" xfId="7119"/>
    <cellStyle name="Percent 3 2 4 2 2" xfId="7120"/>
    <cellStyle name="Percent 3 2 4 2 3" xfId="7121"/>
    <cellStyle name="Percent 3 2 4 3" xfId="7122"/>
    <cellStyle name="Percent 3 2 4 4" xfId="7123"/>
    <cellStyle name="Percent 3 2 5" xfId="7124"/>
    <cellStyle name="Percent 3 2 5 2" xfId="7125"/>
    <cellStyle name="Percent 3 2 5 2 2" xfId="7126"/>
    <cellStyle name="Percent 3 2 5 2 3" xfId="7127"/>
    <cellStyle name="Percent 3 2 5 3" xfId="7128"/>
    <cellStyle name="Percent 3 2 5 4" xfId="7129"/>
    <cellStyle name="Percent 3 3" xfId="7130"/>
    <cellStyle name="Percent 3 4" xfId="7131"/>
    <cellStyle name="Percent 3 5" xfId="7132"/>
    <cellStyle name="Percent 3 5 2" xfId="7133"/>
    <cellStyle name="Percent 3 5 3" xfId="7134"/>
    <cellStyle name="Percent 3 5 3 2" xfId="7135"/>
    <cellStyle name="Percent 3 5 3 2 2" xfId="7136"/>
    <cellStyle name="Percent 3 5 3 2 3" xfId="7137"/>
    <cellStyle name="Percent 3 5 3 3" xfId="7138"/>
    <cellStyle name="Percent 3 5 3 4" xfId="7139"/>
    <cellStyle name="Percent 3 5 4" xfId="7140"/>
    <cellStyle name="Percent 3 5 4 2" xfId="7141"/>
    <cellStyle name="Percent 3 5 4 2 2" xfId="7142"/>
    <cellStyle name="Percent 3 5 4 2 3" xfId="7143"/>
    <cellStyle name="Percent 3 5 4 3" xfId="7144"/>
    <cellStyle name="Percent 3 5 4 4" xfId="7145"/>
    <cellStyle name="Percent 3 5 5" xfId="7146"/>
    <cellStyle name="Percent 3 5 5 2" xfId="7147"/>
    <cellStyle name="Percent 3 5 5 2 2" xfId="7148"/>
    <cellStyle name="Percent 3 5 5 2 3" xfId="7149"/>
    <cellStyle name="Percent 3 5 5 3" xfId="7150"/>
    <cellStyle name="Percent 3 5 5 4" xfId="7151"/>
    <cellStyle name="Percent 3 5 6" xfId="7152"/>
    <cellStyle name="Percent 3 5 6 2" xfId="7153"/>
    <cellStyle name="Percent 3 5 6 2 2" xfId="7154"/>
    <cellStyle name="Percent 3 5 6 2 3" xfId="7155"/>
    <cellStyle name="Percent 3 5 6 3" xfId="7156"/>
    <cellStyle name="Percent 3 5 6 4" xfId="7157"/>
    <cellStyle name="Percent 3 5 7" xfId="7158"/>
    <cellStyle name="Percent 3 5 7 2" xfId="7159"/>
    <cellStyle name="Percent 3 5 7 3" xfId="7160"/>
    <cellStyle name="Percent 3 5 8" xfId="7161"/>
    <cellStyle name="Percent 3 5 9" xfId="7162"/>
    <cellStyle name="Percent 3 6" xfId="7163"/>
    <cellStyle name="Percent 3 7" xfId="7164"/>
    <cellStyle name="Percent 3 8" xfId="7165"/>
    <cellStyle name="Percent 3 9" xfId="7166"/>
    <cellStyle name="Percent 4" xfId="7167"/>
    <cellStyle name="Percent 5" xfId="7168"/>
    <cellStyle name="Percent 6" xfId="7169"/>
    <cellStyle name="Percent 7" xfId="7170"/>
    <cellStyle name="Percent 8" xfId="7171"/>
    <cellStyle name="Percent 8 2" xfId="7172"/>
    <cellStyle name="Percent 8 3" xfId="7173"/>
    <cellStyle name="Percent 9" xfId="7174"/>
    <cellStyle name="Percent 9 2" xfId="7175"/>
    <cellStyle name="Percent 9 2 2" xfId="7176"/>
    <cellStyle name="Percent 9 2 2 2" xfId="7177"/>
    <cellStyle name="Percent 9 2 2 2 2" xfId="7178"/>
    <cellStyle name="Percent 9 2 2 2 3" xfId="7179"/>
    <cellStyle name="Percent 9 2 2 3" xfId="7180"/>
    <cellStyle name="Percent 9 2 2 4" xfId="7181"/>
    <cellStyle name="Percent 9 2 3" xfId="7182"/>
    <cellStyle name="Percent 9 2 3 2" xfId="7183"/>
    <cellStyle name="Percent 9 2 3 2 2" xfId="7184"/>
    <cellStyle name="Percent 9 2 3 2 3" xfId="7185"/>
    <cellStyle name="Percent 9 2 3 3" xfId="7186"/>
    <cellStyle name="Percent 9 2 3 4" xfId="7187"/>
    <cellStyle name="Percent 9 2 4" xfId="7188"/>
    <cellStyle name="Percent 9 2 4 2" xfId="7189"/>
    <cellStyle name="Percent 9 2 4 2 2" xfId="7190"/>
    <cellStyle name="Percent 9 2 4 2 3" xfId="7191"/>
    <cellStyle name="Percent 9 2 4 3" xfId="7192"/>
    <cellStyle name="Percent 9 2 4 4" xfId="7193"/>
    <cellStyle name="Percent 9 2 5" xfId="7194"/>
    <cellStyle name="Percent 9 2 5 2" xfId="7195"/>
    <cellStyle name="Percent 9 2 5 2 2" xfId="7196"/>
    <cellStyle name="Percent 9 2 5 2 3" xfId="7197"/>
    <cellStyle name="Percent 9 2 5 3" xfId="7198"/>
    <cellStyle name="Percent 9 2 5 4" xfId="7199"/>
    <cellStyle name="Percent 9 2 6" xfId="7200"/>
    <cellStyle name="Percent 9 2 6 2" xfId="7201"/>
    <cellStyle name="Percent 9 2 6 3" xfId="7202"/>
    <cellStyle name="Percent 9 2 7" xfId="7203"/>
    <cellStyle name="Percent 9 2 8" xfId="7204"/>
    <cellStyle name="Percent 9 3" xfId="7205"/>
    <cellStyle name="Percent 9 3 2" xfId="7206"/>
    <cellStyle name="Percent 9 3 2 2" xfId="7207"/>
    <cellStyle name="Percent 9 3 2 3" xfId="7208"/>
    <cellStyle name="Percent 9 3 3" xfId="7209"/>
    <cellStyle name="Percent 9 3 4" xfId="7210"/>
    <cellStyle name="Percent 9 4" xfId="7211"/>
    <cellStyle name="Percent 9 4 2" xfId="7212"/>
    <cellStyle name="Percent 9 4 2 2" xfId="7213"/>
    <cellStyle name="Percent 9 4 2 3" xfId="7214"/>
    <cellStyle name="Percent 9 4 3" xfId="7215"/>
    <cellStyle name="Percent 9 4 4" xfId="7216"/>
    <cellStyle name="Percent 9 5" xfId="7217"/>
    <cellStyle name="Percent 9 5 2" xfId="7218"/>
    <cellStyle name="Percent 9 5 2 2" xfId="7219"/>
    <cellStyle name="Percent 9 5 2 3" xfId="7220"/>
    <cellStyle name="Percent 9 5 3" xfId="7221"/>
    <cellStyle name="Percent 9 5 4" xfId="7222"/>
    <cellStyle name="Percent 9 6" xfId="7223"/>
    <cellStyle name="Percent 9 6 2" xfId="7224"/>
    <cellStyle name="Percent 9 6 2 2" xfId="7225"/>
    <cellStyle name="Percent 9 6 2 3" xfId="7226"/>
    <cellStyle name="Percent 9 6 3" xfId="7227"/>
    <cellStyle name="Percent 9 6 4" xfId="7228"/>
    <cellStyle name="Percent 9 7" xfId="7229"/>
    <cellStyle name="Percent 9 7 2" xfId="7230"/>
    <cellStyle name="Percent 9 7 3" xfId="7231"/>
    <cellStyle name="Percent 9 8" xfId="7232"/>
    <cellStyle name="Percent 9 9" xfId="7233"/>
    <cellStyle name="Standaard_t13.1ek 1982" xfId="2351"/>
    <cellStyle name="Standaard2" xfId="2352"/>
    <cellStyle name="Standard_Tabellen9bis" xfId="2353"/>
    <cellStyle name="Style 1" xfId="2354"/>
    <cellStyle name="Style 1 10" xfId="2355"/>
    <cellStyle name="Style 1 11" xfId="2356"/>
    <cellStyle name="Style 1 12" xfId="2357"/>
    <cellStyle name="Style 1 13" xfId="2358"/>
    <cellStyle name="Style 1 14" xfId="2359"/>
    <cellStyle name="Style 1 15" xfId="2360"/>
    <cellStyle name="Style 1 16" xfId="2361"/>
    <cellStyle name="Style 1 17" xfId="2362"/>
    <cellStyle name="Style 1 18" xfId="2363"/>
    <cellStyle name="Style 1 19" xfId="2364"/>
    <cellStyle name="Style 1 2" xfId="2365"/>
    <cellStyle name="Style 1 20" xfId="2366"/>
    <cellStyle name="Style 1 21" xfId="2367"/>
    <cellStyle name="Style 1 22" xfId="2368"/>
    <cellStyle name="Style 1 23" xfId="2369"/>
    <cellStyle name="Style 1 24" xfId="2370"/>
    <cellStyle name="Style 1 25" xfId="2371"/>
    <cellStyle name="Style 1 26" xfId="2372"/>
    <cellStyle name="Style 1 27" xfId="2373"/>
    <cellStyle name="Style 1 28" xfId="2374"/>
    <cellStyle name="Style 1 29" xfId="2375"/>
    <cellStyle name="Style 1 3" xfId="2376"/>
    <cellStyle name="Style 1 30" xfId="2377"/>
    <cellStyle name="Style 1 31" xfId="2378"/>
    <cellStyle name="Style 1 32" xfId="2379"/>
    <cellStyle name="Style 1 33" xfId="2380"/>
    <cellStyle name="Style 1 34" xfId="2381"/>
    <cellStyle name="Style 1 35" xfId="2382"/>
    <cellStyle name="Style 1 36" xfId="2383"/>
    <cellStyle name="Style 1 37" xfId="2384"/>
    <cellStyle name="Style 1 38" xfId="2385"/>
    <cellStyle name="Style 1 39" xfId="2386"/>
    <cellStyle name="Style 1 4" xfId="2387"/>
    <cellStyle name="Style 1 40" xfId="2388"/>
    <cellStyle name="Style 1 41" xfId="2389"/>
    <cellStyle name="Style 1 42" xfId="2390"/>
    <cellStyle name="Style 1 43" xfId="2391"/>
    <cellStyle name="Style 1 44" xfId="2392"/>
    <cellStyle name="Style 1 45" xfId="2393"/>
    <cellStyle name="Style 1 46" xfId="2394"/>
    <cellStyle name="Style 1 47" xfId="2395"/>
    <cellStyle name="Style 1 48" xfId="2396"/>
    <cellStyle name="Style 1 49" xfId="2397"/>
    <cellStyle name="Style 1 5" xfId="2398"/>
    <cellStyle name="Style 1 50" xfId="2399"/>
    <cellStyle name="Style 1 51" xfId="2400"/>
    <cellStyle name="Style 1 52" xfId="2401"/>
    <cellStyle name="Style 1 53" xfId="2402"/>
    <cellStyle name="Style 1 54" xfId="2403"/>
    <cellStyle name="Style 1 55" xfId="2404"/>
    <cellStyle name="Style 1 56" xfId="2405"/>
    <cellStyle name="Style 1 57" xfId="2406"/>
    <cellStyle name="Style 1 58" xfId="2407"/>
    <cellStyle name="Style 1 59" xfId="2408"/>
    <cellStyle name="Style 1 6" xfId="2409"/>
    <cellStyle name="Style 1 60" xfId="2410"/>
    <cellStyle name="Style 1 61" xfId="2411"/>
    <cellStyle name="Style 1 62" xfId="2412"/>
    <cellStyle name="Style 1 63" xfId="2413"/>
    <cellStyle name="Style 1 64" xfId="2414"/>
    <cellStyle name="Style 1 7" xfId="2415"/>
    <cellStyle name="Style 1 8" xfId="2416"/>
    <cellStyle name="Style 1 9" xfId="2417"/>
    <cellStyle name="Sub_head_e" xfId="2418"/>
    <cellStyle name="Text_e" xfId="2419"/>
    <cellStyle name="Обычный_VVP_new" xfId="2420"/>
    <cellStyle name="Тысячи [0]_1995-нові" xfId="2421"/>
    <cellStyle name="Тысячи_1995-нові" xfId="2422"/>
    <cellStyle name="백분율 2" xfId="2423"/>
    <cellStyle name="쉼표 [0] 2" xfId="2424"/>
    <cellStyle name="쉼표 [0] 3" xfId="2425"/>
    <cellStyle name="쉼표 [0] 4" xfId="2426"/>
    <cellStyle name="콤마 [0]_동향(99.7-1)" xfId="2427"/>
    <cellStyle name="콤마_동향(99.7-1)" xfId="2428"/>
    <cellStyle name="표준 2" xfId="2429"/>
    <cellStyle name="표준 3" xfId="2430"/>
    <cellStyle name="표준_1.종합계정" xfId="2431"/>
    <cellStyle name="標準_改正調票集計" xfId="7234"/>
  </cellStyles>
  <dxfs count="1">
    <dxf>
      <fill>
        <patternFill>
          <bgColor theme="5" tint="0.39994506668294322"/>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Administrator\Local%20Settings\Temporary%20Internet%20Files\Content.Outlook\8L4713TE\Tourism%20Demand%20%20Flows%20Database-16%20Jan%2020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dm/Projects/Industry%20Reports%20and%20Data%20-%20WMI/WMI/Travel%20&amp;%20Tourism/Secondary%20Data%20Support/France/France_demand_flow_updated.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Tourism Demand &amp; Flows-vanya"/>
      <sheetName val="from secondary"/>
      <sheetName val="Tourism Demand &amp; Flows"/>
      <sheetName val="Sheet3-vanya"/>
      <sheetName val="Calculations"/>
      <sheetName val="Sheet1-vanya"/>
      <sheetName val="Drivers-2"/>
      <sheetName val="Drivers"/>
      <sheetName val="for forecast"/>
      <sheetName val="Extra Defn."/>
      <sheetName val="Sheet3"/>
      <sheetName val="Sheet2"/>
      <sheetName val="Sheet4"/>
    </sheetNames>
    <sheetDataSet>
      <sheetData sheetId="0" refreshError="1">
        <row r="4">
          <cell r="K4">
            <v>0</v>
          </cell>
        </row>
        <row r="5">
          <cell r="K5">
            <v>10</v>
          </cell>
        </row>
        <row r="18">
          <cell r="K18">
            <v>1557.27242</v>
          </cell>
        </row>
        <row r="27">
          <cell r="K27">
            <v>864.43194319999998</v>
          </cell>
        </row>
        <row r="35">
          <cell r="K35">
            <v>692.84047680000003</v>
          </cell>
        </row>
        <row r="89">
          <cell r="K89">
            <v>344.11245787213153</v>
          </cell>
        </row>
        <row r="90">
          <cell r="K90">
            <v>431.14946599168542</v>
          </cell>
        </row>
        <row r="91">
          <cell r="K91">
            <v>420.50674294822005</v>
          </cell>
        </row>
        <row r="92">
          <cell r="K92">
            <v>361.5037531879629</v>
          </cell>
        </row>
        <row r="94">
          <cell r="K94">
            <v>1967.64</v>
          </cell>
        </row>
        <row r="99">
          <cell r="K99">
            <v>65.676000000000002</v>
          </cell>
        </row>
        <row r="106">
          <cell r="K106">
            <v>91</v>
          </cell>
        </row>
        <row r="108">
          <cell r="K108">
            <v>5.6220835810828797E-2</v>
          </cell>
        </row>
        <row r="109">
          <cell r="K109">
            <v>8.8746106264587631E-3</v>
          </cell>
        </row>
        <row r="110">
          <cell r="K110">
            <v>733.50199999999995</v>
          </cell>
        </row>
        <row r="111">
          <cell r="K111">
            <v>633.50199999999995</v>
          </cell>
        </row>
        <row r="112">
          <cell r="K112">
            <v>100</v>
          </cell>
        </row>
      </sheetData>
      <sheetData sheetId="1" refreshError="1"/>
      <sheetData sheetId="2" refreshError="1"/>
      <sheetData sheetId="3" refreshError="1"/>
      <sheetData sheetId="4" refreshError="1"/>
      <sheetData sheetId="5" refreshError="1"/>
      <sheetData sheetId="6" refreshError="1"/>
      <sheetData sheetId="7" refreshError="1">
        <row r="53">
          <cell r="C53">
            <v>5.6842422842443854E-2</v>
          </cell>
        </row>
      </sheetData>
      <sheetData sheetId="8" refreshError="1"/>
      <sheetData sheetId="9" refreshError="1"/>
      <sheetData sheetId="10" refreshError="1"/>
      <sheetData sheetId="11" refreshError="1"/>
      <sheetData sheetId="12"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Tourism Demand &amp; Flows"/>
      <sheetName val="Sheet3"/>
      <sheetName val="Sheet1"/>
    </sheetNames>
    <sheetDataSet>
      <sheetData sheetId="0">
        <row r="155">
          <cell r="E155">
            <v>0.13793268999234326</v>
          </cell>
        </row>
        <row r="327">
          <cell r="L327">
            <v>80841</v>
          </cell>
          <cell r="M327">
            <v>78449</v>
          </cell>
        </row>
        <row r="328">
          <cell r="L328">
            <v>10566</v>
          </cell>
          <cell r="M328">
            <v>11388</v>
          </cell>
        </row>
        <row r="329">
          <cell r="L329">
            <v>56637</v>
          </cell>
          <cell r="M329">
            <v>55823</v>
          </cell>
        </row>
        <row r="330">
          <cell r="L330">
            <v>13638</v>
          </cell>
          <cell r="M330">
            <v>11238</v>
          </cell>
        </row>
      </sheetData>
      <sheetData sheetId="1">
        <row r="18">
          <cell r="B18">
            <v>0.19009994364512531</v>
          </cell>
        </row>
      </sheetData>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3" Type="http://schemas.openxmlformats.org/officeDocument/2006/relationships/hyperlink" Target="http://www.census.gov/population/international/data/idb/country.php" TargetMode="External"/><Relationship Id="rId18" Type="http://schemas.openxmlformats.org/officeDocument/2006/relationships/hyperlink" Target="http://epp.eurostat.ec.europa.eu/portal/page/portal/statistics/search_database" TargetMode="External"/><Relationship Id="rId26" Type="http://schemas.openxmlformats.org/officeDocument/2006/relationships/hyperlink" Target="http://epp.eurostat.ec.europa.eu/portal/page/portal/statistics/search_database" TargetMode="External"/><Relationship Id="rId39" Type="http://schemas.openxmlformats.org/officeDocument/2006/relationships/hyperlink" Target="http://www.intur.com.pl/itenglish/arrivals.php?r=99" TargetMode="External"/><Relationship Id="rId3" Type="http://schemas.openxmlformats.org/officeDocument/2006/relationships/hyperlink" Target="http://www.intur.com.pl/itenglish/poles.php?o=1&amp;t1=3" TargetMode="External"/><Relationship Id="rId21" Type="http://schemas.openxmlformats.org/officeDocument/2006/relationships/hyperlink" Target="http://www.intur.com.pl/itenglish/arrivals.php?r=99" TargetMode="External"/><Relationship Id="rId34" Type="http://schemas.openxmlformats.org/officeDocument/2006/relationships/hyperlink" Target="http://www.intur.com.pl/itenglish/arrivals.php?r=99" TargetMode="External"/><Relationship Id="rId42" Type="http://schemas.openxmlformats.org/officeDocument/2006/relationships/hyperlink" Target="http://www.intur.com.pl/itenglish/arrivals.php?r=99" TargetMode="External"/><Relationship Id="rId47" Type="http://schemas.openxmlformats.org/officeDocument/2006/relationships/hyperlink" Target="http://resources.metapress.com/pdf-preview.axd?code=qgmyhpqmr479x18y&amp;size=largest" TargetMode="External"/><Relationship Id="rId7" Type="http://schemas.openxmlformats.org/officeDocument/2006/relationships/hyperlink" Target="http://appsso.eurostat.ec.europa.eu/nui/show.do?dataset=tour_dem_ttq&amp;lang=en" TargetMode="External"/><Relationship Id="rId12" Type="http://schemas.openxmlformats.org/officeDocument/2006/relationships/hyperlink" Target="http://www.census.gov/population/international/data/idb/country.php" TargetMode="External"/><Relationship Id="rId17" Type="http://schemas.openxmlformats.org/officeDocument/2006/relationships/hyperlink" Target="http://www.intur.com.pl/itenglish/poles.php?o=1&amp;t1=13" TargetMode="External"/><Relationship Id="rId25" Type="http://schemas.openxmlformats.org/officeDocument/2006/relationships/hyperlink" Target="http://epp.eurostat.ec.europa.eu/portal/page/portal/statistics/search_database" TargetMode="External"/><Relationship Id="rId33" Type="http://schemas.openxmlformats.org/officeDocument/2006/relationships/hyperlink" Target="http://www.intur.com.pl/itenglish/arrivals.php?r=99" TargetMode="External"/><Relationship Id="rId38" Type="http://schemas.openxmlformats.org/officeDocument/2006/relationships/hyperlink" Target="http://www.intur.com.pl/itenglish/arrivals.php?r=99" TargetMode="External"/><Relationship Id="rId46" Type="http://schemas.openxmlformats.org/officeDocument/2006/relationships/hyperlink" Target="http://www.intur.com.pl/itenglish/arrivals.php?r=99" TargetMode="External"/><Relationship Id="rId2" Type="http://schemas.openxmlformats.org/officeDocument/2006/relationships/hyperlink" Target="http://www.intur.com.pl/itenglish/poles.php?o=1&amp;t1=3" TargetMode="External"/><Relationship Id="rId16" Type="http://schemas.openxmlformats.org/officeDocument/2006/relationships/hyperlink" Target="http://www.intur.com.pl/itenglish/poles_month.php" TargetMode="External"/><Relationship Id="rId20" Type="http://schemas.openxmlformats.org/officeDocument/2006/relationships/hyperlink" Target="http://epp.eurostat.ec.europa.eu/portal/page/portal/statistics/search_database" TargetMode="External"/><Relationship Id="rId29" Type="http://schemas.openxmlformats.org/officeDocument/2006/relationships/hyperlink" Target="http://epp.eurostat.ec.europa.eu/portal/page/portal/statistics/search_database" TargetMode="External"/><Relationship Id="rId41" Type="http://schemas.openxmlformats.org/officeDocument/2006/relationships/hyperlink" Target="http://www.intur.com.pl/itenglish/arrivals.php?r=99" TargetMode="External"/><Relationship Id="rId1" Type="http://schemas.openxmlformats.org/officeDocument/2006/relationships/hyperlink" Target="http://www.intur.com.pl/itenglish/poles.php?o=1&amp;t1=3" TargetMode="External"/><Relationship Id="rId6" Type="http://schemas.openxmlformats.org/officeDocument/2006/relationships/hyperlink" Target="http://appsso.eurostat.ec.europa.eu/nui/show.do?dataset=tour_dem_ttq&amp;lang=en" TargetMode="External"/><Relationship Id="rId11" Type="http://schemas.openxmlformats.org/officeDocument/2006/relationships/hyperlink" Target="http://www.census.gov/population/international/data/idb/country.php" TargetMode="External"/><Relationship Id="rId24" Type="http://schemas.openxmlformats.org/officeDocument/2006/relationships/hyperlink" Target="http://epp.eurostat.ec.europa.eu/portal/page/portal/statistics/search_database" TargetMode="External"/><Relationship Id="rId32" Type="http://schemas.openxmlformats.org/officeDocument/2006/relationships/hyperlink" Target="http://www.intur.com.pl/itenglish/arrivals.php?r=99" TargetMode="External"/><Relationship Id="rId37" Type="http://schemas.openxmlformats.org/officeDocument/2006/relationships/hyperlink" Target="http://www.intur.com.pl/itenglish/arrivals.php?r=99" TargetMode="External"/><Relationship Id="rId40" Type="http://schemas.openxmlformats.org/officeDocument/2006/relationships/hyperlink" Target="http://www.intur.com.pl/itenglish/arrivals.php?r=99" TargetMode="External"/><Relationship Id="rId45" Type="http://schemas.openxmlformats.org/officeDocument/2006/relationships/hyperlink" Target="http://www.intur.com.pl/itenglish/arrivals.php?r=99" TargetMode="External"/><Relationship Id="rId5" Type="http://schemas.openxmlformats.org/officeDocument/2006/relationships/hyperlink" Target="http://www.intur.com.pl/itenglish/poles.php?o=1&amp;t1=13" TargetMode="External"/><Relationship Id="rId15" Type="http://schemas.openxmlformats.org/officeDocument/2006/relationships/hyperlink" Target="http://www.stat.gov.pl/cps/rde/xbcr/gus/LC__incomes_lilving_conditions_report_2011(2).pdf" TargetMode="External"/><Relationship Id="rId23" Type="http://schemas.openxmlformats.org/officeDocument/2006/relationships/hyperlink" Target="http://www.intur.com.pl/itenglish/poles.php?o=1&amp;t1=3" TargetMode="External"/><Relationship Id="rId28" Type="http://schemas.openxmlformats.org/officeDocument/2006/relationships/hyperlink" Target="http://epp.eurostat.ec.europa.eu/portal/page/portal/statistics/search_database" TargetMode="External"/><Relationship Id="rId36" Type="http://schemas.openxmlformats.org/officeDocument/2006/relationships/hyperlink" Target="http://www.intur.com.pl/itenglish/arrivals.php?r=99" TargetMode="External"/><Relationship Id="rId49" Type="http://schemas.openxmlformats.org/officeDocument/2006/relationships/printerSettings" Target="../printerSettings/printerSettings4.bin"/><Relationship Id="rId10" Type="http://schemas.openxmlformats.org/officeDocument/2006/relationships/hyperlink" Target="http://www.investmentsandincome.com/holidays/poland-holidays.html" TargetMode="External"/><Relationship Id="rId19" Type="http://schemas.openxmlformats.org/officeDocument/2006/relationships/hyperlink" Target="http://epp.eurostat.ec.europa.eu/portal/page/portal/statistics/search_database" TargetMode="External"/><Relationship Id="rId31" Type="http://schemas.openxmlformats.org/officeDocument/2006/relationships/hyperlink" Target="http://epp.eurostat.ec.europa.eu/portal/page/portal/statistics/search_database" TargetMode="External"/><Relationship Id="rId44" Type="http://schemas.openxmlformats.org/officeDocument/2006/relationships/hyperlink" Target="http://www.intur.com.pl/itenglish/arrivals.php?r=99" TargetMode="External"/><Relationship Id="rId4" Type="http://schemas.openxmlformats.org/officeDocument/2006/relationships/hyperlink" Target="http://www.intur.com.pl/itenglish/poles.php?o=1&amp;t1=3" TargetMode="External"/><Relationship Id="rId9" Type="http://schemas.openxmlformats.org/officeDocument/2006/relationships/hyperlink" Target="http://appsso.eurostat.ec.europa.eu/nui/show.do?dataset=tour_dem_ttq&amp;lang=en" TargetMode="External"/><Relationship Id="rId14" Type="http://schemas.openxmlformats.org/officeDocument/2006/relationships/hyperlink" Target="http://ww2.unhabitat.org/habrdd/statannexes.htm" TargetMode="External"/><Relationship Id="rId22" Type="http://schemas.openxmlformats.org/officeDocument/2006/relationships/hyperlink" Target="http://www.intur.com.pl/itenglish/arrivals.php?r=99" TargetMode="External"/><Relationship Id="rId27" Type="http://schemas.openxmlformats.org/officeDocument/2006/relationships/hyperlink" Target="http://epp.eurostat.ec.europa.eu/portal/page/portal/statistics/search_database" TargetMode="External"/><Relationship Id="rId30" Type="http://schemas.openxmlformats.org/officeDocument/2006/relationships/hyperlink" Target="http://epp.eurostat.ec.europa.eu/portal/page/portal/statistics/search_database" TargetMode="External"/><Relationship Id="rId35" Type="http://schemas.openxmlformats.org/officeDocument/2006/relationships/hyperlink" Target="http://www.intur.com.pl/itenglish/arrivals.php?r=99" TargetMode="External"/><Relationship Id="rId43" Type="http://schemas.openxmlformats.org/officeDocument/2006/relationships/hyperlink" Target="http://www.intur.com.pl/itenglish/arrivals.php?r=99" TargetMode="External"/><Relationship Id="rId48" Type="http://schemas.openxmlformats.org/officeDocument/2006/relationships/hyperlink" Target="http://www.intur.com.pl/itenglish/poles.php?o=1&amp;t1=13" TargetMode="External"/><Relationship Id="rId8" Type="http://schemas.openxmlformats.org/officeDocument/2006/relationships/hyperlink" Target="http://appsso.eurostat.ec.europa.eu/nui/show.do?dataset=tour_dem_ttq&amp;lang=en"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www.stat.gov.pl/cps/rde/xbcr/gus/LC__incomes_lilving_conditions_report_2011(2).pdf" TargetMode="External"/><Relationship Id="rId1" Type="http://schemas.openxmlformats.org/officeDocument/2006/relationships/hyperlink" Target="../../../../../Team%20Folder/Arunasree/Poland/TDF/tour_dem_ttq%20(4).xls"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3" Type="http://schemas.openxmlformats.org/officeDocument/2006/relationships/hyperlink" Target="http://www.intur.com.pl/itenglish/poles.php?o=1&amp;t1=10" TargetMode="External"/><Relationship Id="rId2" Type="http://schemas.openxmlformats.org/officeDocument/2006/relationships/hyperlink" Target="http://www.intur.com.pl/itenglish/poles.php?o=1&amp;t1=5" TargetMode="External"/><Relationship Id="rId1" Type="http://schemas.openxmlformats.org/officeDocument/2006/relationships/hyperlink" Target="http://www.intur.com.pl/itenglish/poles.php?o=1&amp;t1=13" TargetMode="External"/><Relationship Id="rId5" Type="http://schemas.openxmlformats.org/officeDocument/2006/relationships/printerSettings" Target="../printerSettings/printerSettings8.bin"/><Relationship Id="rId4" Type="http://schemas.openxmlformats.org/officeDocument/2006/relationships/hyperlink" Target="http://www.intur.com.pl/itenglish/poles.php?o=1&amp;t1=3"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openxmlformats.org/officeDocument/2006/relationships/hyperlink" Target="../../../../../Team%20Folder/Arunasree/Poland/TDF/eurostat.xls" TargetMode="External"/><Relationship Id="rId7" Type="http://schemas.openxmlformats.org/officeDocument/2006/relationships/comments" Target="../comments2.xml"/><Relationship Id="rId2" Type="http://schemas.openxmlformats.org/officeDocument/2006/relationships/hyperlink" Target="../../../../../Team%20Folder/Arunasree/Poland/world_bank.xlsx" TargetMode="External"/><Relationship Id="rId1" Type="http://schemas.openxmlformats.org/officeDocument/2006/relationships/hyperlink" Target="../../../../../Team%20Folder/Arunasree/Poland/world_bank.xlsx" TargetMode="External"/><Relationship Id="rId6" Type="http://schemas.openxmlformats.org/officeDocument/2006/relationships/vmlDrawing" Target="../drawings/vmlDrawing2.vml"/><Relationship Id="rId5" Type="http://schemas.openxmlformats.org/officeDocument/2006/relationships/printerSettings" Target="../printerSettings/printerSettings10.bin"/><Relationship Id="rId4" Type="http://schemas.openxmlformats.org/officeDocument/2006/relationships/hyperlink" Target="http://www.intur.com.pl/itenglish/poles.php?o=1&amp;t1=13"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dimension ref="A1:L7"/>
  <sheetViews>
    <sheetView showGridLines="0" workbookViewId="0"/>
  </sheetViews>
  <sheetFormatPr defaultRowHeight="15"/>
  <cols>
    <col min="1" max="1" width="26.42578125" customWidth="1"/>
  </cols>
  <sheetData>
    <row r="1" spans="1:12">
      <c r="A1" t="s">
        <v>0</v>
      </c>
      <c r="B1" t="s">
        <v>391</v>
      </c>
    </row>
    <row r="2" spans="1:12">
      <c r="A2" s="396"/>
      <c r="B2" s="396"/>
    </row>
    <row r="3" spans="1:12" hidden="1"/>
    <row r="4" spans="1:12" hidden="1">
      <c r="B4" s="394">
        <v>2007</v>
      </c>
      <c r="C4" s="394">
        <v>2008</v>
      </c>
      <c r="D4" s="394">
        <v>2009</v>
      </c>
      <c r="E4" s="394">
        <v>2010</v>
      </c>
      <c r="F4" s="394">
        <v>2011</v>
      </c>
      <c r="G4" s="394">
        <v>2012</v>
      </c>
      <c r="H4" s="394">
        <v>2013</v>
      </c>
      <c r="I4" s="394">
        <v>2014</v>
      </c>
      <c r="J4" s="394">
        <v>2015</v>
      </c>
      <c r="K4" s="394">
        <v>2016</v>
      </c>
      <c r="L4" s="394">
        <v>2017</v>
      </c>
    </row>
    <row r="5" spans="1:12" hidden="1">
      <c r="A5" s="396" t="str">
        <f>"Exchange Rate  ("&amp;B2&amp;" to US$)"</f>
        <v>Exchange Rate  ( to US$)</v>
      </c>
      <c r="B5" s="394">
        <v>0.36330000000000001</v>
      </c>
      <c r="C5" s="394">
        <v>0.4219</v>
      </c>
      <c r="D5" s="394">
        <v>0.32400000000000001</v>
      </c>
      <c r="E5" s="394">
        <v>0.3332</v>
      </c>
      <c r="F5" s="394">
        <v>0.33979999999999999</v>
      </c>
      <c r="G5" s="394">
        <v>0.30819999999999997</v>
      </c>
      <c r="H5" s="395">
        <f>G5</f>
        <v>0.30819999999999997</v>
      </c>
      <c r="I5" s="395">
        <f t="shared" ref="I5:L5" si="0">H5</f>
        <v>0.30819999999999997</v>
      </c>
      <c r="J5" s="395">
        <f t="shared" si="0"/>
        <v>0.30819999999999997</v>
      </c>
      <c r="K5" s="395">
        <f t="shared" si="0"/>
        <v>0.30819999999999997</v>
      </c>
      <c r="L5" s="395">
        <f t="shared" si="0"/>
        <v>0.30819999999999997</v>
      </c>
    </row>
    <row r="6" spans="1:12" hidden="1"/>
    <row r="7" spans="1:12" hidden="1"/>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C1:E7"/>
  <sheetViews>
    <sheetView workbookViewId="0"/>
  </sheetViews>
  <sheetFormatPr defaultRowHeight="15"/>
  <cols>
    <col min="3" max="3" width="50.140625" bestFit="1" customWidth="1"/>
    <col min="4" max="4" width="19.140625" customWidth="1"/>
    <col min="5" max="5" width="14" customWidth="1"/>
  </cols>
  <sheetData>
    <row r="1" spans="3:5">
      <c r="C1" s="373" t="s">
        <v>1360</v>
      </c>
      <c r="D1" s="374" t="s">
        <v>1361</v>
      </c>
      <c r="E1" s="375" t="s">
        <v>1362</v>
      </c>
    </row>
    <row r="2" spans="3:5">
      <c r="C2" s="376" t="s">
        <v>1363</v>
      </c>
      <c r="D2" s="377" t="s">
        <v>1364</v>
      </c>
      <c r="E2" s="378"/>
    </row>
    <row r="3" spans="3:5">
      <c r="C3" s="376" t="s">
        <v>1365</v>
      </c>
      <c r="D3" s="377"/>
      <c r="E3" s="379">
        <v>41351</v>
      </c>
    </row>
    <row r="4" spans="3:5">
      <c r="C4" s="376" t="s">
        <v>1366</v>
      </c>
      <c r="D4" s="377"/>
      <c r="E4" s="379">
        <v>41353</v>
      </c>
    </row>
    <row r="5" spans="3:5">
      <c r="C5" s="376" t="s">
        <v>1367</v>
      </c>
      <c r="D5" s="377" t="s">
        <v>1381</v>
      </c>
      <c r="E5" s="379">
        <v>41383</v>
      </c>
    </row>
    <row r="6" spans="3:5">
      <c r="C6" s="376" t="s">
        <v>1368</v>
      </c>
      <c r="D6" s="377"/>
      <c r="E6" s="379">
        <v>41387</v>
      </c>
    </row>
    <row r="7" spans="3:5">
      <c r="C7" s="380" t="s">
        <v>1369</v>
      </c>
      <c r="D7" s="381"/>
      <c r="E7" s="379">
        <v>41388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dimension ref="A1:G20"/>
  <sheetViews>
    <sheetView tabSelected="1" workbookViewId="0">
      <selection activeCell="B5" sqref="B5"/>
    </sheetView>
  </sheetViews>
  <sheetFormatPr defaultRowHeight="15"/>
  <cols>
    <col min="1" max="1" width="3.28515625" customWidth="1"/>
    <col min="2" max="2" width="11.5703125" bestFit="1" customWidth="1"/>
    <col min="3" max="3" width="50.85546875" customWidth="1"/>
    <col min="4" max="4" width="24.85546875" customWidth="1"/>
    <col min="5" max="5" width="10.140625" customWidth="1"/>
    <col min="6" max="6" width="47.7109375" bestFit="1" customWidth="1"/>
    <col min="7" max="7" width="24.85546875" customWidth="1"/>
  </cols>
  <sheetData>
    <row r="1" spans="1:7">
      <c r="A1" s="382"/>
      <c r="B1" s="382"/>
      <c r="C1" s="382"/>
      <c r="D1" s="382"/>
      <c r="E1" s="382"/>
      <c r="F1" s="382"/>
      <c r="G1" s="382"/>
    </row>
    <row r="2" spans="1:7">
      <c r="A2" s="383"/>
      <c r="B2" s="412" t="s">
        <v>1370</v>
      </c>
      <c r="C2" s="412"/>
      <c r="D2" s="384" t="s">
        <v>1371</v>
      </c>
      <c r="E2" s="412" t="s">
        <v>1372</v>
      </c>
      <c r="F2" s="412"/>
      <c r="G2" s="384" t="s">
        <v>1371</v>
      </c>
    </row>
    <row r="3" spans="1:7">
      <c r="A3" s="383"/>
      <c r="B3" s="385" t="s">
        <v>1373</v>
      </c>
      <c r="C3" s="386" t="s">
        <v>1364</v>
      </c>
      <c r="D3" s="384"/>
      <c r="E3" s="385" t="s">
        <v>1373</v>
      </c>
      <c r="F3" s="393" t="s">
        <v>1381</v>
      </c>
      <c r="G3" s="384"/>
    </row>
    <row r="4" spans="1:7" ht="15.75" thickBot="1">
      <c r="A4" s="383"/>
      <c r="B4" s="384" t="s">
        <v>1362</v>
      </c>
      <c r="C4" s="387">
        <v>41353</v>
      </c>
      <c r="D4" s="384"/>
      <c r="E4" s="384" t="s">
        <v>1362</v>
      </c>
      <c r="F4" s="387">
        <v>41383</v>
      </c>
      <c r="G4" s="384"/>
    </row>
    <row r="5" spans="1:7">
      <c r="B5" s="401" t="s">
        <v>1387</v>
      </c>
      <c r="C5" s="402"/>
      <c r="D5" s="403"/>
      <c r="E5" s="401" t="s">
        <v>1387</v>
      </c>
      <c r="F5" s="411"/>
      <c r="G5" s="403"/>
    </row>
    <row r="6" spans="1:7" ht="26.25">
      <c r="B6" s="404"/>
      <c r="C6" s="405" t="s">
        <v>1388</v>
      </c>
      <c r="D6" s="406" t="s">
        <v>1389</v>
      </c>
      <c r="E6" s="404"/>
      <c r="F6" s="405" t="s">
        <v>1402</v>
      </c>
      <c r="G6" s="406" t="s">
        <v>1389</v>
      </c>
    </row>
    <row r="7" spans="1:7" ht="26.25">
      <c r="B7" s="404"/>
      <c r="C7" s="405" t="s">
        <v>1390</v>
      </c>
      <c r="D7" s="406" t="s">
        <v>1389</v>
      </c>
      <c r="E7" s="404"/>
      <c r="F7" s="405" t="s">
        <v>1374</v>
      </c>
      <c r="G7" s="406" t="s">
        <v>1389</v>
      </c>
    </row>
    <row r="8" spans="1:7" ht="26.25">
      <c r="B8" s="404"/>
      <c r="C8" s="405" t="s">
        <v>1391</v>
      </c>
      <c r="D8" s="406" t="s">
        <v>1389</v>
      </c>
      <c r="E8" s="404"/>
      <c r="F8" s="405" t="s">
        <v>1403</v>
      </c>
      <c r="G8" s="406" t="s">
        <v>1389</v>
      </c>
    </row>
    <row r="9" spans="1:7">
      <c r="B9" s="404"/>
      <c r="C9" s="405" t="s">
        <v>1392</v>
      </c>
      <c r="D9" s="406" t="s">
        <v>1389</v>
      </c>
      <c r="E9" s="404"/>
      <c r="F9" s="405" t="s">
        <v>1404</v>
      </c>
      <c r="G9" s="406" t="s">
        <v>1389</v>
      </c>
    </row>
    <row r="10" spans="1:7" ht="26.25">
      <c r="B10" s="404"/>
      <c r="C10" s="405" t="s">
        <v>1375</v>
      </c>
      <c r="D10" s="406" t="s">
        <v>1389</v>
      </c>
      <c r="E10" s="404"/>
      <c r="F10" s="405" t="s">
        <v>1375</v>
      </c>
      <c r="G10" s="406" t="s">
        <v>1389</v>
      </c>
    </row>
    <row r="11" spans="1:7" ht="26.25">
      <c r="B11" s="404"/>
      <c r="C11" s="405" t="s">
        <v>1393</v>
      </c>
      <c r="D11" s="406" t="s">
        <v>1389</v>
      </c>
      <c r="E11" s="404"/>
      <c r="F11" s="405" t="s">
        <v>1405</v>
      </c>
      <c r="G11" s="406" t="s">
        <v>1389</v>
      </c>
    </row>
    <row r="12" spans="1:7">
      <c r="B12" s="407" t="s">
        <v>1376</v>
      </c>
      <c r="C12" s="405"/>
      <c r="D12" s="406"/>
      <c r="E12" s="407" t="s">
        <v>1376</v>
      </c>
      <c r="F12" s="405"/>
      <c r="G12" s="406"/>
    </row>
    <row r="13" spans="1:7" ht="26.25">
      <c r="B13" s="404"/>
      <c r="C13" s="405" t="s">
        <v>1394</v>
      </c>
      <c r="D13" s="406" t="s">
        <v>1389</v>
      </c>
      <c r="E13" s="404"/>
      <c r="F13" s="405" t="s">
        <v>1394</v>
      </c>
      <c r="G13" s="406" t="s">
        <v>1389</v>
      </c>
    </row>
    <row r="14" spans="1:7" ht="26.25">
      <c r="B14" s="404"/>
      <c r="C14" s="405" t="s">
        <v>1395</v>
      </c>
      <c r="D14" s="406" t="s">
        <v>1389</v>
      </c>
      <c r="E14" s="404"/>
      <c r="F14" s="405" t="s">
        <v>1406</v>
      </c>
      <c r="G14" s="406" t="s">
        <v>1389</v>
      </c>
    </row>
    <row r="15" spans="1:7" ht="26.25">
      <c r="B15" s="404"/>
      <c r="C15" s="405" t="s">
        <v>1396</v>
      </c>
      <c r="D15" s="406" t="s">
        <v>1389</v>
      </c>
      <c r="E15" s="404"/>
      <c r="F15" s="405" t="s">
        <v>1407</v>
      </c>
      <c r="G15" s="406" t="s">
        <v>1389</v>
      </c>
    </row>
    <row r="16" spans="1:7" ht="64.5">
      <c r="B16" s="404"/>
      <c r="C16" s="405" t="s">
        <v>1397</v>
      </c>
      <c r="D16" s="406" t="s">
        <v>1389</v>
      </c>
      <c r="E16" s="404"/>
      <c r="F16" s="405" t="s">
        <v>1408</v>
      </c>
      <c r="G16" s="406" t="s">
        <v>1389</v>
      </c>
    </row>
    <row r="17" spans="2:7" ht="51.75">
      <c r="B17" s="404"/>
      <c r="C17" s="405" t="s">
        <v>1398</v>
      </c>
      <c r="D17" s="406" t="s">
        <v>1389</v>
      </c>
      <c r="E17" s="404"/>
      <c r="F17" s="405" t="s">
        <v>1409</v>
      </c>
      <c r="G17" s="406" t="s">
        <v>1389</v>
      </c>
    </row>
    <row r="18" spans="2:7" ht="39">
      <c r="B18" s="404"/>
      <c r="C18" s="405" t="s">
        <v>1399</v>
      </c>
      <c r="D18" s="406" t="s">
        <v>1389</v>
      </c>
      <c r="E18" s="404"/>
      <c r="F18" s="405" t="s">
        <v>1410</v>
      </c>
      <c r="G18" s="406" t="s">
        <v>1389</v>
      </c>
    </row>
    <row r="19" spans="2:7" ht="51.75">
      <c r="B19" s="404"/>
      <c r="C19" s="405" t="s">
        <v>1400</v>
      </c>
      <c r="D19" s="406" t="s">
        <v>1389</v>
      </c>
      <c r="E19" s="404"/>
      <c r="F19" s="405" t="s">
        <v>1411</v>
      </c>
      <c r="G19" s="406" t="s">
        <v>1389</v>
      </c>
    </row>
    <row r="20" spans="2:7" ht="52.5" thickBot="1">
      <c r="B20" s="408"/>
      <c r="C20" s="409" t="s">
        <v>1401</v>
      </c>
      <c r="D20" s="410" t="s">
        <v>1389</v>
      </c>
      <c r="E20" s="408"/>
      <c r="F20" s="409" t="s">
        <v>1412</v>
      </c>
      <c r="G20" s="410" t="s">
        <v>1389</v>
      </c>
    </row>
  </sheetData>
  <mergeCells count="2">
    <mergeCell ref="B2:C2"/>
    <mergeCell ref="E2:F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dimension ref="A1:AF489"/>
  <sheetViews>
    <sheetView showGridLines="0" workbookViewId="0">
      <pane ySplit="1" topLeftCell="A2" activePane="bottomLeft" state="frozen"/>
      <selection activeCell="D1" sqref="D1"/>
      <selection pane="bottomLeft" activeCell="M14" sqref="M14"/>
    </sheetView>
  </sheetViews>
  <sheetFormatPr defaultRowHeight="11.25"/>
  <cols>
    <col min="1" max="1" width="9.140625" style="7" customWidth="1"/>
    <col min="2" max="2" width="9.7109375" style="7" customWidth="1"/>
    <col min="3" max="3" width="21.7109375" style="7" customWidth="1"/>
    <col min="4" max="4" width="10" style="7" customWidth="1"/>
    <col min="5" max="5" width="7.85546875" style="7" customWidth="1"/>
    <col min="6" max="6" width="15.85546875" style="7" hidden="1" customWidth="1"/>
    <col min="7" max="9" width="9.140625" style="7" hidden="1" customWidth="1"/>
    <col min="10" max="10" width="9.140625" style="7" customWidth="1"/>
    <col min="11" max="11" width="10.140625" style="8" hidden="1" customWidth="1"/>
    <col min="12" max="13" width="10.140625" style="9" customWidth="1"/>
    <col min="14" max="14" width="10.28515625" style="9" customWidth="1"/>
    <col min="15" max="16" width="11.140625" style="9" customWidth="1"/>
    <col min="17" max="22" width="9.5703125" style="9" customWidth="1"/>
    <col min="23" max="23" width="11" style="14" customWidth="1"/>
    <col min="24" max="24" width="11" style="14" bestFit="1" customWidth="1"/>
    <col min="25" max="31" width="9.140625" style="7"/>
    <col min="32" max="32" width="14" style="7" customWidth="1"/>
    <col min="33" max="16384" width="9.140625" style="7"/>
  </cols>
  <sheetData>
    <row r="1" spans="1:32" s="194" customFormat="1">
      <c r="A1" s="1" t="str">
        <f>'Secondary cum Calculation'!A1</f>
        <v>Country</v>
      </c>
      <c r="B1" s="1" t="str">
        <f>'Secondary cum Calculation'!B1</f>
        <v>Subject</v>
      </c>
      <c r="C1" s="1" t="str">
        <f>'Secondary cum Calculation'!C1</f>
        <v>Metric</v>
      </c>
      <c r="D1" s="1" t="str">
        <f>'Secondary cum Calculation'!D1</f>
        <v>Metric-1</v>
      </c>
      <c r="E1" s="1" t="str">
        <f>'Secondary cum Calculation'!E1</f>
        <v>Metric-2</v>
      </c>
      <c r="F1" s="1" t="str">
        <f>'Secondary cum Calculation'!F1</f>
        <v>Definitions</v>
      </c>
      <c r="G1" s="1" t="str">
        <f>'Secondary cum Calculation'!G1</f>
        <v>Database</v>
      </c>
      <c r="H1" s="1" t="str">
        <f>'Secondary cum Calculation'!H1</f>
        <v>Status</v>
      </c>
      <c r="I1" s="1" t="str">
        <f>'Secondary cum Calculation'!I1</f>
        <v>Source</v>
      </c>
      <c r="J1" s="1" t="str">
        <f>'Secondary cum Calculation'!J1</f>
        <v>Units</v>
      </c>
      <c r="K1" s="3">
        <f>'Secondary cum Calculation'!K1</f>
        <v>2006</v>
      </c>
      <c r="L1" s="4">
        <f>'Secondary cum Calculation'!L1</f>
        <v>2007</v>
      </c>
      <c r="M1" s="4">
        <f>'Secondary cum Calculation'!M1</f>
        <v>2008</v>
      </c>
      <c r="N1" s="4">
        <f>'Secondary cum Calculation'!N1</f>
        <v>2009</v>
      </c>
      <c r="O1" s="4">
        <f>'Secondary cum Calculation'!O1</f>
        <v>2010</v>
      </c>
      <c r="P1" s="4">
        <f>'Secondary cum Calculation'!P1</f>
        <v>2011</v>
      </c>
      <c r="Q1" s="4">
        <f>'Secondary cum Calculation'!Q1</f>
        <v>2012</v>
      </c>
      <c r="R1" s="4">
        <f>'Secondary cum Calculation'!R1</f>
        <v>2013</v>
      </c>
      <c r="S1" s="4">
        <f>'Secondary cum Calculation'!S1</f>
        <v>2014</v>
      </c>
      <c r="T1" s="4">
        <f>'Secondary cum Calculation'!T1</f>
        <v>2015</v>
      </c>
      <c r="U1" s="4">
        <f>'Secondary cum Calculation'!U1</f>
        <v>2016</v>
      </c>
      <c r="V1" s="4">
        <v>2017</v>
      </c>
      <c r="W1" s="5" t="str">
        <f>'Secondary cum Calculation'!W1</f>
        <v>CAGR 2008-2012</v>
      </c>
      <c r="X1" s="5" t="str">
        <f>'Secondary cum Calculation'!X1</f>
        <v>CAGR 2013-2017</v>
      </c>
      <c r="Y1" s="1" t="s">
        <v>1225</v>
      </c>
      <c r="Z1" s="1" t="s">
        <v>1225</v>
      </c>
      <c r="AA1" s="1" t="s">
        <v>1225</v>
      </c>
      <c r="AB1" s="1" t="s">
        <v>1225</v>
      </c>
      <c r="AC1" s="1" t="s">
        <v>8</v>
      </c>
      <c r="AD1" s="1" t="s">
        <v>1340</v>
      </c>
      <c r="AE1" s="1" t="s">
        <v>1226</v>
      </c>
    </row>
    <row r="2" spans="1:32">
      <c r="A2" s="195" t="str">
        <f>'Secondary cum Calculation'!A2</f>
        <v>Poland</v>
      </c>
      <c r="B2" s="195" t="str">
        <f>'Secondary cum Calculation'!B2</f>
        <v>Tourism Demand Factors</v>
      </c>
      <c r="C2" s="196"/>
      <c r="D2" s="196"/>
      <c r="E2" s="196"/>
      <c r="F2" s="196" t="str">
        <f>'Secondary cum Calculation'!F2</f>
        <v>Tourism demand factors are defined as the factors which influence the time and money spent on tourism by residents of a nation.</v>
      </c>
      <c r="G2" s="196" t="str">
        <f>'Secondary cum Calculation'!G2</f>
        <v>Tourism Demand &amp; Flows Database</v>
      </c>
      <c r="H2" s="196" t="str">
        <f>'Secondary cum Calculation'!H2</f>
        <v>New</v>
      </c>
      <c r="I2" s="196">
        <f>'Secondary cum Calculation'!I2</f>
        <v>0</v>
      </c>
      <c r="J2" s="196"/>
      <c r="K2" s="197"/>
      <c r="L2" s="198"/>
      <c r="M2" s="198"/>
      <c r="N2" s="198"/>
      <c r="O2" s="198"/>
      <c r="P2" s="198"/>
      <c r="Q2" s="198"/>
      <c r="R2" s="198"/>
      <c r="S2" s="198"/>
      <c r="T2" s="198"/>
      <c r="U2" s="198"/>
      <c r="V2" s="198"/>
      <c r="W2" s="199"/>
      <c r="X2" s="199"/>
      <c r="Y2" s="6"/>
      <c r="Z2" s="6"/>
      <c r="AA2" s="6"/>
      <c r="AB2" s="6"/>
      <c r="AC2" s="6"/>
      <c r="AD2" s="6"/>
      <c r="AE2" s="6"/>
      <c r="AF2" s="6"/>
    </row>
    <row r="3" spans="1:32">
      <c r="A3" s="45"/>
      <c r="B3" s="45"/>
      <c r="C3" s="45"/>
      <c r="D3" s="45"/>
      <c r="E3" s="45"/>
      <c r="F3" s="45"/>
      <c r="G3" s="45"/>
      <c r="H3" s="45"/>
      <c r="I3" s="45"/>
      <c r="J3" s="45"/>
    </row>
    <row r="4" spans="1:32">
      <c r="A4" s="200" t="str">
        <f>'Secondary cum Calculation'!A4</f>
        <v>Poland</v>
      </c>
      <c r="B4" s="201" t="str">
        <f>'Secondary cum Calculation'!B4</f>
        <v>Tourism Demand Factors</v>
      </c>
      <c r="C4" s="200" t="str">
        <f>'Secondary cum Calculation'!C4</f>
        <v>Typical Holiday Entitlement of Employees per Annum by Type</v>
      </c>
      <c r="D4" s="200"/>
      <c r="E4" s="202"/>
      <c r="F4" s="202" t="str">
        <f>'Secondary cum Calculation'!F4</f>
        <v>The number of potential tourist days the average resident of a country will accrue annually through entitled holidays (i.e. paid holidays and public holidays). Unpaid holidays and business trips are not included in this number.</v>
      </c>
      <c r="G4" s="202" t="str">
        <f>'Secondary cum Calculation'!G4</f>
        <v>Tourism Demand &amp; Flows Database</v>
      </c>
      <c r="H4" s="202" t="str">
        <f>'Secondary cum Calculation'!H4</f>
        <v>New</v>
      </c>
      <c r="I4" s="202">
        <f>'Secondary cum Calculation'!I4</f>
        <v>0</v>
      </c>
      <c r="J4" s="200" t="str">
        <f>'Secondary cum Calculation'!J4</f>
        <v>Days</v>
      </c>
      <c r="K4" s="203">
        <f>'Secondary cum Calculation'!K4</f>
        <v>0</v>
      </c>
      <c r="L4" s="204">
        <f>'Secondary cum Calculation'!L4</f>
        <v>36</v>
      </c>
      <c r="M4" s="204">
        <f>'Secondary cum Calculation'!M4</f>
        <v>36</v>
      </c>
      <c r="N4" s="204">
        <f>'Secondary cum Calculation'!N4</f>
        <v>36</v>
      </c>
      <c r="O4" s="204">
        <f>'Secondary cum Calculation'!O4</f>
        <v>36</v>
      </c>
      <c r="P4" s="204">
        <f>'Secondary cum Calculation'!P4</f>
        <v>37</v>
      </c>
      <c r="Q4" s="204">
        <f>'Secondary cum Calculation'!Q4</f>
        <v>37</v>
      </c>
      <c r="R4" s="205"/>
      <c r="S4" s="205"/>
      <c r="T4" s="205"/>
      <c r="U4" s="205"/>
      <c r="V4" s="205"/>
      <c r="W4" s="206"/>
      <c r="X4" s="206"/>
      <c r="AD4" s="7">
        <v>3</v>
      </c>
      <c r="AE4" s="7" t="s">
        <v>1346</v>
      </c>
    </row>
    <row r="5" spans="1:32">
      <c r="A5" s="6" t="str">
        <f>'Secondary cum Calculation'!A6</f>
        <v>Poland</v>
      </c>
      <c r="B5" s="119" t="str">
        <f>'Secondary cum Calculation'!B6</f>
        <v>Tourism Demand Factors</v>
      </c>
      <c r="C5" s="119" t="str">
        <f>'Secondary cum Calculation'!C6</f>
        <v>Typical Holiday Entitlement of Employees per Annum by Type</v>
      </c>
      <c r="D5" s="6" t="str">
        <f>'Secondary cum Calculation'!D6</f>
        <v>Paid Holidays</v>
      </c>
      <c r="F5" s="7" t="str">
        <f>'Secondary cum Calculation'!F6</f>
        <v>The number of potential tourist days the average resident of a country will accrue annually through paid holidays i.e. The number of paid holidays the average resident is entitled to.</v>
      </c>
      <c r="G5" s="7" t="str">
        <f>'Secondary cum Calculation'!G6</f>
        <v>Tourism Demand &amp; Flows Database</v>
      </c>
      <c r="H5" s="7" t="str">
        <f>'Secondary cum Calculation'!H6</f>
        <v>New</v>
      </c>
      <c r="I5" s="7">
        <f>'Secondary cum Calculation'!I6</f>
        <v>0</v>
      </c>
      <c r="J5" s="7" t="str">
        <f>'Secondary cum Calculation'!J6</f>
        <v>Days</v>
      </c>
      <c r="K5" s="8">
        <f>'Secondary cum Calculation'!K6</f>
        <v>0</v>
      </c>
      <c r="L5" s="168">
        <f>'Secondary cum Calculation'!L6</f>
        <v>26</v>
      </c>
      <c r="M5" s="168">
        <f>'Secondary cum Calculation'!M6</f>
        <v>26</v>
      </c>
      <c r="N5" s="118">
        <f>'Secondary cum Calculation'!N6</f>
        <v>26</v>
      </c>
      <c r="O5" s="168">
        <f>'Secondary cum Calculation'!O6</f>
        <v>26</v>
      </c>
      <c r="P5" s="118">
        <f>'Secondary cum Calculation'!P6</f>
        <v>26</v>
      </c>
      <c r="Q5" s="168">
        <f>'Secondary cum Calculation'!Q6</f>
        <v>26</v>
      </c>
      <c r="W5" s="10"/>
      <c r="X5" s="10"/>
      <c r="Y5" s="7" t="s">
        <v>1250</v>
      </c>
      <c r="Z5" s="7">
        <v>2009</v>
      </c>
      <c r="AA5" s="7" t="s">
        <v>1251</v>
      </c>
      <c r="AD5" s="7">
        <v>3</v>
      </c>
    </row>
    <row r="6" spans="1:32">
      <c r="A6" s="6" t="str">
        <f>'Secondary cum Calculation'!A8</f>
        <v>Poland</v>
      </c>
      <c r="B6" s="119" t="str">
        <f>'Secondary cum Calculation'!B8</f>
        <v>Tourism Demand Factors</v>
      </c>
      <c r="C6" s="119" t="str">
        <f>'Secondary cum Calculation'!C8</f>
        <v>Typical Holiday Entitlement of Employees per Annum by Type</v>
      </c>
      <c r="D6" s="6" t="str">
        <f>'Secondary cum Calculation'!D8</f>
        <v>Public Holidays</v>
      </c>
      <c r="F6" s="7" t="str">
        <f>'Secondary cum Calculation'!F8</f>
        <v>The number of potential tourist days the average resident of a country will accrue annually through public holidays i.e. The number of statuatory holidays the average resident is entitled to.</v>
      </c>
      <c r="G6" s="7" t="str">
        <f>'Secondary cum Calculation'!G8</f>
        <v>Tourism Demand &amp; Flows Database</v>
      </c>
      <c r="H6" s="7" t="str">
        <f>'Secondary cum Calculation'!H8</f>
        <v>New</v>
      </c>
      <c r="I6" s="7">
        <f>'Secondary cum Calculation'!I8</f>
        <v>0</v>
      </c>
      <c r="J6" s="7" t="str">
        <f>'Secondary cum Calculation'!J8</f>
        <v>Days</v>
      </c>
      <c r="K6" s="8">
        <f>'Secondary cum Calculation'!K8</f>
        <v>10</v>
      </c>
      <c r="L6" s="168">
        <f>'Secondary cum Calculation'!L8</f>
        <v>10</v>
      </c>
      <c r="M6" s="168">
        <f>'Secondary cum Calculation'!M8</f>
        <v>10</v>
      </c>
      <c r="N6" s="118">
        <f>'Secondary cum Calculation'!N8</f>
        <v>10</v>
      </c>
      <c r="O6" s="168">
        <f>'Secondary cum Calculation'!O8</f>
        <v>10</v>
      </c>
      <c r="P6" s="118">
        <f>'Secondary cum Calculation'!P8</f>
        <v>11</v>
      </c>
      <c r="Q6" s="168">
        <f>'Secondary cum Calculation'!Q8</f>
        <v>11</v>
      </c>
      <c r="R6" s="118"/>
      <c r="S6" s="118"/>
      <c r="T6" s="118"/>
      <c r="U6" s="118"/>
      <c r="V6" s="118"/>
      <c r="W6" s="10"/>
      <c r="X6" s="10"/>
      <c r="Y6" s="7" t="s">
        <v>1198</v>
      </c>
      <c r="Z6" s="7">
        <v>2011</v>
      </c>
      <c r="AD6" s="7">
        <v>3</v>
      </c>
    </row>
    <row r="7" spans="1:32">
      <c r="A7" s="200" t="str">
        <f>'Secondary cum Calculation'!A10</f>
        <v>Poland</v>
      </c>
      <c r="B7" s="201" t="str">
        <f>'Secondary cum Calculation'!B10</f>
        <v>Tourism Demand Factors</v>
      </c>
      <c r="C7" s="200" t="str">
        <f>'Secondary cum Calculation'!C10</f>
        <v>Total Population by Age &amp; Sex</v>
      </c>
      <c r="D7" s="202"/>
      <c r="E7" s="202"/>
      <c r="F7" s="202">
        <f>'Secondary cum Calculation'!F10</f>
        <v>0</v>
      </c>
      <c r="G7" s="202" t="str">
        <f>'Secondary cum Calculation'!G10</f>
        <v>Tourism Demand &amp; Flows Database</v>
      </c>
      <c r="H7" s="202" t="str">
        <f>'Secondary cum Calculation'!H10</f>
        <v>New</v>
      </c>
      <c r="I7" s="202">
        <f>'Secondary cum Calculation'!I10</f>
        <v>0</v>
      </c>
      <c r="J7" s="202"/>
      <c r="K7" s="203">
        <f>'Secondary cum Calculation'!K10</f>
        <v>0</v>
      </c>
      <c r="L7" s="207"/>
      <c r="M7" s="207"/>
      <c r="N7" s="207"/>
      <c r="O7" s="207"/>
      <c r="P7" s="207"/>
      <c r="Q7" s="207"/>
      <c r="R7" s="207"/>
      <c r="S7" s="207"/>
      <c r="T7" s="207"/>
      <c r="U7" s="207"/>
      <c r="V7" s="207"/>
      <c r="W7" s="206"/>
      <c r="X7" s="206"/>
      <c r="Y7" s="11"/>
    </row>
    <row r="8" spans="1:32">
      <c r="A8" s="6" t="str">
        <f>'Secondary cum Calculation'!A12</f>
        <v>Poland</v>
      </c>
      <c r="B8" s="119" t="str">
        <f>'Secondary cum Calculation'!B12</f>
        <v>Tourism Demand Factors</v>
      </c>
      <c r="C8" s="119" t="str">
        <f>'Secondary cum Calculation'!C12</f>
        <v>Total Population by Age &amp; Sex</v>
      </c>
      <c r="D8" s="6" t="str">
        <f>'Secondary cum Calculation'!D12</f>
        <v>Total by Age</v>
      </c>
      <c r="F8" s="7">
        <f>'Secondary cum Calculation'!F12</f>
        <v>0</v>
      </c>
      <c r="G8" s="7" t="str">
        <f>'Secondary cum Calculation'!G12</f>
        <v>Tourism Demand &amp; Flows Database</v>
      </c>
      <c r="H8" s="7" t="str">
        <f>'Secondary cum Calculation'!H12</f>
        <v>New</v>
      </c>
      <c r="I8" s="7">
        <f>'Secondary cum Calculation'!I12</f>
        <v>0</v>
      </c>
      <c r="J8" s="6" t="str">
        <f>'Secondary cum Calculation'!J12</f>
        <v>Millions</v>
      </c>
      <c r="K8" s="8">
        <f>'Secondary cum Calculation'!K12</f>
        <v>0</v>
      </c>
      <c r="L8" s="128">
        <f>'Secondary cum Calculation'!L12</f>
        <v>38.518240999999996</v>
      </c>
      <c r="M8" s="128">
        <f>'Secondary cum Calculation'!M12</f>
        <v>38.500696000000005</v>
      </c>
      <c r="N8" s="128">
        <f>'Secondary cum Calculation'!N12</f>
        <v>38.482919000000003</v>
      </c>
      <c r="O8" s="128">
        <f>'Secondary cum Calculation'!O12</f>
        <v>38.463689000000002</v>
      </c>
      <c r="P8" s="128">
        <f>'Secondary cum Calculation'!P12</f>
        <v>38.441587999999996</v>
      </c>
      <c r="Q8" s="128">
        <f>Forecasting!Q12</f>
        <v>38.415284</v>
      </c>
      <c r="R8" s="128">
        <f>Forecasting!R12</f>
        <v>38.383808999999992</v>
      </c>
      <c r="S8" s="128">
        <f>Forecasting!S12</f>
        <v>38.346278999999996</v>
      </c>
      <c r="T8" s="128">
        <f>Forecasting!T12</f>
        <v>38.301884999999999</v>
      </c>
      <c r="U8" s="128">
        <f>Forecasting!U12</f>
        <v>38.249653000000002</v>
      </c>
      <c r="V8" s="128">
        <f>Forecasting!V12</f>
        <v>38.188708000000005</v>
      </c>
      <c r="W8" s="244">
        <f>'Secondary cum Calculation'!W12</f>
        <v>-5.5507534232013267E-4</v>
      </c>
      <c r="X8" s="244">
        <f>'Secondary cum Calculation'!X12</f>
        <v>-1.1824066893574292E-3</v>
      </c>
      <c r="Y8" s="371" t="s">
        <v>1341</v>
      </c>
      <c r="AD8" s="7">
        <v>5</v>
      </c>
      <c r="AE8" s="7" t="s">
        <v>1347</v>
      </c>
    </row>
    <row r="9" spans="1:32">
      <c r="A9" s="6" t="str">
        <f>'Secondary cum Calculation'!A14</f>
        <v>Poland</v>
      </c>
      <c r="B9" s="119" t="str">
        <f>'Secondary cum Calculation'!B14</f>
        <v>Tourism Demand Factors</v>
      </c>
      <c r="C9" s="119" t="str">
        <f>'Secondary cum Calculation'!C14</f>
        <v>Total Population by Age &amp; Sex</v>
      </c>
      <c r="D9" s="119" t="str">
        <f>'Secondary cum Calculation'!D14</f>
        <v>Total by Age</v>
      </c>
      <c r="E9" s="6" t="str">
        <f>'Secondary cum Calculation'!E14</f>
        <v>0-14</v>
      </c>
      <c r="F9" s="7">
        <f>'Secondary cum Calculation'!F14</f>
        <v>0</v>
      </c>
      <c r="G9" s="7" t="str">
        <f>'Secondary cum Calculation'!G14</f>
        <v>Tourism Demand &amp; Flows Database</v>
      </c>
      <c r="H9" s="7" t="str">
        <f>'Secondary cum Calculation'!H14</f>
        <v>New</v>
      </c>
      <c r="I9" s="7">
        <f>'Secondary cum Calculation'!I14</f>
        <v>0</v>
      </c>
      <c r="J9" s="7" t="str">
        <f>'Secondary cum Calculation'!J14</f>
        <v>Millions</v>
      </c>
      <c r="K9" s="8">
        <f>'Secondary cum Calculation'!K14</f>
        <v>0</v>
      </c>
      <c r="L9" s="9">
        <f>'Secondary cum Calculation'!L14</f>
        <v>5.9765090000000001</v>
      </c>
      <c r="M9" s="9">
        <f>'Secondary cum Calculation'!M14</f>
        <v>5.863086</v>
      </c>
      <c r="N9" s="9">
        <f>'Secondary cum Calculation'!N14</f>
        <v>5.7672730000000003</v>
      </c>
      <c r="O9" s="9">
        <f>'Secondary cum Calculation'!O14</f>
        <v>5.7007529999999997</v>
      </c>
      <c r="P9" s="9">
        <f>'Secondary cum Calculation'!P14</f>
        <v>5.6588700000000003</v>
      </c>
      <c r="Q9" s="9">
        <f>Forecasting!Q14</f>
        <v>5.6246499999999999</v>
      </c>
      <c r="R9" s="9">
        <f>Forecasting!R14</f>
        <v>5.6032190000000002</v>
      </c>
      <c r="S9" s="9">
        <f>Forecasting!S14</f>
        <v>5.5928329999999997</v>
      </c>
      <c r="T9" s="9">
        <f>Forecasting!T14</f>
        <v>5.5859839999999998</v>
      </c>
      <c r="U9" s="160">
        <f>Forecasting!U14</f>
        <v>5.5801489999999996</v>
      </c>
      <c r="V9" s="160">
        <f>Forecasting!V14</f>
        <v>5.5801160000000003</v>
      </c>
      <c r="W9" s="211">
        <f>'Secondary cum Calculation'!W14</f>
        <v>-1.0325661074755743E-2</v>
      </c>
      <c r="X9" s="211">
        <f>'Secondary cum Calculation'!X14</f>
        <v>-1.5885687317745978E-3</v>
      </c>
      <c r="AD9" s="7">
        <v>5</v>
      </c>
    </row>
    <row r="10" spans="1:32">
      <c r="A10" s="6" t="str">
        <f>'Secondary cum Calculation'!A16</f>
        <v>Poland</v>
      </c>
      <c r="B10" s="119" t="str">
        <f>'Secondary cum Calculation'!B16</f>
        <v>Tourism Demand Factors</v>
      </c>
      <c r="C10" s="119" t="str">
        <f>'Secondary cum Calculation'!C16</f>
        <v>Total Population by Age &amp; Sex</v>
      </c>
      <c r="D10" s="119" t="str">
        <f>'Secondary cum Calculation'!D16</f>
        <v>Total by Age</v>
      </c>
      <c r="E10" s="6" t="str">
        <f>'Secondary cum Calculation'!E16</f>
        <v>15-24</v>
      </c>
      <c r="F10" s="7">
        <f>'Secondary cum Calculation'!F16</f>
        <v>0</v>
      </c>
      <c r="G10" s="7" t="str">
        <f>'Secondary cum Calculation'!G16</f>
        <v>Tourism Demand &amp; Flows Database</v>
      </c>
      <c r="H10" s="7" t="str">
        <f>'Secondary cum Calculation'!H16</f>
        <v>New</v>
      </c>
      <c r="I10" s="7">
        <f>'Secondary cum Calculation'!I16</f>
        <v>0</v>
      </c>
      <c r="J10" s="7" t="str">
        <f>'Secondary cum Calculation'!J16</f>
        <v>Millions</v>
      </c>
      <c r="K10" s="8">
        <f>'Secondary cum Calculation'!K16</f>
        <v>0</v>
      </c>
      <c r="L10" s="9">
        <f>'Secondary cum Calculation'!L16</f>
        <v>5.9017530000000002</v>
      </c>
      <c r="M10" s="9">
        <f>'Secondary cum Calculation'!M16</f>
        <v>5.7020749999999998</v>
      </c>
      <c r="N10" s="9">
        <f>'Secondary cum Calculation'!N16</f>
        <v>5.4898319999999998</v>
      </c>
      <c r="O10" s="9">
        <f>'Secondary cum Calculation'!O16</f>
        <v>5.2693770000000004</v>
      </c>
      <c r="P10" s="9">
        <f>'Secondary cum Calculation'!P16</f>
        <v>5.0562950000000004</v>
      </c>
      <c r="Q10" s="9">
        <f>Forecasting!Q16</f>
        <v>4.8748889999999996</v>
      </c>
      <c r="R10" s="9">
        <f>Forecasting!R16</f>
        <v>4.7257680000000004</v>
      </c>
      <c r="S10" s="9">
        <f>Forecasting!S16</f>
        <v>4.5688550000000001</v>
      </c>
      <c r="T10" s="9">
        <f>Forecasting!T16</f>
        <v>4.4026420000000002</v>
      </c>
      <c r="U10" s="160">
        <f>Forecasting!U16</f>
        <v>4.2374029999999996</v>
      </c>
      <c r="V10" s="160">
        <f>Forecasting!V16</f>
        <v>4.0752750000000004</v>
      </c>
      <c r="W10" s="211">
        <f>'Secondary cum Calculation'!W16</f>
        <v>-3.8425469542404556E-2</v>
      </c>
      <c r="X10" s="211">
        <f>'Secondary cum Calculation'!X16</f>
        <v>-3.5197460804242464E-2</v>
      </c>
      <c r="AD10" s="7">
        <v>5</v>
      </c>
    </row>
    <row r="11" spans="1:32">
      <c r="A11" s="6" t="str">
        <f>'Secondary cum Calculation'!A18</f>
        <v>Poland</v>
      </c>
      <c r="B11" s="119" t="str">
        <f>'Secondary cum Calculation'!B18</f>
        <v>Tourism Demand Factors</v>
      </c>
      <c r="C11" s="119" t="str">
        <f>'Secondary cum Calculation'!C18</f>
        <v>Total Population by Age &amp; Sex</v>
      </c>
      <c r="D11" s="119" t="str">
        <f>'Secondary cum Calculation'!D18</f>
        <v>Total by Age</v>
      </c>
      <c r="E11" s="6" t="str">
        <f>'Secondary cum Calculation'!E18</f>
        <v>25-34</v>
      </c>
      <c r="F11" s="7">
        <f>'Secondary cum Calculation'!F18</f>
        <v>0</v>
      </c>
      <c r="G11" s="7" t="str">
        <f>'Secondary cum Calculation'!G18</f>
        <v>Tourism Demand &amp; Flows Database</v>
      </c>
      <c r="H11" s="7" t="str">
        <f>'Secondary cum Calculation'!H18</f>
        <v>New</v>
      </c>
      <c r="I11" s="7">
        <f>'Secondary cum Calculation'!I18</f>
        <v>0</v>
      </c>
      <c r="J11" s="7" t="str">
        <f>'Secondary cum Calculation'!J18</f>
        <v>Millions</v>
      </c>
      <c r="K11" s="8">
        <f>'Secondary cum Calculation'!K18</f>
        <v>0</v>
      </c>
      <c r="L11" s="9">
        <f>'Secondary cum Calculation'!L18</f>
        <v>6.2222609999999996</v>
      </c>
      <c r="M11" s="9">
        <f>'Secondary cum Calculation'!M18</f>
        <v>6.3293020000000002</v>
      </c>
      <c r="N11" s="9">
        <f>'Secondary cum Calculation'!N18</f>
        <v>6.4191760000000002</v>
      </c>
      <c r="O11" s="9">
        <f>'Secondary cum Calculation'!O18</f>
        <v>6.4713510000000003</v>
      </c>
      <c r="P11" s="9">
        <f>'Secondary cum Calculation'!P18</f>
        <v>6.4705329999999996</v>
      </c>
      <c r="Q11" s="9">
        <f>Forecasting!Q18</f>
        <v>6.4259139999999997</v>
      </c>
      <c r="R11" s="9">
        <f>Forecasting!R18</f>
        <v>6.3308580000000001</v>
      </c>
      <c r="S11" s="9">
        <f>Forecasting!S18</f>
        <v>6.2175960000000003</v>
      </c>
      <c r="T11" s="9">
        <f>Forecasting!T18</f>
        <v>6.0958810000000003</v>
      </c>
      <c r="U11" s="160">
        <f>Forecasting!U18</f>
        <v>5.971565</v>
      </c>
      <c r="V11" s="160">
        <f>Forecasting!V18</f>
        <v>5.8216650000000003</v>
      </c>
      <c r="W11" s="211">
        <f>'Secondary cum Calculation'!W18</f>
        <v>3.7944096035811281E-3</v>
      </c>
      <c r="X11" s="211">
        <f>'Secondary cum Calculation'!X18</f>
        <v>-1.9556751156668217E-2</v>
      </c>
      <c r="AD11" s="7">
        <v>5</v>
      </c>
    </row>
    <row r="12" spans="1:32">
      <c r="A12" s="6" t="str">
        <f>'Secondary cum Calculation'!A20</f>
        <v>Poland</v>
      </c>
      <c r="B12" s="119" t="str">
        <f>'Secondary cum Calculation'!B20</f>
        <v>Tourism Demand Factors</v>
      </c>
      <c r="C12" s="119" t="str">
        <f>'Secondary cum Calculation'!C20</f>
        <v>Total Population by Age &amp; Sex</v>
      </c>
      <c r="D12" s="119" t="str">
        <f>'Secondary cum Calculation'!D20</f>
        <v>Total by Age</v>
      </c>
      <c r="E12" s="6" t="str">
        <f>'Secondary cum Calculation'!E20</f>
        <v>35-44</v>
      </c>
      <c r="F12" s="7">
        <f>'Secondary cum Calculation'!F20</f>
        <v>0</v>
      </c>
      <c r="G12" s="7" t="str">
        <f>'Secondary cum Calculation'!G20</f>
        <v>Tourism Demand &amp; Flows Database</v>
      </c>
      <c r="H12" s="7" t="str">
        <f>'Secondary cum Calculation'!H20</f>
        <v>New</v>
      </c>
      <c r="I12" s="7">
        <f>'Secondary cum Calculation'!I20</f>
        <v>0</v>
      </c>
      <c r="J12" s="7" t="str">
        <f>'Secondary cum Calculation'!J20</f>
        <v>Millions</v>
      </c>
      <c r="K12" s="8">
        <f>'Secondary cum Calculation'!K20</f>
        <v>0</v>
      </c>
      <c r="L12" s="9">
        <f>'Secondary cum Calculation'!L20</f>
        <v>4.9293579999999997</v>
      </c>
      <c r="M12" s="9">
        <f>'Secondary cum Calculation'!M20</f>
        <v>4.9741249999999999</v>
      </c>
      <c r="N12" s="9">
        <f>'Secondary cum Calculation'!N20</f>
        <v>5.0441830000000003</v>
      </c>
      <c r="O12" s="9">
        <f>'Secondary cum Calculation'!O20</f>
        <v>5.1464109999999996</v>
      </c>
      <c r="P12" s="9">
        <f>'Secondary cum Calculation'!P20</f>
        <v>5.2828660000000003</v>
      </c>
      <c r="Q12" s="9">
        <f>Forecasting!Q20</f>
        <v>5.4303999999999997</v>
      </c>
      <c r="R12" s="9">
        <f>Forecasting!R20</f>
        <v>5.5782930000000004</v>
      </c>
      <c r="S12" s="9">
        <f>Forecasting!S20</f>
        <v>5.7341899999999999</v>
      </c>
      <c r="T12" s="9">
        <f>Forecasting!T20</f>
        <v>5.8825820000000002</v>
      </c>
      <c r="U12" s="160">
        <f>Forecasting!U20</f>
        <v>6.0032629999999996</v>
      </c>
      <c r="V12" s="160">
        <f>Forecasting!V20</f>
        <v>6.1115700000000004</v>
      </c>
      <c r="W12" s="211">
        <f>'Secondary cum Calculation'!W20</f>
        <v>2.218330017509218E-2</v>
      </c>
      <c r="X12" s="211">
        <f>'Secondary cum Calculation'!X20</f>
        <v>2.3915680520963045E-2</v>
      </c>
      <c r="AD12" s="7">
        <v>5</v>
      </c>
    </row>
    <row r="13" spans="1:32">
      <c r="A13" s="6" t="str">
        <f>'Secondary cum Calculation'!A22</f>
        <v>Poland</v>
      </c>
      <c r="B13" s="119" t="str">
        <f>'Secondary cum Calculation'!B22</f>
        <v>Tourism Demand Factors</v>
      </c>
      <c r="C13" s="119" t="str">
        <f>'Secondary cum Calculation'!C22</f>
        <v>Total Population by Age &amp; Sex</v>
      </c>
      <c r="D13" s="119" t="str">
        <f>'Secondary cum Calculation'!D22</f>
        <v>Total by Age</v>
      </c>
      <c r="E13" s="6" t="str">
        <f>'Secondary cum Calculation'!E22</f>
        <v>45-54</v>
      </c>
      <c r="F13" s="7">
        <f>'Secondary cum Calculation'!F22</f>
        <v>0</v>
      </c>
      <c r="G13" s="7" t="str">
        <f>'Secondary cum Calculation'!G22</f>
        <v>Tourism Demand &amp; Flows Database</v>
      </c>
      <c r="H13" s="7" t="str">
        <f>'Secondary cum Calculation'!H22</f>
        <v>New</v>
      </c>
      <c r="I13" s="7">
        <f>'Secondary cum Calculation'!I22</f>
        <v>0</v>
      </c>
      <c r="J13" s="7" t="str">
        <f>'Secondary cum Calculation'!J22</f>
        <v>Millions</v>
      </c>
      <c r="K13" s="8">
        <f>'Secondary cum Calculation'!K22</f>
        <v>0</v>
      </c>
      <c r="L13" s="9">
        <f>'Secondary cum Calculation'!L22</f>
        <v>5.9540350000000002</v>
      </c>
      <c r="M13" s="9">
        <f>'Secondary cum Calculation'!M22</f>
        <v>5.8303260000000003</v>
      </c>
      <c r="N13" s="9">
        <f>'Secondary cum Calculation'!N22</f>
        <v>5.6946450000000004</v>
      </c>
      <c r="O13" s="9">
        <f>'Secondary cum Calculation'!O22</f>
        <v>5.5346919999999997</v>
      </c>
      <c r="P13" s="9">
        <f>'Secondary cum Calculation'!P22</f>
        <v>5.3583959999999999</v>
      </c>
      <c r="Q13" s="9">
        <f>Forecasting!Q22</f>
        <v>5.1778550000000001</v>
      </c>
      <c r="R13" s="9">
        <f>Forecasting!R22</f>
        <v>5.0061499999999999</v>
      </c>
      <c r="S13" s="9">
        <f>Forecasting!S22</f>
        <v>4.8628580000000001</v>
      </c>
      <c r="T13" s="9">
        <f>Forecasting!T22</f>
        <v>4.7667169999999999</v>
      </c>
      <c r="U13" s="160">
        <f>Forecasting!U22</f>
        <v>4.7289940000000001</v>
      </c>
      <c r="V13" s="160">
        <f>Forecasting!V22</f>
        <v>4.7418889999999996</v>
      </c>
      <c r="W13" s="211">
        <f>'Secondary cum Calculation'!W22</f>
        <v>-2.9234661334152534E-2</v>
      </c>
      <c r="X13" s="211">
        <f>'Secondary cum Calculation'!X22</f>
        <v>-1.7437240244000951E-2</v>
      </c>
      <c r="AD13" s="7">
        <v>5</v>
      </c>
    </row>
    <row r="14" spans="1:32">
      <c r="A14" s="6" t="str">
        <f>'Secondary cum Calculation'!A24</f>
        <v>Poland</v>
      </c>
      <c r="B14" s="119" t="str">
        <f>'Secondary cum Calculation'!B24</f>
        <v>Tourism Demand Factors</v>
      </c>
      <c r="C14" s="119" t="str">
        <f>'Secondary cum Calculation'!C24</f>
        <v>Total Population by Age &amp; Sex</v>
      </c>
      <c r="D14" s="119" t="str">
        <f>'Secondary cum Calculation'!D24</f>
        <v>Total by Age</v>
      </c>
      <c r="E14" s="6" t="str">
        <f>'Secondary cum Calculation'!E24</f>
        <v>55-64</v>
      </c>
      <c r="F14" s="7">
        <f>'Secondary cum Calculation'!F24</f>
        <v>0</v>
      </c>
      <c r="G14" s="7" t="str">
        <f>'Secondary cum Calculation'!G24</f>
        <v>Tourism Demand &amp; Flows Database</v>
      </c>
      <c r="H14" s="7" t="str">
        <f>'Secondary cum Calculation'!H24</f>
        <v>New</v>
      </c>
      <c r="I14" s="7">
        <f>'Secondary cum Calculation'!I24</f>
        <v>0</v>
      </c>
      <c r="J14" s="7" t="str">
        <f>'Secondary cum Calculation'!J24</f>
        <v>Millions</v>
      </c>
      <c r="K14" s="8">
        <f>'Secondary cum Calculation'!K24</f>
        <v>0</v>
      </c>
      <c r="L14" s="9">
        <f>'Secondary cum Calculation'!L24</f>
        <v>4.3927589999999999</v>
      </c>
      <c r="M14" s="9">
        <f>'Secondary cum Calculation'!M24</f>
        <v>4.6540650000000001</v>
      </c>
      <c r="N14" s="9">
        <f>'Secondary cum Calculation'!N24</f>
        <v>4.9104929999999998</v>
      </c>
      <c r="O14" s="9">
        <f>'Secondary cum Calculation'!O24</f>
        <v>5.167211</v>
      </c>
      <c r="P14" s="9">
        <f>'Secondary cum Calculation'!P24</f>
        <v>5.3650520000000004</v>
      </c>
      <c r="Q14" s="9">
        <f>Forecasting!Q24</f>
        <v>5.4947499999999998</v>
      </c>
      <c r="R14" s="9">
        <f>Forecasting!R24</f>
        <v>5.5841209999999997</v>
      </c>
      <c r="S14" s="9">
        <f>Forecasting!S24</f>
        <v>5.6320389999999998</v>
      </c>
      <c r="T14" s="9">
        <f>Forecasting!T24</f>
        <v>5.6315080000000002</v>
      </c>
      <c r="U14" s="160">
        <f>Forecasting!U24</f>
        <v>5.5776839999999996</v>
      </c>
      <c r="V14" s="160">
        <f>Forecasting!V24</f>
        <v>5.4868439999999996</v>
      </c>
      <c r="W14" s="211">
        <f>'Secondary cum Calculation'!W24</f>
        <v>4.2386728335831458E-2</v>
      </c>
      <c r="X14" s="211">
        <f>'Secondary cum Calculation'!X24</f>
        <v>-2.8793135562743544E-4</v>
      </c>
      <c r="AD14" s="7">
        <v>5</v>
      </c>
    </row>
    <row r="15" spans="1:32">
      <c r="A15" s="6" t="str">
        <f>'Secondary cum Calculation'!A26</f>
        <v>Poland</v>
      </c>
      <c r="B15" s="119" t="str">
        <f>'Secondary cum Calculation'!B26</f>
        <v>Tourism Demand Factors</v>
      </c>
      <c r="C15" s="119" t="str">
        <f>'Secondary cum Calculation'!C26</f>
        <v>Total Population by Age &amp; Sex</v>
      </c>
      <c r="D15" s="119" t="str">
        <f>'Secondary cum Calculation'!D26</f>
        <v>Total by Age</v>
      </c>
      <c r="E15" s="6" t="str">
        <f>'Secondary cum Calculation'!E26</f>
        <v>65+</v>
      </c>
      <c r="F15" s="7">
        <f>'Secondary cum Calculation'!F26</f>
        <v>0</v>
      </c>
      <c r="G15" s="7" t="str">
        <f>'Secondary cum Calculation'!G26</f>
        <v>Tourism Demand &amp; Flows Database</v>
      </c>
      <c r="H15" s="7" t="str">
        <f>'Secondary cum Calculation'!H26</f>
        <v>New</v>
      </c>
      <c r="I15" s="7">
        <f>'Secondary cum Calculation'!I26</f>
        <v>0</v>
      </c>
      <c r="J15" s="7" t="str">
        <f>'Secondary cum Calculation'!J26</f>
        <v>Millions</v>
      </c>
      <c r="K15" s="8">
        <f>'Secondary cum Calculation'!K26</f>
        <v>0</v>
      </c>
      <c r="L15" s="9">
        <f>'Secondary cum Calculation'!L26</f>
        <v>5.1415660000000001</v>
      </c>
      <c r="M15" s="9">
        <f>'Secondary cum Calculation'!M26</f>
        <v>5.1477170000000001</v>
      </c>
      <c r="N15" s="9">
        <f>'Secondary cum Calculation'!N26</f>
        <v>5.1573169999999999</v>
      </c>
      <c r="O15" s="9">
        <f>'Secondary cum Calculation'!O26</f>
        <v>5.1738939999999998</v>
      </c>
      <c r="P15" s="9">
        <f>'Secondary cum Calculation'!P26</f>
        <v>5.2495760000000002</v>
      </c>
      <c r="Q15" s="9">
        <f>Forecasting!Q26</f>
        <v>5.3868260000000001</v>
      </c>
      <c r="R15" s="9">
        <f>Forecasting!R26</f>
        <v>5.5553999999999997</v>
      </c>
      <c r="S15" s="9">
        <f>Forecasting!S26</f>
        <v>5.737908</v>
      </c>
      <c r="T15" s="9">
        <f>Forecasting!T26</f>
        <v>5.9365709999999998</v>
      </c>
      <c r="U15" s="160">
        <f>Forecasting!U26</f>
        <v>6.150595</v>
      </c>
      <c r="V15" s="160">
        <f>Forecasting!V26</f>
        <v>6.3713490000000004</v>
      </c>
      <c r="W15" s="211">
        <f>'Secondary cum Calculation'!W26</f>
        <v>1.1415421217183086E-2</v>
      </c>
      <c r="X15" s="211">
        <f>'Secondary cum Calculation'!X26</f>
        <v>3.4140839869183592E-2</v>
      </c>
      <c r="AD15" s="7">
        <v>5</v>
      </c>
    </row>
    <row r="16" spans="1:32">
      <c r="A16" s="200" t="str">
        <f>'Secondary cum Calculation'!A41</f>
        <v>Poland</v>
      </c>
      <c r="B16" s="201" t="str">
        <f>'Secondary cum Calculation'!B41</f>
        <v>Tourism Demand Factors</v>
      </c>
      <c r="C16" s="201" t="str">
        <f>'Secondary cum Calculation'!C41</f>
        <v>Total Population by Age &amp; Sex</v>
      </c>
      <c r="D16" s="200" t="str">
        <f>'Secondary cum Calculation'!D41</f>
        <v>Males by Age</v>
      </c>
      <c r="E16" s="202"/>
      <c r="F16" s="202">
        <f>'Secondary cum Calculation'!F41</f>
        <v>0</v>
      </c>
      <c r="G16" s="202" t="str">
        <f>'Secondary cum Calculation'!G41</f>
        <v>Tourism Demand &amp; Flows Database</v>
      </c>
      <c r="H16" s="202" t="str">
        <f>'Secondary cum Calculation'!H41</f>
        <v>New</v>
      </c>
      <c r="I16" s="202">
        <f>'Secondary cum Calculation'!I41</f>
        <v>0</v>
      </c>
      <c r="J16" s="200" t="str">
        <f>'Secondary cum Calculation'!J41</f>
        <v>Millions</v>
      </c>
      <c r="K16" s="203">
        <f>'Secondary cum Calculation'!K41</f>
        <v>864.43194319999998</v>
      </c>
      <c r="L16" s="208">
        <f>'Secondary cum Calculation'!L41</f>
        <v>18.673828999999998</v>
      </c>
      <c r="M16" s="208">
        <f>'Secondary cum Calculation'!M41</f>
        <v>18.659066999999997</v>
      </c>
      <c r="N16" s="208">
        <f>'Secondary cum Calculation'!N41</f>
        <v>18.644478999999997</v>
      </c>
      <c r="O16" s="208">
        <f>'Secondary cum Calculation'!O41</f>
        <v>18.629434</v>
      </c>
      <c r="P16" s="208">
        <f>'Secondary cum Calculation'!P41</f>
        <v>18.613236999999998</v>
      </c>
      <c r="Q16" s="208">
        <f>Forecasting!Q28</f>
        <v>18.595227999999999</v>
      </c>
      <c r="R16" s="208">
        <f>Forecasting!R28</f>
        <v>18.574883999999997</v>
      </c>
      <c r="S16" s="208">
        <f>Forecasting!S28</f>
        <v>18.551718999999999</v>
      </c>
      <c r="T16" s="208">
        <f>Forecasting!T28</f>
        <v>18.525275999999998</v>
      </c>
      <c r="U16" s="208">
        <f>Forecasting!U28</f>
        <v>18.495054</v>
      </c>
      <c r="V16" s="208">
        <f>Forecasting!V28</f>
        <v>18.460598999999998</v>
      </c>
      <c r="W16" s="245">
        <f>'Secondary cum Calculation'!W41</f>
        <v>-8.5643442718685847E-4</v>
      </c>
      <c r="X16" s="245">
        <f>'Secondary cum Calculation'!X41</f>
        <v>-1.4522068410375288E-3</v>
      </c>
      <c r="Y16" s="371" t="s">
        <v>1341</v>
      </c>
      <c r="AD16" s="7">
        <v>5</v>
      </c>
    </row>
    <row r="17" spans="1:31">
      <c r="A17" s="6" t="str">
        <f>'Secondary cum Calculation'!A43</f>
        <v>Poland</v>
      </c>
      <c r="B17" s="119" t="str">
        <f>'Secondary cum Calculation'!B43</f>
        <v>Tourism Demand Factors</v>
      </c>
      <c r="C17" s="119" t="str">
        <f>'Secondary cum Calculation'!C43</f>
        <v>Total Population by Age &amp; Sex</v>
      </c>
      <c r="D17" s="119" t="str">
        <f>'Secondary cum Calculation'!D43</f>
        <v>Males by Age</v>
      </c>
      <c r="E17" s="6" t="str">
        <f>'Secondary cum Calculation'!E43</f>
        <v>0-14</v>
      </c>
      <c r="F17" s="7">
        <f>'Secondary cum Calculation'!F43</f>
        <v>0</v>
      </c>
      <c r="G17" s="7" t="str">
        <f>'Secondary cum Calculation'!G43</f>
        <v>Tourism Demand &amp; Flows Database</v>
      </c>
      <c r="H17" s="7" t="str">
        <f>'Secondary cum Calculation'!H43</f>
        <v>New</v>
      </c>
      <c r="I17" s="7">
        <f>'Secondary cum Calculation'!I43</f>
        <v>0</v>
      </c>
      <c r="J17" s="7" t="str">
        <f>'Secondary cum Calculation'!J43</f>
        <v>Millions</v>
      </c>
      <c r="K17" s="8">
        <f>'Secondary cum Calculation'!K43</f>
        <v>0</v>
      </c>
      <c r="L17" s="9">
        <f>'Secondary cum Calculation'!L43</f>
        <v>3.0703879999999999</v>
      </c>
      <c r="M17" s="9">
        <f>'Secondary cum Calculation'!M43</f>
        <v>3.013109</v>
      </c>
      <c r="N17" s="9">
        <f>'Secondary cum Calculation'!N43</f>
        <v>2.964995</v>
      </c>
      <c r="O17" s="9">
        <f>'Secondary cum Calculation'!O43</f>
        <v>2.9317319999999998</v>
      </c>
      <c r="P17" s="9">
        <f>'Secondary cum Calculation'!P43</f>
        <v>2.9103240000000001</v>
      </c>
      <c r="Q17" s="9">
        <f>Forecasting!Q30</f>
        <v>2.8927010000000002</v>
      </c>
      <c r="R17" s="9">
        <f>Forecasting!R30</f>
        <v>2.881605</v>
      </c>
      <c r="S17" s="9">
        <f>Forecasting!S30</f>
        <v>2.8762639999999999</v>
      </c>
      <c r="T17" s="9">
        <f>Forecasting!T30</f>
        <v>2.8728419999999999</v>
      </c>
      <c r="U17" s="160">
        <f>Forecasting!U30</f>
        <v>2.8698239999999999</v>
      </c>
      <c r="V17" s="160">
        <f>Forecasting!V30</f>
        <v>2.8698220000000001</v>
      </c>
      <c r="W17" s="211">
        <f>'Secondary cum Calculation'!W43</f>
        <v>-1.0143644744617264E-2</v>
      </c>
      <c r="X17" s="211">
        <f>'Secondary cum Calculation'!X43</f>
        <v>-1.5868717433763502E-3</v>
      </c>
      <c r="AD17" s="7">
        <v>5</v>
      </c>
    </row>
    <row r="18" spans="1:31">
      <c r="A18" s="6" t="str">
        <f>'Secondary cum Calculation'!A45</f>
        <v>Poland</v>
      </c>
      <c r="B18" s="119" t="str">
        <f>'Secondary cum Calculation'!B45</f>
        <v>Tourism Demand Factors</v>
      </c>
      <c r="C18" s="119" t="str">
        <f>'Secondary cum Calculation'!C45</f>
        <v>Total Population by Age &amp; Sex</v>
      </c>
      <c r="D18" s="119" t="str">
        <f>'Secondary cum Calculation'!D45</f>
        <v>Males by Age</v>
      </c>
      <c r="E18" s="6" t="str">
        <f>'Secondary cum Calculation'!E45</f>
        <v>15-24</v>
      </c>
      <c r="F18" s="7">
        <f>'Secondary cum Calculation'!F45</f>
        <v>0</v>
      </c>
      <c r="G18" s="7" t="str">
        <f>'Secondary cum Calculation'!G45</f>
        <v>Tourism Demand &amp; Flows Database</v>
      </c>
      <c r="H18" s="7" t="str">
        <f>'Secondary cum Calculation'!H45</f>
        <v>New</v>
      </c>
      <c r="I18" s="7">
        <f>'Secondary cum Calculation'!I45</f>
        <v>0</v>
      </c>
      <c r="J18" s="7" t="str">
        <f>'Secondary cum Calculation'!J45</f>
        <v>Millions</v>
      </c>
      <c r="K18" s="8">
        <f>'Secondary cum Calculation'!K45</f>
        <v>0</v>
      </c>
      <c r="L18" s="9">
        <f>'Secondary cum Calculation'!L45</f>
        <v>3.004766</v>
      </c>
      <c r="M18" s="9">
        <f>'Secondary cum Calculation'!M45</f>
        <v>2.903759</v>
      </c>
      <c r="N18" s="9">
        <f>'Secondary cum Calculation'!N45</f>
        <v>2.7960440000000002</v>
      </c>
      <c r="O18" s="9">
        <f>'Secondary cum Calculation'!O45</f>
        <v>2.6844579999999998</v>
      </c>
      <c r="P18" s="9">
        <f>'Secondary cum Calculation'!P45</f>
        <v>2.5775839999999999</v>
      </c>
      <c r="Q18" s="9">
        <f>Forecasting!Q32</f>
        <v>2.4865710000000001</v>
      </c>
      <c r="R18" s="9">
        <f>Forecasting!R32</f>
        <v>2.4125459999999999</v>
      </c>
      <c r="S18" s="9">
        <f>Forecasting!S32</f>
        <v>2.3336269999999999</v>
      </c>
      <c r="T18" s="9">
        <f>Forecasting!T32</f>
        <v>2.2486489999999999</v>
      </c>
      <c r="U18" s="160">
        <f>Forecasting!U32</f>
        <v>2.1645599999999998</v>
      </c>
      <c r="V18" s="160">
        <f>Forecasting!V32</f>
        <v>2.0822970000000001</v>
      </c>
      <c r="W18" s="211">
        <f>'Secondary cum Calculation'!W45</f>
        <v>-3.8033221691033958E-2</v>
      </c>
      <c r="X18" s="211">
        <f>'Secondary cum Calculation'!X45</f>
        <v>-3.4864341076700334E-2</v>
      </c>
      <c r="AD18" s="7">
        <v>5</v>
      </c>
    </row>
    <row r="19" spans="1:31">
      <c r="A19" s="6" t="str">
        <f>'Secondary cum Calculation'!A47</f>
        <v>Poland</v>
      </c>
      <c r="B19" s="119" t="str">
        <f>'Secondary cum Calculation'!B47</f>
        <v>Tourism Demand Factors</v>
      </c>
      <c r="C19" s="119" t="str">
        <f>'Secondary cum Calculation'!C47</f>
        <v>Total Population by Age &amp; Sex</v>
      </c>
      <c r="D19" s="119" t="str">
        <f>'Secondary cum Calculation'!D47</f>
        <v>Males by Age</v>
      </c>
      <c r="E19" s="6" t="str">
        <f>'Secondary cum Calculation'!E47</f>
        <v>25-34</v>
      </c>
      <c r="F19" s="7">
        <f>'Secondary cum Calculation'!F47</f>
        <v>0</v>
      </c>
      <c r="G19" s="7" t="str">
        <f>'Secondary cum Calculation'!G47</f>
        <v>Tourism Demand &amp; Flows Database</v>
      </c>
      <c r="H19" s="7" t="str">
        <f>'Secondary cum Calculation'!H47</f>
        <v>New</v>
      </c>
      <c r="I19" s="7">
        <f>'Secondary cum Calculation'!I47</f>
        <v>0</v>
      </c>
      <c r="J19" s="7" t="str">
        <f>'Secondary cum Calculation'!J47</f>
        <v>Millions</v>
      </c>
      <c r="K19" s="8">
        <f>'Secondary cum Calculation'!K47</f>
        <v>0</v>
      </c>
      <c r="L19" s="9">
        <f>'Secondary cum Calculation'!L47</f>
        <v>3.157117</v>
      </c>
      <c r="M19" s="9">
        <f>'Secondary cum Calculation'!M47</f>
        <v>3.2103389999999998</v>
      </c>
      <c r="N19" s="9">
        <f>'Secondary cum Calculation'!N47</f>
        <v>3.2549969999999999</v>
      </c>
      <c r="O19" s="9">
        <f>'Secondary cum Calculation'!O47</f>
        <v>3.28051</v>
      </c>
      <c r="P19" s="9">
        <f>'Secondary cum Calculation'!P47</f>
        <v>3.2792669999999999</v>
      </c>
      <c r="Q19" s="9">
        <f>Forecasting!Q34</f>
        <v>3.255671</v>
      </c>
      <c r="R19" s="9">
        <f>Forecasting!R34</f>
        <v>3.206137</v>
      </c>
      <c r="S19" s="9">
        <f>Forecasting!S34</f>
        <v>3.1482510000000001</v>
      </c>
      <c r="T19" s="9">
        <f>Forecasting!T34</f>
        <v>3.0879780000000001</v>
      </c>
      <c r="U19" s="160">
        <f>Forecasting!U34</f>
        <v>3.026351</v>
      </c>
      <c r="V19" s="160">
        <f>Forecasting!V34</f>
        <v>2.950882</v>
      </c>
      <c r="W19" s="211">
        <f>'Secondary cum Calculation'!W47</f>
        <v>3.5116162694968089E-3</v>
      </c>
      <c r="X19" s="211">
        <f>'Secondary cum Calculation'!X47</f>
        <v>-1.9466882732450896E-2</v>
      </c>
      <c r="AD19" s="7">
        <v>5</v>
      </c>
    </row>
    <row r="20" spans="1:31">
      <c r="A20" s="6" t="str">
        <f>'Secondary cum Calculation'!A49</f>
        <v>Poland</v>
      </c>
      <c r="B20" s="119" t="str">
        <f>'Secondary cum Calculation'!B49</f>
        <v>Tourism Demand Factors</v>
      </c>
      <c r="C20" s="119" t="str">
        <f>'Secondary cum Calculation'!C49</f>
        <v>Total Population by Age &amp; Sex</v>
      </c>
      <c r="D20" s="119" t="str">
        <f>'Secondary cum Calculation'!D49</f>
        <v>Males by Age</v>
      </c>
      <c r="E20" s="6" t="str">
        <f>'Secondary cum Calculation'!E49</f>
        <v>35-44</v>
      </c>
      <c r="F20" s="7">
        <f>'Secondary cum Calculation'!F49</f>
        <v>0</v>
      </c>
      <c r="G20" s="7" t="str">
        <f>'Secondary cum Calculation'!G49</f>
        <v>Tourism Demand &amp; Flows Database</v>
      </c>
      <c r="H20" s="7" t="str">
        <f>'Secondary cum Calculation'!H49</f>
        <v>New</v>
      </c>
      <c r="I20" s="7">
        <f>'Secondary cum Calculation'!I49</f>
        <v>0</v>
      </c>
      <c r="J20" s="7" t="str">
        <f>'Secondary cum Calculation'!J49</f>
        <v>Millions</v>
      </c>
      <c r="K20" s="8">
        <f>'Secondary cum Calculation'!K49</f>
        <v>0</v>
      </c>
      <c r="L20" s="9">
        <f>'Secondary cum Calculation'!L49</f>
        <v>2.4932409999999998</v>
      </c>
      <c r="M20" s="9">
        <f>'Secondary cum Calculation'!M49</f>
        <v>2.5170400000000002</v>
      </c>
      <c r="N20" s="9">
        <f>'Secondary cum Calculation'!N49</f>
        <v>2.5533839999999999</v>
      </c>
      <c r="O20" s="9">
        <f>'Secondary cum Calculation'!O49</f>
        <v>2.6056300000000001</v>
      </c>
      <c r="P20" s="9">
        <f>'Secondary cum Calculation'!P49</f>
        <v>2.674515</v>
      </c>
      <c r="Q20" s="9">
        <f>Forecasting!Q36</f>
        <v>2.748354</v>
      </c>
      <c r="R20" s="9">
        <f>Forecasting!R36</f>
        <v>2.8211930000000001</v>
      </c>
      <c r="S20" s="9">
        <f>Forecasting!S36</f>
        <v>2.8977010000000001</v>
      </c>
      <c r="T20" s="9">
        <f>Forecasting!T36</f>
        <v>2.9706519999999998</v>
      </c>
      <c r="U20" s="160">
        <f>Forecasting!U36</f>
        <v>3.0302479999999998</v>
      </c>
      <c r="V20" s="160">
        <f>Forecasting!V36</f>
        <v>3.0841229999999999</v>
      </c>
      <c r="W20" s="211">
        <f>'Secondary cum Calculation'!W49</f>
        <v>2.2222976670352557E-2</v>
      </c>
      <c r="X20" s="211">
        <f>'Secondary cum Calculation'!X49</f>
        <v>2.3320805046035842E-2</v>
      </c>
      <c r="AD20" s="7">
        <v>5</v>
      </c>
    </row>
    <row r="21" spans="1:31">
      <c r="A21" s="6" t="str">
        <f>'Secondary cum Calculation'!A51</f>
        <v>Poland</v>
      </c>
      <c r="B21" s="119" t="str">
        <f>'Secondary cum Calculation'!B51</f>
        <v>Tourism Demand Factors</v>
      </c>
      <c r="C21" s="119" t="str">
        <f>'Secondary cum Calculation'!C51</f>
        <v>Total Population by Age &amp; Sex</v>
      </c>
      <c r="D21" s="119" t="str">
        <f>'Secondary cum Calculation'!D51</f>
        <v>Males by Age</v>
      </c>
      <c r="E21" s="6" t="str">
        <f>'Secondary cum Calculation'!E51</f>
        <v>45-54</v>
      </c>
      <c r="F21" s="7">
        <f>'Secondary cum Calculation'!F51</f>
        <v>0</v>
      </c>
      <c r="G21" s="7" t="str">
        <f>'Secondary cum Calculation'!G51</f>
        <v>Tourism Demand &amp; Flows Database</v>
      </c>
      <c r="H21" s="7" t="str">
        <f>'Secondary cum Calculation'!H51</f>
        <v>New</v>
      </c>
      <c r="I21" s="7">
        <f>'Secondary cum Calculation'!I51</f>
        <v>0</v>
      </c>
      <c r="J21" s="7" t="str">
        <f>'Secondary cum Calculation'!J51</f>
        <v>Millions</v>
      </c>
      <c r="K21" s="8">
        <f>'Secondary cum Calculation'!K51</f>
        <v>0</v>
      </c>
      <c r="L21" s="9">
        <f>'Secondary cum Calculation'!L51</f>
        <v>2.9280300000000001</v>
      </c>
      <c r="M21" s="9">
        <f>'Secondary cum Calculation'!M51</f>
        <v>2.869532</v>
      </c>
      <c r="N21" s="9">
        <f>'Secondary cum Calculation'!N51</f>
        <v>2.8053979999999998</v>
      </c>
      <c r="O21" s="9">
        <f>'Secondary cum Calculation'!O51</f>
        <v>2.7289840000000001</v>
      </c>
      <c r="P21" s="9">
        <f>'Secondary cum Calculation'!P51</f>
        <v>2.6448290000000001</v>
      </c>
      <c r="Q21" s="9">
        <f>Forecasting!Q38</f>
        <v>2.559399</v>
      </c>
      <c r="R21" s="9">
        <f>Forecasting!R38</f>
        <v>2.4790990000000002</v>
      </c>
      <c r="S21" s="9">
        <f>Forecasting!S38</f>
        <v>2.4132009999999999</v>
      </c>
      <c r="T21" s="9">
        <f>Forecasting!T38</f>
        <v>2.3700350000000001</v>
      </c>
      <c r="U21" s="160">
        <f>Forecasting!U38</f>
        <v>2.3544830000000001</v>
      </c>
      <c r="V21" s="160">
        <f>Forecasting!V38</f>
        <v>2.3635259999999998</v>
      </c>
      <c r="W21" s="211">
        <f>'Secondary cum Calculation'!W51</f>
        <v>-2.8189178200076381E-2</v>
      </c>
      <c r="X21" s="211">
        <f>'Secondary cum Calculation'!X51</f>
        <v>-1.5797468777666746E-2</v>
      </c>
      <c r="AD21" s="7">
        <v>5</v>
      </c>
    </row>
    <row r="22" spans="1:31">
      <c r="A22" s="6" t="str">
        <f>'Secondary cum Calculation'!A53</f>
        <v>Poland</v>
      </c>
      <c r="B22" s="119" t="str">
        <f>'Secondary cum Calculation'!B53</f>
        <v>Tourism Demand Factors</v>
      </c>
      <c r="C22" s="119" t="str">
        <f>'Secondary cum Calculation'!C53</f>
        <v>Total Population by Age &amp; Sex</v>
      </c>
      <c r="D22" s="119" t="str">
        <f>'Secondary cum Calculation'!D53</f>
        <v>Males by Age</v>
      </c>
      <c r="E22" s="6" t="str">
        <f>'Secondary cum Calculation'!E53</f>
        <v>55-64</v>
      </c>
      <c r="F22" s="7">
        <f>'Secondary cum Calculation'!F53</f>
        <v>0</v>
      </c>
      <c r="G22" s="7" t="str">
        <f>'Secondary cum Calculation'!G53</f>
        <v>Tourism Demand &amp; Flows Database</v>
      </c>
      <c r="H22" s="7" t="str">
        <f>'Secondary cum Calculation'!H53</f>
        <v>New</v>
      </c>
      <c r="I22" s="7">
        <f>'Secondary cum Calculation'!I53</f>
        <v>0</v>
      </c>
      <c r="J22" s="7" t="str">
        <f>'Secondary cum Calculation'!J53</f>
        <v>Millions</v>
      </c>
      <c r="K22" s="8">
        <f>'Secondary cum Calculation'!K53</f>
        <v>0</v>
      </c>
      <c r="L22" s="9">
        <f>'Secondary cum Calculation'!L53</f>
        <v>2.0558580000000002</v>
      </c>
      <c r="M22" s="9">
        <f>'Secondary cum Calculation'!M53</f>
        <v>2.1808109999999998</v>
      </c>
      <c r="N22" s="9">
        <f>'Secondary cum Calculation'!N53</f>
        <v>2.3032550000000001</v>
      </c>
      <c r="O22" s="9">
        <f>'Secondary cum Calculation'!O53</f>
        <v>2.4263569999999999</v>
      </c>
      <c r="P22" s="9">
        <f>'Secondary cum Calculation'!P53</f>
        <v>2.5221680000000002</v>
      </c>
      <c r="Q22" s="9">
        <f>Forecasting!Q40</f>
        <v>2.5864660000000002</v>
      </c>
      <c r="R22" s="9">
        <f>Forecasting!R40</f>
        <v>2.6320579999999998</v>
      </c>
      <c r="S22" s="9">
        <f>Forecasting!S40</f>
        <v>2.6581060000000001</v>
      </c>
      <c r="T22" s="9">
        <f>Forecasting!T40</f>
        <v>2.6606369999999999</v>
      </c>
      <c r="U22" s="160">
        <f>Forecasting!U40</f>
        <v>2.638693</v>
      </c>
      <c r="V22" s="160">
        <f>Forecasting!V40</f>
        <v>2.5998199999999998</v>
      </c>
      <c r="W22" s="211">
        <f>'Secondary cum Calculation'!W53</f>
        <v>4.3571442826823903E-2</v>
      </c>
      <c r="X22" s="211">
        <f>'Secondary cum Calculation'!X53</f>
        <v>1.0304799126532593E-3</v>
      </c>
      <c r="AD22" s="7">
        <v>5</v>
      </c>
    </row>
    <row r="23" spans="1:31">
      <c r="A23" s="6" t="str">
        <f>'Secondary cum Calculation'!A55</f>
        <v>Poland</v>
      </c>
      <c r="B23" s="119" t="str">
        <f>'Secondary cum Calculation'!B55</f>
        <v>Tourism Demand Factors</v>
      </c>
      <c r="C23" s="119" t="str">
        <f>'Secondary cum Calculation'!C55</f>
        <v>Total Population by Age &amp; Sex</v>
      </c>
      <c r="D23" s="119" t="str">
        <f>'Secondary cum Calculation'!D55</f>
        <v>Males by Age</v>
      </c>
      <c r="E23" s="6" t="str">
        <f>'Secondary cum Calculation'!E55</f>
        <v>65+</v>
      </c>
      <c r="F23" s="7">
        <f>'Secondary cum Calculation'!F55</f>
        <v>0</v>
      </c>
      <c r="G23" s="7" t="str">
        <f>'Secondary cum Calculation'!G55</f>
        <v>Tourism Demand &amp; Flows Database</v>
      </c>
      <c r="H23" s="7" t="str">
        <f>'Secondary cum Calculation'!H55</f>
        <v>New</v>
      </c>
      <c r="I23" s="7">
        <f>'Secondary cum Calculation'!I55</f>
        <v>0</v>
      </c>
      <c r="J23" s="7" t="str">
        <f>'Secondary cum Calculation'!J55</f>
        <v>Millions</v>
      </c>
      <c r="K23" s="8">
        <f>'Secondary cum Calculation'!K55</f>
        <v>0</v>
      </c>
      <c r="L23" s="9">
        <f>'Secondary cum Calculation'!L55</f>
        <v>1.964429</v>
      </c>
      <c r="M23" s="9">
        <f>'Secondary cum Calculation'!M55</f>
        <v>1.964477</v>
      </c>
      <c r="N23" s="9">
        <f>'Secondary cum Calculation'!N55</f>
        <v>1.9664060000000001</v>
      </c>
      <c r="O23" s="9">
        <f>'Secondary cum Calculation'!O55</f>
        <v>1.9717629999999999</v>
      </c>
      <c r="P23" s="9">
        <f>'Secondary cum Calculation'!P55</f>
        <v>2.0045500000000001</v>
      </c>
      <c r="Q23" s="9">
        <f>Forecasting!Q42</f>
        <v>2.0660660000000002</v>
      </c>
      <c r="R23" s="9">
        <f>Forecasting!R42</f>
        <v>2.1422460000000001</v>
      </c>
      <c r="S23" s="9">
        <f>Forecasting!S42</f>
        <v>2.2245689999999998</v>
      </c>
      <c r="T23" s="9">
        <f>Forecasting!T42</f>
        <v>2.3144830000000001</v>
      </c>
      <c r="U23" s="160">
        <f>Forecasting!U42</f>
        <v>2.410895</v>
      </c>
      <c r="V23" s="160">
        <f>Forecasting!V42</f>
        <v>2.5101290000000001</v>
      </c>
      <c r="W23" s="211">
        <f>'Secondary cum Calculation'!W55</f>
        <v>1.2684844657278704E-2</v>
      </c>
      <c r="X23" s="211">
        <f>'Secondary cum Calculation'!X55</f>
        <v>3.9705568702232075E-2</v>
      </c>
      <c r="AD23" s="7">
        <v>5</v>
      </c>
    </row>
    <row r="24" spans="1:31">
      <c r="A24" s="200" t="str">
        <f>'Secondary cum Calculation'!A70</f>
        <v>Poland</v>
      </c>
      <c r="B24" s="201" t="str">
        <f>'Secondary cum Calculation'!B70</f>
        <v>Tourism Demand Factors</v>
      </c>
      <c r="C24" s="201" t="str">
        <f>'Secondary cum Calculation'!C70</f>
        <v>Total Population by Age &amp; Sex</v>
      </c>
      <c r="D24" s="200" t="str">
        <f>'Secondary cum Calculation'!D70</f>
        <v>Females by Age</v>
      </c>
      <c r="E24" s="202"/>
      <c r="F24" s="202">
        <f>'Secondary cum Calculation'!F70</f>
        <v>0</v>
      </c>
      <c r="G24" s="202" t="str">
        <f>'Secondary cum Calculation'!G70</f>
        <v>Tourism Demand &amp; Flows Database</v>
      </c>
      <c r="H24" s="202" t="str">
        <f>'Secondary cum Calculation'!H70</f>
        <v>New</v>
      </c>
      <c r="I24" s="202">
        <f>'Secondary cum Calculation'!I70</f>
        <v>0</v>
      </c>
      <c r="J24" s="200" t="str">
        <f>'Secondary cum Calculation'!J70</f>
        <v>Millions</v>
      </c>
      <c r="K24" s="203">
        <f>'Secondary cum Calculation'!K70</f>
        <v>692.84047680000003</v>
      </c>
      <c r="L24" s="208">
        <f>'Secondary cum Calculation'!L70</f>
        <v>19.844411999999998</v>
      </c>
      <c r="M24" s="208">
        <f>'Secondary cum Calculation'!M70</f>
        <v>19.841629000000001</v>
      </c>
      <c r="N24" s="208">
        <f>'Secondary cum Calculation'!N70</f>
        <v>19.838439999999999</v>
      </c>
      <c r="O24" s="208">
        <f>'Secondary cum Calculation'!O70</f>
        <v>19.834254999999999</v>
      </c>
      <c r="P24" s="208">
        <f>'Secondary cum Calculation'!P70</f>
        <v>19.828350999999998</v>
      </c>
      <c r="Q24" s="208">
        <f>Forecasting!Q44</f>
        <v>19.820056000000001</v>
      </c>
      <c r="R24" s="208">
        <f>Forecasting!R44</f>
        <v>19.808924999999999</v>
      </c>
      <c r="S24" s="208">
        <f>Forecasting!S44</f>
        <v>19.794560000000004</v>
      </c>
      <c r="T24" s="208">
        <f>Forecasting!T44</f>
        <v>19.776609000000001</v>
      </c>
      <c r="U24" s="208">
        <f>Forecasting!U44</f>
        <v>19.754598999999999</v>
      </c>
      <c r="V24" s="208">
        <f>Forecasting!V44</f>
        <v>19.728109</v>
      </c>
      <c r="W24" s="245">
        <f>'Secondary cum Calculation'!W70</f>
        <v>-2.7192577505064097E-4</v>
      </c>
      <c r="X24" s="245">
        <f>'Secondary cum Calculation'!X70</f>
        <v>-9.2954426143221358E-4</v>
      </c>
      <c r="Y24" s="371" t="s">
        <v>1341</v>
      </c>
      <c r="AD24" s="7">
        <v>5</v>
      </c>
    </row>
    <row r="25" spans="1:31">
      <c r="A25" s="6" t="str">
        <f>'Secondary cum Calculation'!A72</f>
        <v>Poland</v>
      </c>
      <c r="B25" s="119" t="str">
        <f>'Secondary cum Calculation'!B72</f>
        <v>Tourism Demand Factors</v>
      </c>
      <c r="C25" s="119" t="str">
        <f>'Secondary cum Calculation'!C72</f>
        <v>Total Population by Age &amp; Sex</v>
      </c>
      <c r="D25" s="119" t="str">
        <f>'Secondary cum Calculation'!D72</f>
        <v>Females by Age</v>
      </c>
      <c r="E25" s="6" t="str">
        <f>'Secondary cum Calculation'!E72</f>
        <v>0-14</v>
      </c>
      <c r="F25" s="7">
        <f>'Secondary cum Calculation'!F72</f>
        <v>0</v>
      </c>
      <c r="G25" s="7" t="str">
        <f>'Secondary cum Calculation'!G72</f>
        <v>Tourism Demand &amp; Flows Database</v>
      </c>
      <c r="H25" s="7" t="str">
        <f>'Secondary cum Calculation'!H72</f>
        <v>New</v>
      </c>
      <c r="I25" s="7">
        <f>'Secondary cum Calculation'!I72</f>
        <v>0</v>
      </c>
      <c r="J25" s="7" t="str">
        <f>'Secondary cum Calculation'!J72</f>
        <v>Millions</v>
      </c>
      <c r="K25" s="8">
        <f>'Secondary cum Calculation'!K72</f>
        <v>0</v>
      </c>
      <c r="L25" s="9">
        <f>'Secondary cum Calculation'!L72</f>
        <v>2.9061210000000002</v>
      </c>
      <c r="M25" s="9">
        <f>'Secondary cum Calculation'!M72</f>
        <v>2.849977</v>
      </c>
      <c r="N25" s="9">
        <f>'Secondary cum Calculation'!N72</f>
        <v>2.8022779999999998</v>
      </c>
      <c r="O25" s="9">
        <f>'Secondary cum Calculation'!O72</f>
        <v>2.769021</v>
      </c>
      <c r="P25" s="9">
        <f>'Secondary cum Calculation'!P72</f>
        <v>2.7485460000000002</v>
      </c>
      <c r="Q25" s="9">
        <f>Forecasting!Q46</f>
        <v>2.7319490000000002</v>
      </c>
      <c r="R25" s="9">
        <f>Forecasting!R46</f>
        <v>2.7216140000000002</v>
      </c>
      <c r="S25" s="9">
        <f>Forecasting!S46</f>
        <v>2.7165689999999998</v>
      </c>
      <c r="T25" s="9">
        <f>Forecasting!T46</f>
        <v>2.7131419999999999</v>
      </c>
      <c r="U25" s="160">
        <f>Forecasting!U46</f>
        <v>2.7103250000000001</v>
      </c>
      <c r="V25" s="160">
        <f>Forecasting!V46</f>
        <v>2.7102940000000002</v>
      </c>
      <c r="W25" s="211">
        <f>'Secondary cum Calculation'!W72</f>
        <v>-1.0518205252899038E-2</v>
      </c>
      <c r="X25" s="211">
        <f>'Secondary cum Calculation'!X72</f>
        <v>-1.590365586105702E-3</v>
      </c>
      <c r="AD25" s="7">
        <v>5</v>
      </c>
    </row>
    <row r="26" spans="1:31">
      <c r="A26" s="6" t="str">
        <f>'Secondary cum Calculation'!A74</f>
        <v>Poland</v>
      </c>
      <c r="B26" s="119" t="str">
        <f>'Secondary cum Calculation'!B74</f>
        <v>Tourism Demand Factors</v>
      </c>
      <c r="C26" s="119" t="str">
        <f>'Secondary cum Calculation'!C74</f>
        <v>Total Population by Age &amp; Sex</v>
      </c>
      <c r="D26" s="119" t="str">
        <f>'Secondary cum Calculation'!D74</f>
        <v>Females by Age</v>
      </c>
      <c r="E26" s="6" t="str">
        <f>'Secondary cum Calculation'!E74</f>
        <v>15-24</v>
      </c>
      <c r="F26" s="7">
        <f>'Secondary cum Calculation'!F74</f>
        <v>0</v>
      </c>
      <c r="G26" s="7" t="str">
        <f>'Secondary cum Calculation'!G74</f>
        <v>Tourism Demand &amp; Flows Database</v>
      </c>
      <c r="H26" s="7" t="str">
        <f>'Secondary cum Calculation'!H74</f>
        <v>New</v>
      </c>
      <c r="I26" s="7">
        <f>'Secondary cum Calculation'!I74</f>
        <v>0</v>
      </c>
      <c r="J26" s="7" t="str">
        <f>'Secondary cum Calculation'!J74</f>
        <v>Millions</v>
      </c>
      <c r="K26" s="8">
        <f>'Secondary cum Calculation'!K74</f>
        <v>0</v>
      </c>
      <c r="L26" s="9">
        <f>'Secondary cum Calculation'!L74</f>
        <v>2.8969870000000002</v>
      </c>
      <c r="M26" s="9">
        <f>'Secondary cum Calculation'!M74</f>
        <v>2.7983159999999998</v>
      </c>
      <c r="N26" s="9">
        <f>'Secondary cum Calculation'!N74</f>
        <v>2.6937880000000001</v>
      </c>
      <c r="O26" s="9">
        <f>'Secondary cum Calculation'!O74</f>
        <v>2.5849190000000002</v>
      </c>
      <c r="P26" s="9">
        <f>'Secondary cum Calculation'!P74</f>
        <v>2.4787110000000001</v>
      </c>
      <c r="Q26" s="9">
        <f>Forecasting!Q48</f>
        <v>2.3883179999999999</v>
      </c>
      <c r="R26" s="9">
        <f>Forecasting!R48</f>
        <v>2.3132220000000001</v>
      </c>
      <c r="S26" s="9">
        <f>Forecasting!S48</f>
        <v>2.2352280000000002</v>
      </c>
      <c r="T26" s="9">
        <f>Forecasting!T48</f>
        <v>2.1539929999999998</v>
      </c>
      <c r="U26" s="160">
        <f>Forecasting!U48</f>
        <v>2.0728430000000002</v>
      </c>
      <c r="V26" s="160">
        <f>Forecasting!V48</f>
        <v>1.9929779999999999</v>
      </c>
      <c r="W26" s="211">
        <f>'Secondary cum Calculation'!W74</f>
        <v>-3.883300576916271E-2</v>
      </c>
      <c r="X26" s="211">
        <f>'Secondary cum Calculation'!X74</f>
        <v>-3.5544774287074699E-2</v>
      </c>
      <c r="AD26" s="7">
        <v>5</v>
      </c>
    </row>
    <row r="27" spans="1:31">
      <c r="A27" s="6" t="str">
        <f>'Secondary cum Calculation'!A76</f>
        <v>Poland</v>
      </c>
      <c r="B27" s="119" t="str">
        <f>'Secondary cum Calculation'!B76</f>
        <v>Tourism Demand Factors</v>
      </c>
      <c r="C27" s="119" t="str">
        <f>'Secondary cum Calculation'!C76</f>
        <v>Total Population by Age &amp; Sex</v>
      </c>
      <c r="D27" s="119" t="str">
        <f>'Secondary cum Calculation'!D76</f>
        <v>Females by Age</v>
      </c>
      <c r="E27" s="6" t="str">
        <f>'Secondary cum Calculation'!E76</f>
        <v>25-34</v>
      </c>
      <c r="F27" s="7">
        <f>'Secondary cum Calculation'!F76</f>
        <v>0</v>
      </c>
      <c r="G27" s="7" t="str">
        <f>'Secondary cum Calculation'!G76</f>
        <v>Tourism Demand &amp; Flows Database</v>
      </c>
      <c r="H27" s="7" t="str">
        <f>'Secondary cum Calculation'!H76</f>
        <v>New</v>
      </c>
      <c r="I27" s="7">
        <f>'Secondary cum Calculation'!I76</f>
        <v>0</v>
      </c>
      <c r="J27" s="7" t="str">
        <f>'Secondary cum Calculation'!J76</f>
        <v>Millions</v>
      </c>
      <c r="K27" s="8">
        <f>'Secondary cum Calculation'!K76</f>
        <v>0</v>
      </c>
      <c r="L27" s="9">
        <f>'Secondary cum Calculation'!L76</f>
        <v>3.0651440000000001</v>
      </c>
      <c r="M27" s="9">
        <f>'Secondary cum Calculation'!M76</f>
        <v>3.1189629999999999</v>
      </c>
      <c r="N27" s="9">
        <f>'Secondary cum Calculation'!N76</f>
        <v>3.1641789999999999</v>
      </c>
      <c r="O27" s="9">
        <f>'Secondary cum Calculation'!O76</f>
        <v>3.1908409999999998</v>
      </c>
      <c r="P27" s="9">
        <f>'Secondary cum Calculation'!P76</f>
        <v>3.1912660000000002</v>
      </c>
      <c r="Q27" s="9">
        <f>Forecasting!Q50</f>
        <v>3.1702430000000001</v>
      </c>
      <c r="R27" s="9">
        <f>Forecasting!R50</f>
        <v>3.1247210000000001</v>
      </c>
      <c r="S27" s="9">
        <f>Forecasting!S50</f>
        <v>3.0693450000000002</v>
      </c>
      <c r="T27" s="9">
        <f>Forecasting!T50</f>
        <v>3.0079030000000002</v>
      </c>
      <c r="U27" s="160">
        <f>Forecasting!U50</f>
        <v>2.945214</v>
      </c>
      <c r="V27" s="160">
        <f>Forecasting!V50</f>
        <v>2.8707829999999999</v>
      </c>
      <c r="W27" s="211">
        <f>'Secondary cum Calculation'!W76</f>
        <v>4.0852385108081091E-3</v>
      </c>
      <c r="X27" s="211">
        <f>'Secondary cum Calculation'!X76</f>
        <v>-1.964907555641493E-2</v>
      </c>
      <c r="AD27" s="7">
        <v>5</v>
      </c>
    </row>
    <row r="28" spans="1:31">
      <c r="A28" s="6" t="str">
        <f>'Secondary cum Calculation'!A78</f>
        <v>Poland</v>
      </c>
      <c r="B28" s="119" t="str">
        <f>'Secondary cum Calculation'!B78</f>
        <v>Tourism Demand Factors</v>
      </c>
      <c r="C28" s="119" t="str">
        <f>'Secondary cum Calculation'!C78</f>
        <v>Total Population by Age &amp; Sex</v>
      </c>
      <c r="D28" s="119" t="str">
        <f>'Secondary cum Calculation'!D78</f>
        <v>Females by Age</v>
      </c>
      <c r="E28" s="6" t="str">
        <f>'Secondary cum Calculation'!E78</f>
        <v>35-44</v>
      </c>
      <c r="F28" s="7">
        <f>'Secondary cum Calculation'!F78</f>
        <v>0</v>
      </c>
      <c r="G28" s="7" t="str">
        <f>'Secondary cum Calculation'!G78</f>
        <v>Tourism Demand &amp; Flows Database</v>
      </c>
      <c r="H28" s="7" t="str">
        <f>'Secondary cum Calculation'!H78</f>
        <v>New</v>
      </c>
      <c r="I28" s="7">
        <f>'Secondary cum Calculation'!I78</f>
        <v>0</v>
      </c>
      <c r="J28" s="7" t="str">
        <f>'Secondary cum Calculation'!J78</f>
        <v>Millions</v>
      </c>
      <c r="K28" s="8">
        <f>'Secondary cum Calculation'!K78</f>
        <v>0</v>
      </c>
      <c r="L28" s="9">
        <f>'Secondary cum Calculation'!L78</f>
        <v>2.4361169999999999</v>
      </c>
      <c r="M28" s="9">
        <f>'Secondary cum Calculation'!M78</f>
        <v>2.4570850000000002</v>
      </c>
      <c r="N28" s="9">
        <f>'Secondary cum Calculation'!N78</f>
        <v>2.490799</v>
      </c>
      <c r="O28" s="9">
        <f>'Secondary cum Calculation'!O78</f>
        <v>2.540781</v>
      </c>
      <c r="P28" s="9">
        <f>'Secondary cum Calculation'!P78</f>
        <v>2.6083509999999999</v>
      </c>
      <c r="Q28" s="9">
        <f>Forecasting!Q52</f>
        <v>2.6820460000000002</v>
      </c>
      <c r="R28" s="9">
        <f>Forecasting!R52</f>
        <v>2.7570999999999999</v>
      </c>
      <c r="S28" s="9">
        <f>Forecasting!S52</f>
        <v>2.8364889999999998</v>
      </c>
      <c r="T28" s="9">
        <f>Forecasting!T52</f>
        <v>2.9119299999999999</v>
      </c>
      <c r="U28" s="160">
        <f>Forecasting!U52</f>
        <v>2.9730150000000002</v>
      </c>
      <c r="V28" s="160">
        <f>Forecasting!V52</f>
        <v>3.027447</v>
      </c>
      <c r="W28" s="211">
        <f>'Secondary cum Calculation'!W78</f>
        <v>2.2142650747786652E-2</v>
      </c>
      <c r="X28" s="211">
        <f>'Secondary cum Calculation'!X78</f>
        <v>2.4523832303271931E-2</v>
      </c>
      <c r="AD28" s="7">
        <v>5</v>
      </c>
    </row>
    <row r="29" spans="1:31">
      <c r="A29" s="6" t="str">
        <f>'Secondary cum Calculation'!A80</f>
        <v>Poland</v>
      </c>
      <c r="B29" s="119" t="str">
        <f>'Secondary cum Calculation'!B80</f>
        <v>Tourism Demand Factors</v>
      </c>
      <c r="C29" s="119" t="str">
        <f>'Secondary cum Calculation'!C80</f>
        <v>Total Population by Age &amp; Sex</v>
      </c>
      <c r="D29" s="119" t="str">
        <f>'Secondary cum Calculation'!D80</f>
        <v>Females by Age</v>
      </c>
      <c r="E29" s="6" t="str">
        <f>'Secondary cum Calculation'!E80</f>
        <v>45-54</v>
      </c>
      <c r="F29" s="7">
        <f>'Secondary cum Calculation'!F80</f>
        <v>0</v>
      </c>
      <c r="G29" s="7" t="str">
        <f>'Secondary cum Calculation'!G80</f>
        <v>Tourism Demand &amp; Flows Database</v>
      </c>
      <c r="H29" s="7" t="str">
        <f>'Secondary cum Calculation'!H80</f>
        <v>New</v>
      </c>
      <c r="I29" s="7">
        <f>'Secondary cum Calculation'!I80</f>
        <v>0</v>
      </c>
      <c r="J29" s="7" t="str">
        <f>'Secondary cum Calculation'!J80</f>
        <v>Millions</v>
      </c>
      <c r="K29" s="8">
        <f>'Secondary cum Calculation'!K80</f>
        <v>0</v>
      </c>
      <c r="L29" s="9">
        <f>'Secondary cum Calculation'!L80</f>
        <v>3.0260050000000001</v>
      </c>
      <c r="M29" s="9">
        <f>'Secondary cum Calculation'!M80</f>
        <v>2.9607939999999999</v>
      </c>
      <c r="N29" s="9">
        <f>'Secondary cum Calculation'!N80</f>
        <v>2.8892470000000001</v>
      </c>
      <c r="O29" s="9">
        <f>'Secondary cum Calculation'!O80</f>
        <v>2.8057080000000001</v>
      </c>
      <c r="P29" s="9">
        <f>'Secondary cum Calculation'!P80</f>
        <v>2.7135669999999998</v>
      </c>
      <c r="Q29" s="9">
        <f>Forecasting!Q54</f>
        <v>2.6184560000000001</v>
      </c>
      <c r="R29" s="9">
        <f>Forecasting!R54</f>
        <v>2.5270510000000002</v>
      </c>
      <c r="S29" s="9">
        <f>Forecasting!S54</f>
        <v>2.4496570000000002</v>
      </c>
      <c r="T29" s="9">
        <f>Forecasting!T54</f>
        <v>2.3966820000000002</v>
      </c>
      <c r="U29" s="160">
        <f>Forecasting!U54</f>
        <v>2.374511</v>
      </c>
      <c r="V29" s="160">
        <f>Forecasting!V54</f>
        <v>2.3783629999999998</v>
      </c>
      <c r="W29" s="211">
        <f>'Secondary cum Calculation'!W80</f>
        <v>-3.0251152517472346E-2</v>
      </c>
      <c r="X29" s="211">
        <f>'Secondary cum Calculation'!X80</f>
        <v>-1.9050676777237818E-2</v>
      </c>
      <c r="AD29" s="7">
        <v>5</v>
      </c>
    </row>
    <row r="30" spans="1:31">
      <c r="A30" s="6" t="str">
        <f>'Secondary cum Calculation'!A82</f>
        <v>Poland</v>
      </c>
      <c r="B30" s="119" t="str">
        <f>'Secondary cum Calculation'!B82</f>
        <v>Tourism Demand Factors</v>
      </c>
      <c r="C30" s="119" t="str">
        <f>'Secondary cum Calculation'!C82</f>
        <v>Total Population by Age &amp; Sex</v>
      </c>
      <c r="D30" s="119" t="str">
        <f>'Secondary cum Calculation'!D82</f>
        <v>Females by Age</v>
      </c>
      <c r="E30" s="6" t="str">
        <f>'Secondary cum Calculation'!E82</f>
        <v>55-64</v>
      </c>
      <c r="F30" s="7">
        <f>'Secondary cum Calculation'!F82</f>
        <v>0</v>
      </c>
      <c r="G30" s="7" t="str">
        <f>'Secondary cum Calculation'!G82</f>
        <v>Tourism Demand &amp; Flows Database</v>
      </c>
      <c r="H30" s="7" t="str">
        <f>'Secondary cum Calculation'!H82</f>
        <v>New</v>
      </c>
      <c r="I30" s="7">
        <f>'Secondary cum Calculation'!I82</f>
        <v>0</v>
      </c>
      <c r="J30" s="7" t="str">
        <f>'Secondary cum Calculation'!J82</f>
        <v>Millions</v>
      </c>
      <c r="K30" s="8">
        <f>'Secondary cum Calculation'!K82</f>
        <v>0</v>
      </c>
      <c r="L30" s="9">
        <f>'Secondary cum Calculation'!L82</f>
        <v>2.3369010000000001</v>
      </c>
      <c r="M30" s="9">
        <f>'Secondary cum Calculation'!M82</f>
        <v>2.4732539999999998</v>
      </c>
      <c r="N30" s="9">
        <f>'Secondary cum Calculation'!N82</f>
        <v>2.6072380000000002</v>
      </c>
      <c r="O30" s="9">
        <f>'Secondary cum Calculation'!O82</f>
        <v>2.7408540000000001</v>
      </c>
      <c r="P30" s="9">
        <f>'Secondary cum Calculation'!P82</f>
        <v>2.8428840000000002</v>
      </c>
      <c r="Q30" s="9">
        <f>Forecasting!Q56</f>
        <v>2.9082840000000001</v>
      </c>
      <c r="R30" s="9">
        <f>Forecasting!R56</f>
        <v>2.9520629999999999</v>
      </c>
      <c r="S30" s="9">
        <f>Forecasting!S56</f>
        <v>2.9739330000000002</v>
      </c>
      <c r="T30" s="9">
        <f>Forecasting!T56</f>
        <v>2.9708709999999998</v>
      </c>
      <c r="U30" s="160">
        <f>Forecasting!U56</f>
        <v>2.9389910000000001</v>
      </c>
      <c r="V30" s="160">
        <f>Forecasting!V56</f>
        <v>2.8870239999999998</v>
      </c>
      <c r="W30" s="211">
        <f>'Secondary cum Calculation'!W82</f>
        <v>4.1338735462757015E-2</v>
      </c>
      <c r="X30" s="211">
        <f>'Secondary cum Calculation'!X82</f>
        <v>-1.466324444583611E-3</v>
      </c>
      <c r="AD30" s="7">
        <v>5</v>
      </c>
    </row>
    <row r="31" spans="1:31">
      <c r="A31" s="6" t="str">
        <f>'Secondary cum Calculation'!A84</f>
        <v>Poland</v>
      </c>
      <c r="B31" s="119" t="str">
        <f>'Secondary cum Calculation'!B84</f>
        <v>Tourism Demand Factors</v>
      </c>
      <c r="C31" s="119" t="str">
        <f>'Secondary cum Calculation'!C84</f>
        <v>Total Population by Age &amp; Sex</v>
      </c>
      <c r="D31" s="119" t="str">
        <f>'Secondary cum Calculation'!D84</f>
        <v>Females by Age</v>
      </c>
      <c r="E31" s="6" t="str">
        <f>'Secondary cum Calculation'!E84</f>
        <v>65+</v>
      </c>
      <c r="F31" s="7">
        <f>'Secondary cum Calculation'!F84</f>
        <v>0</v>
      </c>
      <c r="G31" s="7" t="str">
        <f>'Secondary cum Calculation'!G84</f>
        <v>Tourism Demand &amp; Flows Database</v>
      </c>
      <c r="H31" s="7" t="str">
        <f>'Secondary cum Calculation'!H84</f>
        <v>New</v>
      </c>
      <c r="I31" s="7">
        <f>'Secondary cum Calculation'!I84</f>
        <v>0</v>
      </c>
      <c r="J31" s="7" t="str">
        <f>'Secondary cum Calculation'!J84</f>
        <v>Millions</v>
      </c>
      <c r="K31" s="8">
        <f>'Secondary cum Calculation'!K84</f>
        <v>0</v>
      </c>
      <c r="L31" s="9">
        <f>'Secondary cum Calculation'!L84</f>
        <v>3.1771370000000001</v>
      </c>
      <c r="M31" s="9">
        <f>'Secondary cum Calculation'!M84</f>
        <v>3.1832400000000001</v>
      </c>
      <c r="N31" s="9">
        <f>'Secondary cum Calculation'!N84</f>
        <v>3.1909109999999998</v>
      </c>
      <c r="O31" s="9">
        <f>'Secondary cum Calculation'!O84</f>
        <v>3.2021310000000001</v>
      </c>
      <c r="P31" s="9">
        <f>'Secondary cum Calculation'!P84</f>
        <v>3.2450260000000002</v>
      </c>
      <c r="Q31" s="9">
        <f>Forecasting!Q58</f>
        <v>3.3207599999999999</v>
      </c>
      <c r="R31" s="9">
        <f>Forecasting!R58</f>
        <v>3.413154</v>
      </c>
      <c r="S31" s="9">
        <f>Forecasting!S58</f>
        <v>3.5133390000000002</v>
      </c>
      <c r="T31" s="9">
        <f>Forecasting!T58</f>
        <v>3.6220880000000002</v>
      </c>
      <c r="U31" s="160">
        <f>Forecasting!U58</f>
        <v>3.7397</v>
      </c>
      <c r="V31" s="160">
        <f>Forecasting!V58</f>
        <v>3.8612199999999999</v>
      </c>
      <c r="W31" s="211">
        <f>'Secondary cum Calculation'!W84</f>
        <v>1.0629628919172296E-2</v>
      </c>
      <c r="X31" s="211">
        <f>'Secondary cum Calculation'!X84</f>
        <v>3.061726037815693E-2</v>
      </c>
      <c r="AD31" s="7">
        <v>5</v>
      </c>
    </row>
    <row r="32" spans="1:31">
      <c r="A32" s="200" t="str">
        <f>'Secondary cum Calculation'!A86</f>
        <v>Poland</v>
      </c>
      <c r="B32" s="201" t="str">
        <f>'Secondary cum Calculation'!B86</f>
        <v>Tourism Demand Factors</v>
      </c>
      <c r="C32" s="200" t="str">
        <f>'Secondary cum Calculation'!C86</f>
        <v>Number of Households by Income Group</v>
      </c>
      <c r="D32" s="202"/>
      <c r="E32" s="202"/>
      <c r="F32" s="202">
        <f>'Secondary cum Calculation'!F86</f>
        <v>0</v>
      </c>
      <c r="G32" s="202" t="str">
        <f>'Secondary cum Calculation'!G86</f>
        <v>Tourism Demand &amp; Flows Database</v>
      </c>
      <c r="H32" s="202" t="str">
        <f>'Secondary cum Calculation'!H86</f>
        <v>New</v>
      </c>
      <c r="I32" s="202">
        <f>'Secondary cum Calculation'!I86</f>
        <v>0</v>
      </c>
      <c r="J32" s="200" t="str">
        <f>'Secondary cum Calculation'!J86</f>
        <v>Actual</v>
      </c>
      <c r="K32" s="203">
        <f>'Secondary cum Calculation'!K86</f>
        <v>0</v>
      </c>
      <c r="L32" s="243">
        <f>'Secondary cum Calculation'!L86</f>
        <v>13630897.3462082</v>
      </c>
      <c r="M32" s="243">
        <f>'Secondary cum Calculation'!M86</f>
        <v>13715666.933109658</v>
      </c>
      <c r="N32" s="243">
        <f>'Secondary cum Calculation'!N86</f>
        <v>13800963.696078908</v>
      </c>
      <c r="O32" s="243">
        <f>'Secondary cum Calculation'!O86</f>
        <v>13886790.913586644</v>
      </c>
      <c r="P32" s="243">
        <f>'Secondary cum Calculation'!P86</f>
        <v>13973151.884492138</v>
      </c>
      <c r="Q32" s="243">
        <f>'Secondary cum Calculation'!Q86</f>
        <v>14060049.928170038</v>
      </c>
      <c r="R32" s="243">
        <f>'Secondary cum Calculation'!R86</f>
        <v>14147488.384637941</v>
      </c>
      <c r="S32" s="243">
        <f>'Secondary cum Calculation'!S86</f>
        <v>14235470.614684779</v>
      </c>
      <c r="T32" s="243">
        <f>'Secondary cum Calculation'!T86</f>
        <v>14323999.999999998</v>
      </c>
      <c r="U32" s="243">
        <f>'Secondary cum Calculation'!U86</f>
        <v>14413079.943303531</v>
      </c>
      <c r="V32" s="243">
        <f>'Secondary cum Calculation'!V86</f>
        <v>14502713.868476581</v>
      </c>
      <c r="W32" s="245">
        <f>'Secondary cum Calculation'!W86</f>
        <v>6.2189293007213209E-3</v>
      </c>
      <c r="X32" s="245">
        <f>'Secondary cum Calculation'!X86</f>
        <v>6.2189293007213209E-3</v>
      </c>
      <c r="Y32" s="371" t="s">
        <v>1342</v>
      </c>
      <c r="AD32" s="7">
        <v>5</v>
      </c>
      <c r="AE32" s="15" t="s">
        <v>1348</v>
      </c>
    </row>
    <row r="33" spans="1:31">
      <c r="A33" s="200" t="str">
        <f>'Secondary cum Calculation'!A88</f>
        <v>Poland</v>
      </c>
      <c r="B33" s="201" t="str">
        <f>'Secondary cum Calculation'!B88</f>
        <v>Tourism Demand Factors</v>
      </c>
      <c r="C33" s="200" t="str">
        <f>'Secondary cum Calculation'!C88</f>
        <v>Mean Household Income</v>
      </c>
      <c r="D33" s="200"/>
      <c r="E33" s="202"/>
      <c r="F33" s="202">
        <f>'Secondary cum Calculation'!F88</f>
        <v>0</v>
      </c>
      <c r="G33" s="202">
        <f>'Secondary cum Calculation'!G88</f>
        <v>0</v>
      </c>
      <c r="H33" s="202">
        <f>'Secondary cum Calculation'!H88</f>
        <v>0</v>
      </c>
      <c r="I33" s="202">
        <f>'Secondary cum Calculation'!I88</f>
        <v>0</v>
      </c>
      <c r="J33" s="202" t="str">
        <f>'Secondary cum Calculation'!J88</f>
        <v>USD</v>
      </c>
      <c r="K33" s="203">
        <f>'Secondary cum Calculation'!K88</f>
        <v>0</v>
      </c>
      <c r="L33" s="359">
        <f>'Secondary cum Calculation'!L88</f>
        <v>7147.9685289320005</v>
      </c>
      <c r="M33" s="359">
        <f>'Secondary cum Calculation'!M88</f>
        <v>8731.0537553401646</v>
      </c>
      <c r="N33" s="359">
        <f>'Secondary cum Calculation'!N88</f>
        <v>7009.3362544589836</v>
      </c>
      <c r="O33" s="210">
        <f>'Secondary cum Calculation'!O88</f>
        <v>7737.2371999999996</v>
      </c>
      <c r="P33" s="359">
        <f>'Secondary cum Calculation'!P88</f>
        <v>7980.076500378329</v>
      </c>
      <c r="Q33" s="359">
        <f>Forecasting!Q62</f>
        <v>8587.3667114973159</v>
      </c>
      <c r="R33" s="210">
        <f>Forecasting!R62</f>
        <v>9044.4806148251246</v>
      </c>
      <c r="S33" s="210">
        <f>Forecasting!S62</f>
        <v>9482.4046219403772</v>
      </c>
      <c r="T33" s="210">
        <f>Forecasting!T62</f>
        <v>9798.7124751620759</v>
      </c>
      <c r="U33" s="210">
        <f>Forecasting!U62</f>
        <v>10314.768948592275</v>
      </c>
      <c r="V33" s="210">
        <f>Forecasting!V62</f>
        <v>10798.399182978814</v>
      </c>
      <c r="W33" s="241">
        <f>'Secondary cum Calculation'!W88</f>
        <v>-4.1398897921434141E-3</v>
      </c>
      <c r="X33" s="241">
        <f>'Secondary cum Calculation'!X88</f>
        <v>4.6887161195456661E-2</v>
      </c>
      <c r="Y33" s="240" t="s">
        <v>1252</v>
      </c>
      <c r="AD33" s="7">
        <v>3</v>
      </c>
      <c r="AE33" s="7" t="s">
        <v>1349</v>
      </c>
    </row>
    <row r="34" spans="1:31">
      <c r="A34" s="200" t="str">
        <f>'Secondary cum Calculation'!A90</f>
        <v>Poland</v>
      </c>
      <c r="B34" s="201" t="str">
        <f>'Secondary cum Calculation'!B90</f>
        <v>Tourism Demand Factors</v>
      </c>
      <c r="C34" s="200" t="str">
        <f>'Secondary cum Calculation'!C90</f>
        <v>Number of Holiday Trips by Season</v>
      </c>
      <c r="D34" s="202"/>
      <c r="E34" s="202"/>
      <c r="F34" s="202" t="str">
        <f>'Secondary cum Calculation'!F90</f>
        <v>The number of individuals who have opted to engage in tourism activities on a paid, public or unpaid holiday, segmented by the season/quarter of the year in which those activities take place. Individuals will be counted once per tourism trip, so may be counted several times over the course of a year.</v>
      </c>
      <c r="G34" s="202" t="str">
        <f>'Secondary cum Calculation'!G90</f>
        <v>Tourism Demand &amp; Flows Database</v>
      </c>
      <c r="H34" s="202" t="str">
        <f>'Secondary cum Calculation'!H90</f>
        <v>New</v>
      </c>
      <c r="I34" s="202">
        <f>'Secondary cum Calculation'!I90</f>
        <v>0</v>
      </c>
      <c r="J34" s="200" t="str">
        <f>'Secondary cum Calculation'!J90</f>
        <v>Thousand</v>
      </c>
      <c r="K34" s="203">
        <f>'Secondary cum Calculation'!K90</f>
        <v>0</v>
      </c>
      <c r="L34" s="209">
        <f>'Secondary cum Calculation'!L90</f>
        <v>41817.000000000007</v>
      </c>
      <c r="M34" s="209">
        <f>'Secondary cum Calculation'!M90</f>
        <v>42474.000000000007</v>
      </c>
      <c r="N34" s="209">
        <f>'Secondary cum Calculation'!N90</f>
        <v>37118</v>
      </c>
      <c r="O34" s="209">
        <f>'Secondary cum Calculation'!O90</f>
        <v>41021.5</v>
      </c>
      <c r="P34" s="209">
        <f>'Secondary cum Calculation'!P90</f>
        <v>35926.6</v>
      </c>
      <c r="Q34" s="209">
        <f>Forecasting!Q64</f>
        <v>34789.815808087129</v>
      </c>
      <c r="R34" s="209">
        <f>Forecasting!R64</f>
        <v>35385.02515423904</v>
      </c>
      <c r="S34" s="209">
        <f>Forecasting!S64</f>
        <v>35907.260663722911</v>
      </c>
      <c r="T34" s="209">
        <f>Forecasting!T64</f>
        <v>36562.647826941276</v>
      </c>
      <c r="U34" s="209">
        <f>Forecasting!U64</f>
        <v>37302.834973581761</v>
      </c>
      <c r="V34" s="209">
        <f>Forecasting!V64</f>
        <v>38109.800290076804</v>
      </c>
      <c r="W34" s="245">
        <f>'Secondary cum Calculation'!W90</f>
        <v>-4.8667701433475097E-2</v>
      </c>
      <c r="X34" s="245">
        <f>'Secondary cum Calculation'!X90</f>
        <v>1.8396524910340384E-2</v>
      </c>
      <c r="AD34" s="7">
        <v>4</v>
      </c>
      <c r="AE34" s="7" t="s">
        <v>1350</v>
      </c>
    </row>
    <row r="35" spans="1:31">
      <c r="A35" s="6" t="str">
        <f>'Secondary cum Calculation'!A92</f>
        <v>Poland</v>
      </c>
      <c r="B35" s="119" t="str">
        <f>'Secondary cum Calculation'!B92</f>
        <v>Tourism Demand Factors</v>
      </c>
      <c r="C35" s="119" t="str">
        <f>'Secondary cum Calculation'!C92</f>
        <v>Number of Holiday Takers by Season</v>
      </c>
      <c r="D35" s="6" t="str">
        <f>'Secondary cum Calculation'!D92</f>
        <v>January - March</v>
      </c>
      <c r="F35" s="7" t="str">
        <f>'Secondary cum Calculation'!F92</f>
        <v>The number of individuals who have opted to engage in tourism activities on a paid, public or unpaid holiday occurring between January and March. Individuals will be counted once per tourism trip, so may be counted several times over the course of the period.</v>
      </c>
      <c r="G35" s="7" t="str">
        <f>'Secondary cum Calculation'!G92</f>
        <v>Tourism Demand &amp; Flows Database</v>
      </c>
      <c r="H35" s="7" t="str">
        <f>'Secondary cum Calculation'!H92</f>
        <v>New</v>
      </c>
      <c r="I35" s="7">
        <f>'Secondary cum Calculation'!I92</f>
        <v>0</v>
      </c>
      <c r="J35" s="7" t="str">
        <f>'Secondary cum Calculation'!J92</f>
        <v>Thousand</v>
      </c>
      <c r="K35" s="8">
        <f>'Secondary cum Calculation'!K92</f>
        <v>344.11245787213153</v>
      </c>
      <c r="L35" s="192">
        <f>'Secondary cum Calculation'!L92</f>
        <v>7556.0105573038281</v>
      </c>
      <c r="M35" s="192">
        <f>'Secondary cum Calculation'!M92</f>
        <v>8409.043794030069</v>
      </c>
      <c r="N35" s="192">
        <f>'Secondary cum Calculation'!N92</f>
        <v>6694.9369811632978</v>
      </c>
      <c r="O35" s="192">
        <f>'Secondary cum Calculation'!O92</f>
        <v>6597.9504463610238</v>
      </c>
      <c r="P35" s="192">
        <f>'Secondary cum Calculation'!P92</f>
        <v>7021.5986670464254</v>
      </c>
      <c r="Q35" s="192">
        <f>Forecasting!Q66</f>
        <v>6809.3169839715092</v>
      </c>
      <c r="R35" s="147">
        <f>Forecasting!R66</f>
        <v>6871.4913541423266</v>
      </c>
      <c r="S35" s="147">
        <f>Forecasting!S66</f>
        <v>6960.7692686052778</v>
      </c>
      <c r="T35" s="147">
        <f>Forecasting!T66</f>
        <v>7055.1389456657653</v>
      </c>
      <c r="U35" s="147">
        <f>Forecasting!U66</f>
        <v>7174.9979748441428</v>
      </c>
      <c r="V35" s="147">
        <f>Forecasting!V66</f>
        <v>7298.3342133058241</v>
      </c>
      <c r="W35" s="211">
        <f>'Secondary cum Calculation'!W92</f>
        <v>-5.1386645416916732E-2</v>
      </c>
      <c r="X35" s="211">
        <f>'Secondary cum Calculation'!X92</f>
        <v>1.3967509368756348E-2</v>
      </c>
      <c r="Y35" s="11" t="s">
        <v>1076</v>
      </c>
      <c r="Z35" s="371" t="s">
        <v>1227</v>
      </c>
      <c r="AA35" s="371"/>
      <c r="AB35" s="371"/>
      <c r="AC35" s="371"/>
      <c r="AD35" s="7">
        <v>2</v>
      </c>
    </row>
    <row r="36" spans="1:31">
      <c r="A36" s="6" t="str">
        <f>'Secondary cum Calculation'!A94</f>
        <v>Poland</v>
      </c>
      <c r="B36" s="119" t="str">
        <f>'Secondary cum Calculation'!B94</f>
        <v>Tourism Demand Factors</v>
      </c>
      <c r="C36" s="119" t="str">
        <f>'Secondary cum Calculation'!C94</f>
        <v>Number of Holiday Takers by Season</v>
      </c>
      <c r="D36" s="6" t="str">
        <f>'Secondary cum Calculation'!D94</f>
        <v>April - June</v>
      </c>
      <c r="F36" s="7" t="str">
        <f>'Secondary cum Calculation'!F94</f>
        <v>The number of individuals who have opted to engage in tourism activities on a paid, public or unpaid holiday occurring between April and June. Individuals will be counted once per tourism trip, so may be counted several times over the course of the period.</v>
      </c>
      <c r="G36" s="7" t="str">
        <f>'Secondary cum Calculation'!G94</f>
        <v>Tourism Demand &amp; Flows Database</v>
      </c>
      <c r="H36" s="7" t="str">
        <f>'Secondary cum Calculation'!H94</f>
        <v>New</v>
      </c>
      <c r="I36" s="7">
        <f>'Secondary cum Calculation'!I94</f>
        <v>0</v>
      </c>
      <c r="J36" s="7" t="str">
        <f>'Secondary cum Calculation'!J94</f>
        <v>Thousand</v>
      </c>
      <c r="K36" s="8">
        <f>'Secondary cum Calculation'!K94</f>
        <v>431.14946599168542</v>
      </c>
      <c r="L36" s="192">
        <f>'Secondary cum Calculation'!L94</f>
        <v>10083.878134199575</v>
      </c>
      <c r="M36" s="192">
        <f>'Secondary cum Calculation'!M94</f>
        <v>10033.681748856128</v>
      </c>
      <c r="N36" s="192">
        <f>'Secondary cum Calculation'!N94</f>
        <v>9046.3544499296731</v>
      </c>
      <c r="O36" s="192">
        <f>'Secondary cum Calculation'!O94</f>
        <v>8984.5091920108953</v>
      </c>
      <c r="P36" s="192">
        <f>'Secondary cum Calculation'!P94</f>
        <v>8421.4160637994864</v>
      </c>
      <c r="Q36" s="192">
        <f>Forecasting!Q68</f>
        <v>8143.4341818941093</v>
      </c>
      <c r="R36" s="147">
        <f>Forecasting!R68</f>
        <v>8286.5504976152242</v>
      </c>
      <c r="S36" s="147">
        <f>Forecasting!S68</f>
        <v>8392.1504616656384</v>
      </c>
      <c r="T36" s="147">
        <f>Forecasting!T68</f>
        <v>8573.3040376929002</v>
      </c>
      <c r="U36" s="147">
        <f>Forecasting!U68</f>
        <v>8747.0076105533772</v>
      </c>
      <c r="V36" s="147">
        <f>Forecasting!V68</f>
        <v>8940.1517261904628</v>
      </c>
      <c r="W36" s="211">
        <f>'Secondary cum Calculation'!W94</f>
        <v>-5.084570522640397E-2</v>
      </c>
      <c r="X36" s="211">
        <f>'Secondary cum Calculation'!X94</f>
        <v>1.8843454646490398E-2</v>
      </c>
      <c r="Y36" s="11" t="s">
        <v>1076</v>
      </c>
      <c r="Z36" s="371" t="s">
        <v>1227</v>
      </c>
      <c r="AA36" s="371"/>
      <c r="AB36" s="371"/>
      <c r="AC36" s="371"/>
      <c r="AD36" s="7">
        <v>2</v>
      </c>
    </row>
    <row r="37" spans="1:31">
      <c r="A37" s="6" t="str">
        <f>'Secondary cum Calculation'!A96</f>
        <v>Poland</v>
      </c>
      <c r="B37" s="119" t="str">
        <f>'Secondary cum Calculation'!B96</f>
        <v>Tourism Demand Factors</v>
      </c>
      <c r="C37" s="119" t="str">
        <f>'Secondary cum Calculation'!C96</f>
        <v>Number of Holiday Takers by Season</v>
      </c>
      <c r="D37" s="6" t="str">
        <f>'Secondary cum Calculation'!D96</f>
        <v>July - September</v>
      </c>
      <c r="F37" s="7" t="str">
        <f>'Secondary cum Calculation'!F96</f>
        <v>The number of individuals who have opted to engage in tourism activities on a paid, public or unpaid holiday occurring between July and September. Individuals will be counted once per tourism trip, so may be counted several times over the course of the period.</v>
      </c>
      <c r="G37" s="7" t="str">
        <f>'Secondary cum Calculation'!G96</f>
        <v>Tourism Demand &amp; Flows Database</v>
      </c>
      <c r="H37" s="7" t="str">
        <f>'Secondary cum Calculation'!H96</f>
        <v>New</v>
      </c>
      <c r="I37" s="7">
        <f>'Secondary cum Calculation'!I96</f>
        <v>0</v>
      </c>
      <c r="J37" s="7" t="str">
        <f>'Secondary cum Calculation'!J96</f>
        <v>Thousand</v>
      </c>
      <c r="K37" s="8">
        <f>'Secondary cum Calculation'!K96</f>
        <v>420.50674294822005</v>
      </c>
      <c r="L37" s="192">
        <f>'Secondary cum Calculation'!L96</f>
        <v>15936.602603796571</v>
      </c>
      <c r="M37" s="192">
        <f>'Secondary cum Calculation'!M96</f>
        <v>16488.018737744213</v>
      </c>
      <c r="N37" s="192">
        <f>'Secondary cum Calculation'!N96</f>
        <v>14782.093273394192</v>
      </c>
      <c r="O37" s="192">
        <f>'Secondary cum Calculation'!O96</f>
        <v>17357.637274928129</v>
      </c>
      <c r="P37" s="192">
        <f>'Secondary cum Calculation'!P96</f>
        <v>13407.753910566789</v>
      </c>
      <c r="Q37" s="192">
        <f>Forecasting!Q70</f>
        <v>12915.651001321934</v>
      </c>
      <c r="R37" s="147">
        <f>Forecasting!R70</f>
        <v>13003.865639416017</v>
      </c>
      <c r="S37" s="147">
        <f>Forecasting!S70</f>
        <v>13140.271717481732</v>
      </c>
      <c r="T37" s="147">
        <f>Forecasting!T70</f>
        <v>13290.235764943684</v>
      </c>
      <c r="U37" s="147">
        <f>Forecasting!U70</f>
        <v>13470.250385813593</v>
      </c>
      <c r="V37" s="147">
        <f>Forecasting!V70</f>
        <v>13666.676574980607</v>
      </c>
      <c r="W37" s="211">
        <f>'Secondary cum Calculation'!W96</f>
        <v>-5.9222423888902975E-2</v>
      </c>
      <c r="X37" s="211">
        <f>'Secondary cum Calculation'!X96</f>
        <v>1.1368267384258335E-2</v>
      </c>
      <c r="Y37" s="11" t="s">
        <v>1076</v>
      </c>
      <c r="Z37" s="371" t="s">
        <v>1227</v>
      </c>
      <c r="AA37" s="371"/>
      <c r="AB37" s="371"/>
      <c r="AC37" s="371"/>
      <c r="AD37" s="7">
        <v>2</v>
      </c>
    </row>
    <row r="38" spans="1:31">
      <c r="A38" s="6" t="str">
        <f>'Secondary cum Calculation'!A98</f>
        <v>Poland</v>
      </c>
      <c r="B38" s="119" t="str">
        <f>'Secondary cum Calculation'!B98</f>
        <v>Tourism Demand Factors</v>
      </c>
      <c r="C38" s="119" t="str">
        <f>'Secondary cum Calculation'!C98</f>
        <v>Number of Holiday Takers by Season</v>
      </c>
      <c r="D38" s="6" t="str">
        <f>'Secondary cum Calculation'!D98</f>
        <v>October - December</v>
      </c>
      <c r="F38" s="7" t="str">
        <f>'Secondary cum Calculation'!F98</f>
        <v>The number of individuals who have opted to engage in tourism activities on a paid, public or unpaid holiday occurring between October and December. Individuals will be counted once per tourism trip, so may be counted several times over the course of the period.</v>
      </c>
      <c r="G38" s="7" t="str">
        <f>'Secondary cum Calculation'!G98</f>
        <v>Tourism Demand &amp; Flows Database</v>
      </c>
      <c r="H38" s="7" t="str">
        <f>'Secondary cum Calculation'!H98</f>
        <v>New</v>
      </c>
      <c r="I38" s="7">
        <f>'Secondary cum Calculation'!I98</f>
        <v>0</v>
      </c>
      <c r="J38" s="7" t="str">
        <f>'Secondary cum Calculation'!J98</f>
        <v>Thousand</v>
      </c>
      <c r="K38" s="8">
        <f>'Secondary cum Calculation'!K98</f>
        <v>361.5037531879629</v>
      </c>
      <c r="L38" s="192">
        <f>'Secondary cum Calculation'!L98</f>
        <v>8240.5087047000288</v>
      </c>
      <c r="M38" s="192">
        <f>'Secondary cum Calculation'!M98</f>
        <v>7543.2557193695957</v>
      </c>
      <c r="N38" s="192">
        <f>'Secondary cum Calculation'!N98</f>
        <v>6594.6152955128391</v>
      </c>
      <c r="O38" s="192">
        <f>'Secondary cum Calculation'!O98</f>
        <v>8081.4030866999519</v>
      </c>
      <c r="P38" s="192">
        <f>'Secondary cum Calculation'!P98</f>
        <v>7075.8313585872975</v>
      </c>
      <c r="Q38" s="192">
        <f>Forecasting!Q72</f>
        <v>6921.4136408995755</v>
      </c>
      <c r="R38" s="147">
        <f>Forecasting!R72</f>
        <v>7223.1176630654718</v>
      </c>
      <c r="S38" s="147">
        <f>Forecasting!S72</f>
        <v>7414.0692159702648</v>
      </c>
      <c r="T38" s="147">
        <f>Forecasting!T72</f>
        <v>7643.9690786389283</v>
      </c>
      <c r="U38" s="147">
        <f>Forecasting!U72</f>
        <v>7910.5790023706495</v>
      </c>
      <c r="V38" s="147">
        <f>Forecasting!V72</f>
        <v>8204.6377755999074</v>
      </c>
      <c r="W38" s="211">
        <f>'Secondary cum Calculation'!W98</f>
        <v>-2.1278804923141714E-2</v>
      </c>
      <c r="X38" s="211">
        <f>'Secondary cum Calculation'!X98</f>
        <v>3.460106599218582E-2</v>
      </c>
      <c r="Y38" s="11" t="s">
        <v>1076</v>
      </c>
      <c r="Z38" s="371" t="s">
        <v>1227</v>
      </c>
      <c r="AA38" s="371"/>
      <c r="AB38" s="371"/>
      <c r="AC38" s="371"/>
      <c r="AD38" s="7">
        <v>2</v>
      </c>
    </row>
    <row r="39" spans="1:31">
      <c r="A39" s="200" t="str">
        <f>'Secondary cum Calculation'!A107</f>
        <v>Poland</v>
      </c>
      <c r="B39" s="201" t="str">
        <f>'Secondary cum Calculation'!B107</f>
        <v>Tourism Demand Factors</v>
      </c>
      <c r="C39" s="200" t="str">
        <f>'Secondary cum Calculation'!C107</f>
        <v>Number of Return Trips by Residents by Type</v>
      </c>
      <c r="D39" s="202"/>
      <c r="E39" s="202"/>
      <c r="F39" s="202" t="str">
        <f>'Secondary cum Calculation'!F107</f>
        <v>The number of trips undertaken by the residents of a country, segmented by the destination and length of the trip.</v>
      </c>
      <c r="G39" s="202" t="str">
        <f>'Secondary cum Calculation'!G107</f>
        <v>Tourism Demand &amp; Flows Database</v>
      </c>
      <c r="H39" s="202" t="str">
        <f>'Secondary cum Calculation'!H107</f>
        <v>New</v>
      </c>
      <c r="I39" s="202">
        <f>'Secondary cum Calculation'!I107</f>
        <v>0</v>
      </c>
      <c r="J39" s="202" t="str">
        <f>'Secondary cum Calculation'!J107</f>
        <v>Thousand</v>
      </c>
      <c r="K39" s="203">
        <f>'Secondary cum Calculation'!K107</f>
        <v>0</v>
      </c>
      <c r="L39" s="249">
        <f>'Secondary cum Calculation'!L107</f>
        <v>41817.000000000007</v>
      </c>
      <c r="M39" s="249">
        <f>'Secondary cum Calculation'!M107</f>
        <v>42474.000000000007</v>
      </c>
      <c r="N39" s="249">
        <f>'Secondary cum Calculation'!N107</f>
        <v>37118</v>
      </c>
      <c r="O39" s="249">
        <f>'Secondary cum Calculation'!O107</f>
        <v>41021.5</v>
      </c>
      <c r="P39" s="249">
        <f>'Secondary cum Calculation'!P107</f>
        <v>35926.6</v>
      </c>
      <c r="Q39" s="249">
        <f>Forecasting!Q81</f>
        <v>34789.815808087129</v>
      </c>
      <c r="R39" s="249">
        <f>Forecasting!R81</f>
        <v>35385.02515423904</v>
      </c>
      <c r="S39" s="249">
        <f>Forecasting!S81</f>
        <v>35907.260663722911</v>
      </c>
      <c r="T39" s="249">
        <f>Forecasting!T81</f>
        <v>36562.647826941276</v>
      </c>
      <c r="U39" s="249">
        <f>Forecasting!U81</f>
        <v>37302.834973581761</v>
      </c>
      <c r="V39" s="249">
        <f>Forecasting!V81</f>
        <v>38109.800290076804</v>
      </c>
      <c r="W39" s="241">
        <f>'Secondary cum Calculation'!W107</f>
        <v>-4.8667701433475097E-2</v>
      </c>
      <c r="X39" s="241">
        <f>'Secondary cum Calculation'!X107</f>
        <v>1.8396524910340384E-2</v>
      </c>
      <c r="AD39" s="7">
        <v>4</v>
      </c>
    </row>
    <row r="40" spans="1:31">
      <c r="A40" s="6" t="str">
        <f>'Secondary cum Calculation'!A109</f>
        <v>Poland</v>
      </c>
      <c r="B40" s="119" t="str">
        <f>'Secondary cum Calculation'!B109</f>
        <v>Tourism Demand Factors</v>
      </c>
      <c r="C40" s="119" t="str">
        <f>'Secondary cum Calculation'!C109</f>
        <v>Number of Return Trips by Residents by Length &amp; Type</v>
      </c>
      <c r="D40" s="6" t="str">
        <f>'Secondary cum Calculation'!D109</f>
        <v>Domestic Trips</v>
      </c>
      <c r="F40" s="7" t="str">
        <f>'Secondary cum Calculation'!F109</f>
        <v>The number of domestic trips undertaken by residents of a country.</v>
      </c>
      <c r="G40" s="7" t="str">
        <f>'Secondary cum Calculation'!G109</f>
        <v>Tourism Demand &amp; Flows Database</v>
      </c>
      <c r="H40" s="7" t="str">
        <f>'Secondary cum Calculation'!H109</f>
        <v>New</v>
      </c>
      <c r="I40" s="7">
        <f>'Secondary cum Calculation'!I109</f>
        <v>0</v>
      </c>
      <c r="J40" s="7" t="str">
        <f>'Secondary cum Calculation'!J109</f>
        <v>Thousand</v>
      </c>
      <c r="K40" s="8">
        <f>'Secondary cum Calculation'!K109</f>
        <v>1967.64</v>
      </c>
      <c r="L40" s="331">
        <f>'Secondary cum Calculation'!L109</f>
        <v>34900.000000000007</v>
      </c>
      <c r="M40" s="331">
        <f>'Secondary cum Calculation'!M109</f>
        <v>34900.000000000007</v>
      </c>
      <c r="N40" s="331">
        <f>'Secondary cum Calculation'!N109</f>
        <v>30800</v>
      </c>
      <c r="O40" s="331">
        <f>'Secondary cum Calculation'!O109</f>
        <v>33900</v>
      </c>
      <c r="P40" s="360">
        <f>'Secondary cum Calculation'!P109</f>
        <v>29600</v>
      </c>
      <c r="Q40" s="331">
        <f>Forecasting!Q83</f>
        <v>28594.674532264191</v>
      </c>
      <c r="R40" s="331">
        <f>Forecasting!R83</f>
        <v>29114.168216573518</v>
      </c>
      <c r="S40" s="331">
        <f>Forecasting!S83</f>
        <v>29535.363141199603</v>
      </c>
      <c r="T40" s="331">
        <f>Forecasting!T83</f>
        <v>30139.856928566503</v>
      </c>
      <c r="U40" s="331">
        <f>Forecasting!U83</f>
        <v>30799.53039068119</v>
      </c>
      <c r="V40" s="331">
        <f>Forecasting!V83</f>
        <v>31530.697459423951</v>
      </c>
      <c r="W40" s="211">
        <f>'Secondary cum Calculation'!W109</f>
        <v>-4.8596088299126095E-2</v>
      </c>
      <c r="X40" s="211">
        <f>'Secondary cum Calculation'!X109</f>
        <v>1.9740537256371926E-2</v>
      </c>
      <c r="Y40" s="7" t="s">
        <v>1343</v>
      </c>
      <c r="AD40" s="7">
        <v>4</v>
      </c>
      <c r="AE40" s="7" t="s">
        <v>1351</v>
      </c>
    </row>
    <row r="41" spans="1:31">
      <c r="A41" s="6" t="str">
        <f>'Secondary cum Calculation'!A111</f>
        <v>Poland</v>
      </c>
      <c r="B41" s="119" t="str">
        <f>'Secondary cum Calculation'!B111</f>
        <v>Tourism Demand Factors</v>
      </c>
      <c r="C41" s="119" t="str">
        <f>'Secondary cum Calculation'!C111</f>
        <v>Number of Return Trips by Residents by Length &amp; Type</v>
      </c>
      <c r="D41" s="6" t="str">
        <f>'Secondary cum Calculation'!D111</f>
        <v>International Trips</v>
      </c>
      <c r="F41" s="7" t="str">
        <f>'Secondary cum Calculation'!F111</f>
        <v>The number of international trips undertaken by residents of a country.</v>
      </c>
      <c r="G41" s="7" t="str">
        <f>'Secondary cum Calculation'!G111</f>
        <v>Tourism Demand &amp; Flows Database</v>
      </c>
      <c r="H41" s="7" t="str">
        <f>'Secondary cum Calculation'!H111</f>
        <v>New</v>
      </c>
      <c r="I41" s="7">
        <f>'Secondary cum Calculation'!I111</f>
        <v>0</v>
      </c>
      <c r="J41" s="7" t="str">
        <f>'Secondary cum Calculation'!J111</f>
        <v>Thousand</v>
      </c>
      <c r="K41" s="8">
        <f>'Secondary cum Calculation'!K111</f>
        <v>65.676000000000002</v>
      </c>
      <c r="L41" s="250">
        <f>'Secondary cum Calculation'!L111</f>
        <v>6917.0000000000009</v>
      </c>
      <c r="M41" s="250">
        <f>'Secondary cum Calculation'!M111</f>
        <v>7574</v>
      </c>
      <c r="N41" s="250">
        <f>'Secondary cum Calculation'!N111</f>
        <v>6318</v>
      </c>
      <c r="O41" s="250">
        <f>'Secondary cum Calculation'!O111</f>
        <v>7121.5</v>
      </c>
      <c r="P41" s="358">
        <f>'Secondary cum Calculation'!P111</f>
        <v>6326.5999999999995</v>
      </c>
      <c r="Q41" s="250">
        <f>Forecasting!Q97</f>
        <v>6195.141275822938</v>
      </c>
      <c r="R41" s="250">
        <f>Forecasting!R97</f>
        <v>6270.8569376655214</v>
      </c>
      <c r="S41" s="250">
        <f>Forecasting!S97</f>
        <v>6371.8975225233071</v>
      </c>
      <c r="T41" s="250">
        <f>Forecasting!T97</f>
        <v>6422.7908983747702</v>
      </c>
      <c r="U41" s="250">
        <f>Forecasting!U97</f>
        <v>6503.3045829005732</v>
      </c>
      <c r="V41" s="250">
        <f>Forecasting!V97</f>
        <v>6579.1028306528524</v>
      </c>
      <c r="W41" s="211">
        <f>'Secondary cum Calculation'!W111</f>
        <v>-4.8997894506850437E-2</v>
      </c>
      <c r="X41" s="211">
        <f>'Secondary cum Calculation'!X111</f>
        <v>1.209922420888665E-2</v>
      </c>
      <c r="Y41" s="371" t="s">
        <v>1126</v>
      </c>
      <c r="AD41" s="7">
        <v>4</v>
      </c>
      <c r="AE41" s="7" t="s">
        <v>1351</v>
      </c>
    </row>
    <row r="42" spans="1:31">
      <c r="A42" s="200" t="str">
        <f>'Secondary cum Calculation'!A113</f>
        <v>Poland</v>
      </c>
      <c r="B42" s="201" t="str">
        <f>'Secondary cum Calculation'!B113</f>
        <v>Tourism Demand Factors</v>
      </c>
      <c r="C42" s="200" t="str">
        <f>'Secondary cum Calculation'!C113</f>
        <v>Average Length of Tourism Trips by Type</v>
      </c>
      <c r="D42" s="200"/>
      <c r="E42" s="202"/>
      <c r="F42" s="202" t="str">
        <f>'Secondary cum Calculation'!F113</f>
        <v>N/A</v>
      </c>
      <c r="G42" s="202">
        <f>'Secondary cum Calculation'!G113</f>
        <v>0</v>
      </c>
      <c r="H42" s="202">
        <f>'Secondary cum Calculation'!H113</f>
        <v>0</v>
      </c>
      <c r="I42" s="202">
        <f>'Secondary cum Calculation'!I113</f>
        <v>0</v>
      </c>
      <c r="J42" s="202"/>
      <c r="K42" s="203">
        <f>'Secondary cum Calculation'!K113</f>
        <v>0</v>
      </c>
      <c r="L42" s="207"/>
      <c r="M42" s="207"/>
      <c r="N42" s="207"/>
      <c r="O42" s="207"/>
      <c r="P42" s="207"/>
      <c r="Q42" s="207"/>
      <c r="R42" s="207"/>
      <c r="S42" s="207"/>
      <c r="T42" s="207"/>
      <c r="U42" s="207"/>
      <c r="V42" s="207"/>
      <c r="W42" s="241"/>
      <c r="X42" s="241"/>
    </row>
    <row r="43" spans="1:31">
      <c r="A43" s="6" t="str">
        <f>'Secondary cum Calculation'!A115</f>
        <v>Poland</v>
      </c>
      <c r="B43" s="119" t="str">
        <f>'Secondary cum Calculation'!B115</f>
        <v>Tourism Demand Factors</v>
      </c>
      <c r="C43" s="119" t="str">
        <f>'Secondary cum Calculation'!C115</f>
        <v>Average Length of Tourism Trips by Type</v>
      </c>
      <c r="D43" s="6" t="str">
        <f>'Secondary cum Calculation'!D115</f>
        <v>Domestic Trips</v>
      </c>
      <c r="F43" s="7" t="str">
        <f>'Secondary cum Calculation'!F115</f>
        <v>The average number of days per typical domestic tourism trip</v>
      </c>
      <c r="G43" s="7">
        <f>'Secondary cum Calculation'!G115</f>
        <v>0</v>
      </c>
      <c r="H43" s="7">
        <f>'Secondary cum Calculation'!H115</f>
        <v>0</v>
      </c>
      <c r="I43" s="7">
        <f>'Secondary cum Calculation'!I115</f>
        <v>0</v>
      </c>
      <c r="J43" s="7" t="str">
        <f>'Secondary cum Calculation'!J115</f>
        <v>Average No. of nights spent</v>
      </c>
      <c r="K43" s="8">
        <f>'Secondary cum Calculation'!K115</f>
        <v>0</v>
      </c>
      <c r="L43" s="397">
        <f>'Secondary cum Calculation'!L115</f>
        <v>5.0039881255809773</v>
      </c>
      <c r="M43" s="397">
        <f>'Secondary cum Calculation'!M115</f>
        <v>4.8435016329007832</v>
      </c>
      <c r="N43" s="397">
        <f>'Secondary cum Calculation'!N115</f>
        <v>5.0237962568422434</v>
      </c>
      <c r="O43" s="397">
        <f>'Secondary cum Calculation'!O115</f>
        <v>4.8755976544880468</v>
      </c>
      <c r="P43" s="397">
        <f>'Secondary cum Calculation'!P115</f>
        <v>4.6946950775401337</v>
      </c>
      <c r="Q43" s="397">
        <f>Forecasting!Q101</f>
        <v>4.7128144522574109</v>
      </c>
      <c r="R43" s="114">
        <f>Forecasting!R101</f>
        <v>4.7509078472034174</v>
      </c>
      <c r="S43" s="114">
        <f>Forecasting!S101</f>
        <v>4.7787347537290605</v>
      </c>
      <c r="T43" s="114">
        <f>Forecasting!T101</f>
        <v>4.8261435350947428</v>
      </c>
      <c r="U43" s="114">
        <f>Forecasting!U101</f>
        <v>4.8595767464793216</v>
      </c>
      <c r="V43" s="114">
        <f>Forecasting!V101</f>
        <v>4.8724910710066407</v>
      </c>
      <c r="W43" s="211">
        <f>'Secondary cum Calculation'!W115</f>
        <v>-6.8148377525701909E-3</v>
      </c>
      <c r="X43" s="211">
        <f>'Secondary cum Calculation'!X115</f>
        <v>6.6862623204615446E-3</v>
      </c>
      <c r="Y43" s="7" t="s">
        <v>1122</v>
      </c>
      <c r="Z43" s="7" t="s">
        <v>1344</v>
      </c>
      <c r="AD43" s="7">
        <v>2</v>
      </c>
      <c r="AE43" s="7" t="s">
        <v>1352</v>
      </c>
    </row>
    <row r="44" spans="1:31">
      <c r="A44" s="6" t="str">
        <f>'Secondary cum Calculation'!A117</f>
        <v>Poland</v>
      </c>
      <c r="B44" s="119" t="str">
        <f>'Secondary cum Calculation'!B117</f>
        <v>Tourism Demand Factors</v>
      </c>
      <c r="C44" s="119" t="str">
        <f>'Secondary cum Calculation'!C117</f>
        <v>Average Length of Tourism Trips by Type</v>
      </c>
      <c r="D44" s="6" t="str">
        <f>'Secondary cum Calculation'!D117</f>
        <v>International Trips</v>
      </c>
      <c r="F44" s="7" t="str">
        <f>'Secondary cum Calculation'!F117</f>
        <v>The average number of days per typical international tourism trip</v>
      </c>
      <c r="G44" s="7">
        <f>'Secondary cum Calculation'!G117</f>
        <v>0</v>
      </c>
      <c r="H44" s="7">
        <f>'Secondary cum Calculation'!H117</f>
        <v>0</v>
      </c>
      <c r="I44" s="7">
        <f>'Secondary cum Calculation'!I117</f>
        <v>0</v>
      </c>
      <c r="J44" s="7" t="str">
        <f>'Secondary cum Calculation'!J117</f>
        <v>Average No. of nights spent</v>
      </c>
      <c r="K44" s="8">
        <f>'Secondary cum Calculation'!K117</f>
        <v>0</v>
      </c>
      <c r="L44" s="129">
        <f>'Secondary cum Calculation'!L117</f>
        <v>11.427415359207266</v>
      </c>
      <c r="M44" s="129">
        <f>'Secondary cum Calculation'!M117</f>
        <v>11.781837160751566</v>
      </c>
      <c r="N44" s="129">
        <f>'Secondary cum Calculation'!N117</f>
        <v>9.2521739130434781</v>
      </c>
      <c r="O44" s="129">
        <f>'Secondary cum Calculation'!O117</f>
        <v>9.4063134864822633</v>
      </c>
      <c r="P44" s="129">
        <f>'Secondary cum Calculation'!P117</f>
        <v>9.2731618303350061</v>
      </c>
      <c r="Q44" s="129">
        <f>Forecasting!Q103</f>
        <v>9.3293988544484545</v>
      </c>
      <c r="R44" s="9">
        <f>Forecasting!R103</f>
        <v>9.4342766461125738</v>
      </c>
      <c r="S44" s="9">
        <f>Forecasting!S103</f>
        <v>9.5182810629751966</v>
      </c>
      <c r="T44" s="9">
        <f>Forecasting!T103</f>
        <v>9.55602707123127</v>
      </c>
      <c r="U44" s="9">
        <f>Forecasting!U103</f>
        <v>9.6290442341467237</v>
      </c>
      <c r="V44" s="9">
        <f>Forecasting!V103</f>
        <v>9.7442692313104331</v>
      </c>
      <c r="W44" s="211">
        <f>'Secondary cum Calculation'!W117</f>
        <v>-5.6677569794804983E-2</v>
      </c>
      <c r="X44" s="211">
        <f>'Secondary cum Calculation'!X117</f>
        <v>8.7397222469407509E-3</v>
      </c>
      <c r="Y44" s="7" t="s">
        <v>1122</v>
      </c>
      <c r="Z44" s="7" t="s">
        <v>1344</v>
      </c>
      <c r="AD44" s="7">
        <v>2</v>
      </c>
      <c r="AE44" s="7" t="s">
        <v>1352</v>
      </c>
    </row>
    <row r="45" spans="1:31">
      <c r="A45" s="200" t="str">
        <f>'Secondary cum Calculation'!A119</f>
        <v>Poland</v>
      </c>
      <c r="B45" s="201" t="str">
        <f>'Secondary cum Calculation'!B119</f>
        <v>Tourism Flows</v>
      </c>
      <c r="C45" s="200" t="str">
        <f>'Secondary cum Calculation'!C119</f>
        <v>Number of Domestic Trips by Region</v>
      </c>
      <c r="D45" s="202"/>
      <c r="E45" s="202"/>
      <c r="F45" s="202" t="str">
        <f>'Secondary cum Calculation'!F119</f>
        <v>The total number of domestic tourists, segmented by the destination region within their country of residence.</v>
      </c>
      <c r="G45" s="202" t="str">
        <f>'Secondary cum Calculation'!G119</f>
        <v>Tourism Demand &amp; Flows Database</v>
      </c>
      <c r="H45" s="202" t="str">
        <f>'Secondary cum Calculation'!H119</f>
        <v>New</v>
      </c>
      <c r="I45" s="202">
        <f>'Secondary cum Calculation'!I119</f>
        <v>0</v>
      </c>
      <c r="J45" s="202" t="str">
        <f>'Secondary cum Calculation'!J119</f>
        <v>Thousand</v>
      </c>
      <c r="K45" s="203">
        <f>'Secondary cum Calculation'!K119</f>
        <v>2004500</v>
      </c>
      <c r="L45" s="249">
        <f>'Secondary cum Calculation'!L119</f>
        <v>34900.000000000007</v>
      </c>
      <c r="M45" s="249">
        <f>'Secondary cum Calculation'!M119</f>
        <v>34900.000000000007</v>
      </c>
      <c r="N45" s="249">
        <f>'Secondary cum Calculation'!N119</f>
        <v>30800</v>
      </c>
      <c r="O45" s="249">
        <f>'Secondary cum Calculation'!O119</f>
        <v>33900</v>
      </c>
      <c r="P45" s="249">
        <f>'Secondary cum Calculation'!P119</f>
        <v>29600</v>
      </c>
      <c r="Q45" s="249">
        <f>Forecasting!Q105</f>
        <v>28594.674532264191</v>
      </c>
      <c r="R45" s="249">
        <f>Forecasting!R105</f>
        <v>29114.168216573518</v>
      </c>
      <c r="S45" s="249">
        <f>Forecasting!S105</f>
        <v>29535.363141199603</v>
      </c>
      <c r="T45" s="249">
        <f>Forecasting!T105</f>
        <v>30139.856928566503</v>
      </c>
      <c r="U45" s="249">
        <f>Forecasting!U105</f>
        <v>30799.53039068119</v>
      </c>
      <c r="V45" s="249">
        <f>Forecasting!V105</f>
        <v>31530.697459423951</v>
      </c>
      <c r="W45" s="241">
        <f>'Secondary cum Calculation'!W119</f>
        <v>-4.8596088299126095E-2</v>
      </c>
      <c r="X45" s="241">
        <f>'Secondary cum Calculation'!X119</f>
        <v>1.9740537256371926E-2</v>
      </c>
      <c r="AD45" s="7">
        <v>4</v>
      </c>
    </row>
    <row r="46" spans="1:31">
      <c r="A46" s="6" t="str">
        <f>'Secondary cum Calculation'!A121</f>
        <v>Poland</v>
      </c>
      <c r="B46" s="119" t="str">
        <f>'Secondary cum Calculation'!B121</f>
        <v>Tourism Flows</v>
      </c>
      <c r="C46" s="119" t="str">
        <f>'Secondary cum Calculation'!C121</f>
        <v>Number of Domestic Tourists by Region</v>
      </c>
      <c r="D46" s="6" t="str">
        <f>'Secondary cum Calculation'!D121</f>
        <v>Region Centralny</v>
      </c>
      <c r="F46" s="7">
        <f>'Secondary cum Calculation'!F121</f>
        <v>0</v>
      </c>
      <c r="G46" s="7" t="str">
        <f>'Secondary cum Calculation'!G121</f>
        <v>Tourism Demand &amp; Flows Database</v>
      </c>
      <c r="H46" s="7" t="str">
        <f>'Secondary cum Calculation'!H121</f>
        <v>New</v>
      </c>
      <c r="I46" s="7">
        <f>'Secondary cum Calculation'!I121</f>
        <v>0</v>
      </c>
      <c r="J46" s="7" t="str">
        <f>'Secondary cum Calculation'!J121</f>
        <v>Thousand</v>
      </c>
      <c r="K46" s="131">
        <f>'Secondary cum Calculation'!K121</f>
        <v>0</v>
      </c>
      <c r="L46" s="251">
        <f>'Secondary cum Calculation'!L121</f>
        <v>3758.4997754772271</v>
      </c>
      <c r="M46" s="251">
        <f>'Secondary cum Calculation'!M121</f>
        <v>3906.7712342331561</v>
      </c>
      <c r="N46" s="251">
        <f>'Secondary cum Calculation'!N121</f>
        <v>3477.2921928835149</v>
      </c>
      <c r="O46" s="251">
        <f>'Secondary cum Calculation'!O121</f>
        <v>4179.1960387177396</v>
      </c>
      <c r="P46" s="251">
        <f>'Secondary cum Calculation'!P121</f>
        <v>3559.8499819108883</v>
      </c>
      <c r="Q46" s="251">
        <f>Forecasting!Q107</f>
        <v>3515.9415394177558</v>
      </c>
      <c r="R46" s="250">
        <f>Forecasting!R107</f>
        <v>3630.8149548460206</v>
      </c>
      <c r="S46" s="250">
        <f>Forecasting!S107</f>
        <v>3739.0013413365764</v>
      </c>
      <c r="T46" s="250">
        <f>Forecasting!T107</f>
        <v>3835.8363508668313</v>
      </c>
      <c r="U46" s="250">
        <f>Forecasting!U107</f>
        <v>3953.3042242673832</v>
      </c>
      <c r="V46" s="250">
        <f>Forecasting!V107</f>
        <v>4069.0070227681658</v>
      </c>
      <c r="W46" s="211">
        <f>'Secondary cum Calculation'!W121</f>
        <v>-2.6006819811057014E-2</v>
      </c>
      <c r="X46" s="211">
        <f>'Secondary cum Calculation'!X121</f>
        <v>2.964937169159132E-2</v>
      </c>
      <c r="Y46" s="7" t="s">
        <v>1122</v>
      </c>
      <c r="Z46" s="7" t="s">
        <v>1344</v>
      </c>
      <c r="AD46" s="7">
        <v>4</v>
      </c>
      <c r="AE46" s="7" t="s">
        <v>1353</v>
      </c>
    </row>
    <row r="47" spans="1:31">
      <c r="A47" s="6" t="str">
        <f>'Secondary cum Calculation'!A123</f>
        <v>Poland</v>
      </c>
      <c r="B47" s="119" t="str">
        <f>'Secondary cum Calculation'!B123</f>
        <v>Tourism Flows</v>
      </c>
      <c r="C47" s="119" t="str">
        <f>'Secondary cum Calculation'!C123</f>
        <v>Number of Domestic Tourists by Region</v>
      </c>
      <c r="D47" s="6" t="str">
        <f>'Secondary cum Calculation'!D123</f>
        <v>Region Poludniowy</v>
      </c>
      <c r="F47" s="7">
        <f>'Secondary cum Calculation'!F123</f>
        <v>0</v>
      </c>
      <c r="G47" s="7" t="str">
        <f>'Secondary cum Calculation'!G123</f>
        <v>Tourism Demand &amp; Flows Database</v>
      </c>
      <c r="H47" s="7" t="str">
        <f>'Secondary cum Calculation'!H123</f>
        <v>New</v>
      </c>
      <c r="I47" s="7">
        <f>'Secondary cum Calculation'!I123</f>
        <v>0</v>
      </c>
      <c r="J47" s="7" t="str">
        <f>'Secondary cum Calculation'!J123</f>
        <v>Thousand</v>
      </c>
      <c r="K47" s="8">
        <f>'Secondary cum Calculation'!K123</f>
        <v>0</v>
      </c>
      <c r="L47" s="251">
        <f>'Secondary cum Calculation'!L123</f>
        <v>7319.0927563144232</v>
      </c>
      <c r="M47" s="251">
        <f>'Secondary cum Calculation'!M123</f>
        <v>7236.7391951344089</v>
      </c>
      <c r="N47" s="251">
        <f>'Secondary cum Calculation'!N123</f>
        <v>6681.2813566518143</v>
      </c>
      <c r="O47" s="251">
        <f>'Secondary cum Calculation'!O123</f>
        <v>7284.2875895539455</v>
      </c>
      <c r="P47" s="251">
        <f>'Secondary cum Calculation'!P123</f>
        <v>6500.2888992257967</v>
      </c>
      <c r="Q47" s="251">
        <f>Forecasting!Q109</f>
        <v>6337.7124241215088</v>
      </c>
      <c r="R47" s="250">
        <f>Forecasting!R109</f>
        <v>6517.8697430052389</v>
      </c>
      <c r="S47" s="250">
        <f>Forecasting!S109</f>
        <v>6638.8481829601005</v>
      </c>
      <c r="T47" s="250">
        <f>Forecasting!T109</f>
        <v>6813.0860313803923</v>
      </c>
      <c r="U47" s="250">
        <f>Forecasting!U109</f>
        <v>6967.2572895884678</v>
      </c>
      <c r="V47" s="250">
        <f>Forecasting!V109</f>
        <v>7154.5652213737103</v>
      </c>
      <c r="W47" s="211">
        <f>'Secondary cum Calculation'!W123</f>
        <v>-3.2619337214365496E-2</v>
      </c>
      <c r="X47" s="211">
        <f>'Secondary cum Calculation'!X123</f>
        <v>2.4542889544804769E-2</v>
      </c>
      <c r="Y47" s="7" t="s">
        <v>1122</v>
      </c>
      <c r="Z47" s="7" t="s">
        <v>1344</v>
      </c>
      <c r="AD47" s="7">
        <v>4</v>
      </c>
    </row>
    <row r="48" spans="1:31">
      <c r="A48" s="6" t="str">
        <f>'Secondary cum Calculation'!A125</f>
        <v>Poland</v>
      </c>
      <c r="B48" s="119" t="str">
        <f>'Secondary cum Calculation'!B125</f>
        <v>Tourism Flows</v>
      </c>
      <c r="C48" s="119" t="str">
        <f>'Secondary cum Calculation'!C125</f>
        <v>Number of Domestic Tourists by Region</v>
      </c>
      <c r="D48" s="6" t="str">
        <f>'Secondary cum Calculation'!D125</f>
        <v>Region Wschodni</v>
      </c>
      <c r="F48" s="7">
        <f>'Secondary cum Calculation'!F125</f>
        <v>0</v>
      </c>
      <c r="G48" s="7" t="str">
        <f>'Secondary cum Calculation'!G125</f>
        <v>Tourism Demand &amp; Flows Database</v>
      </c>
      <c r="H48" s="7" t="str">
        <f>'Secondary cum Calculation'!H125</f>
        <v>New</v>
      </c>
      <c r="I48" s="7">
        <f>'Secondary cum Calculation'!I125</f>
        <v>0</v>
      </c>
      <c r="J48" s="7" t="str">
        <f>'Secondary cum Calculation'!J125</f>
        <v>Thousand</v>
      </c>
      <c r="K48" s="8">
        <f>'Secondary cum Calculation'!K125</f>
        <v>0</v>
      </c>
      <c r="L48" s="251">
        <f>'Secondary cum Calculation'!L125</f>
        <v>3746.6259384277582</v>
      </c>
      <c r="M48" s="251">
        <f>'Secondary cum Calculation'!M125</f>
        <v>3729.1647121861747</v>
      </c>
      <c r="N48" s="251">
        <f>'Secondary cum Calculation'!N125</f>
        <v>3460.8994371801132</v>
      </c>
      <c r="O48" s="251">
        <f>'Secondary cum Calculation'!O125</f>
        <v>3946.62253895099</v>
      </c>
      <c r="P48" s="251">
        <f>'Secondary cum Calculation'!P125</f>
        <v>3336.8848501060297</v>
      </c>
      <c r="Q48" s="251">
        <f>Forecasting!Q111</f>
        <v>3255.2681240661905</v>
      </c>
      <c r="R48" s="250">
        <f>Forecasting!R111</f>
        <v>3356.7405689147668</v>
      </c>
      <c r="S48" s="250">
        <f>Forecasting!S111</f>
        <v>3422.8838841566112</v>
      </c>
      <c r="T48" s="250">
        <f>Forecasting!T111</f>
        <v>3493.7334891804139</v>
      </c>
      <c r="U48" s="250">
        <f>Forecasting!U111</f>
        <v>3590.1631058826051</v>
      </c>
      <c r="V48" s="250">
        <f>Forecasting!V111</f>
        <v>3692.8236646489363</v>
      </c>
      <c r="W48" s="211">
        <f>'Secondary cum Calculation'!W125</f>
        <v>-3.3406656779354393E-2</v>
      </c>
      <c r="X48" s="211">
        <f>'Secondary cum Calculation'!X125</f>
        <v>2.5544148374108344E-2</v>
      </c>
      <c r="Y48" s="7" t="s">
        <v>1122</v>
      </c>
      <c r="Z48" s="7" t="s">
        <v>1344</v>
      </c>
      <c r="AD48" s="7">
        <v>4</v>
      </c>
    </row>
    <row r="49" spans="1:31">
      <c r="A49" s="6" t="str">
        <f>'Secondary cum Calculation'!A127</f>
        <v>Poland</v>
      </c>
      <c r="B49" s="119" t="str">
        <f>'Secondary cum Calculation'!B127</f>
        <v>Tourism Flows</v>
      </c>
      <c r="C49" s="119" t="str">
        <f>'Secondary cum Calculation'!C127</f>
        <v>Number of Domestic Tourists by Region</v>
      </c>
      <c r="D49" s="6" t="str">
        <f>'Secondary cum Calculation'!D127</f>
        <v>Region Pólnocno-Zachodni</v>
      </c>
      <c r="F49" s="7">
        <f>'Secondary cum Calculation'!F127</f>
        <v>0</v>
      </c>
      <c r="G49" s="7" t="str">
        <f>'Secondary cum Calculation'!G127</f>
        <v>Tourism Demand &amp; Flows Database</v>
      </c>
      <c r="H49" s="7" t="str">
        <f>'Secondary cum Calculation'!H127</f>
        <v>New</v>
      </c>
      <c r="I49" s="7">
        <f>'Secondary cum Calculation'!I127</f>
        <v>0</v>
      </c>
      <c r="J49" s="7" t="str">
        <f>'Secondary cum Calculation'!J127</f>
        <v>Thousand</v>
      </c>
      <c r="K49" s="8">
        <f>'Secondary cum Calculation'!K127</f>
        <v>0</v>
      </c>
      <c r="L49" s="251">
        <f>'Secondary cum Calculation'!L127</f>
        <v>8636.9460115721795</v>
      </c>
      <c r="M49" s="251">
        <f>'Secondary cum Calculation'!M127</f>
        <v>8800.1261289498598</v>
      </c>
      <c r="N49" s="251">
        <f>'Secondary cum Calculation'!N127</f>
        <v>7560.465899826957</v>
      </c>
      <c r="O49" s="251">
        <f>'Secondary cum Calculation'!O127</f>
        <v>8238.0307155684495</v>
      </c>
      <c r="P49" s="251">
        <f>'Secondary cum Calculation'!P127</f>
        <v>7193.3659888029979</v>
      </c>
      <c r="Q49" s="251">
        <f>Forecasting!Q113</f>
        <v>6923.8468909623844</v>
      </c>
      <c r="R49" s="250">
        <f>Forecasting!R113</f>
        <v>6992.7825652383262</v>
      </c>
      <c r="S49" s="250">
        <f>Forecasting!S113</f>
        <v>7063.1518165380239</v>
      </c>
      <c r="T49" s="250">
        <f>Forecasting!T113</f>
        <v>7208.0003010497539</v>
      </c>
      <c r="U49" s="250">
        <f>Forecasting!U113</f>
        <v>7342.1777849117352</v>
      </c>
      <c r="V49" s="250">
        <f>Forecasting!V113</f>
        <v>7504.7637199867886</v>
      </c>
      <c r="W49" s="211">
        <f>'Secondary cum Calculation'!W127</f>
        <v>-5.8187089071490949E-2</v>
      </c>
      <c r="X49" s="211">
        <f>'Secondary cum Calculation'!X127</f>
        <v>1.6243810631424438E-2</v>
      </c>
      <c r="Y49" s="7" t="s">
        <v>1122</v>
      </c>
      <c r="Z49" s="7" t="s">
        <v>1344</v>
      </c>
      <c r="AD49" s="7">
        <v>4</v>
      </c>
    </row>
    <row r="50" spans="1:31">
      <c r="A50" s="6" t="str">
        <f>'Secondary cum Calculation'!A129</f>
        <v>Poland</v>
      </c>
      <c r="B50" s="119" t="str">
        <f>'Secondary cum Calculation'!B129</f>
        <v>Tourism Flows</v>
      </c>
      <c r="C50" s="119" t="str">
        <f>'Secondary cum Calculation'!C129</f>
        <v>Number of Domestic Tourists by Region</v>
      </c>
      <c r="D50" s="6" t="str">
        <f>'Secondary cum Calculation'!D129</f>
        <v>Region Poludniowo-Zachodni</v>
      </c>
      <c r="F50" s="7">
        <f>'Secondary cum Calculation'!F129</f>
        <v>0</v>
      </c>
      <c r="G50" s="7" t="str">
        <f>'Secondary cum Calculation'!G129</f>
        <v>Tourism Demand &amp; Flows Database</v>
      </c>
      <c r="H50" s="7" t="str">
        <f>'Secondary cum Calculation'!H129</f>
        <v>New</v>
      </c>
      <c r="I50" s="7">
        <f>'Secondary cum Calculation'!I129</f>
        <v>0</v>
      </c>
      <c r="J50" s="7" t="str">
        <f>'Secondary cum Calculation'!J129</f>
        <v>Thousand</v>
      </c>
      <c r="K50" s="8">
        <f>'Secondary cum Calculation'!K129</f>
        <v>0</v>
      </c>
      <c r="L50" s="251">
        <f>'Secondary cum Calculation'!L129</f>
        <v>3524.6948731642765</v>
      </c>
      <c r="M50" s="251">
        <f>'Secondary cum Calculation'!M129</f>
        <v>3481.48224960165</v>
      </c>
      <c r="N50" s="251">
        <f>'Secondary cum Calculation'!N129</f>
        <v>2934.4002614366418</v>
      </c>
      <c r="O50" s="251">
        <f>'Secondary cum Calculation'!O129</f>
        <v>3171.5062806147207</v>
      </c>
      <c r="P50" s="251">
        <f>'Secondary cum Calculation'!P129</f>
        <v>2836.9273213162082</v>
      </c>
      <c r="Q50" s="251">
        <f>Forecasting!Q115</f>
        <v>2712.0625710117288</v>
      </c>
      <c r="R50" s="250">
        <f>Forecasting!R115</f>
        <v>2733.6294213978658</v>
      </c>
      <c r="S50" s="250">
        <f>Forecasting!S115</f>
        <v>2761.0664522126117</v>
      </c>
      <c r="T50" s="250">
        <f>Forecasting!T115</f>
        <v>2811.6657714775433</v>
      </c>
      <c r="U50" s="250">
        <f>Forecasting!U115</f>
        <v>2853.8628916128187</v>
      </c>
      <c r="V50" s="250">
        <f>Forecasting!V115</f>
        <v>2909.7264943179284</v>
      </c>
      <c r="W50" s="211">
        <f>'Secondary cum Calculation'!W129</f>
        <v>-6.052791557410786E-2</v>
      </c>
      <c r="X50" s="211">
        <f>'Secondary cum Calculation'!X129</f>
        <v>1.4169376682476198E-2</v>
      </c>
      <c r="Y50" s="7" t="s">
        <v>1122</v>
      </c>
      <c r="Z50" s="7" t="s">
        <v>1344</v>
      </c>
      <c r="AD50" s="7">
        <v>4</v>
      </c>
    </row>
    <row r="51" spans="1:31">
      <c r="A51" s="6" t="str">
        <f>'Secondary cum Calculation'!A131</f>
        <v>Poland</v>
      </c>
      <c r="B51" s="119" t="str">
        <f>'Secondary cum Calculation'!B131</f>
        <v>Tourism Flows</v>
      </c>
      <c r="C51" s="119" t="str">
        <f>'Secondary cum Calculation'!C131</f>
        <v>Number of Domestic Tourists by Region</v>
      </c>
      <c r="D51" s="6" t="str">
        <f>'Secondary cum Calculation'!D131</f>
        <v>Region Pólnocny</v>
      </c>
      <c r="F51" s="7">
        <f>'Secondary cum Calculation'!F131</f>
        <v>0</v>
      </c>
      <c r="G51" s="7" t="str">
        <f>'Secondary cum Calculation'!G131</f>
        <v>Tourism Demand &amp; Flows Database</v>
      </c>
      <c r="H51" s="7" t="str">
        <f>'Secondary cum Calculation'!H131</f>
        <v>New</v>
      </c>
      <c r="I51" s="7">
        <f>'Secondary cum Calculation'!I131</f>
        <v>0</v>
      </c>
      <c r="J51" s="7" t="str">
        <f>'Secondary cum Calculation'!J131</f>
        <v>Thousand</v>
      </c>
      <c r="K51" s="8">
        <f>'Secondary cum Calculation'!K131</f>
        <v>0</v>
      </c>
      <c r="L51" s="251">
        <f>'Secondary cum Calculation'!L131</f>
        <v>7914.1406450441445</v>
      </c>
      <c r="M51" s="251">
        <f>'Secondary cum Calculation'!M131</f>
        <v>7745.7164798947597</v>
      </c>
      <c r="N51" s="251">
        <f>'Secondary cum Calculation'!N131</f>
        <v>6685.6608520209584</v>
      </c>
      <c r="O51" s="251">
        <f>'Secondary cum Calculation'!O131</f>
        <v>7080.3568365941592</v>
      </c>
      <c r="P51" s="251">
        <f>'Secondary cum Calculation'!P131</f>
        <v>6172.6829586380773</v>
      </c>
      <c r="Q51" s="251">
        <f>Forecasting!Q117</f>
        <v>5849.8429826846223</v>
      </c>
      <c r="R51" s="250">
        <f>Forecasting!R117</f>
        <v>5882.3309631713018</v>
      </c>
      <c r="S51" s="250">
        <f>Forecasting!S117</f>
        <v>5910.4114639956824</v>
      </c>
      <c r="T51" s="250">
        <f>Forecasting!T117</f>
        <v>5977.5349846115714</v>
      </c>
      <c r="U51" s="250">
        <f>Forecasting!U117</f>
        <v>6092.7650944181805</v>
      </c>
      <c r="V51" s="250">
        <f>Forecasting!V117</f>
        <v>6199.811336328421</v>
      </c>
      <c r="W51" s="211">
        <f>'Secondary cum Calculation'!W131</f>
        <v>-6.7775197976605694E-2</v>
      </c>
      <c r="X51" s="211">
        <f>'Secondary cum Calculation'!X131</f>
        <v>1.1688592235932216E-2</v>
      </c>
      <c r="Y51" s="7" t="s">
        <v>1122</v>
      </c>
      <c r="Z51" s="7" t="s">
        <v>1344</v>
      </c>
      <c r="AD51" s="7">
        <v>4</v>
      </c>
    </row>
    <row r="52" spans="1:31" hidden="1">
      <c r="A52" s="6" t="str">
        <f>'Secondary cum Calculation'!A133</f>
        <v>Poland</v>
      </c>
      <c r="B52" s="119" t="str">
        <f>'Secondary cum Calculation'!B133</f>
        <v>Tourism Flows</v>
      </c>
      <c r="C52" s="119" t="str">
        <f>'Secondary cum Calculation'!C133</f>
        <v>Number of Domestic Tourists by Region</v>
      </c>
      <c r="D52" s="6" t="str">
        <f>'Secondary cum Calculation'!D133</f>
        <v>REGION 7</v>
      </c>
      <c r="F52" s="7">
        <f>'Secondary cum Calculation'!F133</f>
        <v>0</v>
      </c>
      <c r="G52" s="7" t="str">
        <f>'Secondary cum Calculation'!G133</f>
        <v>Tourism Demand &amp; Flows Database</v>
      </c>
      <c r="H52" s="7" t="str">
        <f>'Secondary cum Calculation'!H133</f>
        <v>New</v>
      </c>
      <c r="I52" s="7">
        <f>'Secondary cum Calculation'!I133</f>
        <v>0</v>
      </c>
      <c r="J52" s="7" t="str">
        <f>'Secondary cum Calculation'!J133</f>
        <v>Thousand</v>
      </c>
      <c r="K52" s="8">
        <f>'Secondary cum Calculation'!K133</f>
        <v>0</v>
      </c>
      <c r="L52" s="250"/>
      <c r="M52" s="250"/>
      <c r="N52" s="250"/>
      <c r="O52" s="250"/>
      <c r="P52" s="250"/>
      <c r="Q52" s="250"/>
      <c r="R52" s="250"/>
      <c r="S52" s="250"/>
      <c r="T52" s="250"/>
      <c r="U52" s="250"/>
      <c r="V52" s="250"/>
      <c r="W52" s="211" t="e">
        <f>'Secondary cum Calculation'!W133</f>
        <v>#DIV/0!</v>
      </c>
      <c r="X52" s="211" t="e">
        <f>'Secondary cum Calculation'!X133</f>
        <v>#DIV/0!</v>
      </c>
    </row>
    <row r="53" spans="1:31" hidden="1">
      <c r="A53" s="6" t="str">
        <f>'Secondary cum Calculation'!A135</f>
        <v>Poland</v>
      </c>
      <c r="B53" s="119" t="str">
        <f>'Secondary cum Calculation'!B135</f>
        <v>Tourism Flows</v>
      </c>
      <c r="C53" s="119" t="str">
        <f>'Secondary cum Calculation'!C135</f>
        <v>Number of Domestic Tourists by Region</v>
      </c>
      <c r="D53" s="6" t="str">
        <f>'Secondary cum Calculation'!D135</f>
        <v>REGION 8</v>
      </c>
      <c r="F53" s="7">
        <f>'Secondary cum Calculation'!F135</f>
        <v>0</v>
      </c>
      <c r="G53" s="7" t="str">
        <f>'Secondary cum Calculation'!G135</f>
        <v>Tourism Demand &amp; Flows Database</v>
      </c>
      <c r="H53" s="7" t="str">
        <f>'Secondary cum Calculation'!H135</f>
        <v>New</v>
      </c>
      <c r="I53" s="7">
        <f>'Secondary cum Calculation'!I135</f>
        <v>0</v>
      </c>
      <c r="J53" s="7" t="str">
        <f>'Secondary cum Calculation'!J135</f>
        <v>Thousand</v>
      </c>
      <c r="K53" s="8">
        <f>'Secondary cum Calculation'!K135</f>
        <v>0</v>
      </c>
      <c r="L53" s="250"/>
      <c r="M53" s="250"/>
      <c r="N53" s="250"/>
      <c r="O53" s="250"/>
      <c r="P53" s="250"/>
      <c r="Q53" s="250"/>
      <c r="R53" s="250"/>
      <c r="S53" s="250"/>
      <c r="T53" s="250"/>
      <c r="U53" s="250"/>
      <c r="V53" s="250"/>
      <c r="W53" s="211" t="e">
        <f>'Secondary cum Calculation'!W135</f>
        <v>#DIV/0!</v>
      </c>
      <c r="X53" s="211" t="e">
        <f>'Secondary cum Calculation'!X135</f>
        <v>#DIV/0!</v>
      </c>
    </row>
    <row r="54" spans="1:31" hidden="1">
      <c r="A54" s="6" t="str">
        <f>'Secondary cum Calculation'!A137</f>
        <v>Poland</v>
      </c>
      <c r="B54" s="119" t="str">
        <f>'Secondary cum Calculation'!B137</f>
        <v>Tourism Flows</v>
      </c>
      <c r="C54" s="119" t="str">
        <f>'Secondary cum Calculation'!C137</f>
        <v>Number of Domestic Tourists by Region</v>
      </c>
      <c r="D54" s="6" t="str">
        <f>'Secondary cum Calculation'!D137</f>
        <v>REGION 9</v>
      </c>
      <c r="F54" s="7">
        <f>'Secondary cum Calculation'!F137</f>
        <v>0</v>
      </c>
      <c r="G54" s="7" t="str">
        <f>'Secondary cum Calculation'!G137</f>
        <v>Tourism Demand &amp; Flows Database</v>
      </c>
      <c r="H54" s="7" t="str">
        <f>'Secondary cum Calculation'!H137</f>
        <v>New</v>
      </c>
      <c r="I54" s="7">
        <f>'Secondary cum Calculation'!I137</f>
        <v>0</v>
      </c>
      <c r="J54" s="7" t="str">
        <f>'Secondary cum Calculation'!J137</f>
        <v>Thousand</v>
      </c>
      <c r="K54" s="8">
        <f>'Secondary cum Calculation'!K137</f>
        <v>0</v>
      </c>
      <c r="L54" s="250"/>
      <c r="M54" s="250"/>
      <c r="N54" s="250"/>
      <c r="O54" s="250"/>
      <c r="P54" s="250"/>
      <c r="Q54" s="250"/>
      <c r="R54" s="250"/>
      <c r="S54" s="250"/>
      <c r="T54" s="250"/>
      <c r="U54" s="250"/>
      <c r="V54" s="250"/>
      <c r="W54" s="211" t="e">
        <f>'Secondary cum Calculation'!W137</f>
        <v>#DIV/0!</v>
      </c>
      <c r="X54" s="211" t="e">
        <f>'Secondary cum Calculation'!X137</f>
        <v>#DIV/0!</v>
      </c>
    </row>
    <row r="55" spans="1:31" hidden="1">
      <c r="A55" s="6" t="str">
        <f>'Secondary cum Calculation'!A139</f>
        <v>Poland</v>
      </c>
      <c r="B55" s="119" t="str">
        <f>'Secondary cum Calculation'!B139</f>
        <v>Tourism Flows</v>
      </c>
      <c r="C55" s="119" t="str">
        <f>'Secondary cum Calculation'!C139</f>
        <v>Number of Domestic Tourists by Region</v>
      </c>
      <c r="D55" s="6" t="str">
        <f>'Secondary cum Calculation'!D139</f>
        <v>REGION 10</v>
      </c>
      <c r="F55" s="7">
        <f>'Secondary cum Calculation'!F139</f>
        <v>0</v>
      </c>
      <c r="G55" s="7" t="str">
        <f>'Secondary cum Calculation'!G139</f>
        <v>Tourism Demand &amp; Flows Database</v>
      </c>
      <c r="H55" s="7" t="str">
        <f>'Secondary cum Calculation'!H139</f>
        <v>New</v>
      </c>
      <c r="I55" s="7">
        <f>'Secondary cum Calculation'!I139</f>
        <v>0</v>
      </c>
      <c r="J55" s="7" t="str">
        <f>'Secondary cum Calculation'!J139</f>
        <v>Thousand</v>
      </c>
      <c r="K55" s="8">
        <f>'Secondary cum Calculation'!K139</f>
        <v>0</v>
      </c>
      <c r="L55" s="250"/>
      <c r="M55" s="250"/>
      <c r="N55" s="250"/>
      <c r="O55" s="250"/>
      <c r="P55" s="250"/>
      <c r="Q55" s="250"/>
      <c r="R55" s="250"/>
      <c r="S55" s="250"/>
      <c r="T55" s="250"/>
      <c r="U55" s="250"/>
      <c r="V55" s="250"/>
      <c r="W55" s="211" t="e">
        <f>'Secondary cum Calculation'!W139</f>
        <v>#DIV/0!</v>
      </c>
      <c r="X55" s="211" t="e">
        <f>'Secondary cum Calculation'!X139</f>
        <v>#DIV/0!</v>
      </c>
    </row>
    <row r="56" spans="1:31" hidden="1">
      <c r="A56" s="6" t="str">
        <f>'Secondary cum Calculation'!A141</f>
        <v>Poland</v>
      </c>
      <c r="B56" s="119" t="str">
        <f>'Secondary cum Calculation'!B141</f>
        <v>Tourism Flows</v>
      </c>
      <c r="C56" s="119" t="str">
        <f>'Secondary cum Calculation'!C141</f>
        <v>Number of Domestic Tourists by Region</v>
      </c>
      <c r="D56" s="6" t="str">
        <f>'Secondary cum Calculation'!D141</f>
        <v>Other Regions</v>
      </c>
      <c r="F56" s="7">
        <f>'Secondary cum Calculation'!F141</f>
        <v>0</v>
      </c>
      <c r="G56" s="7" t="str">
        <f>'Secondary cum Calculation'!G141</f>
        <v>Tourism Demand &amp; Flows Database</v>
      </c>
      <c r="H56" s="7" t="str">
        <f>'Secondary cum Calculation'!H141</f>
        <v>New</v>
      </c>
      <c r="I56" s="7">
        <f>'Secondary cum Calculation'!I141</f>
        <v>0</v>
      </c>
      <c r="J56" s="7" t="str">
        <f>'Secondary cum Calculation'!J141</f>
        <v>Thousand</v>
      </c>
      <c r="K56" s="8">
        <f>'Secondary cum Calculation'!K141</f>
        <v>0</v>
      </c>
      <c r="L56" s="250"/>
      <c r="M56" s="250"/>
      <c r="N56" s="250"/>
      <c r="O56" s="250"/>
      <c r="P56" s="250"/>
      <c r="Q56" s="250"/>
      <c r="R56" s="250"/>
      <c r="S56" s="250"/>
      <c r="T56" s="250"/>
      <c r="U56" s="250"/>
      <c r="V56" s="250"/>
      <c r="W56" s="211" t="e">
        <f>'Secondary cum Calculation'!W141</f>
        <v>#DIV/0!</v>
      </c>
      <c r="X56" s="211" t="e">
        <f>'Secondary cum Calculation'!X141</f>
        <v>#DIV/0!</v>
      </c>
    </row>
    <row r="57" spans="1:31">
      <c r="A57" s="200" t="str">
        <f>'Secondary cum Calculation'!A164</f>
        <v>Poland</v>
      </c>
      <c r="B57" s="201" t="str">
        <f>'Secondary cum Calculation'!B164</f>
        <v>Tourism Flows</v>
      </c>
      <c r="C57" s="200" t="str">
        <f>'Secondary cum Calculation'!C164</f>
        <v>Number of Domestic Trips by Purpose of Visit</v>
      </c>
      <c r="D57" s="202"/>
      <c r="E57" s="202"/>
      <c r="F57" s="202" t="str">
        <f>'Secondary cum Calculation'!F164</f>
        <v>The total number of domestic tourists, segmented by the purpose of the visit.</v>
      </c>
      <c r="G57" s="202" t="str">
        <f>'Secondary cum Calculation'!G164</f>
        <v>Tourism Demand &amp; Flows Database</v>
      </c>
      <c r="H57" s="202" t="str">
        <f>'Secondary cum Calculation'!H164</f>
        <v>Exists</v>
      </c>
      <c r="I57" s="202">
        <f>'Secondary cum Calculation'!I164</f>
        <v>0</v>
      </c>
      <c r="J57" s="202" t="str">
        <f>'Secondary cum Calculation'!J164</f>
        <v>Thousand</v>
      </c>
      <c r="K57" s="203">
        <f>'Secondary cum Calculation'!K164</f>
        <v>2004500</v>
      </c>
      <c r="L57" s="242">
        <f>'Secondary cum Calculation'!L164</f>
        <v>34900.000000000007</v>
      </c>
      <c r="M57" s="242">
        <f>'Secondary cum Calculation'!M164</f>
        <v>34900.000000000007</v>
      </c>
      <c r="N57" s="242">
        <f>'Secondary cum Calculation'!N164</f>
        <v>30800</v>
      </c>
      <c r="O57" s="242">
        <f>'Secondary cum Calculation'!O164</f>
        <v>33900</v>
      </c>
      <c r="P57" s="242">
        <f>'Secondary cum Calculation'!P164</f>
        <v>29600</v>
      </c>
      <c r="Q57" s="242">
        <f>Forecasting!Q150</f>
        <v>28594.674532264191</v>
      </c>
      <c r="R57" s="242">
        <f>Forecasting!R150</f>
        <v>29114.168216573518</v>
      </c>
      <c r="S57" s="242">
        <f>Forecasting!S150</f>
        <v>29535.363141199603</v>
      </c>
      <c r="T57" s="242">
        <f>Forecasting!T150</f>
        <v>30139.856928566503</v>
      </c>
      <c r="U57" s="242">
        <f>Forecasting!U150</f>
        <v>30799.53039068119</v>
      </c>
      <c r="V57" s="242">
        <f>Forecasting!V150</f>
        <v>31530.697459423951</v>
      </c>
      <c r="W57" s="245">
        <f>'Secondary cum Calculation'!W164</f>
        <v>-4.8596088299126095E-2</v>
      </c>
      <c r="X57" s="245">
        <f>'Secondary cum Calculation'!X164</f>
        <v>1.9740537256371926E-2</v>
      </c>
      <c r="AD57" s="7">
        <v>4</v>
      </c>
      <c r="AE57" s="7" t="s">
        <v>1354</v>
      </c>
    </row>
    <row r="58" spans="1:31">
      <c r="A58" s="6" t="str">
        <f>'Secondary cum Calculation'!A166</f>
        <v>Poland</v>
      </c>
      <c r="B58" s="119" t="str">
        <f>'Secondary cum Calculation'!B166</f>
        <v>Tourism Flows</v>
      </c>
      <c r="C58" s="119" t="str">
        <f>'Secondary cum Calculation'!C166</f>
        <v>Number of Domestic Tourists by Purpose of Visit</v>
      </c>
      <c r="D58" s="6" t="str">
        <f>'Secondary cum Calculation'!D166</f>
        <v>Business</v>
      </c>
      <c r="F58" s="7" t="str">
        <f>'Secondary cum Calculation'!F166</f>
        <v>The number of domestic tourists who are engaging in travel &amp; tourism activities on behalf of their business or employer.</v>
      </c>
      <c r="G58" s="7" t="str">
        <f>'Secondary cum Calculation'!G166</f>
        <v>Tourism Demand &amp; Flows Database</v>
      </c>
      <c r="H58" s="7" t="str">
        <f>'Secondary cum Calculation'!H166</f>
        <v>Exists</v>
      </c>
      <c r="I58" s="7" t="str">
        <f>'Secondary cum Calculation'!I166</f>
        <v>UNWTO</v>
      </c>
      <c r="J58" s="7" t="str">
        <f>'Secondary cum Calculation'!J166</f>
        <v>Thousand</v>
      </c>
      <c r="K58" s="8">
        <f>'Secondary cum Calculation'!K166</f>
        <v>494300</v>
      </c>
      <c r="L58" s="251">
        <f>'Secondary cum Calculation'!L166</f>
        <v>3839.0000000000009</v>
      </c>
      <c r="M58" s="251">
        <f>'Secondary cum Calculation'!M166</f>
        <v>3965.0000000000005</v>
      </c>
      <c r="N58" s="251">
        <f>'Secondary cum Calculation'!N166</f>
        <v>3555.9999999999995</v>
      </c>
      <c r="O58" s="251">
        <f>'Secondary cum Calculation'!O166</f>
        <v>3794</v>
      </c>
      <c r="P58" s="251">
        <f>'Secondary cum Calculation'!P166</f>
        <v>3356.7711490508509</v>
      </c>
      <c r="Q58" s="251">
        <f>Forecasting!Q152</f>
        <v>3220.4389030282437</v>
      </c>
      <c r="R58" s="250">
        <f>Forecasting!R152</f>
        <v>3284.8915939641615</v>
      </c>
      <c r="S58" s="250">
        <f>Forecasting!S152</f>
        <v>3322.8556023824449</v>
      </c>
      <c r="T58" s="250">
        <f>Forecasting!T152</f>
        <v>3383.764913429025</v>
      </c>
      <c r="U58" s="250">
        <f>Forecasting!U152</f>
        <v>3438.7086960077922</v>
      </c>
      <c r="V58" s="250">
        <f>Forecasting!V152</f>
        <v>3515.7527413635376</v>
      </c>
      <c r="W58" s="211">
        <f>'Secondary cum Calculation'!W166</f>
        <v>-5.0668332521499493E-2</v>
      </c>
      <c r="X58" s="211">
        <f>'Secondary cum Calculation'!X166</f>
        <v>1.7702056136942534E-2</v>
      </c>
      <c r="Y58" s="371" t="s">
        <v>1129</v>
      </c>
      <c r="AD58" s="7">
        <v>4</v>
      </c>
      <c r="AE58" s="7" t="s">
        <v>1385</v>
      </c>
    </row>
    <row r="59" spans="1:31">
      <c r="A59" s="6" t="str">
        <f>'Secondary cum Calculation'!A168</f>
        <v>Poland</v>
      </c>
      <c r="B59" s="119" t="str">
        <f>'Secondary cum Calculation'!B168</f>
        <v>Tourism Flows</v>
      </c>
      <c r="C59" s="119" t="str">
        <f>'Secondary cum Calculation'!C168</f>
        <v>Number of Domestic Tourists by Purpose of Visit</v>
      </c>
      <c r="D59" s="6" t="str">
        <f>'Secondary cum Calculation'!D168</f>
        <v>Leisure</v>
      </c>
      <c r="F59" s="7" t="str">
        <f>'Secondary cum Calculation'!F168</f>
        <v>The number of domestic tourists who are engaging in travel &amp; tourism activities for personal reasons related to leisure.</v>
      </c>
      <c r="G59" s="7" t="str">
        <f>'Secondary cum Calculation'!G168</f>
        <v>Tourism Demand &amp; Flows Database</v>
      </c>
      <c r="H59" s="7" t="str">
        <f>'Secondary cum Calculation'!H168</f>
        <v>Exists</v>
      </c>
      <c r="I59" s="7" t="str">
        <f>'Secondary cum Calculation'!I168</f>
        <v>UNWTO</v>
      </c>
      <c r="J59" s="7" t="str">
        <f>'Secondary cum Calculation'!J168</f>
        <v>Thousand</v>
      </c>
      <c r="K59" s="8" t="e">
        <f>'Secondary cum Calculation'!K168</f>
        <v>#DIV/0!</v>
      </c>
      <c r="L59" s="251">
        <f>'Secondary cum Calculation'!L168</f>
        <v>27920.000000000007</v>
      </c>
      <c r="M59" s="251">
        <f>'Secondary cum Calculation'!M168</f>
        <v>28555.000000000007</v>
      </c>
      <c r="N59" s="251">
        <f>'Secondary cum Calculation'!N168</f>
        <v>25438</v>
      </c>
      <c r="O59" s="251">
        <f>'Secondary cum Calculation'!O168</f>
        <v>28000</v>
      </c>
      <c r="P59" s="251">
        <f>'Secondary cum Calculation'!P168</f>
        <v>24500.702984863146</v>
      </c>
      <c r="Q59" s="251">
        <f>Forecasting!Q154</f>
        <v>23790.046899990954</v>
      </c>
      <c r="R59" s="250">
        <f>Forecasting!R154</f>
        <v>24232.38741230431</v>
      </c>
      <c r="S59" s="250">
        <f>Forecasting!S154</f>
        <v>24606.751358298268</v>
      </c>
      <c r="T59" s="250">
        <f>Forecasting!T154</f>
        <v>25126.667211865977</v>
      </c>
      <c r="U59" s="250">
        <f>Forecasting!U154</f>
        <v>25713.386667194212</v>
      </c>
      <c r="V59" s="250">
        <f>Forecasting!V154</f>
        <v>26345.486294386741</v>
      </c>
      <c r="W59" s="211">
        <f>'Secondary cum Calculation'!W168</f>
        <v>-4.4615296854443875E-2</v>
      </c>
      <c r="X59" s="211">
        <f>'Secondary cum Calculation'!X168</f>
        <v>2.0615557781778815E-2</v>
      </c>
      <c r="Y59" s="371" t="s">
        <v>1129</v>
      </c>
      <c r="AD59" s="7">
        <v>4</v>
      </c>
      <c r="AE59" s="7" t="s">
        <v>1385</v>
      </c>
    </row>
    <row r="60" spans="1:31">
      <c r="A60" s="6" t="str">
        <f>'Secondary cum Calculation'!A170</f>
        <v>Poland</v>
      </c>
      <c r="B60" s="119" t="str">
        <f>'Secondary cum Calculation'!B170</f>
        <v>Tourism Flows</v>
      </c>
      <c r="C60" s="119" t="str">
        <f>'Secondary cum Calculation'!C170</f>
        <v>Number of Domestic Tourists by Purpose of Visit</v>
      </c>
      <c r="D60" s="6" t="str">
        <f>'Secondary cum Calculation'!D170</f>
        <v>Other Personal</v>
      </c>
      <c r="E60" s="6"/>
      <c r="F60" s="7" t="str">
        <f>'Secondary cum Calculation'!F170</f>
        <v>The number of domestic tourists who are engaging in travel &amp; tourism activities for non-business or non-leisure related personal reasons, including for the purpose of pilgrimage, health and medical, education and training, transit, volunteer work (not included elsewhere), investigative work and migration possibilities, and the undertaking any other temporary non-remunerated activities not included elsewhere.</v>
      </c>
      <c r="G60" s="7" t="str">
        <f>'Secondary cum Calculation'!G170</f>
        <v>Tourism Demand &amp; Flows Database</v>
      </c>
      <c r="H60" s="7" t="str">
        <f>'Secondary cum Calculation'!H170</f>
        <v>Exists</v>
      </c>
      <c r="I60" s="7" t="str">
        <f>'Secondary cum Calculation'!I170</f>
        <v>UNWTO</v>
      </c>
      <c r="J60" s="7" t="str">
        <f>'Secondary cum Calculation'!J170</f>
        <v>Thousand</v>
      </c>
      <c r="K60" s="8" t="e">
        <f>'Secondary cum Calculation'!K170</f>
        <v>#DIV/0!</v>
      </c>
      <c r="L60" s="251">
        <f>'Secondary cum Calculation'!L170</f>
        <v>3140.9999999999995</v>
      </c>
      <c r="M60" s="251">
        <f>'Secondary cum Calculation'!M170</f>
        <v>2380.0000000000005</v>
      </c>
      <c r="N60" s="251">
        <f>'Secondary cum Calculation'!N170</f>
        <v>1805.9999999999989</v>
      </c>
      <c r="O60" s="251">
        <f>'Secondary cum Calculation'!O170</f>
        <v>2105.9999999999986</v>
      </c>
      <c r="P60" s="251">
        <f>'Secondary cum Calculation'!P170</f>
        <v>1742.5258660860059</v>
      </c>
      <c r="Q60" s="251">
        <f>Forecasting!Q156</f>
        <v>1584.1887292449933</v>
      </c>
      <c r="R60" s="250">
        <f>Forecasting!R156</f>
        <v>1596.8892103050491</v>
      </c>
      <c r="S60" s="250">
        <f>Forecasting!S156</f>
        <v>1605.7561805188886</v>
      </c>
      <c r="T60" s="250">
        <f>Forecasting!T156</f>
        <v>1629.4248032715009</v>
      </c>
      <c r="U60" s="250">
        <f>Forecasting!U156</f>
        <v>1647.4350274791877</v>
      </c>
      <c r="V60" s="250">
        <f>Forecasting!V156</f>
        <v>1669.4584236736732</v>
      </c>
      <c r="W60" s="211">
        <f>'Secondary cum Calculation'!W170</f>
        <v>-9.6750997711433917E-2</v>
      </c>
      <c r="X60" s="211">
        <f>'Secondary cum Calculation'!X170</f>
        <v>1.0540532731523999E-2</v>
      </c>
      <c r="Y60" s="372"/>
      <c r="AD60" s="7">
        <v>4</v>
      </c>
      <c r="AE60" s="7" t="s">
        <v>1385</v>
      </c>
    </row>
    <row r="61" spans="1:31">
      <c r="A61" s="200" t="str">
        <f>'Secondary cum Calculation'!A177</f>
        <v>Poland</v>
      </c>
      <c r="B61" s="201" t="str">
        <f>'Secondary cum Calculation'!B177</f>
        <v>Tourism Flows</v>
      </c>
      <c r="C61" s="200" t="str">
        <f>'Secondary cum Calculation'!C177</f>
        <v>International Arrivals by Place of Origin</v>
      </c>
      <c r="D61" s="202"/>
      <c r="E61" s="202"/>
      <c r="F61" s="202" t="str">
        <f>'Secondary cum Calculation'!F177</f>
        <v>The number of international arrivals to a country, segmented by their region and/or country of origin</v>
      </c>
      <c r="G61" s="202" t="str">
        <f>'Secondary cum Calculation'!G177</f>
        <v>Tourism Demand &amp; Flows Database</v>
      </c>
      <c r="H61" s="202" t="str">
        <f>'Secondary cum Calculation'!H177</f>
        <v>N/A</v>
      </c>
      <c r="I61" s="202">
        <f>'Secondary cum Calculation'!I177</f>
        <v>0</v>
      </c>
      <c r="J61" s="202" t="str">
        <f>'Secondary cum Calculation'!J177</f>
        <v>Thousand</v>
      </c>
      <c r="K61" s="212">
        <f>'Secondary cum Calculation'!K177</f>
        <v>0</v>
      </c>
      <c r="L61" s="256">
        <f>'Secondary cum Calculation'!L177</f>
        <v>14975.131262212246</v>
      </c>
      <c r="M61" s="256">
        <f>'Secondary cum Calculation'!M177</f>
        <v>12959.850226300863</v>
      </c>
      <c r="N61" s="256">
        <f>'Secondary cum Calculation'!N177</f>
        <v>11890</v>
      </c>
      <c r="O61" s="256">
        <f>'Secondary cum Calculation'!O177</f>
        <v>12470</v>
      </c>
      <c r="P61" s="256">
        <f>'Secondary cum Calculation'!P177</f>
        <v>13350</v>
      </c>
      <c r="Q61" s="256">
        <f>Forecasting!Q163</f>
        <v>14840.000000000002</v>
      </c>
      <c r="R61" s="256">
        <f>Forecasting!R163</f>
        <v>15491.394687244565</v>
      </c>
      <c r="S61" s="256">
        <f>Forecasting!S163</f>
        <v>16075.885905664962</v>
      </c>
      <c r="T61" s="256">
        <f>Forecasting!T163</f>
        <v>16743.512843757366</v>
      </c>
      <c r="U61" s="256">
        <f>Forecasting!U163</f>
        <v>17530.93536460535</v>
      </c>
      <c r="V61" s="256">
        <f>Forecasting!V163</f>
        <v>18417.93995094355</v>
      </c>
      <c r="W61" s="241">
        <f>'Secondary cum Calculation'!W177</f>
        <v>3.4447560113938902E-2</v>
      </c>
      <c r="X61" s="241">
        <f>'Secondary cum Calculation'!X177</f>
        <v>4.4146483873642506E-2</v>
      </c>
      <c r="Y61" s="371" t="s">
        <v>1382</v>
      </c>
      <c r="AD61" s="7">
        <v>5</v>
      </c>
      <c r="AE61" s="7" t="s">
        <v>1383</v>
      </c>
    </row>
    <row r="62" spans="1:31">
      <c r="A62" s="213" t="str">
        <f>'Secondary cum Calculation'!A179</f>
        <v>Poland</v>
      </c>
      <c r="B62" s="214" t="str">
        <f>'Secondary cum Calculation'!B179</f>
        <v>Tourism Flows</v>
      </c>
      <c r="C62" s="214" t="str">
        <f>'Secondary cum Calculation'!C179</f>
        <v>International Arrivals by Place of Origin</v>
      </c>
      <c r="D62" s="213" t="str">
        <f>'Secondary cum Calculation'!D179</f>
        <v>Africa</v>
      </c>
      <c r="E62" s="215"/>
      <c r="F62" s="215" t="str">
        <f>'Secondary cum Calculation'!F179</f>
        <v>The number of international arrivals to a country originating from Africa</v>
      </c>
      <c r="G62" s="215" t="str">
        <f>'Secondary cum Calculation'!G179</f>
        <v>Tourism Demand &amp; Flows Database</v>
      </c>
      <c r="H62" s="215" t="str">
        <f>'Secondary cum Calculation'!H179</f>
        <v>New</v>
      </c>
      <c r="I62" s="215">
        <f>'Secondary cum Calculation'!I179</f>
        <v>0</v>
      </c>
      <c r="J62" s="215" t="str">
        <f>'Secondary cum Calculation'!J179</f>
        <v>Thousand</v>
      </c>
      <c r="K62" s="216">
        <f>'Secondary cum Calculation'!K179</f>
        <v>0</v>
      </c>
      <c r="L62" s="364">
        <f>'Secondary cum Calculation'!L179</f>
        <v>52.253451508886499</v>
      </c>
      <c r="M62" s="364">
        <f>'Secondary cum Calculation'!M179</f>
        <v>42.750283164627255</v>
      </c>
      <c r="N62" s="364">
        <f>'Secondary cum Calculation'!N179</f>
        <v>39.565883515656104</v>
      </c>
      <c r="O62" s="364">
        <f>'Secondary cum Calculation'!O179</f>
        <v>44.038197332752539</v>
      </c>
      <c r="P62" s="364">
        <f>'Secondary cum Calculation'!P179</f>
        <v>46.305151599135741</v>
      </c>
      <c r="Q62" s="364">
        <f>Forecasting!Q165</f>
        <v>54.452575819274571</v>
      </c>
      <c r="R62" s="253">
        <f>Forecasting!R165</f>
        <v>57.643282241106128</v>
      </c>
      <c r="S62" s="253">
        <f>Forecasting!S165</f>
        <v>60.729873221480887</v>
      </c>
      <c r="T62" s="253">
        <f>Forecasting!T165</f>
        <v>63.527399252827827</v>
      </c>
      <c r="U62" s="253">
        <f>Forecasting!U165</f>
        <v>67.172008960251631</v>
      </c>
      <c r="V62" s="253">
        <f>Forecasting!V165</f>
        <v>71.438310817389905</v>
      </c>
      <c r="W62" s="246">
        <f>'Secondary cum Calculation'!W179</f>
        <v>6.2355469466307545E-2</v>
      </c>
      <c r="X62" s="246">
        <f>'Secondary cum Calculation'!X179</f>
        <v>5.5802168632161697E-2</v>
      </c>
      <c r="Y62" s="371" t="s">
        <v>1345</v>
      </c>
      <c r="Z62" s="11"/>
      <c r="AA62" s="11"/>
      <c r="AB62" s="11"/>
      <c r="AC62" s="11"/>
      <c r="AD62" s="7">
        <v>2</v>
      </c>
    </row>
    <row r="63" spans="1:31">
      <c r="A63" s="6" t="str">
        <f>'Secondary cum Calculation'!A181</f>
        <v>Poland</v>
      </c>
      <c r="B63" s="119" t="str">
        <f>'Secondary cum Calculation'!B181</f>
        <v>Tourism Flows</v>
      </c>
      <c r="C63" s="119" t="str">
        <f>'Secondary cum Calculation'!C181</f>
        <v>International Arrivals by Place of Origin</v>
      </c>
      <c r="D63" s="119" t="str">
        <f>'Secondary cum Calculation'!D181</f>
        <v>Africa</v>
      </c>
      <c r="E63" s="6" t="str">
        <f>'Secondary cum Calculation'!E181</f>
        <v>Algeria</v>
      </c>
      <c r="F63" s="7" t="str">
        <f>'Secondary cum Calculation'!F181</f>
        <v>The number of international arrivals to a country originating from Algeria</v>
      </c>
      <c r="G63" s="7" t="str">
        <f>'Secondary cum Calculation'!G181</f>
        <v>Tourism Demand &amp; Flows Database</v>
      </c>
      <c r="H63" s="7" t="str">
        <f>'Secondary cum Calculation'!H181</f>
        <v>New</v>
      </c>
      <c r="I63" s="7">
        <f>'Secondary cum Calculation'!I181</f>
        <v>0</v>
      </c>
      <c r="J63" s="7" t="str">
        <f>'Secondary cum Calculation'!J181</f>
        <v>Thousand</v>
      </c>
      <c r="K63" s="8">
        <f>'Secondary cum Calculation'!K181</f>
        <v>0</v>
      </c>
      <c r="L63" s="218">
        <f>'Secondary cum Calculation'!L181</f>
        <v>0</v>
      </c>
      <c r="M63" s="218">
        <f>'Secondary cum Calculation'!M181</f>
        <v>0</v>
      </c>
      <c r="N63" s="218">
        <f>'Secondary cum Calculation'!N181</f>
        <v>0</v>
      </c>
      <c r="O63" s="218">
        <f>'Secondary cum Calculation'!O181</f>
        <v>0</v>
      </c>
      <c r="P63" s="218">
        <f>'Secondary cum Calculation'!P181</f>
        <v>0</v>
      </c>
      <c r="Q63" s="218">
        <f>'Secondary cum Calculation'!Q181</f>
        <v>0</v>
      </c>
      <c r="W63" s="211" t="e">
        <f>'Secondary cum Calculation'!W181</f>
        <v>#DIV/0!</v>
      </c>
      <c r="X63" s="211" t="e">
        <f>'Secondary cum Calculation'!X181</f>
        <v>#DIV/0!</v>
      </c>
      <c r="Y63" s="371"/>
    </row>
    <row r="64" spans="1:31">
      <c r="A64" s="6" t="str">
        <f>'Secondary cum Calculation'!A183</f>
        <v>Poland</v>
      </c>
      <c r="B64" s="119" t="str">
        <f>'Secondary cum Calculation'!B183</f>
        <v>Tourism Flows</v>
      </c>
      <c r="C64" s="119" t="str">
        <f>'Secondary cum Calculation'!C183</f>
        <v>International Arrivals by Place of Origin</v>
      </c>
      <c r="D64" s="119" t="str">
        <f>'Secondary cum Calculation'!D183</f>
        <v>Africa</v>
      </c>
      <c r="E64" s="6" t="str">
        <f>'Secondary cum Calculation'!E183</f>
        <v>Angola</v>
      </c>
      <c r="F64" s="7" t="str">
        <f>'Secondary cum Calculation'!F183</f>
        <v>The number of international arrivals to a country originating from Angola</v>
      </c>
      <c r="G64" s="7" t="str">
        <f>'Secondary cum Calculation'!G183</f>
        <v>Tourism Demand &amp; Flows Database</v>
      </c>
      <c r="H64" s="7" t="str">
        <f>'Secondary cum Calculation'!H183</f>
        <v>New</v>
      </c>
      <c r="I64" s="7">
        <f>'Secondary cum Calculation'!I183</f>
        <v>0</v>
      </c>
      <c r="J64" s="7" t="str">
        <f>'Secondary cum Calculation'!J183</f>
        <v>Thousand</v>
      </c>
      <c r="K64" s="8">
        <f>'Secondary cum Calculation'!K183</f>
        <v>0</v>
      </c>
      <c r="L64" s="218">
        <f>'Secondary cum Calculation'!L183</f>
        <v>0</v>
      </c>
      <c r="M64" s="218">
        <f>'Secondary cum Calculation'!M183</f>
        <v>0</v>
      </c>
      <c r="N64" s="218">
        <f>'Secondary cum Calculation'!N183</f>
        <v>0</v>
      </c>
      <c r="O64" s="218">
        <f>'Secondary cum Calculation'!O183</f>
        <v>0</v>
      </c>
      <c r="P64" s="218">
        <f>'Secondary cum Calculation'!P183</f>
        <v>0</v>
      </c>
      <c r="Q64" s="218">
        <f>'Secondary cum Calculation'!Q183</f>
        <v>0</v>
      </c>
      <c r="W64" s="211" t="e">
        <f>'Secondary cum Calculation'!W183</f>
        <v>#DIV/0!</v>
      </c>
      <c r="X64" s="211" t="e">
        <f>'Secondary cum Calculation'!X183</f>
        <v>#DIV/0!</v>
      </c>
    </row>
    <row r="65" spans="1:24">
      <c r="A65" s="6" t="str">
        <f>'Secondary cum Calculation'!A185</f>
        <v>Poland</v>
      </c>
      <c r="B65" s="119" t="str">
        <f>'Secondary cum Calculation'!B185</f>
        <v>Tourism Flows</v>
      </c>
      <c r="C65" s="119" t="str">
        <f>'Secondary cum Calculation'!C185</f>
        <v>International Arrivals by Place of Origin</v>
      </c>
      <c r="D65" s="119" t="str">
        <f>'Secondary cum Calculation'!D185</f>
        <v>Africa</v>
      </c>
      <c r="E65" s="6" t="str">
        <f>'Secondary cum Calculation'!E185</f>
        <v>Benin</v>
      </c>
      <c r="F65" s="7" t="str">
        <f>'Secondary cum Calculation'!F185</f>
        <v>The number of international arrivals to a country originating from Benin</v>
      </c>
      <c r="G65" s="7" t="str">
        <f>'Secondary cum Calculation'!G185</f>
        <v>Tourism Demand &amp; Flows Database</v>
      </c>
      <c r="H65" s="7" t="str">
        <f>'Secondary cum Calculation'!H185</f>
        <v>New</v>
      </c>
      <c r="I65" s="7">
        <f>'Secondary cum Calculation'!I185</f>
        <v>0</v>
      </c>
      <c r="J65" s="7" t="str">
        <f>'Secondary cum Calculation'!J185</f>
        <v>Thousand</v>
      </c>
      <c r="K65" s="8">
        <f>'Secondary cum Calculation'!K185</f>
        <v>0</v>
      </c>
      <c r="L65" s="218">
        <f>'Secondary cum Calculation'!L185</f>
        <v>0</v>
      </c>
      <c r="M65" s="218">
        <f>'Secondary cum Calculation'!M185</f>
        <v>0</v>
      </c>
      <c r="N65" s="218">
        <f>'Secondary cum Calculation'!N185</f>
        <v>0</v>
      </c>
      <c r="O65" s="218">
        <f>'Secondary cum Calculation'!O185</f>
        <v>0</v>
      </c>
      <c r="P65" s="218">
        <f>'Secondary cum Calculation'!P185</f>
        <v>0</v>
      </c>
      <c r="Q65" s="218">
        <f>'Secondary cum Calculation'!Q185</f>
        <v>0</v>
      </c>
      <c r="W65" s="211" t="e">
        <f>'Secondary cum Calculation'!W185</f>
        <v>#DIV/0!</v>
      </c>
      <c r="X65" s="211" t="e">
        <f>'Secondary cum Calculation'!X185</f>
        <v>#DIV/0!</v>
      </c>
    </row>
    <row r="66" spans="1:24">
      <c r="A66" s="6" t="str">
        <f>'Secondary cum Calculation'!A187</f>
        <v>Poland</v>
      </c>
      <c r="B66" s="119" t="str">
        <f>'Secondary cum Calculation'!B187</f>
        <v>Tourism Flows</v>
      </c>
      <c r="C66" s="119" t="str">
        <f>'Secondary cum Calculation'!C187</f>
        <v>International Arrivals by Place of Origin</v>
      </c>
      <c r="D66" s="119" t="str">
        <f>'Secondary cum Calculation'!D187</f>
        <v>Africa</v>
      </c>
      <c r="E66" s="6" t="str">
        <f>'Secondary cum Calculation'!E187</f>
        <v>Botswana</v>
      </c>
      <c r="F66" s="7" t="str">
        <f>'Secondary cum Calculation'!F187</f>
        <v>The number of international arrivals to a country originating from Botswana</v>
      </c>
      <c r="G66" s="7" t="str">
        <f>'Secondary cum Calculation'!G187</f>
        <v>Tourism Demand &amp; Flows Database</v>
      </c>
      <c r="H66" s="7" t="str">
        <f>'Secondary cum Calculation'!H187</f>
        <v>New</v>
      </c>
      <c r="I66" s="7">
        <f>'Secondary cum Calculation'!I187</f>
        <v>0</v>
      </c>
      <c r="J66" s="7" t="str">
        <f>'Secondary cum Calculation'!J187</f>
        <v>Thousand</v>
      </c>
      <c r="K66" s="8">
        <f>'Secondary cum Calculation'!K187</f>
        <v>0</v>
      </c>
      <c r="L66" s="218">
        <f>'Secondary cum Calculation'!L187</f>
        <v>0</v>
      </c>
      <c r="M66" s="218">
        <f>'Secondary cum Calculation'!M187</f>
        <v>0</v>
      </c>
      <c r="N66" s="218">
        <f>'Secondary cum Calculation'!N187</f>
        <v>0</v>
      </c>
      <c r="O66" s="218">
        <f>'Secondary cum Calculation'!O187</f>
        <v>0</v>
      </c>
      <c r="P66" s="218">
        <f>'Secondary cum Calculation'!P187</f>
        <v>0</v>
      </c>
      <c r="Q66" s="218">
        <f>'Secondary cum Calculation'!Q187</f>
        <v>0</v>
      </c>
      <c r="W66" s="211" t="e">
        <f>'Secondary cum Calculation'!W187</f>
        <v>#DIV/0!</v>
      </c>
      <c r="X66" s="211" t="e">
        <f>'Secondary cum Calculation'!X187</f>
        <v>#DIV/0!</v>
      </c>
    </row>
    <row r="67" spans="1:24">
      <c r="A67" s="6" t="str">
        <f>'Secondary cum Calculation'!A189</f>
        <v>Poland</v>
      </c>
      <c r="B67" s="119" t="str">
        <f>'Secondary cum Calculation'!B189</f>
        <v>Tourism Flows</v>
      </c>
      <c r="C67" s="119" t="str">
        <f>'Secondary cum Calculation'!C189</f>
        <v>International Arrivals by Place of Origin</v>
      </c>
      <c r="D67" s="119" t="str">
        <f>'Secondary cum Calculation'!D189</f>
        <v>Africa</v>
      </c>
      <c r="E67" s="6" t="str">
        <f>'Secondary cum Calculation'!E189</f>
        <v>Burkina Faso</v>
      </c>
      <c r="F67" s="7" t="str">
        <f>'Secondary cum Calculation'!F189</f>
        <v>The number of international arrivals to a country originating from Burkina Faso</v>
      </c>
      <c r="G67" s="7" t="str">
        <f>'Secondary cum Calculation'!G189</f>
        <v>Tourism Demand &amp; Flows Database</v>
      </c>
      <c r="H67" s="7" t="str">
        <f>'Secondary cum Calculation'!H189</f>
        <v>New</v>
      </c>
      <c r="I67" s="7">
        <f>'Secondary cum Calculation'!I189</f>
        <v>0</v>
      </c>
      <c r="J67" s="7" t="str">
        <f>'Secondary cum Calculation'!J189</f>
        <v>Thousand</v>
      </c>
      <c r="K67" s="8">
        <f>'Secondary cum Calculation'!K189</f>
        <v>0</v>
      </c>
      <c r="L67" s="218">
        <f>'Secondary cum Calculation'!L189</f>
        <v>0</v>
      </c>
      <c r="M67" s="218">
        <f>'Secondary cum Calculation'!M189</f>
        <v>0</v>
      </c>
      <c r="N67" s="218">
        <f>'Secondary cum Calculation'!N189</f>
        <v>0</v>
      </c>
      <c r="O67" s="218">
        <f>'Secondary cum Calculation'!O189</f>
        <v>0</v>
      </c>
      <c r="P67" s="218">
        <f>'Secondary cum Calculation'!P189</f>
        <v>0</v>
      </c>
      <c r="Q67" s="218">
        <f>'Secondary cum Calculation'!Q189</f>
        <v>0</v>
      </c>
      <c r="W67" s="211" t="e">
        <f>'Secondary cum Calculation'!W189</f>
        <v>#DIV/0!</v>
      </c>
      <c r="X67" s="211" t="e">
        <f>'Secondary cum Calculation'!X189</f>
        <v>#DIV/0!</v>
      </c>
    </row>
    <row r="68" spans="1:24">
      <c r="A68" s="6" t="str">
        <f>'Secondary cum Calculation'!A191</f>
        <v>Poland</v>
      </c>
      <c r="B68" s="119" t="str">
        <f>'Secondary cum Calculation'!B191</f>
        <v>Tourism Flows</v>
      </c>
      <c r="C68" s="119" t="str">
        <f>'Secondary cum Calculation'!C191</f>
        <v>International Arrivals by Place of Origin</v>
      </c>
      <c r="D68" s="119" t="str">
        <f>'Secondary cum Calculation'!D191</f>
        <v>Africa</v>
      </c>
      <c r="E68" s="6" t="str">
        <f>'Secondary cum Calculation'!E191</f>
        <v>Burundi</v>
      </c>
      <c r="F68" s="7" t="str">
        <f>'Secondary cum Calculation'!F191</f>
        <v>The number of international arrivals to a country originating from Burundi</v>
      </c>
      <c r="G68" s="7" t="str">
        <f>'Secondary cum Calculation'!G191</f>
        <v>Tourism Demand &amp; Flows Database</v>
      </c>
      <c r="H68" s="7" t="str">
        <f>'Secondary cum Calculation'!H191</f>
        <v>New</v>
      </c>
      <c r="I68" s="7">
        <f>'Secondary cum Calculation'!I191</f>
        <v>0</v>
      </c>
      <c r="J68" s="7" t="str">
        <f>'Secondary cum Calculation'!J191</f>
        <v>Thousand</v>
      </c>
      <c r="K68" s="8">
        <f>'Secondary cum Calculation'!K191</f>
        <v>0</v>
      </c>
      <c r="L68" s="218">
        <f>'Secondary cum Calculation'!L191</f>
        <v>0</v>
      </c>
      <c r="M68" s="218">
        <f>'Secondary cum Calculation'!M191</f>
        <v>0</v>
      </c>
      <c r="N68" s="218">
        <f>'Secondary cum Calculation'!N191</f>
        <v>0</v>
      </c>
      <c r="O68" s="218">
        <f>'Secondary cum Calculation'!O191</f>
        <v>0</v>
      </c>
      <c r="P68" s="218">
        <f>'Secondary cum Calculation'!P191</f>
        <v>0</v>
      </c>
      <c r="Q68" s="218">
        <f>'Secondary cum Calculation'!Q191</f>
        <v>0</v>
      </c>
      <c r="W68" s="211" t="e">
        <f>'Secondary cum Calculation'!W191</f>
        <v>#DIV/0!</v>
      </c>
      <c r="X68" s="211" t="e">
        <f>'Secondary cum Calculation'!X191</f>
        <v>#DIV/0!</v>
      </c>
    </row>
    <row r="69" spans="1:24">
      <c r="A69" s="6" t="str">
        <f>'Secondary cum Calculation'!A193</f>
        <v>Poland</v>
      </c>
      <c r="B69" s="119" t="str">
        <f>'Secondary cum Calculation'!B193</f>
        <v>Tourism Flows</v>
      </c>
      <c r="C69" s="119" t="str">
        <f>'Secondary cum Calculation'!C193</f>
        <v>International Arrivals by Place of Origin</v>
      </c>
      <c r="D69" s="119" t="str">
        <f>'Secondary cum Calculation'!D193</f>
        <v>Africa</v>
      </c>
      <c r="E69" s="6" t="str">
        <f>'Secondary cum Calculation'!E193</f>
        <v>Cameroon</v>
      </c>
      <c r="F69" s="7" t="str">
        <f>'Secondary cum Calculation'!F193</f>
        <v>The number of international arrivals to a country originating from Cameroon</v>
      </c>
      <c r="G69" s="7" t="str">
        <f>'Secondary cum Calculation'!G193</f>
        <v>Tourism Demand &amp; Flows Database</v>
      </c>
      <c r="H69" s="7" t="str">
        <f>'Secondary cum Calculation'!H193</f>
        <v>New</v>
      </c>
      <c r="I69" s="7">
        <f>'Secondary cum Calculation'!I193</f>
        <v>0</v>
      </c>
      <c r="J69" s="7" t="str">
        <f>'Secondary cum Calculation'!J193</f>
        <v>Thousand</v>
      </c>
      <c r="K69" s="8">
        <f>'Secondary cum Calculation'!K193</f>
        <v>0</v>
      </c>
      <c r="L69" s="218">
        <f>'Secondary cum Calculation'!L193</f>
        <v>0</v>
      </c>
      <c r="M69" s="218">
        <f>'Secondary cum Calculation'!M193</f>
        <v>0</v>
      </c>
      <c r="N69" s="218">
        <f>'Secondary cum Calculation'!N193</f>
        <v>0</v>
      </c>
      <c r="O69" s="218">
        <f>'Secondary cum Calculation'!O193</f>
        <v>0</v>
      </c>
      <c r="P69" s="218">
        <f>'Secondary cum Calculation'!P193</f>
        <v>0</v>
      </c>
      <c r="Q69" s="218">
        <f>'Secondary cum Calculation'!Q193</f>
        <v>0</v>
      </c>
      <c r="W69" s="211" t="e">
        <f>'Secondary cum Calculation'!W193</f>
        <v>#DIV/0!</v>
      </c>
      <c r="X69" s="211" t="e">
        <f>'Secondary cum Calculation'!X193</f>
        <v>#DIV/0!</v>
      </c>
    </row>
    <row r="70" spans="1:24">
      <c r="A70" s="6" t="str">
        <f>'Secondary cum Calculation'!A195</f>
        <v>Poland</v>
      </c>
      <c r="B70" s="119" t="str">
        <f>'Secondary cum Calculation'!B195</f>
        <v>Tourism Flows</v>
      </c>
      <c r="C70" s="119" t="str">
        <f>'Secondary cum Calculation'!C195</f>
        <v>International Arrivals by Place of Origin</v>
      </c>
      <c r="D70" s="119" t="str">
        <f>'Secondary cum Calculation'!D195</f>
        <v>Africa</v>
      </c>
      <c r="E70" s="6" t="str">
        <f>'Secondary cum Calculation'!E195</f>
        <v>Cape Verde</v>
      </c>
      <c r="F70" s="7" t="str">
        <f>'Secondary cum Calculation'!F195</f>
        <v>The number of international arrivals to a country originating from Cape Verde</v>
      </c>
      <c r="G70" s="7" t="str">
        <f>'Secondary cum Calculation'!G195</f>
        <v>Tourism Demand &amp; Flows Database</v>
      </c>
      <c r="H70" s="7" t="str">
        <f>'Secondary cum Calculation'!H195</f>
        <v>New</v>
      </c>
      <c r="I70" s="7">
        <f>'Secondary cum Calculation'!I195</f>
        <v>0</v>
      </c>
      <c r="J70" s="7" t="str">
        <f>'Secondary cum Calculation'!J195</f>
        <v>Thousand</v>
      </c>
      <c r="K70" s="8">
        <f>'Secondary cum Calculation'!K195</f>
        <v>0</v>
      </c>
      <c r="L70" s="218">
        <f>'Secondary cum Calculation'!L195</f>
        <v>0</v>
      </c>
      <c r="M70" s="218">
        <f>'Secondary cum Calculation'!M195</f>
        <v>0</v>
      </c>
      <c r="N70" s="218">
        <f>'Secondary cum Calculation'!N195</f>
        <v>0</v>
      </c>
      <c r="O70" s="218">
        <f>'Secondary cum Calculation'!O195</f>
        <v>0</v>
      </c>
      <c r="P70" s="218">
        <f>'Secondary cum Calculation'!P195</f>
        <v>0</v>
      </c>
      <c r="Q70" s="218">
        <f>'Secondary cum Calculation'!Q195</f>
        <v>0</v>
      </c>
      <c r="W70" s="211" t="e">
        <f>'Secondary cum Calculation'!W195</f>
        <v>#DIV/0!</v>
      </c>
      <c r="X70" s="211" t="e">
        <f>'Secondary cum Calculation'!X195</f>
        <v>#DIV/0!</v>
      </c>
    </row>
    <row r="71" spans="1:24">
      <c r="A71" s="6" t="str">
        <f>'Secondary cum Calculation'!A197</f>
        <v>Poland</v>
      </c>
      <c r="B71" s="119" t="str">
        <f>'Secondary cum Calculation'!B197</f>
        <v>Tourism Flows</v>
      </c>
      <c r="C71" s="119" t="str">
        <f>'Secondary cum Calculation'!C197</f>
        <v>International Arrivals by Place of Origin</v>
      </c>
      <c r="D71" s="119" t="str">
        <f>'Secondary cum Calculation'!D197</f>
        <v>Africa</v>
      </c>
      <c r="E71" s="6" t="str">
        <f>'Secondary cum Calculation'!E197</f>
        <v>Central African Republic</v>
      </c>
      <c r="F71" s="7" t="str">
        <f>'Secondary cum Calculation'!F197</f>
        <v>The number of international arrivals to a country originating from Central African Republic</v>
      </c>
      <c r="G71" s="7" t="str">
        <f>'Secondary cum Calculation'!G197</f>
        <v>Tourism Demand &amp; Flows Database</v>
      </c>
      <c r="H71" s="7" t="str">
        <f>'Secondary cum Calculation'!H197</f>
        <v>New</v>
      </c>
      <c r="I71" s="7">
        <f>'Secondary cum Calculation'!I197</f>
        <v>0</v>
      </c>
      <c r="J71" s="7" t="str">
        <f>'Secondary cum Calculation'!J197</f>
        <v>Thousand</v>
      </c>
      <c r="K71" s="8">
        <f>'Secondary cum Calculation'!K197</f>
        <v>0</v>
      </c>
      <c r="L71" s="218">
        <f>'Secondary cum Calculation'!L197</f>
        <v>0</v>
      </c>
      <c r="M71" s="218">
        <f>'Secondary cum Calculation'!M197</f>
        <v>0</v>
      </c>
      <c r="N71" s="218">
        <f>'Secondary cum Calculation'!N197</f>
        <v>0</v>
      </c>
      <c r="O71" s="218">
        <f>'Secondary cum Calculation'!O197</f>
        <v>0</v>
      </c>
      <c r="P71" s="218">
        <f>'Secondary cum Calculation'!P197</f>
        <v>0</v>
      </c>
      <c r="Q71" s="218">
        <f>'Secondary cum Calculation'!Q197</f>
        <v>0</v>
      </c>
      <c r="W71" s="211" t="e">
        <f>'Secondary cum Calculation'!W197</f>
        <v>#DIV/0!</v>
      </c>
      <c r="X71" s="211" t="e">
        <f>'Secondary cum Calculation'!X197</f>
        <v>#DIV/0!</v>
      </c>
    </row>
    <row r="72" spans="1:24">
      <c r="A72" s="6" t="str">
        <f>'Secondary cum Calculation'!A199</f>
        <v>Poland</v>
      </c>
      <c r="B72" s="119" t="str">
        <f>'Secondary cum Calculation'!B199</f>
        <v>Tourism Flows</v>
      </c>
      <c r="C72" s="119" t="str">
        <f>'Secondary cum Calculation'!C199</f>
        <v>International Arrivals by Place of Origin</v>
      </c>
      <c r="D72" s="119" t="str">
        <f>'Secondary cum Calculation'!D199</f>
        <v>Africa</v>
      </c>
      <c r="E72" s="6" t="str">
        <f>'Secondary cum Calculation'!E199</f>
        <v>Chad</v>
      </c>
      <c r="F72" s="7" t="str">
        <f>'Secondary cum Calculation'!F199</f>
        <v>The number of international arrivals to a country originating from Chad</v>
      </c>
      <c r="G72" s="7" t="str">
        <f>'Secondary cum Calculation'!G199</f>
        <v>Tourism Demand &amp; Flows Database</v>
      </c>
      <c r="H72" s="7" t="str">
        <f>'Secondary cum Calculation'!H199</f>
        <v>New</v>
      </c>
      <c r="I72" s="7">
        <f>'Secondary cum Calculation'!I199</f>
        <v>0</v>
      </c>
      <c r="J72" s="7" t="str">
        <f>'Secondary cum Calculation'!J199</f>
        <v>Thousand</v>
      </c>
      <c r="K72" s="8">
        <f>'Secondary cum Calculation'!K199</f>
        <v>0</v>
      </c>
      <c r="L72" s="218">
        <f>'Secondary cum Calculation'!L199</f>
        <v>0</v>
      </c>
      <c r="M72" s="218">
        <f>'Secondary cum Calculation'!M199</f>
        <v>0</v>
      </c>
      <c r="N72" s="218">
        <f>'Secondary cum Calculation'!N199</f>
        <v>0</v>
      </c>
      <c r="O72" s="218">
        <f>'Secondary cum Calculation'!O199</f>
        <v>0</v>
      </c>
      <c r="P72" s="218">
        <f>'Secondary cum Calculation'!P199</f>
        <v>0</v>
      </c>
      <c r="Q72" s="218">
        <f>'Secondary cum Calculation'!Q199</f>
        <v>0</v>
      </c>
      <c r="W72" s="211" t="e">
        <f>'Secondary cum Calculation'!W199</f>
        <v>#DIV/0!</v>
      </c>
      <c r="X72" s="211" t="e">
        <f>'Secondary cum Calculation'!X199</f>
        <v>#DIV/0!</v>
      </c>
    </row>
    <row r="73" spans="1:24">
      <c r="A73" s="6" t="str">
        <f>'Secondary cum Calculation'!A201</f>
        <v>Poland</v>
      </c>
      <c r="B73" s="119" t="str">
        <f>'Secondary cum Calculation'!B201</f>
        <v>Tourism Flows</v>
      </c>
      <c r="C73" s="119" t="str">
        <f>'Secondary cum Calculation'!C201</f>
        <v>International Arrivals by Place of Origin</v>
      </c>
      <c r="D73" s="119" t="str">
        <f>'Secondary cum Calculation'!D201</f>
        <v>Africa</v>
      </c>
      <c r="E73" s="6" t="str">
        <f>'Secondary cum Calculation'!E201</f>
        <v>Comoros</v>
      </c>
      <c r="F73" s="7" t="str">
        <f>'Secondary cum Calculation'!F201</f>
        <v>The number of international arrivals to a country originating from Comoros</v>
      </c>
      <c r="G73" s="7" t="str">
        <f>'Secondary cum Calculation'!G201</f>
        <v>Tourism Demand &amp; Flows Database</v>
      </c>
      <c r="H73" s="7" t="str">
        <f>'Secondary cum Calculation'!H201</f>
        <v>New</v>
      </c>
      <c r="I73" s="7">
        <f>'Secondary cum Calculation'!I201</f>
        <v>0</v>
      </c>
      <c r="J73" s="7" t="str">
        <f>'Secondary cum Calculation'!J201</f>
        <v>Thousand</v>
      </c>
      <c r="K73" s="8">
        <f>'Secondary cum Calculation'!K201</f>
        <v>0</v>
      </c>
      <c r="L73" s="218">
        <f>'Secondary cum Calculation'!L201</f>
        <v>0</v>
      </c>
      <c r="M73" s="218">
        <f>'Secondary cum Calculation'!M201</f>
        <v>0</v>
      </c>
      <c r="N73" s="218">
        <f>'Secondary cum Calculation'!N201</f>
        <v>0</v>
      </c>
      <c r="O73" s="218">
        <f>'Secondary cum Calculation'!O201</f>
        <v>0</v>
      </c>
      <c r="P73" s="218">
        <f>'Secondary cum Calculation'!P201</f>
        <v>0</v>
      </c>
      <c r="Q73" s="218">
        <f>'Secondary cum Calculation'!Q201</f>
        <v>0</v>
      </c>
      <c r="W73" s="211" t="e">
        <f>'Secondary cum Calculation'!W201</f>
        <v>#DIV/0!</v>
      </c>
      <c r="X73" s="211" t="e">
        <f>'Secondary cum Calculation'!X201</f>
        <v>#DIV/0!</v>
      </c>
    </row>
    <row r="74" spans="1:24">
      <c r="A74" s="6" t="str">
        <f>'Secondary cum Calculation'!A203</f>
        <v>Poland</v>
      </c>
      <c r="B74" s="119" t="str">
        <f>'Secondary cum Calculation'!B203</f>
        <v>Tourism Flows</v>
      </c>
      <c r="C74" s="119" t="str">
        <f>'Secondary cum Calculation'!C203</f>
        <v>International Arrivals by Place of Origin</v>
      </c>
      <c r="D74" s="119" t="str">
        <f>'Secondary cum Calculation'!D203</f>
        <v>Africa</v>
      </c>
      <c r="E74" s="6" t="str">
        <f>'Secondary cum Calculation'!E203</f>
        <v>Congo</v>
      </c>
      <c r="F74" s="7" t="str">
        <f>'Secondary cum Calculation'!F203</f>
        <v>The number of international arrivals to a country originating from Congo</v>
      </c>
      <c r="G74" s="7" t="str">
        <f>'Secondary cum Calculation'!G203</f>
        <v>Tourism Demand &amp; Flows Database</v>
      </c>
      <c r="H74" s="7" t="str">
        <f>'Secondary cum Calculation'!H203</f>
        <v>New</v>
      </c>
      <c r="I74" s="7">
        <f>'Secondary cum Calculation'!I203</f>
        <v>0</v>
      </c>
      <c r="J74" s="7" t="str">
        <f>'Secondary cum Calculation'!J203</f>
        <v>Thousand</v>
      </c>
      <c r="K74" s="8">
        <f>'Secondary cum Calculation'!K203</f>
        <v>0</v>
      </c>
      <c r="L74" s="218">
        <f>'Secondary cum Calculation'!L203</f>
        <v>0</v>
      </c>
      <c r="M74" s="218">
        <f>'Secondary cum Calculation'!M203</f>
        <v>0</v>
      </c>
      <c r="N74" s="218">
        <f>'Secondary cum Calculation'!N203</f>
        <v>0</v>
      </c>
      <c r="O74" s="218">
        <f>'Secondary cum Calculation'!O203</f>
        <v>0</v>
      </c>
      <c r="P74" s="218">
        <f>'Secondary cum Calculation'!P203</f>
        <v>0</v>
      </c>
      <c r="Q74" s="218">
        <f>'Secondary cum Calculation'!Q203</f>
        <v>0</v>
      </c>
      <c r="W74" s="211" t="e">
        <f>'Secondary cum Calculation'!W203</f>
        <v>#DIV/0!</v>
      </c>
      <c r="X74" s="211" t="e">
        <f>'Secondary cum Calculation'!X203</f>
        <v>#DIV/0!</v>
      </c>
    </row>
    <row r="75" spans="1:24">
      <c r="A75" s="6" t="str">
        <f>'Secondary cum Calculation'!A205</f>
        <v>Poland</v>
      </c>
      <c r="B75" s="119" t="str">
        <f>'Secondary cum Calculation'!B205</f>
        <v>Tourism Flows</v>
      </c>
      <c r="C75" s="119" t="str">
        <f>'Secondary cum Calculation'!C205</f>
        <v>International Arrivals by Place of Origin</v>
      </c>
      <c r="D75" s="119" t="str">
        <f>'Secondary cum Calculation'!D205</f>
        <v>Africa</v>
      </c>
      <c r="E75" s="6" t="str">
        <f>'Secondary cum Calculation'!E205</f>
        <v>Côte d'Ivoire</v>
      </c>
      <c r="F75" s="7" t="str">
        <f>'Secondary cum Calculation'!F205</f>
        <v>The number of international arrivals to a country originating from Côte d'Ivoire</v>
      </c>
      <c r="G75" s="7" t="str">
        <f>'Secondary cum Calculation'!G205</f>
        <v>Tourism Demand &amp; Flows Database</v>
      </c>
      <c r="H75" s="7" t="str">
        <f>'Secondary cum Calculation'!H205</f>
        <v>New</v>
      </c>
      <c r="I75" s="7">
        <f>'Secondary cum Calculation'!I205</f>
        <v>0</v>
      </c>
      <c r="J75" s="7" t="str">
        <f>'Secondary cum Calculation'!J205</f>
        <v>Thousand</v>
      </c>
      <c r="K75" s="8">
        <f>'Secondary cum Calculation'!K205</f>
        <v>0</v>
      </c>
      <c r="L75" s="218">
        <f>'Secondary cum Calculation'!L205</f>
        <v>0</v>
      </c>
      <c r="M75" s="218">
        <f>'Secondary cum Calculation'!M205</f>
        <v>0</v>
      </c>
      <c r="N75" s="218">
        <f>'Secondary cum Calculation'!N205</f>
        <v>0</v>
      </c>
      <c r="O75" s="218">
        <f>'Secondary cum Calculation'!O205</f>
        <v>0</v>
      </c>
      <c r="P75" s="218">
        <f>'Secondary cum Calculation'!P205</f>
        <v>0</v>
      </c>
      <c r="Q75" s="218">
        <f>'Secondary cum Calculation'!Q205</f>
        <v>0</v>
      </c>
      <c r="W75" s="211" t="e">
        <f>'Secondary cum Calculation'!W205</f>
        <v>#DIV/0!</v>
      </c>
      <c r="X75" s="211" t="e">
        <f>'Secondary cum Calculation'!X205</f>
        <v>#DIV/0!</v>
      </c>
    </row>
    <row r="76" spans="1:24">
      <c r="A76" s="6" t="str">
        <f>'Secondary cum Calculation'!A207</f>
        <v>Poland</v>
      </c>
      <c r="B76" s="119" t="str">
        <f>'Secondary cum Calculation'!B207</f>
        <v>Tourism Flows</v>
      </c>
      <c r="C76" s="119" t="str">
        <f>'Secondary cum Calculation'!C207</f>
        <v>International Arrivals by Place of Origin</v>
      </c>
      <c r="D76" s="119" t="str">
        <f>'Secondary cum Calculation'!D207</f>
        <v>Africa</v>
      </c>
      <c r="E76" s="6" t="str">
        <f>'Secondary cum Calculation'!E207</f>
        <v>Dem. Republic of the Congo</v>
      </c>
      <c r="F76" s="7" t="str">
        <f>'Secondary cum Calculation'!F207</f>
        <v>The number of international arrivals to a country originating from Dem. Republic of the Congo</v>
      </c>
      <c r="G76" s="7" t="str">
        <f>'Secondary cum Calculation'!G207</f>
        <v>Tourism Demand &amp; Flows Database</v>
      </c>
      <c r="H76" s="7" t="str">
        <f>'Secondary cum Calculation'!H207</f>
        <v>New</v>
      </c>
      <c r="I76" s="7">
        <f>'Secondary cum Calculation'!I207</f>
        <v>0</v>
      </c>
      <c r="J76" s="7" t="str">
        <f>'Secondary cum Calculation'!J207</f>
        <v>Thousand</v>
      </c>
      <c r="K76" s="8">
        <f>'Secondary cum Calculation'!K207</f>
        <v>0</v>
      </c>
      <c r="L76" s="218">
        <f>'Secondary cum Calculation'!L207</f>
        <v>0</v>
      </c>
      <c r="M76" s="218">
        <f>'Secondary cum Calculation'!M207</f>
        <v>0</v>
      </c>
      <c r="N76" s="218">
        <f>'Secondary cum Calculation'!N207</f>
        <v>0</v>
      </c>
      <c r="O76" s="218">
        <f>'Secondary cum Calculation'!O207</f>
        <v>0</v>
      </c>
      <c r="P76" s="218">
        <f>'Secondary cum Calculation'!P207</f>
        <v>0</v>
      </c>
      <c r="Q76" s="218">
        <f>'Secondary cum Calculation'!Q207</f>
        <v>0</v>
      </c>
      <c r="W76" s="211" t="e">
        <f>'Secondary cum Calculation'!W207</f>
        <v>#DIV/0!</v>
      </c>
      <c r="X76" s="211" t="e">
        <f>'Secondary cum Calculation'!X207</f>
        <v>#DIV/0!</v>
      </c>
    </row>
    <row r="77" spans="1:24">
      <c r="A77" s="6" t="str">
        <f>'Secondary cum Calculation'!A209</f>
        <v>Poland</v>
      </c>
      <c r="B77" s="119" t="str">
        <f>'Secondary cum Calculation'!B209</f>
        <v>Tourism Flows</v>
      </c>
      <c r="C77" s="119" t="str">
        <f>'Secondary cum Calculation'!C209</f>
        <v>International Arrivals by Place of Origin</v>
      </c>
      <c r="D77" s="119" t="str">
        <f>'Secondary cum Calculation'!D209</f>
        <v>Africa</v>
      </c>
      <c r="E77" s="6" t="str">
        <f>'Secondary cum Calculation'!E209</f>
        <v>Djibouti</v>
      </c>
      <c r="F77" s="7" t="str">
        <f>'Secondary cum Calculation'!F209</f>
        <v>The number of international arrivals to a country originating from Djibouti</v>
      </c>
      <c r="G77" s="7" t="str">
        <f>'Secondary cum Calculation'!G209</f>
        <v>Tourism Demand &amp; Flows Database</v>
      </c>
      <c r="H77" s="7" t="str">
        <f>'Secondary cum Calculation'!H209</f>
        <v>New</v>
      </c>
      <c r="I77" s="7">
        <f>'Secondary cum Calculation'!I209</f>
        <v>0</v>
      </c>
      <c r="J77" s="7" t="str">
        <f>'Secondary cum Calculation'!J209</f>
        <v>Thousand</v>
      </c>
      <c r="K77" s="8">
        <f>'Secondary cum Calculation'!K209</f>
        <v>0</v>
      </c>
      <c r="L77" s="218">
        <f>'Secondary cum Calculation'!L209</f>
        <v>0</v>
      </c>
      <c r="M77" s="218">
        <f>'Secondary cum Calculation'!M209</f>
        <v>0</v>
      </c>
      <c r="N77" s="218">
        <f>'Secondary cum Calculation'!N209</f>
        <v>0</v>
      </c>
      <c r="O77" s="218">
        <f>'Secondary cum Calculation'!O209</f>
        <v>0</v>
      </c>
      <c r="P77" s="218">
        <f>'Secondary cum Calculation'!P209</f>
        <v>0</v>
      </c>
      <c r="Q77" s="218">
        <f>'Secondary cum Calculation'!Q209</f>
        <v>0</v>
      </c>
      <c r="W77" s="211" t="e">
        <f>'Secondary cum Calculation'!W209</f>
        <v>#DIV/0!</v>
      </c>
      <c r="X77" s="211" t="e">
        <f>'Secondary cum Calculation'!X209</f>
        <v>#DIV/0!</v>
      </c>
    </row>
    <row r="78" spans="1:24">
      <c r="A78" s="6" t="str">
        <f>'Secondary cum Calculation'!A211</f>
        <v>Poland</v>
      </c>
      <c r="B78" s="119" t="str">
        <f>'Secondary cum Calculation'!B211</f>
        <v>Tourism Flows</v>
      </c>
      <c r="C78" s="119" t="str">
        <f>'Secondary cum Calculation'!C211</f>
        <v>International Arrivals by Place of Origin</v>
      </c>
      <c r="D78" s="119" t="str">
        <f>'Secondary cum Calculation'!D211</f>
        <v>Africa</v>
      </c>
      <c r="E78" s="6" t="str">
        <f>'Secondary cum Calculation'!E211</f>
        <v>Egypt</v>
      </c>
      <c r="F78" s="7" t="str">
        <f>'Secondary cum Calculation'!F211</f>
        <v>The number of international arrivals to a country originating from Egypt</v>
      </c>
      <c r="G78" s="7" t="str">
        <f>'Secondary cum Calculation'!G211</f>
        <v>Tourism Demand &amp; Flows Database</v>
      </c>
      <c r="H78" s="7" t="str">
        <f>'Secondary cum Calculation'!H211</f>
        <v>New</v>
      </c>
      <c r="I78" s="7">
        <f>'Secondary cum Calculation'!I211</f>
        <v>0</v>
      </c>
      <c r="J78" s="7" t="str">
        <f>'Secondary cum Calculation'!J211</f>
        <v>Thousand</v>
      </c>
      <c r="K78" s="8">
        <f>'Secondary cum Calculation'!K211</f>
        <v>0</v>
      </c>
      <c r="L78" s="218">
        <f>'Secondary cum Calculation'!L211</f>
        <v>0</v>
      </c>
      <c r="M78" s="218">
        <f>'Secondary cum Calculation'!M211</f>
        <v>0</v>
      </c>
      <c r="N78" s="218">
        <f>'Secondary cum Calculation'!N211</f>
        <v>0</v>
      </c>
      <c r="O78" s="218">
        <f>'Secondary cum Calculation'!O211</f>
        <v>0</v>
      </c>
      <c r="P78" s="218">
        <f>'Secondary cum Calculation'!P211</f>
        <v>0</v>
      </c>
      <c r="Q78" s="218">
        <f>'Secondary cum Calculation'!Q211</f>
        <v>0</v>
      </c>
      <c r="W78" s="211" t="e">
        <f>'Secondary cum Calculation'!W211</f>
        <v>#DIV/0!</v>
      </c>
      <c r="X78" s="211" t="e">
        <f>'Secondary cum Calculation'!X211</f>
        <v>#DIV/0!</v>
      </c>
    </row>
    <row r="79" spans="1:24">
      <c r="A79" s="6" t="str">
        <f>'Secondary cum Calculation'!A213</f>
        <v>Poland</v>
      </c>
      <c r="B79" s="119" t="str">
        <f>'Secondary cum Calculation'!B213</f>
        <v>Tourism Flows</v>
      </c>
      <c r="C79" s="119" t="str">
        <f>'Secondary cum Calculation'!C213</f>
        <v>International Arrivals by Place of Origin</v>
      </c>
      <c r="D79" s="119" t="str">
        <f>'Secondary cum Calculation'!D213</f>
        <v>Africa</v>
      </c>
      <c r="E79" s="6" t="str">
        <f>'Secondary cum Calculation'!E213</f>
        <v>Equatorial Guinea</v>
      </c>
      <c r="F79" s="7" t="str">
        <f>'Secondary cum Calculation'!F213</f>
        <v>The number of international arrivals to a country originating from Equatorial Guinea</v>
      </c>
      <c r="G79" s="7" t="str">
        <f>'Secondary cum Calculation'!G213</f>
        <v>Tourism Demand &amp; Flows Database</v>
      </c>
      <c r="H79" s="7" t="str">
        <f>'Secondary cum Calculation'!H213</f>
        <v>New</v>
      </c>
      <c r="I79" s="7">
        <f>'Secondary cum Calculation'!I213</f>
        <v>0</v>
      </c>
      <c r="J79" s="7" t="str">
        <f>'Secondary cum Calculation'!J213</f>
        <v>Thousand</v>
      </c>
      <c r="K79" s="8">
        <f>'Secondary cum Calculation'!K213</f>
        <v>0</v>
      </c>
      <c r="L79" s="218">
        <f>'Secondary cum Calculation'!L213</f>
        <v>0</v>
      </c>
      <c r="M79" s="218">
        <f>'Secondary cum Calculation'!M213</f>
        <v>0</v>
      </c>
      <c r="N79" s="218">
        <f>'Secondary cum Calculation'!N213</f>
        <v>0</v>
      </c>
      <c r="O79" s="218">
        <f>'Secondary cum Calculation'!O213</f>
        <v>0</v>
      </c>
      <c r="P79" s="218">
        <f>'Secondary cum Calculation'!P213</f>
        <v>0</v>
      </c>
      <c r="Q79" s="218">
        <f>'Secondary cum Calculation'!Q213</f>
        <v>0</v>
      </c>
      <c r="W79" s="211" t="e">
        <f>'Secondary cum Calculation'!W213</f>
        <v>#DIV/0!</v>
      </c>
      <c r="X79" s="211" t="e">
        <f>'Secondary cum Calculation'!X213</f>
        <v>#DIV/0!</v>
      </c>
    </row>
    <row r="80" spans="1:24">
      <c r="A80" s="6" t="str">
        <f>'Secondary cum Calculation'!A215</f>
        <v>Poland</v>
      </c>
      <c r="B80" s="119" t="str">
        <f>'Secondary cum Calculation'!B215</f>
        <v>Tourism Flows</v>
      </c>
      <c r="C80" s="119" t="str">
        <f>'Secondary cum Calculation'!C215</f>
        <v>International Arrivals by Place of Origin</v>
      </c>
      <c r="D80" s="119" t="str">
        <f>'Secondary cum Calculation'!D215</f>
        <v>Africa</v>
      </c>
      <c r="E80" s="6" t="str">
        <f>'Secondary cum Calculation'!E215</f>
        <v>Eritrea</v>
      </c>
      <c r="F80" s="7" t="str">
        <f>'Secondary cum Calculation'!F215</f>
        <v>The number of international arrivals to a country originating from Eritrea</v>
      </c>
      <c r="G80" s="7" t="str">
        <f>'Secondary cum Calculation'!G215</f>
        <v>Tourism Demand &amp; Flows Database</v>
      </c>
      <c r="H80" s="7" t="str">
        <f>'Secondary cum Calculation'!H215</f>
        <v>New</v>
      </c>
      <c r="I80" s="7">
        <f>'Secondary cum Calculation'!I215</f>
        <v>0</v>
      </c>
      <c r="J80" s="7" t="str">
        <f>'Secondary cum Calculation'!J215</f>
        <v>Thousand</v>
      </c>
      <c r="K80" s="8">
        <f>'Secondary cum Calculation'!K215</f>
        <v>0</v>
      </c>
      <c r="L80" s="218">
        <f>'Secondary cum Calculation'!L215</f>
        <v>0</v>
      </c>
      <c r="M80" s="218">
        <f>'Secondary cum Calculation'!M215</f>
        <v>0</v>
      </c>
      <c r="N80" s="218">
        <f>'Secondary cum Calculation'!N215</f>
        <v>0</v>
      </c>
      <c r="O80" s="218">
        <f>'Secondary cum Calculation'!O215</f>
        <v>0</v>
      </c>
      <c r="P80" s="218">
        <f>'Secondary cum Calculation'!P215</f>
        <v>0</v>
      </c>
      <c r="Q80" s="218">
        <f>'Secondary cum Calculation'!Q215</f>
        <v>0</v>
      </c>
      <c r="W80" s="211" t="e">
        <f>'Secondary cum Calculation'!W215</f>
        <v>#DIV/0!</v>
      </c>
      <c r="X80" s="211" t="e">
        <f>'Secondary cum Calculation'!X215</f>
        <v>#DIV/0!</v>
      </c>
    </row>
    <row r="81" spans="1:24">
      <c r="A81" s="6" t="str">
        <f>'Secondary cum Calculation'!A217</f>
        <v>Poland</v>
      </c>
      <c r="B81" s="119" t="str">
        <f>'Secondary cum Calculation'!B217</f>
        <v>Tourism Flows</v>
      </c>
      <c r="C81" s="119" t="str">
        <f>'Secondary cum Calculation'!C217</f>
        <v>International Arrivals by Place of Origin</v>
      </c>
      <c r="D81" s="119" t="str">
        <f>'Secondary cum Calculation'!D217</f>
        <v>Africa</v>
      </c>
      <c r="E81" s="6" t="str">
        <f>'Secondary cum Calculation'!E217</f>
        <v>Ethiopia</v>
      </c>
      <c r="F81" s="7" t="str">
        <f>'Secondary cum Calculation'!F217</f>
        <v>The number of international arrivals to a country originating from Ethiopia</v>
      </c>
      <c r="G81" s="7" t="str">
        <f>'Secondary cum Calculation'!G217</f>
        <v>Tourism Demand &amp; Flows Database</v>
      </c>
      <c r="H81" s="7" t="str">
        <f>'Secondary cum Calculation'!H217</f>
        <v>New</v>
      </c>
      <c r="I81" s="7">
        <f>'Secondary cum Calculation'!I217</f>
        <v>0</v>
      </c>
      <c r="J81" s="7" t="str">
        <f>'Secondary cum Calculation'!J217</f>
        <v>Thousand</v>
      </c>
      <c r="K81" s="8">
        <f>'Secondary cum Calculation'!K217</f>
        <v>0</v>
      </c>
      <c r="L81" s="218">
        <f>'Secondary cum Calculation'!L217</f>
        <v>0</v>
      </c>
      <c r="M81" s="218">
        <f>'Secondary cum Calculation'!M217</f>
        <v>0</v>
      </c>
      <c r="N81" s="218">
        <f>'Secondary cum Calculation'!N217</f>
        <v>0</v>
      </c>
      <c r="O81" s="218">
        <f>'Secondary cum Calculation'!O217</f>
        <v>0</v>
      </c>
      <c r="P81" s="218">
        <f>'Secondary cum Calculation'!P217</f>
        <v>0</v>
      </c>
      <c r="Q81" s="218">
        <f>'Secondary cum Calculation'!Q217</f>
        <v>0</v>
      </c>
      <c r="W81" s="211" t="e">
        <f>'Secondary cum Calculation'!W217</f>
        <v>#DIV/0!</v>
      </c>
      <c r="X81" s="211" t="e">
        <f>'Secondary cum Calculation'!X217</f>
        <v>#DIV/0!</v>
      </c>
    </row>
    <row r="82" spans="1:24">
      <c r="A82" s="6" t="str">
        <f>'Secondary cum Calculation'!A219</f>
        <v>Poland</v>
      </c>
      <c r="B82" s="119" t="str">
        <f>'Secondary cum Calculation'!B219</f>
        <v>Tourism Flows</v>
      </c>
      <c r="C82" s="119" t="str">
        <f>'Secondary cum Calculation'!C219</f>
        <v>International Arrivals by Place of Origin</v>
      </c>
      <c r="D82" s="119" t="str">
        <f>'Secondary cum Calculation'!D219</f>
        <v>Africa</v>
      </c>
      <c r="E82" s="6" t="str">
        <f>'Secondary cum Calculation'!E219</f>
        <v>Gabon</v>
      </c>
      <c r="F82" s="7" t="str">
        <f>'Secondary cum Calculation'!F219</f>
        <v>The number of international arrivals to a country originating from Gabon</v>
      </c>
      <c r="G82" s="7" t="str">
        <f>'Secondary cum Calculation'!G219</f>
        <v>Tourism Demand &amp; Flows Database</v>
      </c>
      <c r="H82" s="7" t="str">
        <f>'Secondary cum Calculation'!H219</f>
        <v>New</v>
      </c>
      <c r="I82" s="7">
        <f>'Secondary cum Calculation'!I219</f>
        <v>0</v>
      </c>
      <c r="J82" s="7" t="str">
        <f>'Secondary cum Calculation'!J219</f>
        <v>Thousand</v>
      </c>
      <c r="K82" s="8">
        <f>'Secondary cum Calculation'!K219</f>
        <v>0</v>
      </c>
      <c r="L82" s="218">
        <f>'Secondary cum Calculation'!L219</f>
        <v>0</v>
      </c>
      <c r="M82" s="218">
        <f>'Secondary cum Calculation'!M219</f>
        <v>0</v>
      </c>
      <c r="N82" s="218">
        <f>'Secondary cum Calculation'!N219</f>
        <v>0</v>
      </c>
      <c r="O82" s="218">
        <f>'Secondary cum Calculation'!O219</f>
        <v>0</v>
      </c>
      <c r="P82" s="218">
        <f>'Secondary cum Calculation'!P219</f>
        <v>0</v>
      </c>
      <c r="Q82" s="218">
        <f>'Secondary cum Calculation'!Q219</f>
        <v>0</v>
      </c>
      <c r="W82" s="211" t="e">
        <f>'Secondary cum Calculation'!W219</f>
        <v>#DIV/0!</v>
      </c>
      <c r="X82" s="211" t="e">
        <f>'Secondary cum Calculation'!X219</f>
        <v>#DIV/0!</v>
      </c>
    </row>
    <row r="83" spans="1:24">
      <c r="A83" s="6" t="str">
        <f>'Secondary cum Calculation'!A221</f>
        <v>Poland</v>
      </c>
      <c r="B83" s="119" t="str">
        <f>'Secondary cum Calculation'!B221</f>
        <v>Tourism Flows</v>
      </c>
      <c r="C83" s="119" t="str">
        <f>'Secondary cum Calculation'!C221</f>
        <v>International Arrivals by Place of Origin</v>
      </c>
      <c r="D83" s="119" t="str">
        <f>'Secondary cum Calculation'!D221</f>
        <v>Africa</v>
      </c>
      <c r="E83" s="6" t="str">
        <f>'Secondary cum Calculation'!E221</f>
        <v>Gambia</v>
      </c>
      <c r="F83" s="7" t="str">
        <f>'Secondary cum Calculation'!F221</f>
        <v>The number of international arrivals to a country originating from Gambia</v>
      </c>
      <c r="G83" s="7" t="str">
        <f>'Secondary cum Calculation'!G221</f>
        <v>Tourism Demand &amp; Flows Database</v>
      </c>
      <c r="H83" s="7" t="str">
        <f>'Secondary cum Calculation'!H221</f>
        <v>New</v>
      </c>
      <c r="I83" s="7">
        <f>'Secondary cum Calculation'!I221</f>
        <v>0</v>
      </c>
      <c r="J83" s="7" t="str">
        <f>'Secondary cum Calculation'!J221</f>
        <v>Thousand</v>
      </c>
      <c r="K83" s="8">
        <f>'Secondary cum Calculation'!K221</f>
        <v>0</v>
      </c>
      <c r="L83" s="218">
        <f>'Secondary cum Calculation'!L221</f>
        <v>0</v>
      </c>
      <c r="M83" s="218">
        <f>'Secondary cum Calculation'!M221</f>
        <v>0</v>
      </c>
      <c r="N83" s="218">
        <f>'Secondary cum Calculation'!N221</f>
        <v>0</v>
      </c>
      <c r="O83" s="218">
        <f>'Secondary cum Calculation'!O221</f>
        <v>0</v>
      </c>
      <c r="P83" s="218">
        <f>'Secondary cum Calculation'!P221</f>
        <v>0</v>
      </c>
      <c r="Q83" s="218">
        <f>'Secondary cum Calculation'!Q221</f>
        <v>0</v>
      </c>
      <c r="W83" s="211" t="e">
        <f>'Secondary cum Calculation'!W221</f>
        <v>#DIV/0!</v>
      </c>
      <c r="X83" s="211" t="e">
        <f>'Secondary cum Calculation'!X221</f>
        <v>#DIV/0!</v>
      </c>
    </row>
    <row r="84" spans="1:24">
      <c r="A84" s="6" t="str">
        <f>'Secondary cum Calculation'!A223</f>
        <v>Poland</v>
      </c>
      <c r="B84" s="119" t="str">
        <f>'Secondary cum Calculation'!B223</f>
        <v>Tourism Flows</v>
      </c>
      <c r="C84" s="119" t="str">
        <f>'Secondary cum Calculation'!C223</f>
        <v>International Arrivals by Place of Origin</v>
      </c>
      <c r="D84" s="119" t="str">
        <f>'Secondary cum Calculation'!D223</f>
        <v>Africa</v>
      </c>
      <c r="E84" s="6" t="str">
        <f>'Secondary cum Calculation'!E223</f>
        <v>Ghana</v>
      </c>
      <c r="F84" s="7" t="str">
        <f>'Secondary cum Calculation'!F223</f>
        <v>The number of international arrivals to a country originating from Ghana</v>
      </c>
      <c r="G84" s="7" t="str">
        <f>'Secondary cum Calculation'!G223</f>
        <v>Tourism Demand &amp; Flows Database</v>
      </c>
      <c r="H84" s="7" t="str">
        <f>'Secondary cum Calculation'!H223</f>
        <v>New</v>
      </c>
      <c r="I84" s="7">
        <f>'Secondary cum Calculation'!I223</f>
        <v>0</v>
      </c>
      <c r="J84" s="7" t="str">
        <f>'Secondary cum Calculation'!J223</f>
        <v>Thousand</v>
      </c>
      <c r="K84" s="8">
        <f>'Secondary cum Calculation'!K223</f>
        <v>0</v>
      </c>
      <c r="L84" s="218">
        <f>'Secondary cum Calculation'!L223</f>
        <v>0</v>
      </c>
      <c r="M84" s="218">
        <f>'Secondary cum Calculation'!M223</f>
        <v>0</v>
      </c>
      <c r="N84" s="218">
        <f>'Secondary cum Calculation'!N223</f>
        <v>0</v>
      </c>
      <c r="O84" s="218">
        <f>'Secondary cum Calculation'!O223</f>
        <v>0</v>
      </c>
      <c r="P84" s="218">
        <f>'Secondary cum Calculation'!P223</f>
        <v>0</v>
      </c>
      <c r="Q84" s="218">
        <f>'Secondary cum Calculation'!Q223</f>
        <v>0</v>
      </c>
      <c r="W84" s="211" t="e">
        <f>'Secondary cum Calculation'!W223</f>
        <v>#DIV/0!</v>
      </c>
      <c r="X84" s="211" t="e">
        <f>'Secondary cum Calculation'!X223</f>
        <v>#DIV/0!</v>
      </c>
    </row>
    <row r="85" spans="1:24">
      <c r="A85" s="6" t="str">
        <f>'Secondary cum Calculation'!A225</f>
        <v>Poland</v>
      </c>
      <c r="B85" s="119" t="str">
        <f>'Secondary cum Calculation'!B225</f>
        <v>Tourism Flows</v>
      </c>
      <c r="C85" s="119" t="str">
        <f>'Secondary cum Calculation'!C225</f>
        <v>International Arrivals by Place of Origin</v>
      </c>
      <c r="D85" s="119" t="str">
        <f>'Secondary cum Calculation'!D225</f>
        <v>Africa</v>
      </c>
      <c r="E85" s="6" t="str">
        <f>'Secondary cum Calculation'!E225</f>
        <v>Guinea</v>
      </c>
      <c r="F85" s="7" t="str">
        <f>'Secondary cum Calculation'!F225</f>
        <v>The number of international arrivals to a country originating from Guinea</v>
      </c>
      <c r="G85" s="7" t="str">
        <f>'Secondary cum Calculation'!G225</f>
        <v>Tourism Demand &amp; Flows Database</v>
      </c>
      <c r="H85" s="7" t="str">
        <f>'Secondary cum Calculation'!H225</f>
        <v>New</v>
      </c>
      <c r="I85" s="7">
        <f>'Secondary cum Calculation'!I225</f>
        <v>0</v>
      </c>
      <c r="J85" s="7" t="str">
        <f>'Secondary cum Calculation'!J225</f>
        <v>Thousand</v>
      </c>
      <c r="K85" s="8">
        <f>'Secondary cum Calculation'!K225</f>
        <v>0</v>
      </c>
      <c r="L85" s="218">
        <f>'Secondary cum Calculation'!L225</f>
        <v>0</v>
      </c>
      <c r="M85" s="218">
        <f>'Secondary cum Calculation'!M225</f>
        <v>0</v>
      </c>
      <c r="N85" s="218">
        <f>'Secondary cum Calculation'!N225</f>
        <v>0</v>
      </c>
      <c r="O85" s="218">
        <f>'Secondary cum Calculation'!O225</f>
        <v>0</v>
      </c>
      <c r="P85" s="218">
        <f>'Secondary cum Calculation'!P225</f>
        <v>0</v>
      </c>
      <c r="Q85" s="218">
        <f>'Secondary cum Calculation'!Q225</f>
        <v>0</v>
      </c>
      <c r="W85" s="211" t="e">
        <f>'Secondary cum Calculation'!W225</f>
        <v>#DIV/0!</v>
      </c>
      <c r="X85" s="211" t="e">
        <f>'Secondary cum Calculation'!X225</f>
        <v>#DIV/0!</v>
      </c>
    </row>
    <row r="86" spans="1:24">
      <c r="A86" s="6" t="str">
        <f>'Secondary cum Calculation'!A227</f>
        <v>Poland</v>
      </c>
      <c r="B86" s="119" t="str">
        <f>'Secondary cum Calculation'!B227</f>
        <v>Tourism Flows</v>
      </c>
      <c r="C86" s="119" t="str">
        <f>'Secondary cum Calculation'!C227</f>
        <v>International Arrivals by Place of Origin</v>
      </c>
      <c r="D86" s="119" t="str">
        <f>'Secondary cum Calculation'!D227</f>
        <v>Africa</v>
      </c>
      <c r="E86" s="6" t="str">
        <f>'Secondary cum Calculation'!E227</f>
        <v>Guinea-Bissau</v>
      </c>
      <c r="F86" s="7" t="str">
        <f>'Secondary cum Calculation'!F227</f>
        <v>The number of international arrivals to a country originating from Guinea-Bissau</v>
      </c>
      <c r="G86" s="7" t="str">
        <f>'Secondary cum Calculation'!G227</f>
        <v>Tourism Demand &amp; Flows Database</v>
      </c>
      <c r="H86" s="7" t="str">
        <f>'Secondary cum Calculation'!H227</f>
        <v>New</v>
      </c>
      <c r="I86" s="7">
        <f>'Secondary cum Calculation'!I227</f>
        <v>0</v>
      </c>
      <c r="J86" s="7" t="str">
        <f>'Secondary cum Calculation'!J227</f>
        <v>Thousand</v>
      </c>
      <c r="K86" s="8">
        <f>'Secondary cum Calculation'!K227</f>
        <v>0</v>
      </c>
      <c r="L86" s="218">
        <f>'Secondary cum Calculation'!L227</f>
        <v>0</v>
      </c>
      <c r="M86" s="218">
        <f>'Secondary cum Calculation'!M227</f>
        <v>0</v>
      </c>
      <c r="N86" s="218">
        <f>'Secondary cum Calculation'!N227</f>
        <v>0</v>
      </c>
      <c r="O86" s="218">
        <f>'Secondary cum Calculation'!O227</f>
        <v>0</v>
      </c>
      <c r="P86" s="218">
        <f>'Secondary cum Calculation'!P227</f>
        <v>0</v>
      </c>
      <c r="Q86" s="218">
        <f>'Secondary cum Calculation'!Q227</f>
        <v>0</v>
      </c>
      <c r="W86" s="211" t="e">
        <f>'Secondary cum Calculation'!W227</f>
        <v>#DIV/0!</v>
      </c>
      <c r="X86" s="211" t="e">
        <f>'Secondary cum Calculation'!X227</f>
        <v>#DIV/0!</v>
      </c>
    </row>
    <row r="87" spans="1:24">
      <c r="A87" s="6" t="str">
        <f>'Secondary cum Calculation'!A229</f>
        <v>Poland</v>
      </c>
      <c r="B87" s="119" t="str">
        <f>'Secondary cum Calculation'!B229</f>
        <v>Tourism Flows</v>
      </c>
      <c r="C87" s="119" t="str">
        <f>'Secondary cum Calculation'!C229</f>
        <v>International Arrivals by Place of Origin</v>
      </c>
      <c r="D87" s="119" t="str">
        <f>'Secondary cum Calculation'!D229</f>
        <v>Africa</v>
      </c>
      <c r="E87" s="6" t="str">
        <f>'Secondary cum Calculation'!E229</f>
        <v>Kenya</v>
      </c>
      <c r="F87" s="7" t="str">
        <f>'Secondary cum Calculation'!F229</f>
        <v>The number of international arrivals to a country originating from Kenya</v>
      </c>
      <c r="G87" s="7" t="str">
        <f>'Secondary cum Calculation'!G229</f>
        <v>Tourism Demand &amp; Flows Database</v>
      </c>
      <c r="H87" s="7" t="str">
        <f>'Secondary cum Calculation'!H229</f>
        <v>New</v>
      </c>
      <c r="I87" s="7">
        <f>'Secondary cum Calculation'!I229</f>
        <v>0</v>
      </c>
      <c r="J87" s="7" t="str">
        <f>'Secondary cum Calculation'!J229</f>
        <v>Thousand</v>
      </c>
      <c r="K87" s="8">
        <f>'Secondary cum Calculation'!K229</f>
        <v>0</v>
      </c>
      <c r="L87" s="218">
        <f>'Secondary cum Calculation'!L229</f>
        <v>0</v>
      </c>
      <c r="M87" s="218">
        <f>'Secondary cum Calculation'!M229</f>
        <v>0</v>
      </c>
      <c r="N87" s="218">
        <f>'Secondary cum Calculation'!N229</f>
        <v>0</v>
      </c>
      <c r="O87" s="218">
        <f>'Secondary cum Calculation'!O229</f>
        <v>0</v>
      </c>
      <c r="P87" s="218">
        <f>'Secondary cum Calculation'!P229</f>
        <v>0</v>
      </c>
      <c r="Q87" s="218">
        <f>'Secondary cum Calculation'!Q229</f>
        <v>0</v>
      </c>
      <c r="W87" s="211" t="e">
        <f>'Secondary cum Calculation'!W229</f>
        <v>#DIV/0!</v>
      </c>
      <c r="X87" s="211" t="e">
        <f>'Secondary cum Calculation'!X229</f>
        <v>#DIV/0!</v>
      </c>
    </row>
    <row r="88" spans="1:24">
      <c r="A88" s="6" t="str">
        <f>'Secondary cum Calculation'!A231</f>
        <v>Poland</v>
      </c>
      <c r="B88" s="119" t="str">
        <f>'Secondary cum Calculation'!B231</f>
        <v>Tourism Flows</v>
      </c>
      <c r="C88" s="119" t="str">
        <f>'Secondary cum Calculation'!C231</f>
        <v>International Arrivals by Place of Origin</v>
      </c>
      <c r="D88" s="119" t="str">
        <f>'Secondary cum Calculation'!D231</f>
        <v>Africa</v>
      </c>
      <c r="E88" s="6" t="str">
        <f>'Secondary cum Calculation'!E231</f>
        <v>Lesotho</v>
      </c>
      <c r="F88" s="7" t="str">
        <f>'Secondary cum Calculation'!F231</f>
        <v>The number of international arrivals to a country originating from Lesotho</v>
      </c>
      <c r="G88" s="7" t="str">
        <f>'Secondary cum Calculation'!G231</f>
        <v>Tourism Demand &amp; Flows Database</v>
      </c>
      <c r="H88" s="7" t="str">
        <f>'Secondary cum Calculation'!H231</f>
        <v>New</v>
      </c>
      <c r="I88" s="7">
        <f>'Secondary cum Calculation'!I231</f>
        <v>0</v>
      </c>
      <c r="J88" s="7" t="str">
        <f>'Secondary cum Calculation'!J231</f>
        <v>Thousand</v>
      </c>
      <c r="K88" s="8">
        <f>'Secondary cum Calculation'!K231</f>
        <v>0</v>
      </c>
      <c r="L88" s="218">
        <f>'Secondary cum Calculation'!L231</f>
        <v>0</v>
      </c>
      <c r="M88" s="218">
        <f>'Secondary cum Calculation'!M231</f>
        <v>0</v>
      </c>
      <c r="N88" s="218">
        <f>'Secondary cum Calculation'!N231</f>
        <v>0</v>
      </c>
      <c r="O88" s="218">
        <f>'Secondary cum Calculation'!O231</f>
        <v>0</v>
      </c>
      <c r="P88" s="218">
        <f>'Secondary cum Calculation'!P231</f>
        <v>0</v>
      </c>
      <c r="Q88" s="218">
        <f>'Secondary cum Calculation'!Q231</f>
        <v>0</v>
      </c>
      <c r="W88" s="211" t="e">
        <f>'Secondary cum Calculation'!W231</f>
        <v>#DIV/0!</v>
      </c>
      <c r="X88" s="211" t="e">
        <f>'Secondary cum Calculation'!X231</f>
        <v>#DIV/0!</v>
      </c>
    </row>
    <row r="89" spans="1:24">
      <c r="A89" s="6" t="str">
        <f>'Secondary cum Calculation'!A233</f>
        <v>Poland</v>
      </c>
      <c r="B89" s="119" t="str">
        <f>'Secondary cum Calculation'!B233</f>
        <v>Tourism Flows</v>
      </c>
      <c r="C89" s="119" t="str">
        <f>'Secondary cum Calculation'!C233</f>
        <v>International Arrivals by Place of Origin</v>
      </c>
      <c r="D89" s="119" t="str">
        <f>'Secondary cum Calculation'!D233</f>
        <v>Africa</v>
      </c>
      <c r="E89" s="6" t="str">
        <f>'Secondary cum Calculation'!E233</f>
        <v>Liberia</v>
      </c>
      <c r="F89" s="7" t="str">
        <f>'Secondary cum Calculation'!F233</f>
        <v>The number of international arrivals to a country originating from Liberia</v>
      </c>
      <c r="G89" s="7" t="str">
        <f>'Secondary cum Calculation'!G233</f>
        <v>Tourism Demand &amp; Flows Database</v>
      </c>
      <c r="H89" s="7" t="str">
        <f>'Secondary cum Calculation'!H233</f>
        <v>New</v>
      </c>
      <c r="I89" s="7">
        <f>'Secondary cum Calculation'!I233</f>
        <v>0</v>
      </c>
      <c r="J89" s="7" t="str">
        <f>'Secondary cum Calculation'!J233</f>
        <v>Thousand</v>
      </c>
      <c r="K89" s="8">
        <f>'Secondary cum Calculation'!K233</f>
        <v>0</v>
      </c>
      <c r="L89" s="218">
        <f>'Secondary cum Calculation'!L233</f>
        <v>0</v>
      </c>
      <c r="M89" s="218">
        <f>'Secondary cum Calculation'!M233</f>
        <v>0</v>
      </c>
      <c r="N89" s="218">
        <f>'Secondary cum Calculation'!N233</f>
        <v>0</v>
      </c>
      <c r="O89" s="218">
        <f>'Secondary cum Calculation'!O233</f>
        <v>0</v>
      </c>
      <c r="P89" s="218">
        <f>'Secondary cum Calculation'!P233</f>
        <v>0</v>
      </c>
      <c r="Q89" s="218">
        <f>'Secondary cum Calculation'!Q233</f>
        <v>0</v>
      </c>
      <c r="W89" s="211" t="e">
        <f>'Secondary cum Calculation'!W233</f>
        <v>#DIV/0!</v>
      </c>
      <c r="X89" s="211" t="e">
        <f>'Secondary cum Calculation'!X233</f>
        <v>#DIV/0!</v>
      </c>
    </row>
    <row r="90" spans="1:24">
      <c r="A90" s="6" t="str">
        <f>'Secondary cum Calculation'!A235</f>
        <v>Poland</v>
      </c>
      <c r="B90" s="119" t="str">
        <f>'Secondary cum Calculation'!B235</f>
        <v>Tourism Flows</v>
      </c>
      <c r="C90" s="119" t="str">
        <f>'Secondary cum Calculation'!C235</f>
        <v>International Arrivals by Place of Origin</v>
      </c>
      <c r="D90" s="119" t="str">
        <f>'Secondary cum Calculation'!D235</f>
        <v>Africa</v>
      </c>
      <c r="E90" s="6" t="str">
        <f>'Secondary cum Calculation'!E235</f>
        <v>Libyan Arab Jamahiriya</v>
      </c>
      <c r="F90" s="7" t="str">
        <f>'Secondary cum Calculation'!F235</f>
        <v>The number of international arrivals to a country originating from Libyan Arab Jamahiriya</v>
      </c>
      <c r="G90" s="7" t="str">
        <f>'Secondary cum Calculation'!G235</f>
        <v>Tourism Demand &amp; Flows Database</v>
      </c>
      <c r="H90" s="7" t="str">
        <f>'Secondary cum Calculation'!H235</f>
        <v>New</v>
      </c>
      <c r="I90" s="7">
        <f>'Secondary cum Calculation'!I235</f>
        <v>0</v>
      </c>
      <c r="J90" s="7" t="str">
        <f>'Secondary cum Calculation'!J235</f>
        <v>Thousand</v>
      </c>
      <c r="K90" s="8">
        <f>'Secondary cum Calculation'!K235</f>
        <v>0</v>
      </c>
      <c r="L90" s="218">
        <f>'Secondary cum Calculation'!L235</f>
        <v>0</v>
      </c>
      <c r="M90" s="218">
        <f>'Secondary cum Calculation'!M235</f>
        <v>0</v>
      </c>
      <c r="N90" s="218">
        <f>'Secondary cum Calculation'!N235</f>
        <v>0</v>
      </c>
      <c r="O90" s="218">
        <f>'Secondary cum Calculation'!O235</f>
        <v>0</v>
      </c>
      <c r="P90" s="218">
        <f>'Secondary cum Calculation'!P235</f>
        <v>0</v>
      </c>
      <c r="Q90" s="218">
        <f>'Secondary cum Calculation'!Q235</f>
        <v>0</v>
      </c>
      <c r="W90" s="211" t="e">
        <f>'Secondary cum Calculation'!W235</f>
        <v>#DIV/0!</v>
      </c>
      <c r="X90" s="211" t="e">
        <f>'Secondary cum Calculation'!X235</f>
        <v>#DIV/0!</v>
      </c>
    </row>
    <row r="91" spans="1:24">
      <c r="A91" s="6" t="str">
        <f>'Secondary cum Calculation'!A237</f>
        <v>Poland</v>
      </c>
      <c r="B91" s="119" t="str">
        <f>'Secondary cum Calculation'!B237</f>
        <v>Tourism Flows</v>
      </c>
      <c r="C91" s="119" t="str">
        <f>'Secondary cum Calculation'!C237</f>
        <v>International Arrivals by Place of Origin</v>
      </c>
      <c r="D91" s="119" t="str">
        <f>'Secondary cum Calculation'!D237</f>
        <v>Africa</v>
      </c>
      <c r="E91" s="6" t="str">
        <f>'Secondary cum Calculation'!E237</f>
        <v>Madagascar</v>
      </c>
      <c r="F91" s="7" t="str">
        <f>'Secondary cum Calculation'!F237</f>
        <v>The number of international arrivals to a country originating from Madagascar</v>
      </c>
      <c r="G91" s="7" t="str">
        <f>'Secondary cum Calculation'!G237</f>
        <v>Tourism Demand &amp; Flows Database</v>
      </c>
      <c r="H91" s="7" t="str">
        <f>'Secondary cum Calculation'!H237</f>
        <v>New</v>
      </c>
      <c r="I91" s="7">
        <f>'Secondary cum Calculation'!I237</f>
        <v>0</v>
      </c>
      <c r="J91" s="7" t="str">
        <f>'Secondary cum Calculation'!J237</f>
        <v>Thousand</v>
      </c>
      <c r="K91" s="8">
        <f>'Secondary cum Calculation'!K237</f>
        <v>0</v>
      </c>
      <c r="L91" s="218">
        <f>'Secondary cum Calculation'!L237</f>
        <v>0</v>
      </c>
      <c r="M91" s="218">
        <f>'Secondary cum Calculation'!M237</f>
        <v>0</v>
      </c>
      <c r="N91" s="218">
        <f>'Secondary cum Calculation'!N237</f>
        <v>0</v>
      </c>
      <c r="O91" s="218">
        <f>'Secondary cum Calculation'!O237</f>
        <v>0</v>
      </c>
      <c r="P91" s="218">
        <f>'Secondary cum Calculation'!P237</f>
        <v>0</v>
      </c>
      <c r="Q91" s="218">
        <f>'Secondary cum Calculation'!Q237</f>
        <v>0</v>
      </c>
      <c r="W91" s="211" t="e">
        <f>'Secondary cum Calculation'!W237</f>
        <v>#DIV/0!</v>
      </c>
      <c r="X91" s="211" t="e">
        <f>'Secondary cum Calculation'!X237</f>
        <v>#DIV/0!</v>
      </c>
    </row>
    <row r="92" spans="1:24">
      <c r="A92" s="6" t="str">
        <f>'Secondary cum Calculation'!A239</f>
        <v>Poland</v>
      </c>
      <c r="B92" s="119" t="str">
        <f>'Secondary cum Calculation'!B239</f>
        <v>Tourism Flows</v>
      </c>
      <c r="C92" s="119" t="str">
        <f>'Secondary cum Calculation'!C239</f>
        <v>International Arrivals by Place of Origin</v>
      </c>
      <c r="D92" s="119" t="str">
        <f>'Secondary cum Calculation'!D239</f>
        <v>Africa</v>
      </c>
      <c r="E92" s="6" t="str">
        <f>'Secondary cum Calculation'!E239</f>
        <v>Malawi</v>
      </c>
      <c r="F92" s="7" t="str">
        <f>'Secondary cum Calculation'!F239</f>
        <v>The number of international arrivals to a country originating from Malawi</v>
      </c>
      <c r="G92" s="7" t="str">
        <f>'Secondary cum Calculation'!G239</f>
        <v>Tourism Demand &amp; Flows Database</v>
      </c>
      <c r="H92" s="7" t="str">
        <f>'Secondary cum Calculation'!H239</f>
        <v>New</v>
      </c>
      <c r="I92" s="7">
        <f>'Secondary cum Calculation'!I239</f>
        <v>0</v>
      </c>
      <c r="J92" s="7" t="str">
        <f>'Secondary cum Calculation'!J239</f>
        <v>Thousand</v>
      </c>
      <c r="K92" s="8">
        <f>'Secondary cum Calculation'!K239</f>
        <v>0</v>
      </c>
      <c r="L92" s="218">
        <f>'Secondary cum Calculation'!L239</f>
        <v>0</v>
      </c>
      <c r="M92" s="218">
        <f>'Secondary cum Calculation'!M239</f>
        <v>0</v>
      </c>
      <c r="N92" s="218">
        <f>'Secondary cum Calculation'!N239</f>
        <v>0</v>
      </c>
      <c r="O92" s="218">
        <f>'Secondary cum Calculation'!O239</f>
        <v>0</v>
      </c>
      <c r="P92" s="218">
        <f>'Secondary cum Calculation'!P239</f>
        <v>0</v>
      </c>
      <c r="Q92" s="218">
        <f>'Secondary cum Calculation'!Q239</f>
        <v>0</v>
      </c>
      <c r="W92" s="211" t="e">
        <f>'Secondary cum Calculation'!W239</f>
        <v>#DIV/0!</v>
      </c>
      <c r="X92" s="211" t="e">
        <f>'Secondary cum Calculation'!X239</f>
        <v>#DIV/0!</v>
      </c>
    </row>
    <row r="93" spans="1:24">
      <c r="A93" s="6" t="str">
        <f>'Secondary cum Calculation'!A241</f>
        <v>Poland</v>
      </c>
      <c r="B93" s="119" t="str">
        <f>'Secondary cum Calculation'!B241</f>
        <v>Tourism Flows</v>
      </c>
      <c r="C93" s="119" t="str">
        <f>'Secondary cum Calculation'!C241</f>
        <v>International Arrivals by Place of Origin</v>
      </c>
      <c r="D93" s="119" t="str">
        <f>'Secondary cum Calculation'!D241</f>
        <v>Africa</v>
      </c>
      <c r="E93" s="6" t="str">
        <f>'Secondary cum Calculation'!E241</f>
        <v>Mali</v>
      </c>
      <c r="F93" s="7" t="str">
        <f>'Secondary cum Calculation'!F241</f>
        <v>The number of international arrivals to a country originating from Mali</v>
      </c>
      <c r="G93" s="7" t="str">
        <f>'Secondary cum Calculation'!G241</f>
        <v>Tourism Demand &amp; Flows Database</v>
      </c>
      <c r="H93" s="7" t="str">
        <f>'Secondary cum Calculation'!H241</f>
        <v>New</v>
      </c>
      <c r="I93" s="7">
        <f>'Secondary cum Calculation'!I241</f>
        <v>0</v>
      </c>
      <c r="J93" s="7" t="str">
        <f>'Secondary cum Calculation'!J241</f>
        <v>Thousand</v>
      </c>
      <c r="K93" s="8">
        <f>'Secondary cum Calculation'!K241</f>
        <v>0</v>
      </c>
      <c r="L93" s="218">
        <f>'Secondary cum Calculation'!L241</f>
        <v>0</v>
      </c>
      <c r="M93" s="218">
        <f>'Secondary cum Calculation'!M241</f>
        <v>0</v>
      </c>
      <c r="N93" s="218">
        <f>'Secondary cum Calculation'!N241</f>
        <v>0</v>
      </c>
      <c r="O93" s="218">
        <f>'Secondary cum Calculation'!O241</f>
        <v>0</v>
      </c>
      <c r="P93" s="218">
        <f>'Secondary cum Calculation'!P241</f>
        <v>0</v>
      </c>
      <c r="Q93" s="218">
        <f>'Secondary cum Calculation'!Q241</f>
        <v>0</v>
      </c>
      <c r="W93" s="211" t="e">
        <f>'Secondary cum Calculation'!W241</f>
        <v>#DIV/0!</v>
      </c>
      <c r="X93" s="211" t="e">
        <f>'Secondary cum Calculation'!X241</f>
        <v>#DIV/0!</v>
      </c>
    </row>
    <row r="94" spans="1:24">
      <c r="A94" s="6" t="str">
        <f>'Secondary cum Calculation'!A243</f>
        <v>Poland</v>
      </c>
      <c r="B94" s="119" t="str">
        <f>'Secondary cum Calculation'!B243</f>
        <v>Tourism Flows</v>
      </c>
      <c r="C94" s="119" t="str">
        <f>'Secondary cum Calculation'!C243</f>
        <v>International Arrivals by Place of Origin</v>
      </c>
      <c r="D94" s="119" t="str">
        <f>'Secondary cum Calculation'!D243</f>
        <v>Africa</v>
      </c>
      <c r="E94" s="6" t="str">
        <f>'Secondary cum Calculation'!E243</f>
        <v>Mauritania</v>
      </c>
      <c r="F94" s="7" t="str">
        <f>'Secondary cum Calculation'!F243</f>
        <v>The number of international arrivals to a country originating from Mauritania</v>
      </c>
      <c r="G94" s="7" t="str">
        <f>'Secondary cum Calculation'!G243</f>
        <v>Tourism Demand &amp; Flows Database</v>
      </c>
      <c r="H94" s="7" t="str">
        <f>'Secondary cum Calculation'!H243</f>
        <v>New</v>
      </c>
      <c r="I94" s="7">
        <f>'Secondary cum Calculation'!I243</f>
        <v>0</v>
      </c>
      <c r="J94" s="7" t="str">
        <f>'Secondary cum Calculation'!J243</f>
        <v>Thousand</v>
      </c>
      <c r="K94" s="8">
        <f>'Secondary cum Calculation'!K243</f>
        <v>0</v>
      </c>
      <c r="L94" s="218">
        <f>'Secondary cum Calculation'!L243</f>
        <v>0</v>
      </c>
      <c r="M94" s="218">
        <f>'Secondary cum Calculation'!M243</f>
        <v>0</v>
      </c>
      <c r="N94" s="218">
        <f>'Secondary cum Calculation'!N243</f>
        <v>0</v>
      </c>
      <c r="O94" s="218">
        <f>'Secondary cum Calculation'!O243</f>
        <v>0</v>
      </c>
      <c r="P94" s="218">
        <f>'Secondary cum Calculation'!P243</f>
        <v>0</v>
      </c>
      <c r="Q94" s="218">
        <f>'Secondary cum Calculation'!Q243</f>
        <v>0</v>
      </c>
      <c r="W94" s="211" t="e">
        <f>'Secondary cum Calculation'!W243</f>
        <v>#DIV/0!</v>
      </c>
      <c r="X94" s="211" t="e">
        <f>'Secondary cum Calculation'!X243</f>
        <v>#DIV/0!</v>
      </c>
    </row>
    <row r="95" spans="1:24">
      <c r="A95" s="6" t="str">
        <f>'Secondary cum Calculation'!A245</f>
        <v>Poland</v>
      </c>
      <c r="B95" s="119" t="str">
        <f>'Secondary cum Calculation'!B245</f>
        <v>Tourism Flows</v>
      </c>
      <c r="C95" s="119" t="str">
        <f>'Secondary cum Calculation'!C245</f>
        <v>International Arrivals by Place of Origin</v>
      </c>
      <c r="D95" s="119" t="str">
        <f>'Secondary cum Calculation'!D245</f>
        <v>Africa</v>
      </c>
      <c r="E95" s="6" t="str">
        <f>'Secondary cum Calculation'!E245</f>
        <v>Mayotte</v>
      </c>
      <c r="F95" s="7" t="str">
        <f>'Secondary cum Calculation'!F245</f>
        <v>The number of international arrivals to a country originating from Mayotte</v>
      </c>
      <c r="G95" s="7" t="str">
        <f>'Secondary cum Calculation'!G245</f>
        <v>Tourism Demand &amp; Flows Database</v>
      </c>
      <c r="H95" s="7" t="str">
        <f>'Secondary cum Calculation'!H245</f>
        <v>New</v>
      </c>
      <c r="I95" s="7">
        <f>'Secondary cum Calculation'!I245</f>
        <v>0</v>
      </c>
      <c r="J95" s="7" t="str">
        <f>'Secondary cum Calculation'!J245</f>
        <v>Thousand</v>
      </c>
      <c r="K95" s="8">
        <f>'Secondary cum Calculation'!K245</f>
        <v>0</v>
      </c>
      <c r="L95" s="218">
        <f>'Secondary cum Calculation'!L245</f>
        <v>0</v>
      </c>
      <c r="M95" s="218">
        <f>'Secondary cum Calculation'!M245</f>
        <v>0</v>
      </c>
      <c r="N95" s="218">
        <f>'Secondary cum Calculation'!N245</f>
        <v>0</v>
      </c>
      <c r="O95" s="218">
        <f>'Secondary cum Calculation'!O245</f>
        <v>0</v>
      </c>
      <c r="P95" s="218">
        <f>'Secondary cum Calculation'!P245</f>
        <v>0</v>
      </c>
      <c r="Q95" s="218">
        <f>'Secondary cum Calculation'!Q245</f>
        <v>0</v>
      </c>
      <c r="W95" s="211" t="e">
        <f>'Secondary cum Calculation'!W245</f>
        <v>#DIV/0!</v>
      </c>
      <c r="X95" s="211" t="e">
        <f>'Secondary cum Calculation'!X245</f>
        <v>#DIV/0!</v>
      </c>
    </row>
    <row r="96" spans="1:24">
      <c r="A96" s="6" t="str">
        <f>'Secondary cum Calculation'!A247</f>
        <v>Poland</v>
      </c>
      <c r="B96" s="119" t="str">
        <f>'Secondary cum Calculation'!B247</f>
        <v>Tourism Flows</v>
      </c>
      <c r="C96" s="119" t="str">
        <f>'Secondary cum Calculation'!C247</f>
        <v>International Arrivals by Place of Origin</v>
      </c>
      <c r="D96" s="119" t="str">
        <f>'Secondary cum Calculation'!D247</f>
        <v>Africa</v>
      </c>
      <c r="E96" s="6" t="str">
        <f>'Secondary cum Calculation'!E247</f>
        <v>Morocco</v>
      </c>
      <c r="F96" s="7" t="str">
        <f>'Secondary cum Calculation'!F247</f>
        <v>The number of international arrivals to a country originating from Morocco</v>
      </c>
      <c r="G96" s="7" t="str">
        <f>'Secondary cum Calculation'!G247</f>
        <v>Tourism Demand &amp; Flows Database</v>
      </c>
      <c r="H96" s="7" t="str">
        <f>'Secondary cum Calculation'!H247</f>
        <v>New</v>
      </c>
      <c r="I96" s="7">
        <f>'Secondary cum Calculation'!I247</f>
        <v>0</v>
      </c>
      <c r="J96" s="7" t="str">
        <f>'Secondary cum Calculation'!J247</f>
        <v>Thousand</v>
      </c>
      <c r="K96" s="8">
        <f>'Secondary cum Calculation'!K247</f>
        <v>0</v>
      </c>
      <c r="L96" s="218">
        <f>'Secondary cum Calculation'!L247</f>
        <v>0</v>
      </c>
      <c r="M96" s="218">
        <f>'Secondary cum Calculation'!M247</f>
        <v>0</v>
      </c>
      <c r="N96" s="218">
        <f>'Secondary cum Calculation'!N247</f>
        <v>0</v>
      </c>
      <c r="O96" s="218">
        <f>'Secondary cum Calculation'!O247</f>
        <v>0</v>
      </c>
      <c r="P96" s="218">
        <f>'Secondary cum Calculation'!P247</f>
        <v>0</v>
      </c>
      <c r="Q96" s="218">
        <f>'Secondary cum Calculation'!Q247</f>
        <v>0</v>
      </c>
      <c r="W96" s="211" t="e">
        <f>'Secondary cum Calculation'!W247</f>
        <v>#DIV/0!</v>
      </c>
      <c r="X96" s="211" t="e">
        <f>'Secondary cum Calculation'!X247</f>
        <v>#DIV/0!</v>
      </c>
    </row>
    <row r="97" spans="1:31">
      <c r="A97" s="6" t="str">
        <f>'Secondary cum Calculation'!A249</f>
        <v>Poland</v>
      </c>
      <c r="B97" s="119" t="str">
        <f>'Secondary cum Calculation'!B249</f>
        <v>Tourism Flows</v>
      </c>
      <c r="C97" s="119" t="str">
        <f>'Secondary cum Calculation'!C249</f>
        <v>International Arrivals by Place of Origin</v>
      </c>
      <c r="D97" s="119" t="str">
        <f>'Secondary cum Calculation'!D249</f>
        <v>Africa</v>
      </c>
      <c r="E97" s="6" t="str">
        <f>'Secondary cum Calculation'!E249</f>
        <v>Mozambique</v>
      </c>
      <c r="F97" s="7" t="str">
        <f>'Secondary cum Calculation'!F249</f>
        <v>The number of international arrivals to a country originating from Mozambique</v>
      </c>
      <c r="G97" s="7" t="str">
        <f>'Secondary cum Calculation'!G249</f>
        <v>Tourism Demand &amp; Flows Database</v>
      </c>
      <c r="H97" s="7" t="str">
        <f>'Secondary cum Calculation'!H249</f>
        <v>New</v>
      </c>
      <c r="I97" s="7">
        <f>'Secondary cum Calculation'!I249</f>
        <v>0</v>
      </c>
      <c r="J97" s="7" t="str">
        <f>'Secondary cum Calculation'!J249</f>
        <v>Thousand</v>
      </c>
      <c r="K97" s="8">
        <f>'Secondary cum Calculation'!K249</f>
        <v>0</v>
      </c>
      <c r="L97" s="218">
        <f>'Secondary cum Calculation'!L249</f>
        <v>0</v>
      </c>
      <c r="M97" s="218">
        <f>'Secondary cum Calculation'!M249</f>
        <v>0</v>
      </c>
      <c r="N97" s="218">
        <f>'Secondary cum Calculation'!N249</f>
        <v>0</v>
      </c>
      <c r="O97" s="218">
        <f>'Secondary cum Calculation'!O249</f>
        <v>0</v>
      </c>
      <c r="P97" s="218">
        <f>'Secondary cum Calculation'!P249</f>
        <v>0</v>
      </c>
      <c r="Q97" s="218">
        <f>'Secondary cum Calculation'!Q249</f>
        <v>0</v>
      </c>
      <c r="W97" s="211" t="e">
        <f>'Secondary cum Calculation'!W249</f>
        <v>#DIV/0!</v>
      </c>
      <c r="X97" s="211" t="e">
        <f>'Secondary cum Calculation'!X249</f>
        <v>#DIV/0!</v>
      </c>
    </row>
    <row r="98" spans="1:31">
      <c r="A98" s="6" t="str">
        <f>'Secondary cum Calculation'!A251</f>
        <v>Poland</v>
      </c>
      <c r="B98" s="119" t="str">
        <f>'Secondary cum Calculation'!B251</f>
        <v>Tourism Flows</v>
      </c>
      <c r="C98" s="119" t="str">
        <f>'Secondary cum Calculation'!C251</f>
        <v>International Arrivals by Place of Origin</v>
      </c>
      <c r="D98" s="119" t="str">
        <f>'Secondary cum Calculation'!D251</f>
        <v>Africa</v>
      </c>
      <c r="E98" s="6" t="str">
        <f>'Secondary cum Calculation'!E251</f>
        <v>Namibia</v>
      </c>
      <c r="F98" s="7" t="str">
        <f>'Secondary cum Calculation'!F251</f>
        <v>The number of international arrivals to a country originating from Namibia</v>
      </c>
      <c r="G98" s="7" t="str">
        <f>'Secondary cum Calculation'!G251</f>
        <v>Tourism Demand &amp; Flows Database</v>
      </c>
      <c r="H98" s="7" t="str">
        <f>'Secondary cum Calculation'!H251</f>
        <v>New</v>
      </c>
      <c r="I98" s="7">
        <f>'Secondary cum Calculation'!I251</f>
        <v>0</v>
      </c>
      <c r="J98" s="7" t="str">
        <f>'Secondary cum Calculation'!J251</f>
        <v>Thousand</v>
      </c>
      <c r="K98" s="8">
        <f>'Secondary cum Calculation'!K251</f>
        <v>0</v>
      </c>
      <c r="L98" s="218">
        <f>'Secondary cum Calculation'!L251</f>
        <v>0</v>
      </c>
      <c r="M98" s="218">
        <f>'Secondary cum Calculation'!M251</f>
        <v>0</v>
      </c>
      <c r="N98" s="218">
        <f>'Secondary cum Calculation'!N251</f>
        <v>0</v>
      </c>
      <c r="O98" s="218">
        <f>'Secondary cum Calculation'!O251</f>
        <v>0</v>
      </c>
      <c r="P98" s="218">
        <f>'Secondary cum Calculation'!P251</f>
        <v>0</v>
      </c>
      <c r="Q98" s="218">
        <f>'Secondary cum Calculation'!Q251</f>
        <v>0</v>
      </c>
      <c r="W98" s="211" t="e">
        <f>'Secondary cum Calculation'!W251</f>
        <v>#DIV/0!</v>
      </c>
      <c r="X98" s="211" t="e">
        <f>'Secondary cum Calculation'!X251</f>
        <v>#DIV/0!</v>
      </c>
    </row>
    <row r="99" spans="1:31">
      <c r="A99" s="6" t="str">
        <f>'Secondary cum Calculation'!A253</f>
        <v>Poland</v>
      </c>
      <c r="B99" s="119" t="str">
        <f>'Secondary cum Calculation'!B253</f>
        <v>Tourism Flows</v>
      </c>
      <c r="C99" s="119" t="str">
        <f>'Secondary cum Calculation'!C253</f>
        <v>International Arrivals by Place of Origin</v>
      </c>
      <c r="D99" s="119" t="str">
        <f>'Secondary cum Calculation'!D253</f>
        <v>Africa</v>
      </c>
      <c r="E99" s="6" t="str">
        <f>'Secondary cum Calculation'!E253</f>
        <v>Niger</v>
      </c>
      <c r="F99" s="7" t="str">
        <f>'Secondary cum Calculation'!F253</f>
        <v>The number of international arrivals to a country originating from Niger</v>
      </c>
      <c r="G99" s="7" t="str">
        <f>'Secondary cum Calculation'!G253</f>
        <v>Tourism Demand &amp; Flows Database</v>
      </c>
      <c r="H99" s="7" t="str">
        <f>'Secondary cum Calculation'!H253</f>
        <v>New</v>
      </c>
      <c r="I99" s="7">
        <f>'Secondary cum Calculation'!I253</f>
        <v>0</v>
      </c>
      <c r="J99" s="7" t="str">
        <f>'Secondary cum Calculation'!J253</f>
        <v>Thousand</v>
      </c>
      <c r="K99" s="8">
        <f>'Secondary cum Calculation'!K253</f>
        <v>0</v>
      </c>
      <c r="L99" s="218">
        <f>'Secondary cum Calculation'!L253</f>
        <v>0</v>
      </c>
      <c r="M99" s="218">
        <f>'Secondary cum Calculation'!M253</f>
        <v>0</v>
      </c>
      <c r="N99" s="218">
        <f>'Secondary cum Calculation'!N253</f>
        <v>0</v>
      </c>
      <c r="O99" s="218">
        <f>'Secondary cum Calculation'!O253</f>
        <v>0</v>
      </c>
      <c r="P99" s="218">
        <f>'Secondary cum Calculation'!P253</f>
        <v>0</v>
      </c>
      <c r="Q99" s="218">
        <f>'Secondary cum Calculation'!Q253</f>
        <v>0</v>
      </c>
      <c r="W99" s="211" t="e">
        <f>'Secondary cum Calculation'!W253</f>
        <v>#DIV/0!</v>
      </c>
      <c r="X99" s="211" t="e">
        <f>'Secondary cum Calculation'!X253</f>
        <v>#DIV/0!</v>
      </c>
    </row>
    <row r="100" spans="1:31">
      <c r="A100" s="6" t="str">
        <f>'Secondary cum Calculation'!A255</f>
        <v>Poland</v>
      </c>
      <c r="B100" s="119" t="str">
        <f>'Secondary cum Calculation'!B255</f>
        <v>Tourism Flows</v>
      </c>
      <c r="C100" s="119" t="str">
        <f>'Secondary cum Calculation'!C255</f>
        <v>International Arrivals by Place of Origin</v>
      </c>
      <c r="D100" s="119" t="str">
        <f>'Secondary cum Calculation'!D255</f>
        <v>Africa</v>
      </c>
      <c r="E100" s="6" t="str">
        <f>'Secondary cum Calculation'!E255</f>
        <v>Nigeria</v>
      </c>
      <c r="F100" s="7" t="str">
        <f>'Secondary cum Calculation'!F255</f>
        <v>The number of international arrivals to a country originating from Nigeria</v>
      </c>
      <c r="G100" s="7" t="str">
        <f>'Secondary cum Calculation'!G255</f>
        <v>Tourism Demand &amp; Flows Database</v>
      </c>
      <c r="H100" s="7" t="str">
        <f>'Secondary cum Calculation'!H255</f>
        <v>New</v>
      </c>
      <c r="I100" s="7">
        <f>'Secondary cum Calculation'!I255</f>
        <v>0</v>
      </c>
      <c r="J100" s="7" t="str">
        <f>'Secondary cum Calculation'!J255</f>
        <v>Thousand</v>
      </c>
      <c r="K100" s="8">
        <f>'Secondary cum Calculation'!K255</f>
        <v>0</v>
      </c>
      <c r="L100" s="218">
        <f>'Secondary cum Calculation'!L255</f>
        <v>0</v>
      </c>
      <c r="M100" s="218">
        <f>'Secondary cum Calculation'!M255</f>
        <v>0</v>
      </c>
      <c r="N100" s="218">
        <f>'Secondary cum Calculation'!N255</f>
        <v>0</v>
      </c>
      <c r="O100" s="218">
        <f>'Secondary cum Calculation'!O255</f>
        <v>0</v>
      </c>
      <c r="P100" s="218">
        <f>'Secondary cum Calculation'!P255</f>
        <v>0</v>
      </c>
      <c r="Q100" s="218">
        <f>'Secondary cum Calculation'!Q255</f>
        <v>0</v>
      </c>
      <c r="W100" s="211" t="e">
        <f>'Secondary cum Calculation'!W255</f>
        <v>#DIV/0!</v>
      </c>
      <c r="X100" s="211" t="e">
        <f>'Secondary cum Calculation'!X255</f>
        <v>#DIV/0!</v>
      </c>
    </row>
    <row r="101" spans="1:31">
      <c r="A101" s="6" t="str">
        <f>'Secondary cum Calculation'!A257</f>
        <v>Poland</v>
      </c>
      <c r="B101" s="119" t="str">
        <f>'Secondary cum Calculation'!B257</f>
        <v>Tourism Flows</v>
      </c>
      <c r="C101" s="119" t="str">
        <f>'Secondary cum Calculation'!C257</f>
        <v>International Arrivals by Place of Origin</v>
      </c>
      <c r="D101" s="119" t="str">
        <f>'Secondary cum Calculation'!D257</f>
        <v>Africa</v>
      </c>
      <c r="E101" s="6" t="str">
        <f>'Secondary cum Calculation'!E257</f>
        <v>Réunion</v>
      </c>
      <c r="F101" s="7" t="str">
        <f>'Secondary cum Calculation'!F257</f>
        <v>The number of international arrivals to a country originating from Réunion</v>
      </c>
      <c r="G101" s="7" t="str">
        <f>'Secondary cum Calculation'!G257</f>
        <v>Tourism Demand &amp; Flows Database</v>
      </c>
      <c r="H101" s="7" t="str">
        <f>'Secondary cum Calculation'!H257</f>
        <v>New</v>
      </c>
      <c r="I101" s="7">
        <f>'Secondary cum Calculation'!I257</f>
        <v>0</v>
      </c>
      <c r="J101" s="7" t="str">
        <f>'Secondary cum Calculation'!J257</f>
        <v>Thousand</v>
      </c>
      <c r="K101" s="8">
        <f>'Secondary cum Calculation'!K257</f>
        <v>0</v>
      </c>
      <c r="L101" s="218">
        <f>'Secondary cum Calculation'!L257</f>
        <v>0</v>
      </c>
      <c r="M101" s="218">
        <f>'Secondary cum Calculation'!M257</f>
        <v>0</v>
      </c>
      <c r="N101" s="218">
        <f>'Secondary cum Calculation'!N257</f>
        <v>0</v>
      </c>
      <c r="O101" s="218">
        <f>'Secondary cum Calculation'!O257</f>
        <v>0</v>
      </c>
      <c r="P101" s="218">
        <f>'Secondary cum Calculation'!P257</f>
        <v>0</v>
      </c>
      <c r="Q101" s="218">
        <f>'Secondary cum Calculation'!Q257</f>
        <v>0</v>
      </c>
      <c r="W101" s="211" t="e">
        <f>'Secondary cum Calculation'!W257</f>
        <v>#DIV/0!</v>
      </c>
      <c r="X101" s="211" t="e">
        <f>'Secondary cum Calculation'!X257</f>
        <v>#DIV/0!</v>
      </c>
    </row>
    <row r="102" spans="1:31">
      <c r="A102" s="6" t="str">
        <f>'Secondary cum Calculation'!A259</f>
        <v>Poland</v>
      </c>
      <c r="B102" s="119" t="str">
        <f>'Secondary cum Calculation'!B259</f>
        <v>Tourism Flows</v>
      </c>
      <c r="C102" s="119" t="str">
        <f>'Secondary cum Calculation'!C259</f>
        <v>International Arrivals by Place of Origin</v>
      </c>
      <c r="D102" s="119" t="str">
        <f>'Secondary cum Calculation'!D259</f>
        <v>Africa</v>
      </c>
      <c r="E102" s="6" t="str">
        <f>'Secondary cum Calculation'!E259</f>
        <v>Rwanda</v>
      </c>
      <c r="F102" s="7" t="str">
        <f>'Secondary cum Calculation'!F259</f>
        <v>The number of international arrivals to a country originating from Rwanda</v>
      </c>
      <c r="G102" s="7" t="str">
        <f>'Secondary cum Calculation'!G259</f>
        <v>Tourism Demand &amp; Flows Database</v>
      </c>
      <c r="H102" s="7" t="str">
        <f>'Secondary cum Calculation'!H259</f>
        <v>New</v>
      </c>
      <c r="I102" s="7">
        <f>'Secondary cum Calculation'!I259</f>
        <v>0</v>
      </c>
      <c r="J102" s="7" t="str">
        <f>'Secondary cum Calculation'!J259</f>
        <v>Thousand</v>
      </c>
      <c r="K102" s="8">
        <f>'Secondary cum Calculation'!K259</f>
        <v>0</v>
      </c>
      <c r="L102" s="218">
        <f>'Secondary cum Calculation'!L259</f>
        <v>0</v>
      </c>
      <c r="M102" s="218">
        <f>'Secondary cum Calculation'!M259</f>
        <v>0</v>
      </c>
      <c r="N102" s="218">
        <f>'Secondary cum Calculation'!N259</f>
        <v>0</v>
      </c>
      <c r="O102" s="218">
        <f>'Secondary cum Calculation'!O259</f>
        <v>0</v>
      </c>
      <c r="P102" s="218">
        <f>'Secondary cum Calculation'!P259</f>
        <v>0</v>
      </c>
      <c r="Q102" s="218">
        <f>'Secondary cum Calculation'!Q259</f>
        <v>0</v>
      </c>
      <c r="W102" s="211" t="e">
        <f>'Secondary cum Calculation'!W259</f>
        <v>#DIV/0!</v>
      </c>
      <c r="X102" s="211" t="e">
        <f>'Secondary cum Calculation'!X259</f>
        <v>#DIV/0!</v>
      </c>
    </row>
    <row r="103" spans="1:31">
      <c r="A103" s="6" t="str">
        <f>'Secondary cum Calculation'!A261</f>
        <v>Poland</v>
      </c>
      <c r="B103" s="119" t="str">
        <f>'Secondary cum Calculation'!B261</f>
        <v>Tourism Flows</v>
      </c>
      <c r="C103" s="119" t="str">
        <f>'Secondary cum Calculation'!C261</f>
        <v>International Arrivals by Place of Origin</v>
      </c>
      <c r="D103" s="119" t="str">
        <f>'Secondary cum Calculation'!D261</f>
        <v>Africa</v>
      </c>
      <c r="E103" s="6" t="str">
        <f>'Secondary cum Calculation'!E261</f>
        <v>Senegal</v>
      </c>
      <c r="F103" s="7" t="str">
        <f>'Secondary cum Calculation'!F261</f>
        <v>The number of international arrivals to a country originating from Senegal</v>
      </c>
      <c r="G103" s="7" t="str">
        <f>'Secondary cum Calculation'!G261</f>
        <v>Tourism Demand &amp; Flows Database</v>
      </c>
      <c r="H103" s="7" t="str">
        <f>'Secondary cum Calculation'!H261</f>
        <v>New</v>
      </c>
      <c r="I103" s="7">
        <f>'Secondary cum Calculation'!I261</f>
        <v>0</v>
      </c>
      <c r="J103" s="7" t="str">
        <f>'Secondary cum Calculation'!J261</f>
        <v>Thousand</v>
      </c>
      <c r="K103" s="8">
        <f>'Secondary cum Calculation'!K261</f>
        <v>0</v>
      </c>
      <c r="L103" s="218">
        <f>'Secondary cum Calculation'!L261</f>
        <v>0</v>
      </c>
      <c r="M103" s="218">
        <f>'Secondary cum Calculation'!M261</f>
        <v>0</v>
      </c>
      <c r="N103" s="218">
        <f>'Secondary cum Calculation'!N261</f>
        <v>0</v>
      </c>
      <c r="O103" s="218">
        <f>'Secondary cum Calculation'!O261</f>
        <v>0</v>
      </c>
      <c r="P103" s="218">
        <f>'Secondary cum Calculation'!P261</f>
        <v>0</v>
      </c>
      <c r="Q103" s="218">
        <f>'Secondary cum Calculation'!Q261</f>
        <v>0</v>
      </c>
      <c r="W103" s="211" t="e">
        <f>'Secondary cum Calculation'!W261</f>
        <v>#DIV/0!</v>
      </c>
      <c r="X103" s="211" t="e">
        <f>'Secondary cum Calculation'!X261</f>
        <v>#DIV/0!</v>
      </c>
    </row>
    <row r="104" spans="1:31">
      <c r="A104" s="6" t="str">
        <f>'Secondary cum Calculation'!A263</f>
        <v>Poland</v>
      </c>
      <c r="B104" s="119" t="str">
        <f>'Secondary cum Calculation'!B263</f>
        <v>Tourism Flows</v>
      </c>
      <c r="C104" s="119" t="str">
        <f>'Secondary cum Calculation'!C263</f>
        <v>International Arrivals by Place of Origin</v>
      </c>
      <c r="D104" s="119" t="str">
        <f>'Secondary cum Calculation'!D263</f>
        <v>Africa</v>
      </c>
      <c r="E104" s="6" t="str">
        <f>'Secondary cum Calculation'!E263</f>
        <v>Sierra Leone</v>
      </c>
      <c r="F104" s="7" t="str">
        <f>'Secondary cum Calculation'!F263</f>
        <v>The number of international arrivals to a country originating from Sierra Leone</v>
      </c>
      <c r="G104" s="7" t="str">
        <f>'Secondary cum Calculation'!G263</f>
        <v>Tourism Demand &amp; Flows Database</v>
      </c>
      <c r="H104" s="7" t="str">
        <f>'Secondary cum Calculation'!H263</f>
        <v>New</v>
      </c>
      <c r="I104" s="7">
        <f>'Secondary cum Calculation'!I263</f>
        <v>0</v>
      </c>
      <c r="J104" s="7" t="str">
        <f>'Secondary cum Calculation'!J263</f>
        <v>Thousand</v>
      </c>
      <c r="K104" s="8">
        <f>'Secondary cum Calculation'!K263</f>
        <v>0</v>
      </c>
      <c r="L104" s="218">
        <f>'Secondary cum Calculation'!L263</f>
        <v>0</v>
      </c>
      <c r="M104" s="218">
        <f>'Secondary cum Calculation'!M263</f>
        <v>0</v>
      </c>
      <c r="N104" s="218">
        <f>'Secondary cum Calculation'!N263</f>
        <v>0</v>
      </c>
      <c r="O104" s="218">
        <f>'Secondary cum Calculation'!O263</f>
        <v>0</v>
      </c>
      <c r="P104" s="218">
        <f>'Secondary cum Calculation'!P263</f>
        <v>0</v>
      </c>
      <c r="Q104" s="218">
        <f>'Secondary cum Calculation'!Q263</f>
        <v>0</v>
      </c>
      <c r="W104" s="211" t="e">
        <f>'Secondary cum Calculation'!W263</f>
        <v>#DIV/0!</v>
      </c>
      <c r="X104" s="211" t="e">
        <f>'Secondary cum Calculation'!X263</f>
        <v>#DIV/0!</v>
      </c>
    </row>
    <row r="105" spans="1:31">
      <c r="A105" s="6" t="str">
        <f>'Secondary cum Calculation'!A265</f>
        <v>Poland</v>
      </c>
      <c r="B105" s="119" t="str">
        <f>'Secondary cum Calculation'!B265</f>
        <v>Tourism Flows</v>
      </c>
      <c r="C105" s="119" t="str">
        <f>'Secondary cum Calculation'!C265</f>
        <v>International Arrivals by Place of Origin</v>
      </c>
      <c r="D105" s="119" t="str">
        <f>'Secondary cum Calculation'!D265</f>
        <v>Africa</v>
      </c>
      <c r="E105" s="6" t="str">
        <f>'Secondary cum Calculation'!E265</f>
        <v>Somalia</v>
      </c>
      <c r="F105" s="7" t="str">
        <f>'Secondary cum Calculation'!F265</f>
        <v>The number of international arrivals to a country originating from Somalia</v>
      </c>
      <c r="G105" s="7" t="str">
        <f>'Secondary cum Calculation'!G265</f>
        <v>Tourism Demand &amp; Flows Database</v>
      </c>
      <c r="H105" s="7" t="str">
        <f>'Secondary cum Calculation'!H265</f>
        <v>New</v>
      </c>
      <c r="I105" s="7">
        <f>'Secondary cum Calculation'!I265</f>
        <v>0</v>
      </c>
      <c r="J105" s="7" t="str">
        <f>'Secondary cum Calculation'!J265</f>
        <v>Thousand</v>
      </c>
      <c r="K105" s="8">
        <f>'Secondary cum Calculation'!K265</f>
        <v>0</v>
      </c>
      <c r="L105" s="218">
        <f>'Secondary cum Calculation'!L265</f>
        <v>0</v>
      </c>
      <c r="M105" s="218">
        <f>'Secondary cum Calculation'!M265</f>
        <v>0</v>
      </c>
      <c r="N105" s="218">
        <f>'Secondary cum Calculation'!N265</f>
        <v>0</v>
      </c>
      <c r="O105" s="218">
        <f>'Secondary cum Calculation'!O265</f>
        <v>0</v>
      </c>
      <c r="P105" s="218">
        <f>'Secondary cum Calculation'!P265</f>
        <v>0</v>
      </c>
      <c r="Q105" s="218">
        <f>'Secondary cum Calculation'!Q265</f>
        <v>0</v>
      </c>
      <c r="W105" s="211" t="e">
        <f>'Secondary cum Calculation'!W265</f>
        <v>#DIV/0!</v>
      </c>
      <c r="X105" s="211" t="e">
        <f>'Secondary cum Calculation'!X265</f>
        <v>#DIV/0!</v>
      </c>
    </row>
    <row r="106" spans="1:31">
      <c r="A106" s="6" t="str">
        <f>'Secondary cum Calculation'!A267</f>
        <v>Poland</v>
      </c>
      <c r="B106" s="119" t="str">
        <f>'Secondary cum Calculation'!B267</f>
        <v>Tourism Flows</v>
      </c>
      <c r="C106" s="119" t="str">
        <f>'Secondary cum Calculation'!C267</f>
        <v>International Arrivals by Place of Origin</v>
      </c>
      <c r="D106" s="119" t="str">
        <f>'Secondary cum Calculation'!D267</f>
        <v>Africa</v>
      </c>
      <c r="E106" s="6" t="str">
        <f>'Secondary cum Calculation'!E267</f>
        <v>South Africa</v>
      </c>
      <c r="F106" s="7" t="str">
        <f>'Secondary cum Calculation'!F267</f>
        <v>The number of international arrivals to a country originating from South Africa</v>
      </c>
      <c r="G106" s="7" t="str">
        <f>'Secondary cum Calculation'!G267</f>
        <v>Tourism Demand &amp; Flows Database</v>
      </c>
      <c r="H106" s="7" t="str">
        <f>'Secondary cum Calculation'!H267</f>
        <v>New</v>
      </c>
      <c r="I106" s="7">
        <f>'Secondary cum Calculation'!I267</f>
        <v>0</v>
      </c>
      <c r="J106" s="7" t="str">
        <f>'Secondary cum Calculation'!J267</f>
        <v>Thousand</v>
      </c>
      <c r="K106" s="8">
        <f>'Secondary cum Calculation'!K267</f>
        <v>89.016999999999996</v>
      </c>
      <c r="L106" s="218">
        <f>'Secondary cum Calculation'!L267</f>
        <v>0</v>
      </c>
      <c r="M106" s="218">
        <f>'Secondary cum Calculation'!M267</f>
        <v>0</v>
      </c>
      <c r="N106" s="218">
        <f>'Secondary cum Calculation'!N267</f>
        <v>0</v>
      </c>
      <c r="O106" s="218">
        <f>'Secondary cum Calculation'!O267</f>
        <v>0</v>
      </c>
      <c r="P106" s="218">
        <f>'Secondary cum Calculation'!P267</f>
        <v>0</v>
      </c>
      <c r="Q106" s="218">
        <f>'Secondary cum Calculation'!Q267</f>
        <v>0</v>
      </c>
      <c r="W106" s="211" t="e">
        <f>'Secondary cum Calculation'!W267</f>
        <v>#DIV/0!</v>
      </c>
      <c r="X106" s="211" t="e">
        <f>'Secondary cum Calculation'!X267</f>
        <v>#DIV/0!</v>
      </c>
      <c r="Z106" s="12"/>
      <c r="AA106" s="12"/>
      <c r="AB106" s="12"/>
      <c r="AC106" s="12"/>
      <c r="AD106" s="12"/>
    </row>
    <row r="107" spans="1:31" s="41" customFormat="1">
      <c r="A107" s="6" t="str">
        <f>'Secondary cum Calculation'!A269</f>
        <v>Poland</v>
      </c>
      <c r="B107" s="119" t="str">
        <f>'Secondary cum Calculation'!B269</f>
        <v>Tourism Flows</v>
      </c>
      <c r="C107" s="119" t="str">
        <f>'Secondary cum Calculation'!C269</f>
        <v>International Arrivals by Place of Origin</v>
      </c>
      <c r="D107" s="119" t="str">
        <f>'Secondary cum Calculation'!D269</f>
        <v>Africa</v>
      </c>
      <c r="E107" s="6" t="str">
        <f>'Secondary cum Calculation'!E269</f>
        <v>Sudan</v>
      </c>
      <c r="F107" s="7" t="str">
        <f>'Secondary cum Calculation'!F269</f>
        <v>The number of international arrivals to a country originating from Sudan</v>
      </c>
      <c r="G107" s="7" t="str">
        <f>'Secondary cum Calculation'!G269</f>
        <v>Tourism Demand &amp; Flows Database</v>
      </c>
      <c r="H107" s="7" t="str">
        <f>'Secondary cum Calculation'!H269</f>
        <v>New</v>
      </c>
      <c r="I107" s="7">
        <f>'Secondary cum Calculation'!I269</f>
        <v>0</v>
      </c>
      <c r="J107" s="7" t="str">
        <f>'Secondary cum Calculation'!J269</f>
        <v>Thousand</v>
      </c>
      <c r="K107" s="8">
        <f>'Secondary cum Calculation'!K269</f>
        <v>0</v>
      </c>
      <c r="L107" s="218">
        <f>'Secondary cum Calculation'!L269</f>
        <v>0</v>
      </c>
      <c r="M107" s="218">
        <f>'Secondary cum Calculation'!M269</f>
        <v>0</v>
      </c>
      <c r="N107" s="218">
        <f>'Secondary cum Calculation'!N269</f>
        <v>0</v>
      </c>
      <c r="O107" s="219">
        <f>'Secondary cum Calculation'!O269</f>
        <v>0</v>
      </c>
      <c r="P107" s="219">
        <f>'Secondary cum Calculation'!P269</f>
        <v>0</v>
      </c>
      <c r="Q107" s="219">
        <f>'Secondary cum Calculation'!Q269</f>
        <v>0</v>
      </c>
      <c r="R107" s="135"/>
      <c r="S107" s="135"/>
      <c r="T107" s="135"/>
      <c r="U107" s="135"/>
      <c r="V107" s="135"/>
      <c r="W107" s="211" t="e">
        <f>'Secondary cum Calculation'!W269</f>
        <v>#DIV/0!</v>
      </c>
      <c r="X107" s="211" t="e">
        <f>'Secondary cum Calculation'!X269</f>
        <v>#DIV/0!</v>
      </c>
      <c r="Y107" s="7"/>
      <c r="Z107" s="7"/>
      <c r="AA107" s="7"/>
      <c r="AB107" s="7"/>
      <c r="AC107" s="7"/>
      <c r="AD107" s="7"/>
      <c r="AE107" s="7"/>
    </row>
    <row r="108" spans="1:31">
      <c r="A108" s="6" t="str">
        <f>'Secondary cum Calculation'!A271</f>
        <v>Poland</v>
      </c>
      <c r="B108" s="119" t="str">
        <f>'Secondary cum Calculation'!B271</f>
        <v>Tourism Flows</v>
      </c>
      <c r="C108" s="119" t="str">
        <f>'Secondary cum Calculation'!C271</f>
        <v>International Arrivals by Place of Origin</v>
      </c>
      <c r="D108" s="119" t="str">
        <f>'Secondary cum Calculation'!D271</f>
        <v>Africa</v>
      </c>
      <c r="E108" s="6" t="str">
        <f>'Secondary cum Calculation'!E271</f>
        <v>Swaziland</v>
      </c>
      <c r="F108" s="7" t="str">
        <f>'Secondary cum Calculation'!F271</f>
        <v>The number of international arrivals to a country originating from Swaziland</v>
      </c>
      <c r="G108" s="7" t="str">
        <f>'Secondary cum Calculation'!G271</f>
        <v>Tourism Demand &amp; Flows Database</v>
      </c>
      <c r="H108" s="7" t="str">
        <f>'Secondary cum Calculation'!H271</f>
        <v>New</v>
      </c>
      <c r="I108" s="7">
        <f>'Secondary cum Calculation'!I271</f>
        <v>0</v>
      </c>
      <c r="J108" s="7" t="str">
        <f>'Secondary cum Calculation'!J271</f>
        <v>Thousand</v>
      </c>
      <c r="K108" s="8">
        <f>'Secondary cum Calculation'!K271</f>
        <v>0</v>
      </c>
      <c r="L108" s="218">
        <f>'Secondary cum Calculation'!L271</f>
        <v>0</v>
      </c>
      <c r="M108" s="218">
        <f>'Secondary cum Calculation'!M271</f>
        <v>0</v>
      </c>
      <c r="N108" s="218">
        <f>'Secondary cum Calculation'!N271</f>
        <v>0</v>
      </c>
      <c r="O108" s="218">
        <f>'Secondary cum Calculation'!O271</f>
        <v>0</v>
      </c>
      <c r="P108" s="218">
        <f>'Secondary cum Calculation'!P271</f>
        <v>0</v>
      </c>
      <c r="Q108" s="218">
        <f>'Secondary cum Calculation'!Q271</f>
        <v>0</v>
      </c>
      <c r="W108" s="211" t="e">
        <f>'Secondary cum Calculation'!W271</f>
        <v>#DIV/0!</v>
      </c>
      <c r="X108" s="211" t="e">
        <f>'Secondary cum Calculation'!X271</f>
        <v>#DIV/0!</v>
      </c>
    </row>
    <row r="109" spans="1:31">
      <c r="A109" s="6" t="str">
        <f>'Secondary cum Calculation'!A273</f>
        <v>Poland</v>
      </c>
      <c r="B109" s="119" t="str">
        <f>'Secondary cum Calculation'!B273</f>
        <v>Tourism Flows</v>
      </c>
      <c r="C109" s="119" t="str">
        <f>'Secondary cum Calculation'!C273</f>
        <v>International Arrivals by Place of Origin</v>
      </c>
      <c r="D109" s="119" t="str">
        <f>'Secondary cum Calculation'!D273</f>
        <v>Africa</v>
      </c>
      <c r="E109" s="6" t="str">
        <f>'Secondary cum Calculation'!E273</f>
        <v>Togo</v>
      </c>
      <c r="F109" s="7" t="str">
        <f>'Secondary cum Calculation'!F273</f>
        <v>The number of international arrivals to a country originating from Togo</v>
      </c>
      <c r="G109" s="7" t="str">
        <f>'Secondary cum Calculation'!G273</f>
        <v>Tourism Demand &amp; Flows Database</v>
      </c>
      <c r="H109" s="7" t="str">
        <f>'Secondary cum Calculation'!H273</f>
        <v>New</v>
      </c>
      <c r="I109" s="7">
        <f>'Secondary cum Calculation'!I273</f>
        <v>0</v>
      </c>
      <c r="J109" s="7" t="str">
        <f>'Secondary cum Calculation'!J273</f>
        <v>Thousand</v>
      </c>
      <c r="K109" s="8">
        <f>'Secondary cum Calculation'!K273</f>
        <v>0</v>
      </c>
      <c r="L109" s="218">
        <f>'Secondary cum Calculation'!L273</f>
        <v>0</v>
      </c>
      <c r="M109" s="218">
        <f>'Secondary cum Calculation'!M273</f>
        <v>0</v>
      </c>
      <c r="N109" s="218">
        <f>'Secondary cum Calculation'!N273</f>
        <v>0</v>
      </c>
      <c r="O109" s="218">
        <f>'Secondary cum Calculation'!O273</f>
        <v>0</v>
      </c>
      <c r="P109" s="218">
        <f>'Secondary cum Calculation'!P273</f>
        <v>0</v>
      </c>
      <c r="Q109" s="218">
        <f>'Secondary cum Calculation'!Q273</f>
        <v>0</v>
      </c>
      <c r="W109" s="211" t="e">
        <f>'Secondary cum Calculation'!W273</f>
        <v>#DIV/0!</v>
      </c>
      <c r="X109" s="211" t="e">
        <f>'Secondary cum Calculation'!X273</f>
        <v>#DIV/0!</v>
      </c>
    </row>
    <row r="110" spans="1:31">
      <c r="A110" s="6" t="str">
        <f>'Secondary cum Calculation'!A275</f>
        <v>Poland</v>
      </c>
      <c r="B110" s="119" t="str">
        <f>'Secondary cum Calculation'!B275</f>
        <v>Tourism Flows</v>
      </c>
      <c r="C110" s="119" t="str">
        <f>'Secondary cum Calculation'!C275</f>
        <v>International Arrivals by Place of Origin</v>
      </c>
      <c r="D110" s="119" t="str">
        <f>'Secondary cum Calculation'!D275</f>
        <v>Africa</v>
      </c>
      <c r="E110" s="6" t="str">
        <f>'Secondary cum Calculation'!E275</f>
        <v>Tonga</v>
      </c>
      <c r="F110" s="7" t="str">
        <f>'Secondary cum Calculation'!F275</f>
        <v>The number of international arrivals to a country originating from Tonga</v>
      </c>
      <c r="G110" s="7" t="str">
        <f>'Secondary cum Calculation'!G275</f>
        <v>Tourism Demand &amp; Flows Database</v>
      </c>
      <c r="H110" s="7" t="str">
        <f>'Secondary cum Calculation'!H275</f>
        <v>New</v>
      </c>
      <c r="I110" s="7">
        <f>'Secondary cum Calculation'!I275</f>
        <v>0</v>
      </c>
      <c r="J110" s="7" t="str">
        <f>'Secondary cum Calculation'!J275</f>
        <v>Thousand</v>
      </c>
      <c r="K110" s="8">
        <f>'Secondary cum Calculation'!K275</f>
        <v>0</v>
      </c>
      <c r="L110" s="218">
        <f>'Secondary cum Calculation'!L275</f>
        <v>0</v>
      </c>
      <c r="M110" s="218">
        <f>'Secondary cum Calculation'!M275</f>
        <v>0</v>
      </c>
      <c r="N110" s="218">
        <f>'Secondary cum Calculation'!N275</f>
        <v>0</v>
      </c>
      <c r="O110" s="218">
        <f>'Secondary cum Calculation'!O275</f>
        <v>0</v>
      </c>
      <c r="P110" s="218">
        <f>'Secondary cum Calculation'!P275</f>
        <v>0</v>
      </c>
      <c r="Q110" s="218">
        <f>'Secondary cum Calculation'!Q275</f>
        <v>0</v>
      </c>
      <c r="W110" s="211" t="e">
        <f>'Secondary cum Calculation'!W275</f>
        <v>#DIV/0!</v>
      </c>
      <c r="X110" s="211" t="e">
        <f>'Secondary cum Calculation'!X275</f>
        <v>#DIV/0!</v>
      </c>
    </row>
    <row r="111" spans="1:31">
      <c r="A111" s="6" t="str">
        <f>'Secondary cum Calculation'!A277</f>
        <v>Poland</v>
      </c>
      <c r="B111" s="119" t="str">
        <f>'Secondary cum Calculation'!B277</f>
        <v>Tourism Flows</v>
      </c>
      <c r="C111" s="119" t="str">
        <f>'Secondary cum Calculation'!C277</f>
        <v>International Arrivals by Place of Origin</v>
      </c>
      <c r="D111" s="119" t="str">
        <f>'Secondary cum Calculation'!D277</f>
        <v>Africa</v>
      </c>
      <c r="E111" s="6" t="str">
        <f>'Secondary cum Calculation'!E277</f>
        <v>Tunisia</v>
      </c>
      <c r="F111" s="7" t="str">
        <f>'Secondary cum Calculation'!F277</f>
        <v>The number of international arrivals to a country originating from Tunisia</v>
      </c>
      <c r="G111" s="7" t="str">
        <f>'Secondary cum Calculation'!G277</f>
        <v>Tourism Demand &amp; Flows Database</v>
      </c>
      <c r="H111" s="7" t="str">
        <f>'Secondary cum Calculation'!H277</f>
        <v>New</v>
      </c>
      <c r="I111" s="7">
        <f>'Secondary cum Calculation'!I277</f>
        <v>0</v>
      </c>
      <c r="J111" s="7" t="str">
        <f>'Secondary cum Calculation'!J277</f>
        <v>Thousand</v>
      </c>
      <c r="K111" s="8">
        <f>'Secondary cum Calculation'!K277</f>
        <v>0</v>
      </c>
      <c r="L111" s="218">
        <f>'Secondary cum Calculation'!L277</f>
        <v>0</v>
      </c>
      <c r="M111" s="218">
        <f>'Secondary cum Calculation'!M277</f>
        <v>0</v>
      </c>
      <c r="N111" s="218">
        <f>'Secondary cum Calculation'!N277</f>
        <v>0</v>
      </c>
      <c r="O111" s="218">
        <f>'Secondary cum Calculation'!O277</f>
        <v>0</v>
      </c>
      <c r="P111" s="218">
        <f>'Secondary cum Calculation'!P277</f>
        <v>0</v>
      </c>
      <c r="Q111" s="218">
        <f>'Secondary cum Calculation'!Q277</f>
        <v>0</v>
      </c>
      <c r="W111" s="211" t="e">
        <f>'Secondary cum Calculation'!W277</f>
        <v>#DIV/0!</v>
      </c>
      <c r="X111" s="211" t="e">
        <f>'Secondary cum Calculation'!X277</f>
        <v>#DIV/0!</v>
      </c>
    </row>
    <row r="112" spans="1:31">
      <c r="A112" s="6" t="str">
        <f>'Secondary cum Calculation'!A279</f>
        <v>Poland</v>
      </c>
      <c r="B112" s="119" t="str">
        <f>'Secondary cum Calculation'!B279</f>
        <v>Tourism Flows</v>
      </c>
      <c r="C112" s="119" t="str">
        <f>'Secondary cum Calculation'!C279</f>
        <v>International Arrivals by Place of Origin</v>
      </c>
      <c r="D112" s="119" t="str">
        <f>'Secondary cum Calculation'!D279</f>
        <v>Africa</v>
      </c>
      <c r="E112" s="6" t="str">
        <f>'Secondary cum Calculation'!E279</f>
        <v>Uganda</v>
      </c>
      <c r="F112" s="7" t="str">
        <f>'Secondary cum Calculation'!F279</f>
        <v>The number of international arrivals to a country originating from Uganda</v>
      </c>
      <c r="G112" s="7" t="str">
        <f>'Secondary cum Calculation'!G279</f>
        <v>Tourism Demand &amp; Flows Database</v>
      </c>
      <c r="H112" s="7" t="str">
        <f>'Secondary cum Calculation'!H279</f>
        <v>New</v>
      </c>
      <c r="I112" s="7">
        <f>'Secondary cum Calculation'!I279</f>
        <v>0</v>
      </c>
      <c r="J112" s="7" t="str">
        <f>'Secondary cum Calculation'!J279</f>
        <v>Thousand</v>
      </c>
      <c r="K112" s="8">
        <f>'Secondary cum Calculation'!K279</f>
        <v>0</v>
      </c>
      <c r="L112" s="218">
        <f>'Secondary cum Calculation'!L279</f>
        <v>0</v>
      </c>
      <c r="M112" s="218">
        <f>'Secondary cum Calculation'!M279</f>
        <v>0</v>
      </c>
      <c r="N112" s="218">
        <f>'Secondary cum Calculation'!N279</f>
        <v>0</v>
      </c>
      <c r="O112" s="218">
        <f>'Secondary cum Calculation'!O279</f>
        <v>0</v>
      </c>
      <c r="P112" s="218">
        <f>'Secondary cum Calculation'!P279</f>
        <v>0</v>
      </c>
      <c r="Q112" s="218">
        <f>'Secondary cum Calculation'!Q279</f>
        <v>0</v>
      </c>
      <c r="W112" s="211" t="e">
        <f>'Secondary cum Calculation'!W279</f>
        <v>#DIV/0!</v>
      </c>
      <c r="X112" s="211" t="e">
        <f>'Secondary cum Calculation'!X279</f>
        <v>#DIV/0!</v>
      </c>
    </row>
    <row r="113" spans="1:30">
      <c r="A113" s="6" t="str">
        <f>'Secondary cum Calculation'!A281</f>
        <v>Poland</v>
      </c>
      <c r="B113" s="119" t="str">
        <f>'Secondary cum Calculation'!B281</f>
        <v>Tourism Flows</v>
      </c>
      <c r="C113" s="119" t="str">
        <f>'Secondary cum Calculation'!C281</f>
        <v>International Arrivals by Place of Origin</v>
      </c>
      <c r="D113" s="119" t="str">
        <f>'Secondary cum Calculation'!D281</f>
        <v>Africa</v>
      </c>
      <c r="E113" s="6" t="str">
        <f>'Secondary cum Calculation'!E281</f>
        <v>United Republic of Tanzania</v>
      </c>
      <c r="F113" s="7" t="str">
        <f>'Secondary cum Calculation'!F281</f>
        <v>The number of international arrivals to a country originating from United Republic of Tanzania</v>
      </c>
      <c r="G113" s="7" t="str">
        <f>'Secondary cum Calculation'!G281</f>
        <v>Tourism Demand &amp; Flows Database</v>
      </c>
      <c r="H113" s="7" t="str">
        <f>'Secondary cum Calculation'!H281</f>
        <v>New</v>
      </c>
      <c r="I113" s="7">
        <f>'Secondary cum Calculation'!I281</f>
        <v>0</v>
      </c>
      <c r="J113" s="7" t="str">
        <f>'Secondary cum Calculation'!J281</f>
        <v>Thousand</v>
      </c>
      <c r="K113" s="8">
        <f>'Secondary cum Calculation'!K281</f>
        <v>0</v>
      </c>
      <c r="L113" s="218">
        <f>'Secondary cum Calculation'!L281</f>
        <v>0</v>
      </c>
      <c r="M113" s="218">
        <f>'Secondary cum Calculation'!M281</f>
        <v>0</v>
      </c>
      <c r="N113" s="218">
        <f>'Secondary cum Calculation'!N281</f>
        <v>0</v>
      </c>
      <c r="O113" s="218">
        <f>'Secondary cum Calculation'!O281</f>
        <v>0</v>
      </c>
      <c r="P113" s="218">
        <f>'Secondary cum Calculation'!P281</f>
        <v>0</v>
      </c>
      <c r="Q113" s="218">
        <f>'Secondary cum Calculation'!Q281</f>
        <v>0</v>
      </c>
      <c r="W113" s="211" t="e">
        <f>'Secondary cum Calculation'!W281</f>
        <v>#DIV/0!</v>
      </c>
      <c r="X113" s="211" t="e">
        <f>'Secondary cum Calculation'!X281</f>
        <v>#DIV/0!</v>
      </c>
    </row>
    <row r="114" spans="1:30">
      <c r="A114" s="6" t="str">
        <f>'Secondary cum Calculation'!A283</f>
        <v>Poland</v>
      </c>
      <c r="B114" s="119" t="str">
        <f>'Secondary cum Calculation'!B283</f>
        <v>Tourism Flows</v>
      </c>
      <c r="C114" s="119" t="str">
        <f>'Secondary cum Calculation'!C283</f>
        <v>International Arrivals by Place of Origin</v>
      </c>
      <c r="D114" s="119" t="str">
        <f>'Secondary cum Calculation'!D283</f>
        <v>Africa</v>
      </c>
      <c r="E114" s="6" t="str">
        <f>'Secondary cum Calculation'!E283</f>
        <v>Western Sahara</v>
      </c>
      <c r="F114" s="7" t="str">
        <f>'Secondary cum Calculation'!F283</f>
        <v>The number of international arrivals to a country originating from Western Sahara</v>
      </c>
      <c r="G114" s="7" t="str">
        <f>'Secondary cum Calculation'!G283</f>
        <v>Tourism Demand &amp; Flows Database</v>
      </c>
      <c r="H114" s="7" t="str">
        <f>'Secondary cum Calculation'!H283</f>
        <v>New</v>
      </c>
      <c r="I114" s="7">
        <f>'Secondary cum Calculation'!I283</f>
        <v>0</v>
      </c>
      <c r="J114" s="7" t="str">
        <f>'Secondary cum Calculation'!J283</f>
        <v>Thousand</v>
      </c>
      <c r="K114" s="8">
        <f>'Secondary cum Calculation'!K283</f>
        <v>0</v>
      </c>
      <c r="L114" s="218">
        <f>'Secondary cum Calculation'!L283</f>
        <v>0</v>
      </c>
      <c r="M114" s="218">
        <f>'Secondary cum Calculation'!M283</f>
        <v>0</v>
      </c>
      <c r="N114" s="218">
        <f>'Secondary cum Calculation'!N283</f>
        <v>0</v>
      </c>
      <c r="O114" s="218">
        <f>'Secondary cum Calculation'!O283</f>
        <v>0</v>
      </c>
      <c r="P114" s="218">
        <f>'Secondary cum Calculation'!P283</f>
        <v>0</v>
      </c>
      <c r="Q114" s="218">
        <f>'Secondary cum Calculation'!Q283</f>
        <v>0</v>
      </c>
      <c r="W114" s="211" t="e">
        <f>'Secondary cum Calculation'!W283</f>
        <v>#DIV/0!</v>
      </c>
      <c r="X114" s="211" t="e">
        <f>'Secondary cum Calculation'!X283</f>
        <v>#DIV/0!</v>
      </c>
    </row>
    <row r="115" spans="1:30">
      <c r="A115" s="6" t="str">
        <f>'Secondary cum Calculation'!A285</f>
        <v>Poland</v>
      </c>
      <c r="B115" s="119" t="str">
        <f>'Secondary cum Calculation'!B285</f>
        <v>Tourism Flows</v>
      </c>
      <c r="C115" s="119" t="str">
        <f>'Secondary cum Calculation'!C285</f>
        <v>International Arrivals by Place of Origin</v>
      </c>
      <c r="D115" s="119" t="str">
        <f>'Secondary cum Calculation'!D285</f>
        <v>Africa</v>
      </c>
      <c r="E115" s="6" t="str">
        <f>'Secondary cum Calculation'!E285</f>
        <v>Zambia</v>
      </c>
      <c r="F115" s="7" t="str">
        <f>'Secondary cum Calculation'!F285</f>
        <v>The number of international arrivals to a country originating from Zambia</v>
      </c>
      <c r="G115" s="7" t="str">
        <f>'Secondary cum Calculation'!G285</f>
        <v>Tourism Demand &amp; Flows Database</v>
      </c>
      <c r="H115" s="7" t="str">
        <f>'Secondary cum Calculation'!H285</f>
        <v>New</v>
      </c>
      <c r="I115" s="7">
        <f>'Secondary cum Calculation'!I285</f>
        <v>0</v>
      </c>
      <c r="J115" s="7" t="str">
        <f>'Secondary cum Calculation'!J285</f>
        <v>Thousand</v>
      </c>
      <c r="K115" s="8">
        <f>'Secondary cum Calculation'!K285</f>
        <v>0</v>
      </c>
      <c r="L115" s="218">
        <f>'Secondary cum Calculation'!L285</f>
        <v>0</v>
      </c>
      <c r="M115" s="218">
        <f>'Secondary cum Calculation'!M285</f>
        <v>0</v>
      </c>
      <c r="N115" s="218">
        <f>'Secondary cum Calculation'!N285</f>
        <v>0</v>
      </c>
      <c r="O115" s="218">
        <f>'Secondary cum Calculation'!O285</f>
        <v>0</v>
      </c>
      <c r="P115" s="218">
        <f>'Secondary cum Calculation'!P285</f>
        <v>0</v>
      </c>
      <c r="Q115" s="218">
        <f>'Secondary cum Calculation'!Q285</f>
        <v>0</v>
      </c>
      <c r="W115" s="211" t="e">
        <f>'Secondary cum Calculation'!W285</f>
        <v>#DIV/0!</v>
      </c>
      <c r="X115" s="211" t="e">
        <f>'Secondary cum Calculation'!X285</f>
        <v>#DIV/0!</v>
      </c>
    </row>
    <row r="116" spans="1:30">
      <c r="A116" s="6" t="str">
        <f>'Secondary cum Calculation'!A287</f>
        <v>Poland</v>
      </c>
      <c r="B116" s="119" t="str">
        <f>'Secondary cum Calculation'!B287</f>
        <v>Tourism Flows</v>
      </c>
      <c r="C116" s="119" t="str">
        <f>'Secondary cum Calculation'!C287</f>
        <v>International Arrivals by Place of Origin</v>
      </c>
      <c r="D116" s="119" t="str">
        <f>'Secondary cum Calculation'!D287</f>
        <v>Africa</v>
      </c>
      <c r="E116" s="6" t="str">
        <f>'Secondary cum Calculation'!E287</f>
        <v>Zimbabwe</v>
      </c>
      <c r="F116" s="7" t="str">
        <f>'Secondary cum Calculation'!F287</f>
        <v>The number of international arrivals to a country originating from Zimbabwe</v>
      </c>
      <c r="G116" s="7" t="str">
        <f>'Secondary cum Calculation'!G287</f>
        <v>Tourism Demand &amp; Flows Database</v>
      </c>
      <c r="H116" s="7" t="str">
        <f>'Secondary cum Calculation'!H287</f>
        <v>New</v>
      </c>
      <c r="I116" s="7">
        <f>'Secondary cum Calculation'!I287</f>
        <v>0</v>
      </c>
      <c r="J116" s="7" t="str">
        <f>'Secondary cum Calculation'!J287</f>
        <v>Thousand</v>
      </c>
      <c r="K116" s="8">
        <f>'Secondary cum Calculation'!K287</f>
        <v>0</v>
      </c>
      <c r="L116" s="218">
        <f>'Secondary cum Calculation'!L287</f>
        <v>0</v>
      </c>
      <c r="M116" s="218">
        <f>'Secondary cum Calculation'!M287</f>
        <v>0</v>
      </c>
      <c r="N116" s="218">
        <f>'Secondary cum Calculation'!N287</f>
        <v>0</v>
      </c>
      <c r="O116" s="219">
        <f>'Secondary cum Calculation'!O287</f>
        <v>0</v>
      </c>
      <c r="P116" s="219">
        <f>'Secondary cum Calculation'!P287</f>
        <v>0</v>
      </c>
      <c r="Q116" s="219">
        <f>'Secondary cum Calculation'!Q287</f>
        <v>0</v>
      </c>
      <c r="R116" s="135"/>
      <c r="S116" s="135"/>
      <c r="T116" s="135"/>
      <c r="U116" s="135"/>
      <c r="V116" s="135"/>
      <c r="W116" s="211" t="e">
        <f>'Secondary cum Calculation'!W287</f>
        <v>#DIV/0!</v>
      </c>
      <c r="X116" s="211" t="e">
        <f>'Secondary cum Calculation'!X287</f>
        <v>#DIV/0!</v>
      </c>
    </row>
    <row r="117" spans="1:30">
      <c r="A117" s="6" t="str">
        <f>'Secondary cum Calculation'!A289</f>
        <v>Poland</v>
      </c>
      <c r="B117" s="119" t="str">
        <f>'Secondary cum Calculation'!B289</f>
        <v>Tourism Flows</v>
      </c>
      <c r="C117" s="119" t="str">
        <f>'Secondary cum Calculation'!C289</f>
        <v>International Arrivals by Place of Origin</v>
      </c>
      <c r="D117" s="119" t="str">
        <f>'Secondary cum Calculation'!D289</f>
        <v>Africa</v>
      </c>
      <c r="E117" s="6" t="str">
        <f>'Secondary cum Calculation'!E289</f>
        <v>Other African Countries</v>
      </c>
      <c r="F117" s="41" t="str">
        <f>'Secondary cum Calculation'!F289</f>
        <v>To be defined according to the gaps in the country data above</v>
      </c>
      <c r="G117" s="7">
        <f>'Secondary cum Calculation'!G289</f>
        <v>0</v>
      </c>
      <c r="H117" s="7">
        <f>'Secondary cum Calculation'!H289</f>
        <v>0</v>
      </c>
      <c r="I117" s="7">
        <f>'Secondary cum Calculation'!I289</f>
        <v>0</v>
      </c>
      <c r="J117" s="7" t="str">
        <f>'Secondary cum Calculation'!J289</f>
        <v>Thousand</v>
      </c>
      <c r="K117" s="8">
        <f>'Secondary cum Calculation'!K289</f>
        <v>0</v>
      </c>
      <c r="L117" s="365">
        <f>'Secondary cum Calculation'!L289</f>
        <v>52.253451508886499</v>
      </c>
      <c r="M117" s="365">
        <f>'Secondary cum Calculation'!M289</f>
        <v>42.750283164627255</v>
      </c>
      <c r="N117" s="365">
        <f>'Secondary cum Calculation'!N289</f>
        <v>39.565883515656104</v>
      </c>
      <c r="O117" s="366">
        <f>'Secondary cum Calculation'!O289</f>
        <v>44.038197332752539</v>
      </c>
      <c r="P117" s="366">
        <f>'Secondary cum Calculation'!P289</f>
        <v>46.305151599135741</v>
      </c>
      <c r="Q117" s="366">
        <f>'Secondary cum Calculation'!Q289</f>
        <v>54.452575819274571</v>
      </c>
      <c r="R117" s="135"/>
      <c r="S117" s="135"/>
      <c r="T117" s="135"/>
      <c r="U117" s="135"/>
      <c r="V117" s="135"/>
      <c r="W117" s="211">
        <f>'Secondary cum Calculation'!W289</f>
        <v>6.2355469466307545E-2</v>
      </c>
      <c r="X117" s="211">
        <f>'Secondary cum Calculation'!X289</f>
        <v>-1</v>
      </c>
      <c r="Y117" s="371" t="s">
        <v>1345</v>
      </c>
      <c r="AD117" s="7">
        <v>2</v>
      </c>
    </row>
    <row r="118" spans="1:30">
      <c r="A118" s="213" t="str">
        <f>'Secondary cum Calculation'!A291</f>
        <v>Poland</v>
      </c>
      <c r="B118" s="214" t="str">
        <f>'Secondary cum Calculation'!B291</f>
        <v>Tourism Flows</v>
      </c>
      <c r="C118" s="214" t="str">
        <f>'Secondary cum Calculation'!C291</f>
        <v>International Arrivals by Place of Origin</v>
      </c>
      <c r="D118" s="213" t="str">
        <f>'Secondary cum Calculation'!D291</f>
        <v>Asia-Pacific</v>
      </c>
      <c r="E118" s="215"/>
      <c r="F118" s="215" t="str">
        <f>'Secondary cum Calculation'!F291</f>
        <v>The number of international arrivals to a country originating from Asia-Pacific</v>
      </c>
      <c r="G118" s="215" t="str">
        <f>'Secondary cum Calculation'!G291</f>
        <v>Tourism Demand &amp; Flows Database</v>
      </c>
      <c r="H118" s="215" t="str">
        <f>'Secondary cum Calculation'!H291</f>
        <v>New</v>
      </c>
      <c r="I118" s="215">
        <f>'Secondary cum Calculation'!I291</f>
        <v>0</v>
      </c>
      <c r="J118" s="213" t="str">
        <f>'Secondary cum Calculation'!J291</f>
        <v>Thousand</v>
      </c>
      <c r="K118" s="216">
        <f>'Secondary cum Calculation'!K291</f>
        <v>5140.4319999999998</v>
      </c>
      <c r="L118" s="364">
        <f>'Secondary cum Calculation'!L291</f>
        <v>822.5044258198086</v>
      </c>
      <c r="M118" s="364">
        <f>'Secondary cum Calculation'!M291</f>
        <v>680.70556323375399</v>
      </c>
      <c r="N118" s="364">
        <f>'Secondary cum Calculation'!N291</f>
        <v>569.82233984634695</v>
      </c>
      <c r="O118" s="364">
        <f>'Secondary cum Calculation'!O291</f>
        <v>687.95073261616017</v>
      </c>
      <c r="P118" s="364">
        <f>'Secondary cum Calculation'!P291</f>
        <v>717.14721461239287</v>
      </c>
      <c r="Q118" s="364">
        <f>Forecasting!Q287</f>
        <v>809.28505767630531</v>
      </c>
      <c r="R118" s="253">
        <f>Forecasting!R287</f>
        <v>859.38032672872509</v>
      </c>
      <c r="S118" s="253">
        <f>Forecasting!S287</f>
        <v>916.68214928064015</v>
      </c>
      <c r="T118" s="253">
        <f>Forecasting!T287</f>
        <v>963.67209586129081</v>
      </c>
      <c r="U118" s="253">
        <f>Forecasting!U287</f>
        <v>1009.6260463186787</v>
      </c>
      <c r="V118" s="253">
        <f>Forecasting!V287</f>
        <v>1049.6500428244997</v>
      </c>
      <c r="W118" s="246">
        <f>'Secondary cum Calculation'!W291</f>
        <v>4.4204487942453907E-2</v>
      </c>
      <c r="X118" s="246">
        <f>'Secondary cum Calculation'!X291</f>
        <v>5.3388568913122381E-2</v>
      </c>
      <c r="Y118" s="371" t="s">
        <v>1345</v>
      </c>
      <c r="Z118" s="12"/>
      <c r="AA118" s="12"/>
      <c r="AB118" s="12"/>
      <c r="AC118" s="12"/>
      <c r="AD118" s="7">
        <v>2</v>
      </c>
    </row>
    <row r="119" spans="1:30">
      <c r="A119" s="6" t="str">
        <f>'Secondary cum Calculation'!A293</f>
        <v>Poland</v>
      </c>
      <c r="B119" s="119" t="str">
        <f>'Secondary cum Calculation'!B293</f>
        <v>Tourism Flows</v>
      </c>
      <c r="C119" s="119" t="str">
        <f>'Secondary cum Calculation'!C293</f>
        <v>International Arrivals by Place of Origin</v>
      </c>
      <c r="D119" s="119" t="str">
        <f>'Secondary cum Calculation'!D293</f>
        <v>Asia-Pacific</v>
      </c>
      <c r="E119" s="6" t="str">
        <f>'Secondary cum Calculation'!E293</f>
        <v>Afghanistan</v>
      </c>
      <c r="F119" s="7" t="str">
        <f>'Secondary cum Calculation'!F293</f>
        <v>The number of international arrivals to a country originating from Afghanistan</v>
      </c>
      <c r="G119" s="7" t="str">
        <f>'Secondary cum Calculation'!G293</f>
        <v>Tourism Demand &amp; Flows Database</v>
      </c>
      <c r="H119" s="7" t="str">
        <f>'Secondary cum Calculation'!H293</f>
        <v>New</v>
      </c>
      <c r="I119" s="7">
        <f>'Secondary cum Calculation'!I293</f>
        <v>0</v>
      </c>
      <c r="J119" s="7" t="str">
        <f>'Secondary cum Calculation'!J293</f>
        <v>Thousand</v>
      </c>
      <c r="K119" s="8">
        <f>'Secondary cum Calculation'!K293</f>
        <v>0</v>
      </c>
      <c r="L119" s="218">
        <f>'Secondary cum Calculation'!L293</f>
        <v>0</v>
      </c>
      <c r="M119" s="218">
        <f>'Secondary cum Calculation'!M293</f>
        <v>0</v>
      </c>
      <c r="N119" s="218">
        <f>'Secondary cum Calculation'!N293</f>
        <v>0</v>
      </c>
      <c r="O119" s="218">
        <f>'Secondary cum Calculation'!O293</f>
        <v>0</v>
      </c>
      <c r="P119" s="218">
        <f>'Secondary cum Calculation'!P293</f>
        <v>0</v>
      </c>
      <c r="Q119" s="218">
        <f>'Secondary cum Calculation'!Q293</f>
        <v>0</v>
      </c>
      <c r="W119" s="211" t="e">
        <f>'Secondary cum Calculation'!W293</f>
        <v>#DIV/0!</v>
      </c>
      <c r="X119" s="211" t="e">
        <f>'Secondary cum Calculation'!X293</f>
        <v>#DIV/0!</v>
      </c>
    </row>
    <row r="120" spans="1:30">
      <c r="A120" s="6" t="str">
        <f>'Secondary cum Calculation'!A295</f>
        <v>Poland</v>
      </c>
      <c r="B120" s="119" t="str">
        <f>'Secondary cum Calculation'!B295</f>
        <v>Tourism Flows</v>
      </c>
      <c r="C120" s="119" t="str">
        <f>'Secondary cum Calculation'!C295</f>
        <v>International Arrivals by Place of Origin</v>
      </c>
      <c r="D120" s="119" t="str">
        <f>'Secondary cum Calculation'!D295</f>
        <v>Asia-Pacific</v>
      </c>
      <c r="E120" s="6" t="str">
        <f>'Secondary cum Calculation'!E295</f>
        <v>Australia</v>
      </c>
      <c r="F120" s="7" t="str">
        <f>'Secondary cum Calculation'!F295</f>
        <v>The number of international arrivals to a country originating from Australia</v>
      </c>
      <c r="G120" s="7" t="str">
        <f>'Secondary cum Calculation'!G295</f>
        <v>Tourism Demand &amp; Flows Database</v>
      </c>
      <c r="H120" s="7" t="str">
        <f>'Secondary cum Calculation'!H295</f>
        <v>New</v>
      </c>
      <c r="I120" s="7">
        <f>'Secondary cum Calculation'!I295</f>
        <v>0</v>
      </c>
      <c r="J120" s="7" t="str">
        <f>'Secondary cum Calculation'!J295</f>
        <v>Thousand</v>
      </c>
      <c r="K120" s="8">
        <f>'Secondary cum Calculation'!K295</f>
        <v>603.27499999999998</v>
      </c>
      <c r="L120" s="365">
        <f>'Secondary cum Calculation'!L295</f>
        <v>49.677788357336922</v>
      </c>
      <c r="M120" s="365">
        <f>'Secondary cum Calculation'!M295</f>
        <v>45.169744141863092</v>
      </c>
      <c r="N120" s="365">
        <f>'Secondary cum Calculation'!N295</f>
        <v>38.7974395836303</v>
      </c>
      <c r="O120" s="365">
        <f>'Secondary cum Calculation'!O295</f>
        <v>46.422554390896288</v>
      </c>
      <c r="P120" s="365">
        <f>'Secondary cum Calculation'!P295</f>
        <v>49.22683365206322</v>
      </c>
      <c r="Q120" s="365">
        <f>'Secondary cum Calculation'!Q295</f>
        <v>49.596015299292795</v>
      </c>
      <c r="W120" s="211">
        <f>'Secondary cum Calculation'!W295</f>
        <v>2.3645988123235151E-2</v>
      </c>
      <c r="X120" s="211">
        <f>'Secondary cum Calculation'!X295</f>
        <v>-1</v>
      </c>
      <c r="Y120" s="371" t="s">
        <v>1345</v>
      </c>
      <c r="Z120" s="12"/>
      <c r="AA120" s="12"/>
      <c r="AB120" s="12"/>
      <c r="AC120" s="12"/>
      <c r="AD120" s="7">
        <v>2</v>
      </c>
    </row>
    <row r="121" spans="1:30">
      <c r="A121" s="6" t="str">
        <f>'Secondary cum Calculation'!A297</f>
        <v>Poland</v>
      </c>
      <c r="B121" s="119" t="str">
        <f>'Secondary cum Calculation'!B297</f>
        <v>Tourism Flows</v>
      </c>
      <c r="C121" s="119" t="str">
        <f>'Secondary cum Calculation'!C297</f>
        <v>International Arrivals by Place of Origin</v>
      </c>
      <c r="D121" s="119" t="str">
        <f>'Secondary cum Calculation'!D297</f>
        <v>Asia-Pacific</v>
      </c>
      <c r="E121" s="6" t="str">
        <f>'Secondary cum Calculation'!E297</f>
        <v>Azerbaijan</v>
      </c>
      <c r="F121" s="7" t="str">
        <f>'Secondary cum Calculation'!F297</f>
        <v>The number of international arrivals to a country originating from Azerbaijan</v>
      </c>
      <c r="G121" s="7" t="str">
        <f>'Secondary cum Calculation'!G297</f>
        <v>Tourism Demand &amp; Flows Database</v>
      </c>
      <c r="H121" s="7" t="str">
        <f>'Secondary cum Calculation'!H297</f>
        <v>New</v>
      </c>
      <c r="I121" s="7">
        <f>'Secondary cum Calculation'!I297</f>
        <v>0</v>
      </c>
      <c r="J121" s="7" t="str">
        <f>'Secondary cum Calculation'!J297</f>
        <v>Thousand</v>
      </c>
      <c r="K121" s="8">
        <f>'Secondary cum Calculation'!K297</f>
        <v>0</v>
      </c>
      <c r="L121" s="218">
        <f>'Secondary cum Calculation'!L297</f>
        <v>0</v>
      </c>
      <c r="M121" s="218">
        <f>'Secondary cum Calculation'!M297</f>
        <v>0</v>
      </c>
      <c r="N121" s="218">
        <f>'Secondary cum Calculation'!N297</f>
        <v>0</v>
      </c>
      <c r="O121" s="219">
        <f>'Secondary cum Calculation'!O297</f>
        <v>0</v>
      </c>
      <c r="P121" s="219">
        <f>'Secondary cum Calculation'!P297</f>
        <v>0</v>
      </c>
      <c r="Q121" s="219">
        <f>'Secondary cum Calculation'!Q297</f>
        <v>0</v>
      </c>
      <c r="R121" s="132"/>
      <c r="S121" s="132"/>
      <c r="T121" s="132"/>
      <c r="U121" s="132"/>
      <c r="V121" s="132"/>
      <c r="W121" s="211" t="e">
        <f>'Secondary cum Calculation'!W297</f>
        <v>#DIV/0!</v>
      </c>
      <c r="X121" s="211" t="e">
        <f>'Secondary cum Calculation'!X297</f>
        <v>#DIV/0!</v>
      </c>
    </row>
    <row r="122" spans="1:30">
      <c r="A122" s="6" t="str">
        <f>'Secondary cum Calculation'!A299</f>
        <v>Poland</v>
      </c>
      <c r="B122" s="119" t="str">
        <f>'Secondary cum Calculation'!B299</f>
        <v>Tourism Flows</v>
      </c>
      <c r="C122" s="119" t="str">
        <f>'Secondary cum Calculation'!C299</f>
        <v>International Arrivals by Place of Origin</v>
      </c>
      <c r="D122" s="119" t="str">
        <f>'Secondary cum Calculation'!D299</f>
        <v>Asia-Pacific</v>
      </c>
      <c r="E122" s="6" t="str">
        <f>'Secondary cum Calculation'!E299</f>
        <v>Bangladesh</v>
      </c>
      <c r="F122" s="7" t="str">
        <f>'Secondary cum Calculation'!F299</f>
        <v>The number of international arrivals to a country originating from Bangladesh</v>
      </c>
      <c r="G122" s="7" t="str">
        <f>'Secondary cum Calculation'!G299</f>
        <v>Tourism Demand &amp; Flows Database</v>
      </c>
      <c r="H122" s="7" t="str">
        <f>'Secondary cum Calculation'!H299</f>
        <v>New</v>
      </c>
      <c r="I122" s="7">
        <f>'Secondary cum Calculation'!I299</f>
        <v>0</v>
      </c>
      <c r="J122" s="7" t="str">
        <f>'Secondary cum Calculation'!J299</f>
        <v>Thousand</v>
      </c>
      <c r="K122" s="8">
        <f>'Secondary cum Calculation'!K299</f>
        <v>0</v>
      </c>
      <c r="L122" s="218">
        <f>'Secondary cum Calculation'!L299</f>
        <v>0</v>
      </c>
      <c r="M122" s="218">
        <f>'Secondary cum Calculation'!M299</f>
        <v>0</v>
      </c>
      <c r="N122" s="218">
        <f>'Secondary cum Calculation'!N299</f>
        <v>0</v>
      </c>
      <c r="O122" s="218">
        <f>'Secondary cum Calculation'!O299</f>
        <v>0</v>
      </c>
      <c r="P122" s="218">
        <f>'Secondary cum Calculation'!P299</f>
        <v>0</v>
      </c>
      <c r="Q122" s="218">
        <f>'Secondary cum Calculation'!Q299</f>
        <v>0</v>
      </c>
      <c r="W122" s="211" t="e">
        <f>'Secondary cum Calculation'!W299</f>
        <v>#DIV/0!</v>
      </c>
      <c r="X122" s="211" t="e">
        <f>'Secondary cum Calculation'!X299</f>
        <v>#DIV/0!</v>
      </c>
    </row>
    <row r="123" spans="1:30">
      <c r="A123" s="6" t="str">
        <f>'Secondary cum Calculation'!A301</f>
        <v>Poland</v>
      </c>
      <c r="B123" s="119" t="str">
        <f>'Secondary cum Calculation'!B301</f>
        <v>Tourism Flows</v>
      </c>
      <c r="C123" s="119" t="str">
        <f>'Secondary cum Calculation'!C301</f>
        <v>International Arrivals by Place of Origin</v>
      </c>
      <c r="D123" s="119" t="str">
        <f>'Secondary cum Calculation'!D301</f>
        <v>Asia-Pacific</v>
      </c>
      <c r="E123" s="6" t="str">
        <f>'Secondary cum Calculation'!E301</f>
        <v>Bhutan</v>
      </c>
      <c r="F123" s="7" t="str">
        <f>'Secondary cum Calculation'!F301</f>
        <v>The number of international arrivals to a country originating from Bhutan</v>
      </c>
      <c r="G123" s="7" t="str">
        <f>'Secondary cum Calculation'!G301</f>
        <v>Tourism Demand &amp; Flows Database</v>
      </c>
      <c r="H123" s="7" t="str">
        <f>'Secondary cum Calculation'!H301</f>
        <v>New</v>
      </c>
      <c r="I123" s="7">
        <f>'Secondary cum Calculation'!I301</f>
        <v>0</v>
      </c>
      <c r="J123" s="7" t="str">
        <f>'Secondary cum Calculation'!J301</f>
        <v>Thousand</v>
      </c>
      <c r="K123" s="8">
        <f>'Secondary cum Calculation'!K301</f>
        <v>0</v>
      </c>
      <c r="L123" s="218">
        <f>'Secondary cum Calculation'!L301</f>
        <v>0</v>
      </c>
      <c r="M123" s="218">
        <f>'Secondary cum Calculation'!M301</f>
        <v>0</v>
      </c>
      <c r="N123" s="218">
        <f>'Secondary cum Calculation'!N301</f>
        <v>0</v>
      </c>
      <c r="O123" s="218">
        <f>'Secondary cum Calculation'!O301</f>
        <v>0</v>
      </c>
      <c r="P123" s="218">
        <f>'Secondary cum Calculation'!P301</f>
        <v>0</v>
      </c>
      <c r="Q123" s="218">
        <f>'Secondary cum Calculation'!Q301</f>
        <v>0</v>
      </c>
      <c r="W123" s="211" t="e">
        <f>'Secondary cum Calculation'!W301</f>
        <v>#DIV/0!</v>
      </c>
      <c r="X123" s="211" t="e">
        <f>'Secondary cum Calculation'!X301</f>
        <v>#DIV/0!</v>
      </c>
    </row>
    <row r="124" spans="1:30">
      <c r="A124" s="6" t="str">
        <f>'Secondary cum Calculation'!A303</f>
        <v>Poland</v>
      </c>
      <c r="B124" s="119" t="str">
        <f>'Secondary cum Calculation'!B303</f>
        <v>Tourism Flows</v>
      </c>
      <c r="C124" s="119" t="str">
        <f>'Secondary cum Calculation'!C303</f>
        <v>International Arrivals by Place of Origin</v>
      </c>
      <c r="D124" s="119" t="str">
        <f>'Secondary cum Calculation'!D303</f>
        <v>Asia-Pacific</v>
      </c>
      <c r="E124" s="6" t="str">
        <f>'Secondary cum Calculation'!E303</f>
        <v>Brunei Darussalam</v>
      </c>
      <c r="F124" s="7" t="str">
        <f>'Secondary cum Calculation'!F303</f>
        <v>The number of international arrivals to a country originating from Brunei Darussalam</v>
      </c>
      <c r="G124" s="7" t="str">
        <f>'Secondary cum Calculation'!G303</f>
        <v>Tourism Demand &amp; Flows Database</v>
      </c>
      <c r="H124" s="7" t="str">
        <f>'Secondary cum Calculation'!H303</f>
        <v>New</v>
      </c>
      <c r="I124" s="7">
        <f>'Secondary cum Calculation'!I303</f>
        <v>0</v>
      </c>
      <c r="J124" s="7" t="str">
        <f>'Secondary cum Calculation'!J303</f>
        <v>Thousand</v>
      </c>
      <c r="K124" s="8">
        <f>'Secondary cum Calculation'!K303</f>
        <v>0</v>
      </c>
      <c r="L124" s="218">
        <f>'Secondary cum Calculation'!L303</f>
        <v>0</v>
      </c>
      <c r="M124" s="218">
        <f>'Secondary cum Calculation'!M303</f>
        <v>0</v>
      </c>
      <c r="N124" s="218">
        <f>'Secondary cum Calculation'!N303</f>
        <v>0</v>
      </c>
      <c r="O124" s="218">
        <f>'Secondary cum Calculation'!O303</f>
        <v>0</v>
      </c>
      <c r="P124" s="218">
        <f>'Secondary cum Calculation'!P303</f>
        <v>0</v>
      </c>
      <c r="Q124" s="218">
        <f>'Secondary cum Calculation'!Q303</f>
        <v>0</v>
      </c>
      <c r="W124" s="211" t="e">
        <f>'Secondary cum Calculation'!W303</f>
        <v>#DIV/0!</v>
      </c>
      <c r="X124" s="211" t="e">
        <f>'Secondary cum Calculation'!X303</f>
        <v>#DIV/0!</v>
      </c>
    </row>
    <row r="125" spans="1:30">
      <c r="A125" s="6" t="str">
        <f>'Secondary cum Calculation'!A305</f>
        <v>Poland</v>
      </c>
      <c r="B125" s="119" t="str">
        <f>'Secondary cum Calculation'!B305</f>
        <v>Tourism Flows</v>
      </c>
      <c r="C125" s="119" t="str">
        <f>'Secondary cum Calculation'!C305</f>
        <v>International Arrivals by Place of Origin</v>
      </c>
      <c r="D125" s="119" t="str">
        <f>'Secondary cum Calculation'!D305</f>
        <v>Asia-Pacific</v>
      </c>
      <c r="E125" s="6" t="str">
        <f>'Secondary cum Calculation'!E305</f>
        <v>Cambodia</v>
      </c>
      <c r="F125" s="7" t="str">
        <f>'Secondary cum Calculation'!F305</f>
        <v>The number of international arrivals to a country originating from Cambodia</v>
      </c>
      <c r="G125" s="7" t="str">
        <f>'Secondary cum Calculation'!G305</f>
        <v>Tourism Demand &amp; Flows Database</v>
      </c>
      <c r="H125" s="7" t="str">
        <f>'Secondary cum Calculation'!H305</f>
        <v>New</v>
      </c>
      <c r="I125" s="7">
        <f>'Secondary cum Calculation'!I305</f>
        <v>0</v>
      </c>
      <c r="J125" s="7" t="str">
        <f>'Secondary cum Calculation'!J305</f>
        <v>Thousand</v>
      </c>
      <c r="K125" s="8">
        <f>'Secondary cum Calculation'!K305</f>
        <v>0</v>
      </c>
      <c r="L125" s="218">
        <f>'Secondary cum Calculation'!L305</f>
        <v>0</v>
      </c>
      <c r="M125" s="218">
        <f>'Secondary cum Calculation'!M305</f>
        <v>0</v>
      </c>
      <c r="N125" s="218">
        <f>'Secondary cum Calculation'!N305</f>
        <v>0</v>
      </c>
      <c r="O125" s="219">
        <f>'Secondary cum Calculation'!O305</f>
        <v>0</v>
      </c>
      <c r="P125" s="218">
        <f>'Secondary cum Calculation'!P305</f>
        <v>0</v>
      </c>
      <c r="Q125" s="218">
        <f>'Secondary cum Calculation'!Q305</f>
        <v>0</v>
      </c>
      <c r="W125" s="211" t="e">
        <f>'Secondary cum Calculation'!W305</f>
        <v>#DIV/0!</v>
      </c>
      <c r="X125" s="211" t="e">
        <f>'Secondary cum Calculation'!X305</f>
        <v>#DIV/0!</v>
      </c>
    </row>
    <row r="126" spans="1:30">
      <c r="A126" s="6" t="str">
        <f>'Secondary cum Calculation'!A307</f>
        <v>Poland</v>
      </c>
      <c r="B126" s="119" t="str">
        <f>'Secondary cum Calculation'!B307</f>
        <v>Tourism Flows</v>
      </c>
      <c r="C126" s="119" t="str">
        <f>'Secondary cum Calculation'!C307</f>
        <v>International Arrivals by Place of Origin</v>
      </c>
      <c r="D126" s="119" t="str">
        <f>'Secondary cum Calculation'!D307</f>
        <v>Asia-Pacific</v>
      </c>
      <c r="E126" s="6" t="str">
        <f>'Secondary cum Calculation'!E307</f>
        <v>China</v>
      </c>
      <c r="F126" s="7" t="str">
        <f>'Secondary cum Calculation'!F307</f>
        <v>The number of international arrivals to a country originating from China</v>
      </c>
      <c r="G126" s="7" t="str">
        <f>'Secondary cum Calculation'!G307</f>
        <v>Tourism Demand &amp; Flows Database</v>
      </c>
      <c r="H126" s="7" t="str">
        <f>'Secondary cum Calculation'!H307</f>
        <v>New</v>
      </c>
      <c r="I126" s="7">
        <f>'Secondary cum Calculation'!I307</f>
        <v>0</v>
      </c>
      <c r="J126" s="7" t="str">
        <f>'Secondary cum Calculation'!J307</f>
        <v>Thousand</v>
      </c>
      <c r="K126" s="8">
        <f>'Secondary cum Calculation'!K307</f>
        <v>320.45</v>
      </c>
      <c r="L126" s="218">
        <f>'Secondary cum Calculation'!L307</f>
        <v>0</v>
      </c>
      <c r="M126" s="218">
        <f>'Secondary cum Calculation'!M307</f>
        <v>0</v>
      </c>
      <c r="N126" s="218">
        <f>'Secondary cum Calculation'!N307</f>
        <v>0</v>
      </c>
      <c r="O126" s="218">
        <f>'Secondary cum Calculation'!O307</f>
        <v>0</v>
      </c>
      <c r="P126" s="218">
        <f>'Secondary cum Calculation'!P307</f>
        <v>0</v>
      </c>
      <c r="Q126" s="218">
        <f>'Secondary cum Calculation'!Q307</f>
        <v>0</v>
      </c>
      <c r="W126" s="211" t="e">
        <f>'Secondary cum Calculation'!W307</f>
        <v>#DIV/0!</v>
      </c>
      <c r="X126" s="211" t="e">
        <f>'Secondary cum Calculation'!X307</f>
        <v>#DIV/0!</v>
      </c>
      <c r="Z126" s="12"/>
      <c r="AA126" s="12"/>
      <c r="AB126" s="12"/>
      <c r="AC126" s="12"/>
      <c r="AD126" s="12"/>
    </row>
    <row r="127" spans="1:30">
      <c r="A127" s="6" t="str">
        <f>'Secondary cum Calculation'!A309</f>
        <v>Poland</v>
      </c>
      <c r="B127" s="119" t="str">
        <f>'Secondary cum Calculation'!B309</f>
        <v>Tourism Flows</v>
      </c>
      <c r="C127" s="119" t="str">
        <f>'Secondary cum Calculation'!C309</f>
        <v>International Arrivals by Place of Origin</v>
      </c>
      <c r="D127" s="119" t="str">
        <f>'Secondary cum Calculation'!D309</f>
        <v>Asia-Pacific</v>
      </c>
      <c r="E127" s="6" t="str">
        <f>'Secondary cum Calculation'!E309</f>
        <v>China, Hong Kong SAR</v>
      </c>
      <c r="F127" s="7" t="str">
        <f>'Secondary cum Calculation'!F309</f>
        <v>The number of international arrivals to a country originating from China, Hong Kong SAR</v>
      </c>
      <c r="G127" s="7" t="str">
        <f>'Secondary cum Calculation'!G309</f>
        <v>Tourism Demand &amp; Flows Database</v>
      </c>
      <c r="H127" s="7" t="str">
        <f>'Secondary cum Calculation'!H309</f>
        <v>New</v>
      </c>
      <c r="I127" s="7">
        <f>'Secondary cum Calculation'!I309</f>
        <v>0</v>
      </c>
      <c r="J127" s="7" t="str">
        <f>'Secondary cum Calculation'!J309</f>
        <v>Thousand</v>
      </c>
      <c r="K127" s="8">
        <f>'Secondary cum Calculation'!K309</f>
        <v>137.27799999999999</v>
      </c>
      <c r="L127" s="218">
        <f>'Secondary cum Calculation'!L309</f>
        <v>0</v>
      </c>
      <c r="M127" s="218">
        <f>'Secondary cum Calculation'!M309</f>
        <v>0</v>
      </c>
      <c r="N127" s="218">
        <f>'Secondary cum Calculation'!N309</f>
        <v>0</v>
      </c>
      <c r="O127" s="218">
        <f>'Secondary cum Calculation'!O309</f>
        <v>0</v>
      </c>
      <c r="P127" s="218">
        <f>'Secondary cum Calculation'!P309</f>
        <v>0</v>
      </c>
      <c r="Q127" s="218">
        <f>'Secondary cum Calculation'!Q309</f>
        <v>0</v>
      </c>
      <c r="W127" s="211" t="e">
        <f>'Secondary cum Calculation'!W309</f>
        <v>#DIV/0!</v>
      </c>
      <c r="X127" s="211" t="e">
        <f>'Secondary cum Calculation'!X309</f>
        <v>#DIV/0!</v>
      </c>
      <c r="Z127" s="12"/>
      <c r="AA127" s="12"/>
      <c r="AB127" s="12"/>
      <c r="AC127" s="12"/>
      <c r="AD127" s="12"/>
    </row>
    <row r="128" spans="1:30">
      <c r="A128" s="6" t="str">
        <f>'Secondary cum Calculation'!A311</f>
        <v>Poland</v>
      </c>
      <c r="B128" s="119" t="str">
        <f>'Secondary cum Calculation'!B311</f>
        <v>Tourism Flows</v>
      </c>
      <c r="C128" s="119" t="str">
        <f>'Secondary cum Calculation'!C311</f>
        <v>International Arrivals by Place of Origin</v>
      </c>
      <c r="D128" s="119" t="str">
        <f>'Secondary cum Calculation'!D311</f>
        <v>Asia-Pacific</v>
      </c>
      <c r="E128" s="6" t="str">
        <f>'Secondary cum Calculation'!E311</f>
        <v>China, Macao SAR</v>
      </c>
      <c r="F128" s="7" t="str">
        <f>'Secondary cum Calculation'!F311</f>
        <v>The number of international arrivals to a country originating from China, Macao SAR</v>
      </c>
      <c r="G128" s="7" t="str">
        <f>'Secondary cum Calculation'!G311</f>
        <v>Tourism Demand &amp; Flows Database</v>
      </c>
      <c r="H128" s="7" t="str">
        <f>'Secondary cum Calculation'!H311</f>
        <v>New</v>
      </c>
      <c r="I128" s="7">
        <f>'Secondary cum Calculation'!I311</f>
        <v>0</v>
      </c>
      <c r="J128" s="7" t="str">
        <f>'Secondary cum Calculation'!J311</f>
        <v>Thousand</v>
      </c>
      <c r="K128" s="8">
        <f>'Secondary cum Calculation'!K311</f>
        <v>0</v>
      </c>
      <c r="L128" s="218">
        <f>'Secondary cum Calculation'!L311</f>
        <v>0</v>
      </c>
      <c r="M128" s="218">
        <f>'Secondary cum Calculation'!M311</f>
        <v>0</v>
      </c>
      <c r="N128" s="218">
        <f>'Secondary cum Calculation'!N311</f>
        <v>0</v>
      </c>
      <c r="O128" s="219">
        <f>'Secondary cum Calculation'!O311</f>
        <v>0</v>
      </c>
      <c r="P128" s="219">
        <f>'Secondary cum Calculation'!P311</f>
        <v>0</v>
      </c>
      <c r="Q128" s="219">
        <f>'Secondary cum Calculation'!Q311</f>
        <v>0</v>
      </c>
      <c r="R128" s="132"/>
      <c r="S128" s="132"/>
      <c r="T128" s="132"/>
      <c r="U128" s="132"/>
      <c r="V128" s="132"/>
      <c r="W128" s="211" t="e">
        <f>'Secondary cum Calculation'!W311</f>
        <v>#DIV/0!</v>
      </c>
      <c r="X128" s="211" t="e">
        <f>'Secondary cum Calculation'!X311</f>
        <v>#DIV/0!</v>
      </c>
    </row>
    <row r="129" spans="1:30">
      <c r="A129" s="6" t="str">
        <f>'Secondary cum Calculation'!A313</f>
        <v>Poland</v>
      </c>
      <c r="B129" s="119" t="str">
        <f>'Secondary cum Calculation'!B313</f>
        <v>Tourism Flows</v>
      </c>
      <c r="C129" s="119" t="str">
        <f>'Secondary cum Calculation'!C313</f>
        <v>International Arrivals by Place of Origin</v>
      </c>
      <c r="D129" s="119" t="str">
        <f>'Secondary cum Calculation'!D313</f>
        <v>Asia-Pacific</v>
      </c>
      <c r="E129" s="6" t="str">
        <f>'Secondary cum Calculation'!E313</f>
        <v>Dem. People's Rep. of Korea</v>
      </c>
      <c r="F129" s="7" t="str">
        <f>'Secondary cum Calculation'!F313</f>
        <v>The number of international arrivals to a country originating from Dem. People's Rep. of Korea</v>
      </c>
      <c r="G129" s="7" t="str">
        <f>'Secondary cum Calculation'!G313</f>
        <v>Tourism Demand &amp; Flows Database</v>
      </c>
      <c r="H129" s="7" t="str">
        <f>'Secondary cum Calculation'!H313</f>
        <v>New</v>
      </c>
      <c r="I129" s="7">
        <f>'Secondary cum Calculation'!I313</f>
        <v>0</v>
      </c>
      <c r="J129" s="7" t="str">
        <f>'Secondary cum Calculation'!J313</f>
        <v>Thousand</v>
      </c>
      <c r="K129" s="8">
        <f>'Secondary cum Calculation'!K313</f>
        <v>0</v>
      </c>
      <c r="L129" s="218">
        <f>'Secondary cum Calculation'!L313</f>
        <v>0</v>
      </c>
      <c r="M129" s="218">
        <f>'Secondary cum Calculation'!M313</f>
        <v>0</v>
      </c>
      <c r="N129" s="218">
        <f>'Secondary cum Calculation'!N313</f>
        <v>0</v>
      </c>
      <c r="O129" s="218">
        <f>'Secondary cum Calculation'!O313</f>
        <v>0</v>
      </c>
      <c r="P129" s="218">
        <f>'Secondary cum Calculation'!P313</f>
        <v>0</v>
      </c>
      <c r="Q129" s="218">
        <f>'Secondary cum Calculation'!Q313</f>
        <v>0</v>
      </c>
      <c r="W129" s="211" t="e">
        <f>'Secondary cum Calculation'!W313</f>
        <v>#DIV/0!</v>
      </c>
      <c r="X129" s="211" t="e">
        <f>'Secondary cum Calculation'!X313</f>
        <v>#DIV/0!</v>
      </c>
    </row>
    <row r="130" spans="1:30">
      <c r="A130" s="6" t="str">
        <f>'Secondary cum Calculation'!A315</f>
        <v>Poland</v>
      </c>
      <c r="B130" s="119" t="str">
        <f>'Secondary cum Calculation'!B315</f>
        <v>Tourism Flows</v>
      </c>
      <c r="C130" s="119" t="str">
        <f>'Secondary cum Calculation'!C315</f>
        <v>International Arrivals by Place of Origin</v>
      </c>
      <c r="D130" s="119" t="str">
        <f>'Secondary cum Calculation'!D315</f>
        <v>Asia-Pacific</v>
      </c>
      <c r="E130" s="6" t="str">
        <f>'Secondary cum Calculation'!E315</f>
        <v>Fiji</v>
      </c>
      <c r="F130" s="7" t="str">
        <f>'Secondary cum Calculation'!F315</f>
        <v>The number of international arrivals to a country originating from Fiji</v>
      </c>
      <c r="G130" s="7" t="str">
        <f>'Secondary cum Calculation'!G315</f>
        <v>Tourism Demand &amp; Flows Database</v>
      </c>
      <c r="H130" s="7" t="str">
        <f>'Secondary cum Calculation'!H315</f>
        <v>New</v>
      </c>
      <c r="I130" s="7">
        <f>'Secondary cum Calculation'!I315</f>
        <v>0</v>
      </c>
      <c r="J130" s="7" t="str">
        <f>'Secondary cum Calculation'!J315</f>
        <v>Thousand</v>
      </c>
      <c r="K130" s="8">
        <f>'Secondary cum Calculation'!K315</f>
        <v>0</v>
      </c>
      <c r="L130" s="218">
        <f>'Secondary cum Calculation'!L315</f>
        <v>0</v>
      </c>
      <c r="M130" s="218">
        <f>'Secondary cum Calculation'!M315</f>
        <v>0</v>
      </c>
      <c r="N130" s="218">
        <f>'Secondary cum Calculation'!N315</f>
        <v>0</v>
      </c>
      <c r="O130" s="218">
        <f>'Secondary cum Calculation'!O315</f>
        <v>0</v>
      </c>
      <c r="P130" s="218">
        <f>'Secondary cum Calculation'!P315</f>
        <v>0</v>
      </c>
      <c r="Q130" s="218">
        <f>'Secondary cum Calculation'!Q315</f>
        <v>0</v>
      </c>
      <c r="W130" s="211" t="e">
        <f>'Secondary cum Calculation'!W315</f>
        <v>#DIV/0!</v>
      </c>
      <c r="X130" s="211" t="e">
        <f>'Secondary cum Calculation'!X315</f>
        <v>#DIV/0!</v>
      </c>
    </row>
    <row r="131" spans="1:30">
      <c r="A131" s="6" t="str">
        <f>'Secondary cum Calculation'!A317</f>
        <v>Poland</v>
      </c>
      <c r="B131" s="119" t="str">
        <f>'Secondary cum Calculation'!B317</f>
        <v>Tourism Flows</v>
      </c>
      <c r="C131" s="119" t="str">
        <f>'Secondary cum Calculation'!C317</f>
        <v>International Arrivals by Place of Origin</v>
      </c>
      <c r="D131" s="119" t="str">
        <f>'Secondary cum Calculation'!D317</f>
        <v>Asia-Pacific</v>
      </c>
      <c r="E131" s="6" t="str">
        <f>'Secondary cum Calculation'!E317</f>
        <v>French Polynesia</v>
      </c>
      <c r="F131" s="7" t="str">
        <f>'Secondary cum Calculation'!F317</f>
        <v>The number of international arrivals to a country originating from French Polynesia</v>
      </c>
      <c r="G131" s="7" t="str">
        <f>'Secondary cum Calculation'!G317</f>
        <v>Tourism Demand &amp; Flows Database</v>
      </c>
      <c r="H131" s="7" t="str">
        <f>'Secondary cum Calculation'!H317</f>
        <v>New</v>
      </c>
      <c r="I131" s="7">
        <f>'Secondary cum Calculation'!I317</f>
        <v>0</v>
      </c>
      <c r="J131" s="7" t="str">
        <f>'Secondary cum Calculation'!J317</f>
        <v>Thousand</v>
      </c>
      <c r="K131" s="8">
        <f>'Secondary cum Calculation'!K317</f>
        <v>0</v>
      </c>
      <c r="L131" s="218">
        <f>'Secondary cum Calculation'!L317</f>
        <v>0</v>
      </c>
      <c r="M131" s="218">
        <f>'Secondary cum Calculation'!M317</f>
        <v>0</v>
      </c>
      <c r="N131" s="218">
        <f>'Secondary cum Calculation'!N317</f>
        <v>0</v>
      </c>
      <c r="O131" s="218">
        <f>'Secondary cum Calculation'!O317</f>
        <v>0</v>
      </c>
      <c r="P131" s="218">
        <f>'Secondary cum Calculation'!P317</f>
        <v>0</v>
      </c>
      <c r="Q131" s="218">
        <f>'Secondary cum Calculation'!Q317</f>
        <v>0</v>
      </c>
      <c r="W131" s="211" t="e">
        <f>'Secondary cum Calculation'!W317</f>
        <v>#DIV/0!</v>
      </c>
      <c r="X131" s="211" t="e">
        <f>'Secondary cum Calculation'!X317</f>
        <v>#DIV/0!</v>
      </c>
    </row>
    <row r="132" spans="1:30">
      <c r="A132" s="6" t="str">
        <f>'Secondary cum Calculation'!A319</f>
        <v>Poland</v>
      </c>
      <c r="B132" s="119" t="str">
        <f>'Secondary cum Calculation'!B319</f>
        <v>Tourism Flows</v>
      </c>
      <c r="C132" s="119" t="str">
        <f>'Secondary cum Calculation'!C319</f>
        <v>International Arrivals by Place of Origin</v>
      </c>
      <c r="D132" s="119" t="str">
        <f>'Secondary cum Calculation'!D319</f>
        <v>Asia-Pacific</v>
      </c>
      <c r="E132" s="6" t="str">
        <f>'Secondary cum Calculation'!E319</f>
        <v>Guam</v>
      </c>
      <c r="F132" s="7" t="str">
        <f>'Secondary cum Calculation'!F319</f>
        <v>The number of international arrivals to a country originating from Guam</v>
      </c>
      <c r="G132" s="7" t="str">
        <f>'Secondary cum Calculation'!G319</f>
        <v>Tourism Demand &amp; Flows Database</v>
      </c>
      <c r="H132" s="7" t="str">
        <f>'Secondary cum Calculation'!H319</f>
        <v>New</v>
      </c>
      <c r="I132" s="7">
        <f>'Secondary cum Calculation'!I319</f>
        <v>0</v>
      </c>
      <c r="J132" s="7" t="str">
        <f>'Secondary cum Calculation'!J319</f>
        <v>Thousand</v>
      </c>
      <c r="K132" s="8">
        <f>'Secondary cum Calculation'!K319</f>
        <v>0</v>
      </c>
      <c r="L132" s="218">
        <f>'Secondary cum Calculation'!L319</f>
        <v>0</v>
      </c>
      <c r="M132" s="218">
        <f>'Secondary cum Calculation'!M319</f>
        <v>0</v>
      </c>
      <c r="N132" s="218">
        <f>'Secondary cum Calculation'!N319</f>
        <v>0</v>
      </c>
      <c r="O132" s="218">
        <f>'Secondary cum Calculation'!O319</f>
        <v>0</v>
      </c>
      <c r="P132" s="218">
        <f>'Secondary cum Calculation'!P319</f>
        <v>0</v>
      </c>
      <c r="Q132" s="218">
        <f>'Secondary cum Calculation'!Q319</f>
        <v>0</v>
      </c>
      <c r="W132" s="211" t="e">
        <f>'Secondary cum Calculation'!W319</f>
        <v>#DIV/0!</v>
      </c>
      <c r="X132" s="211" t="e">
        <f>'Secondary cum Calculation'!X319</f>
        <v>#DIV/0!</v>
      </c>
    </row>
    <row r="133" spans="1:30">
      <c r="A133" s="6" t="str">
        <f>'Secondary cum Calculation'!A321</f>
        <v>Poland</v>
      </c>
      <c r="B133" s="119" t="str">
        <f>'Secondary cum Calculation'!B321</f>
        <v>Tourism Flows</v>
      </c>
      <c r="C133" s="119" t="str">
        <f>'Secondary cum Calculation'!C321</f>
        <v>International Arrivals by Place of Origin</v>
      </c>
      <c r="D133" s="119" t="str">
        <f>'Secondary cum Calculation'!D321</f>
        <v>Asia-Pacific</v>
      </c>
      <c r="E133" s="6" t="str">
        <f>'Secondary cum Calculation'!E321</f>
        <v>India</v>
      </c>
      <c r="F133" s="7" t="str">
        <f>'Secondary cum Calculation'!F321</f>
        <v>The number of international arrivals to a country originating from India</v>
      </c>
      <c r="G133" s="7" t="str">
        <f>'Secondary cum Calculation'!G321</f>
        <v>Tourism Demand &amp; Flows Database</v>
      </c>
      <c r="H133" s="7" t="str">
        <f>'Secondary cum Calculation'!H321</f>
        <v>New</v>
      </c>
      <c r="I133" s="7">
        <f>'Secondary cum Calculation'!I321</f>
        <v>0</v>
      </c>
      <c r="J133" s="7" t="str">
        <f>'Secondary cum Calculation'!J321</f>
        <v>Thousand</v>
      </c>
      <c r="K133" s="8">
        <f>'Secondary cum Calculation'!K321</f>
        <v>406.84500000000003</v>
      </c>
      <c r="L133" s="218">
        <f>'Secondary cum Calculation'!L321</f>
        <v>0</v>
      </c>
      <c r="M133" s="218">
        <f>'Secondary cum Calculation'!M321</f>
        <v>0</v>
      </c>
      <c r="N133" s="218">
        <f>'Secondary cum Calculation'!N321</f>
        <v>0</v>
      </c>
      <c r="O133" s="218">
        <f>'Secondary cum Calculation'!O321</f>
        <v>0</v>
      </c>
      <c r="P133" s="218">
        <f>'Secondary cum Calculation'!P321</f>
        <v>0</v>
      </c>
      <c r="Q133" s="218">
        <f>'Secondary cum Calculation'!Q321</f>
        <v>0</v>
      </c>
      <c r="W133" s="211" t="e">
        <f>'Secondary cum Calculation'!W321</f>
        <v>#DIV/0!</v>
      </c>
      <c r="X133" s="211" t="e">
        <f>'Secondary cum Calculation'!X321</f>
        <v>#DIV/0!</v>
      </c>
      <c r="Z133" s="12"/>
      <c r="AA133" s="12"/>
      <c r="AB133" s="12"/>
      <c r="AC133" s="12"/>
      <c r="AD133" s="12"/>
    </row>
    <row r="134" spans="1:30">
      <c r="A134" s="6" t="str">
        <f>'Secondary cum Calculation'!A323</f>
        <v>Poland</v>
      </c>
      <c r="B134" s="119" t="str">
        <f>'Secondary cum Calculation'!B323</f>
        <v>Tourism Flows</v>
      </c>
      <c r="C134" s="119" t="str">
        <f>'Secondary cum Calculation'!C323</f>
        <v>International Arrivals by Place of Origin</v>
      </c>
      <c r="D134" s="119" t="str">
        <f>'Secondary cum Calculation'!D323</f>
        <v>Asia-Pacific</v>
      </c>
      <c r="E134" s="6" t="str">
        <f>'Secondary cum Calculation'!E323</f>
        <v>Indonesia</v>
      </c>
      <c r="F134" s="7" t="str">
        <f>'Secondary cum Calculation'!F323</f>
        <v>The number of international arrivals to a country originating from Indonesia</v>
      </c>
      <c r="G134" s="7" t="str">
        <f>'Secondary cum Calculation'!G323</f>
        <v>Tourism Demand &amp; Flows Database</v>
      </c>
      <c r="H134" s="7" t="str">
        <f>'Secondary cum Calculation'!H323</f>
        <v>New</v>
      </c>
      <c r="I134" s="7">
        <f>'Secondary cum Calculation'!I323</f>
        <v>0</v>
      </c>
      <c r="J134" s="7" t="str">
        <f>'Secondary cum Calculation'!J323</f>
        <v>Thousand</v>
      </c>
      <c r="K134" s="8">
        <f>'Secondary cum Calculation'!K323</f>
        <v>0</v>
      </c>
      <c r="L134" s="218">
        <f>'Secondary cum Calculation'!L323</f>
        <v>0</v>
      </c>
      <c r="M134" s="218">
        <f>'Secondary cum Calculation'!M323</f>
        <v>0</v>
      </c>
      <c r="N134" s="218">
        <f>'Secondary cum Calculation'!N323</f>
        <v>0</v>
      </c>
      <c r="O134" s="219">
        <f>'Secondary cum Calculation'!O323</f>
        <v>0</v>
      </c>
      <c r="P134" s="218">
        <f>'Secondary cum Calculation'!P323</f>
        <v>0</v>
      </c>
      <c r="Q134" s="218">
        <f>'Secondary cum Calculation'!Q323</f>
        <v>0</v>
      </c>
      <c r="W134" s="211" t="e">
        <f>'Secondary cum Calculation'!W323</f>
        <v>#DIV/0!</v>
      </c>
      <c r="X134" s="211" t="e">
        <f>'Secondary cum Calculation'!X323</f>
        <v>#DIV/0!</v>
      </c>
    </row>
    <row r="135" spans="1:30">
      <c r="A135" s="6" t="str">
        <f>'Secondary cum Calculation'!A325</f>
        <v>Poland</v>
      </c>
      <c r="B135" s="119" t="str">
        <f>'Secondary cum Calculation'!B325</f>
        <v>Tourism Flows</v>
      </c>
      <c r="C135" s="119" t="str">
        <f>'Secondary cum Calculation'!C325</f>
        <v>International Arrivals by Place of Origin</v>
      </c>
      <c r="D135" s="119" t="str">
        <f>'Secondary cum Calculation'!D325</f>
        <v>Asia-Pacific</v>
      </c>
      <c r="E135" s="6" t="str">
        <f>'Secondary cum Calculation'!E325</f>
        <v>Japan</v>
      </c>
      <c r="F135" s="7" t="str">
        <f>'Secondary cum Calculation'!F325</f>
        <v>The number of international arrivals to a country originating from Japan</v>
      </c>
      <c r="G135" s="7" t="str">
        <f>'Secondary cum Calculation'!G325</f>
        <v>Tourism Demand &amp; Flows Database</v>
      </c>
      <c r="H135" s="7" t="str">
        <f>'Secondary cum Calculation'!H325</f>
        <v>New</v>
      </c>
      <c r="I135" s="7">
        <f>'Secondary cum Calculation'!I325</f>
        <v>0</v>
      </c>
      <c r="J135" s="7" t="str">
        <f>'Secondary cum Calculation'!J325</f>
        <v>Thousand</v>
      </c>
      <c r="K135" s="8">
        <f>'Secondary cum Calculation'!K325</f>
        <v>3672.5839999999998</v>
      </c>
      <c r="L135" s="365">
        <f>'Secondary cum Calculation'!L325</f>
        <v>123.40745448688544</v>
      </c>
      <c r="M135" s="365">
        <f>'Secondary cum Calculation'!M325</f>
        <v>99.741090058025492</v>
      </c>
      <c r="N135" s="365">
        <f>'Secondary cum Calculation'!N325</f>
        <v>81.830413484036725</v>
      </c>
      <c r="O135" s="365">
        <f>'Secondary cum Calculation'!O325</f>
        <v>105.33740296639597</v>
      </c>
      <c r="P135" s="365">
        <f>'Secondary cum Calculation'!P325</f>
        <v>108.12953300268218</v>
      </c>
      <c r="Q135" s="365">
        <f>'Secondary cum Calculation'!Q325</f>
        <v>117.02690217517498</v>
      </c>
      <c r="W135" s="211">
        <f>'Secondary cum Calculation'!W325</f>
        <v>4.07655291629061E-2</v>
      </c>
      <c r="X135" s="211">
        <f>'Secondary cum Calculation'!X325</f>
        <v>-1</v>
      </c>
      <c r="Y135" s="371" t="s">
        <v>1345</v>
      </c>
      <c r="Z135" s="12"/>
      <c r="AA135" s="12"/>
      <c r="AB135" s="12"/>
      <c r="AC135" s="12"/>
      <c r="AD135" s="7">
        <v>2</v>
      </c>
    </row>
    <row r="136" spans="1:30">
      <c r="A136" s="6" t="str">
        <f>'Secondary cum Calculation'!A327</f>
        <v>Poland</v>
      </c>
      <c r="B136" s="119" t="str">
        <f>'Secondary cum Calculation'!B327</f>
        <v>Tourism Flows</v>
      </c>
      <c r="C136" s="119" t="str">
        <f>'Secondary cum Calculation'!C327</f>
        <v>International Arrivals by Place of Origin</v>
      </c>
      <c r="D136" s="119" t="str">
        <f>'Secondary cum Calculation'!D327</f>
        <v>Asia-Pacific</v>
      </c>
      <c r="E136" s="6" t="str">
        <f>'Secondary cum Calculation'!E327</f>
        <v>Kazakhstan</v>
      </c>
      <c r="F136" s="7" t="str">
        <f>'Secondary cum Calculation'!F327</f>
        <v>The number of international arrivals to a country originating from Kazakhstan</v>
      </c>
      <c r="G136" s="7" t="str">
        <f>'Secondary cum Calculation'!G327</f>
        <v>Tourism Demand &amp; Flows Database</v>
      </c>
      <c r="H136" s="7" t="str">
        <f>'Secondary cum Calculation'!H327</f>
        <v>New</v>
      </c>
      <c r="I136" s="7">
        <f>'Secondary cum Calculation'!I327</f>
        <v>0</v>
      </c>
      <c r="J136" s="7" t="str">
        <f>'Secondary cum Calculation'!J327</f>
        <v>Thousand</v>
      </c>
      <c r="K136" s="8">
        <f>'Secondary cum Calculation'!K327</f>
        <v>0</v>
      </c>
      <c r="L136" s="218">
        <f>'Secondary cum Calculation'!L327</f>
        <v>0</v>
      </c>
      <c r="M136" s="218">
        <f>'Secondary cum Calculation'!M327</f>
        <v>0</v>
      </c>
      <c r="N136" s="218">
        <f>'Secondary cum Calculation'!N327</f>
        <v>0</v>
      </c>
      <c r="O136" s="219">
        <f>'Secondary cum Calculation'!O327</f>
        <v>0</v>
      </c>
      <c r="P136" s="218">
        <f>'Secondary cum Calculation'!P327</f>
        <v>0</v>
      </c>
      <c r="Q136" s="218">
        <f>'Secondary cum Calculation'!Q327</f>
        <v>0</v>
      </c>
      <c r="W136" s="211" t="e">
        <f>'Secondary cum Calculation'!W327</f>
        <v>#DIV/0!</v>
      </c>
      <c r="X136" s="211" t="e">
        <f>'Secondary cum Calculation'!X327</f>
        <v>#DIV/0!</v>
      </c>
    </row>
    <row r="137" spans="1:30">
      <c r="A137" s="6" t="str">
        <f>'Secondary cum Calculation'!A329</f>
        <v>Poland</v>
      </c>
      <c r="B137" s="119" t="str">
        <f>'Secondary cum Calculation'!B329</f>
        <v>Tourism Flows</v>
      </c>
      <c r="C137" s="119" t="str">
        <f>'Secondary cum Calculation'!C329</f>
        <v>International Arrivals by Place of Origin</v>
      </c>
      <c r="D137" s="119" t="str">
        <f>'Secondary cum Calculation'!D329</f>
        <v>Asia-Pacific</v>
      </c>
      <c r="E137" s="6" t="str">
        <f>'Secondary cum Calculation'!E329</f>
        <v>Kyrgyzstan</v>
      </c>
      <c r="F137" s="7" t="str">
        <f>'Secondary cum Calculation'!F329</f>
        <v>The number of international arrivals to a country originating from Kyrgyzstan</v>
      </c>
      <c r="G137" s="7" t="str">
        <f>'Secondary cum Calculation'!G329</f>
        <v>Tourism Demand &amp; Flows Database</v>
      </c>
      <c r="H137" s="7" t="str">
        <f>'Secondary cum Calculation'!H329</f>
        <v>New</v>
      </c>
      <c r="I137" s="7">
        <f>'Secondary cum Calculation'!I329</f>
        <v>0</v>
      </c>
      <c r="J137" s="7" t="str">
        <f>'Secondary cum Calculation'!J329</f>
        <v>Thousand</v>
      </c>
      <c r="K137" s="8">
        <f>'Secondary cum Calculation'!K329</f>
        <v>0</v>
      </c>
      <c r="L137" s="218">
        <f>'Secondary cum Calculation'!L329</f>
        <v>0</v>
      </c>
      <c r="M137" s="218">
        <f>'Secondary cum Calculation'!M329</f>
        <v>0</v>
      </c>
      <c r="N137" s="218">
        <f>'Secondary cum Calculation'!N329</f>
        <v>0</v>
      </c>
      <c r="O137" s="218">
        <f>'Secondary cum Calculation'!O329</f>
        <v>0</v>
      </c>
      <c r="P137" s="218">
        <f>'Secondary cum Calculation'!P329</f>
        <v>0</v>
      </c>
      <c r="Q137" s="218">
        <f>'Secondary cum Calculation'!Q329</f>
        <v>0</v>
      </c>
      <c r="W137" s="211" t="e">
        <f>'Secondary cum Calculation'!W329</f>
        <v>#DIV/0!</v>
      </c>
      <c r="X137" s="211" t="e">
        <f>'Secondary cum Calculation'!X329</f>
        <v>#DIV/0!</v>
      </c>
    </row>
    <row r="138" spans="1:30">
      <c r="A138" s="6" t="str">
        <f>'Secondary cum Calculation'!A331</f>
        <v>Poland</v>
      </c>
      <c r="B138" s="119" t="str">
        <f>'Secondary cum Calculation'!B331</f>
        <v>Tourism Flows</v>
      </c>
      <c r="C138" s="119" t="str">
        <f>'Secondary cum Calculation'!C331</f>
        <v>International Arrivals by Place of Origin</v>
      </c>
      <c r="D138" s="119" t="str">
        <f>'Secondary cum Calculation'!D331</f>
        <v>Asia-Pacific</v>
      </c>
      <c r="E138" s="6" t="str">
        <f>'Secondary cum Calculation'!E331</f>
        <v>Lao People's Dem. Republic</v>
      </c>
      <c r="F138" s="7" t="str">
        <f>'Secondary cum Calculation'!F331</f>
        <v>The number of international arrivals to a country originating from Lao People's Dem. Republic</v>
      </c>
      <c r="G138" s="7" t="str">
        <f>'Secondary cum Calculation'!G331</f>
        <v>Tourism Demand &amp; Flows Database</v>
      </c>
      <c r="H138" s="7" t="str">
        <f>'Secondary cum Calculation'!H331</f>
        <v>New</v>
      </c>
      <c r="I138" s="7">
        <f>'Secondary cum Calculation'!I331</f>
        <v>0</v>
      </c>
      <c r="J138" s="7" t="str">
        <f>'Secondary cum Calculation'!J331</f>
        <v>Thousand</v>
      </c>
      <c r="K138" s="8">
        <f>'Secondary cum Calculation'!K331</f>
        <v>0</v>
      </c>
      <c r="L138" s="218">
        <f>'Secondary cum Calculation'!L331</f>
        <v>0</v>
      </c>
      <c r="M138" s="218">
        <f>'Secondary cum Calculation'!M331</f>
        <v>0</v>
      </c>
      <c r="N138" s="218">
        <f>'Secondary cum Calculation'!N331</f>
        <v>0</v>
      </c>
      <c r="O138" s="218">
        <f>'Secondary cum Calculation'!O331</f>
        <v>0</v>
      </c>
      <c r="P138" s="218">
        <f>'Secondary cum Calculation'!P331</f>
        <v>0</v>
      </c>
      <c r="Q138" s="218">
        <f>'Secondary cum Calculation'!Q331</f>
        <v>0</v>
      </c>
      <c r="W138" s="211" t="e">
        <f>'Secondary cum Calculation'!W331</f>
        <v>#DIV/0!</v>
      </c>
      <c r="X138" s="211" t="e">
        <f>'Secondary cum Calculation'!X331</f>
        <v>#DIV/0!</v>
      </c>
    </row>
    <row r="139" spans="1:30">
      <c r="A139" s="6" t="str">
        <f>'Secondary cum Calculation'!A333</f>
        <v>Poland</v>
      </c>
      <c r="B139" s="119" t="str">
        <f>'Secondary cum Calculation'!B333</f>
        <v>Tourism Flows</v>
      </c>
      <c r="C139" s="119" t="str">
        <f>'Secondary cum Calculation'!C333</f>
        <v>International Arrivals by Place of Origin</v>
      </c>
      <c r="D139" s="119" t="str">
        <f>'Secondary cum Calculation'!D333</f>
        <v>Asia-Pacific</v>
      </c>
      <c r="E139" s="6" t="str">
        <f>'Secondary cum Calculation'!E333</f>
        <v>Malaysia</v>
      </c>
      <c r="F139" s="7" t="str">
        <f>'Secondary cum Calculation'!F333</f>
        <v>The number of international arrivals to a country originating from Malaysia</v>
      </c>
      <c r="G139" s="7" t="str">
        <f>'Secondary cum Calculation'!G333</f>
        <v>Tourism Demand &amp; Flows Database</v>
      </c>
      <c r="H139" s="7" t="str">
        <f>'Secondary cum Calculation'!H333</f>
        <v>New</v>
      </c>
      <c r="I139" s="7">
        <f>'Secondary cum Calculation'!I333</f>
        <v>0</v>
      </c>
      <c r="J139" s="7" t="str">
        <f>'Secondary cum Calculation'!J333</f>
        <v>Thousand</v>
      </c>
      <c r="K139" s="8">
        <f>'Secondary cum Calculation'!K333</f>
        <v>0</v>
      </c>
      <c r="L139" s="218">
        <f>'Secondary cum Calculation'!L333</f>
        <v>0</v>
      </c>
      <c r="M139" s="218">
        <f>'Secondary cum Calculation'!M333</f>
        <v>0</v>
      </c>
      <c r="N139" s="218">
        <f>'Secondary cum Calculation'!N333</f>
        <v>0</v>
      </c>
      <c r="O139" s="218">
        <f>'Secondary cum Calculation'!O333</f>
        <v>0</v>
      </c>
      <c r="P139" s="218">
        <f>'Secondary cum Calculation'!P333</f>
        <v>0</v>
      </c>
      <c r="Q139" s="218">
        <f>'Secondary cum Calculation'!Q333</f>
        <v>0</v>
      </c>
      <c r="W139" s="211" t="e">
        <f>'Secondary cum Calculation'!W333</f>
        <v>#DIV/0!</v>
      </c>
      <c r="X139" s="211" t="e">
        <f>'Secondary cum Calculation'!X333</f>
        <v>#DIV/0!</v>
      </c>
    </row>
    <row r="140" spans="1:30">
      <c r="A140" s="6" t="str">
        <f>'Secondary cum Calculation'!A335</f>
        <v>Poland</v>
      </c>
      <c r="B140" s="119" t="str">
        <f>'Secondary cum Calculation'!B335</f>
        <v>Tourism Flows</v>
      </c>
      <c r="C140" s="119" t="str">
        <f>'Secondary cum Calculation'!C335</f>
        <v>International Arrivals by Place of Origin</v>
      </c>
      <c r="D140" s="119" t="str">
        <f>'Secondary cum Calculation'!D335</f>
        <v>Asia-Pacific</v>
      </c>
      <c r="E140" s="6" t="str">
        <f>'Secondary cum Calculation'!E335</f>
        <v>Maldives</v>
      </c>
      <c r="F140" s="7" t="str">
        <f>'Secondary cum Calculation'!F335</f>
        <v>The number of international arrivals to a country originating from Maldives</v>
      </c>
      <c r="G140" s="7" t="str">
        <f>'Secondary cum Calculation'!G335</f>
        <v>Tourism Demand &amp; Flows Database</v>
      </c>
      <c r="H140" s="7" t="str">
        <f>'Secondary cum Calculation'!H335</f>
        <v>New</v>
      </c>
      <c r="I140" s="7">
        <f>'Secondary cum Calculation'!I335</f>
        <v>0</v>
      </c>
      <c r="J140" s="7" t="str">
        <f>'Secondary cum Calculation'!J335</f>
        <v>Thousand</v>
      </c>
      <c r="K140" s="8">
        <f>'Secondary cum Calculation'!K335</f>
        <v>0</v>
      </c>
      <c r="L140" s="218">
        <f>'Secondary cum Calculation'!L335</f>
        <v>0</v>
      </c>
      <c r="M140" s="218">
        <f>'Secondary cum Calculation'!M335</f>
        <v>0</v>
      </c>
      <c r="N140" s="218">
        <f>'Secondary cum Calculation'!N335</f>
        <v>0</v>
      </c>
      <c r="O140" s="218">
        <f>'Secondary cum Calculation'!O335</f>
        <v>0</v>
      </c>
      <c r="P140" s="218">
        <f>'Secondary cum Calculation'!P335</f>
        <v>0</v>
      </c>
      <c r="Q140" s="218">
        <f>'Secondary cum Calculation'!Q335</f>
        <v>0</v>
      </c>
      <c r="W140" s="211" t="e">
        <f>'Secondary cum Calculation'!W335</f>
        <v>#DIV/0!</v>
      </c>
      <c r="X140" s="211" t="e">
        <f>'Secondary cum Calculation'!X335</f>
        <v>#DIV/0!</v>
      </c>
    </row>
    <row r="141" spans="1:30">
      <c r="A141" s="6" t="str">
        <f>'Secondary cum Calculation'!A337</f>
        <v>Poland</v>
      </c>
      <c r="B141" s="119" t="str">
        <f>'Secondary cum Calculation'!B337</f>
        <v>Tourism Flows</v>
      </c>
      <c r="C141" s="119" t="str">
        <f>'Secondary cum Calculation'!C337</f>
        <v>International Arrivals by Place of Origin</v>
      </c>
      <c r="D141" s="119" t="str">
        <f>'Secondary cum Calculation'!D337</f>
        <v>Asia-Pacific</v>
      </c>
      <c r="E141" s="6" t="str">
        <f>'Secondary cum Calculation'!E337</f>
        <v>Mauritius</v>
      </c>
      <c r="F141" s="7" t="str">
        <f>'Secondary cum Calculation'!F337</f>
        <v>The number of international arrivals to a country originating from Mauritius</v>
      </c>
      <c r="G141" s="7" t="str">
        <f>'Secondary cum Calculation'!G337</f>
        <v>Tourism Demand &amp; Flows Database</v>
      </c>
      <c r="H141" s="7" t="str">
        <f>'Secondary cum Calculation'!H337</f>
        <v>New</v>
      </c>
      <c r="I141" s="7">
        <f>'Secondary cum Calculation'!I337</f>
        <v>0</v>
      </c>
      <c r="J141" s="7" t="str">
        <f>'Secondary cum Calculation'!J337</f>
        <v>Thousand</v>
      </c>
      <c r="K141" s="8">
        <f>'Secondary cum Calculation'!K337</f>
        <v>0</v>
      </c>
      <c r="L141" s="218">
        <f>'Secondary cum Calculation'!L337</f>
        <v>0</v>
      </c>
      <c r="M141" s="218">
        <f>'Secondary cum Calculation'!M337</f>
        <v>0</v>
      </c>
      <c r="N141" s="218">
        <f>'Secondary cum Calculation'!N337</f>
        <v>0</v>
      </c>
      <c r="O141" s="218">
        <f>'Secondary cum Calculation'!O337</f>
        <v>0</v>
      </c>
      <c r="P141" s="218">
        <f>'Secondary cum Calculation'!P337</f>
        <v>0</v>
      </c>
      <c r="Q141" s="218">
        <f>'Secondary cum Calculation'!Q337</f>
        <v>0</v>
      </c>
      <c r="W141" s="211" t="e">
        <f>'Secondary cum Calculation'!W337</f>
        <v>#DIV/0!</v>
      </c>
      <c r="X141" s="211" t="e">
        <f>'Secondary cum Calculation'!X337</f>
        <v>#DIV/0!</v>
      </c>
    </row>
    <row r="142" spans="1:30">
      <c r="A142" s="6" t="str">
        <f>'Secondary cum Calculation'!A339</f>
        <v>Poland</v>
      </c>
      <c r="B142" s="119" t="str">
        <f>'Secondary cum Calculation'!B339</f>
        <v>Tourism Flows</v>
      </c>
      <c r="C142" s="119" t="str">
        <f>'Secondary cum Calculation'!C339</f>
        <v>International Arrivals by Place of Origin</v>
      </c>
      <c r="D142" s="119" t="str">
        <f>'Secondary cum Calculation'!D339</f>
        <v>Asia-Pacific</v>
      </c>
      <c r="E142" s="6" t="str">
        <f>'Secondary cum Calculation'!E339</f>
        <v>Micronesia (Fed. States of)</v>
      </c>
      <c r="F142" s="7" t="str">
        <f>'Secondary cum Calculation'!F339</f>
        <v>The number of international arrivals to a country originating from Micronesia (Fed. States of)</v>
      </c>
      <c r="G142" s="7" t="str">
        <f>'Secondary cum Calculation'!G339</f>
        <v>Tourism Demand &amp; Flows Database</v>
      </c>
      <c r="H142" s="7" t="str">
        <f>'Secondary cum Calculation'!H339</f>
        <v>New</v>
      </c>
      <c r="I142" s="7">
        <f>'Secondary cum Calculation'!I339</f>
        <v>0</v>
      </c>
      <c r="J142" s="7" t="str">
        <f>'Secondary cum Calculation'!J339</f>
        <v>Thousand</v>
      </c>
      <c r="K142" s="8">
        <f>'Secondary cum Calculation'!K339</f>
        <v>0</v>
      </c>
      <c r="L142" s="218">
        <f>'Secondary cum Calculation'!L339</f>
        <v>0</v>
      </c>
      <c r="M142" s="218">
        <f>'Secondary cum Calculation'!M339</f>
        <v>0</v>
      </c>
      <c r="N142" s="218">
        <f>'Secondary cum Calculation'!N339</f>
        <v>0</v>
      </c>
      <c r="O142" s="218">
        <f>'Secondary cum Calculation'!O339</f>
        <v>0</v>
      </c>
      <c r="P142" s="218">
        <f>'Secondary cum Calculation'!P339</f>
        <v>0</v>
      </c>
      <c r="Q142" s="218">
        <f>'Secondary cum Calculation'!Q339</f>
        <v>0</v>
      </c>
      <c r="W142" s="211" t="e">
        <f>'Secondary cum Calculation'!W339</f>
        <v>#DIV/0!</v>
      </c>
      <c r="X142" s="211" t="e">
        <f>'Secondary cum Calculation'!X339</f>
        <v>#DIV/0!</v>
      </c>
    </row>
    <row r="143" spans="1:30">
      <c r="A143" s="6" t="str">
        <f>'Secondary cum Calculation'!A341</f>
        <v>Poland</v>
      </c>
      <c r="B143" s="119" t="str">
        <f>'Secondary cum Calculation'!B341</f>
        <v>Tourism Flows</v>
      </c>
      <c r="C143" s="119" t="str">
        <f>'Secondary cum Calculation'!C341</f>
        <v>International Arrivals by Place of Origin</v>
      </c>
      <c r="D143" s="119" t="str">
        <f>'Secondary cum Calculation'!D341</f>
        <v>Asia-Pacific</v>
      </c>
      <c r="E143" s="6" t="str">
        <f>'Secondary cum Calculation'!E341</f>
        <v>Mongolia</v>
      </c>
      <c r="F143" s="7" t="str">
        <f>'Secondary cum Calculation'!F341</f>
        <v>The number of international arrivals to a country originating from Mongolia</v>
      </c>
      <c r="G143" s="7" t="str">
        <f>'Secondary cum Calculation'!G341</f>
        <v>Tourism Demand &amp; Flows Database</v>
      </c>
      <c r="H143" s="7" t="str">
        <f>'Secondary cum Calculation'!H341</f>
        <v>New</v>
      </c>
      <c r="I143" s="7">
        <f>'Secondary cum Calculation'!I341</f>
        <v>0</v>
      </c>
      <c r="J143" s="7" t="str">
        <f>'Secondary cum Calculation'!J341</f>
        <v>Thousand</v>
      </c>
      <c r="K143" s="8">
        <f>'Secondary cum Calculation'!K341</f>
        <v>0</v>
      </c>
      <c r="L143" s="218">
        <f>'Secondary cum Calculation'!L341</f>
        <v>0</v>
      </c>
      <c r="M143" s="218">
        <f>'Secondary cum Calculation'!M341</f>
        <v>0</v>
      </c>
      <c r="N143" s="218">
        <f>'Secondary cum Calculation'!N341</f>
        <v>0</v>
      </c>
      <c r="O143" s="218">
        <f>'Secondary cum Calculation'!O341</f>
        <v>0</v>
      </c>
      <c r="P143" s="218">
        <f>'Secondary cum Calculation'!P341</f>
        <v>0</v>
      </c>
      <c r="Q143" s="218">
        <f>'Secondary cum Calculation'!Q341</f>
        <v>0</v>
      </c>
      <c r="W143" s="211" t="e">
        <f>'Secondary cum Calculation'!W341</f>
        <v>#DIV/0!</v>
      </c>
      <c r="X143" s="211" t="e">
        <f>'Secondary cum Calculation'!X341</f>
        <v>#DIV/0!</v>
      </c>
    </row>
    <row r="144" spans="1:30">
      <c r="A144" s="6" t="str">
        <f>'Secondary cum Calculation'!A343</f>
        <v>Poland</v>
      </c>
      <c r="B144" s="119" t="str">
        <f>'Secondary cum Calculation'!B343</f>
        <v>Tourism Flows</v>
      </c>
      <c r="C144" s="119" t="str">
        <f>'Secondary cum Calculation'!C343</f>
        <v>International Arrivals by Place of Origin</v>
      </c>
      <c r="D144" s="119" t="str">
        <f>'Secondary cum Calculation'!D343</f>
        <v>Asia-Pacific</v>
      </c>
      <c r="E144" s="6" t="str">
        <f>'Secondary cum Calculation'!E343</f>
        <v>Myanmar</v>
      </c>
      <c r="F144" s="7" t="str">
        <f>'Secondary cum Calculation'!F343</f>
        <v>The number of international arrivals to a country originating from Myanmar</v>
      </c>
      <c r="G144" s="7" t="str">
        <f>'Secondary cum Calculation'!G343</f>
        <v>Tourism Demand &amp; Flows Database</v>
      </c>
      <c r="H144" s="7" t="str">
        <f>'Secondary cum Calculation'!H343</f>
        <v>New</v>
      </c>
      <c r="I144" s="7">
        <f>'Secondary cum Calculation'!I343</f>
        <v>0</v>
      </c>
      <c r="J144" s="7" t="str">
        <f>'Secondary cum Calculation'!J343</f>
        <v>Thousand</v>
      </c>
      <c r="K144" s="8">
        <f>'Secondary cum Calculation'!K343</f>
        <v>0</v>
      </c>
      <c r="L144" s="218">
        <f>'Secondary cum Calculation'!L343</f>
        <v>0</v>
      </c>
      <c r="M144" s="218">
        <f>'Secondary cum Calculation'!M343</f>
        <v>0</v>
      </c>
      <c r="N144" s="218">
        <f>'Secondary cum Calculation'!N343</f>
        <v>0</v>
      </c>
      <c r="O144" s="218">
        <f>'Secondary cum Calculation'!O343</f>
        <v>0</v>
      </c>
      <c r="P144" s="218">
        <f>'Secondary cum Calculation'!P343</f>
        <v>0</v>
      </c>
      <c r="Q144" s="218">
        <f>'Secondary cum Calculation'!Q343</f>
        <v>0</v>
      </c>
      <c r="W144" s="211" t="e">
        <f>'Secondary cum Calculation'!W343</f>
        <v>#DIV/0!</v>
      </c>
      <c r="X144" s="211" t="e">
        <f>'Secondary cum Calculation'!X343</f>
        <v>#DIV/0!</v>
      </c>
    </row>
    <row r="145" spans="1:30">
      <c r="A145" s="6" t="str">
        <f>'Secondary cum Calculation'!A345</f>
        <v>Poland</v>
      </c>
      <c r="B145" s="119" t="str">
        <f>'Secondary cum Calculation'!B345</f>
        <v>Tourism Flows</v>
      </c>
      <c r="C145" s="119" t="str">
        <f>'Secondary cum Calculation'!C345</f>
        <v>International Arrivals by Place of Origin</v>
      </c>
      <c r="D145" s="119" t="str">
        <f>'Secondary cum Calculation'!D345</f>
        <v>Asia-Pacific</v>
      </c>
      <c r="E145" s="6" t="str">
        <f>'Secondary cum Calculation'!E345</f>
        <v>Nepal</v>
      </c>
      <c r="F145" s="7" t="str">
        <f>'Secondary cum Calculation'!F345</f>
        <v>The number of international arrivals to a country originating from Nepal</v>
      </c>
      <c r="G145" s="7" t="str">
        <f>'Secondary cum Calculation'!G345</f>
        <v>Tourism Demand &amp; Flows Database</v>
      </c>
      <c r="H145" s="7" t="str">
        <f>'Secondary cum Calculation'!H345</f>
        <v>New</v>
      </c>
      <c r="I145" s="7">
        <f>'Secondary cum Calculation'!I345</f>
        <v>0</v>
      </c>
      <c r="J145" s="7" t="str">
        <f>'Secondary cum Calculation'!J345</f>
        <v>Thousand</v>
      </c>
      <c r="K145" s="8">
        <f>'Secondary cum Calculation'!K345</f>
        <v>0</v>
      </c>
      <c r="L145" s="218">
        <f>'Secondary cum Calculation'!L345</f>
        <v>0</v>
      </c>
      <c r="M145" s="218">
        <f>'Secondary cum Calculation'!M345</f>
        <v>0</v>
      </c>
      <c r="N145" s="218">
        <f>'Secondary cum Calculation'!N345</f>
        <v>0</v>
      </c>
      <c r="O145" s="218">
        <f>'Secondary cum Calculation'!O345</f>
        <v>0</v>
      </c>
      <c r="P145" s="218">
        <f>'Secondary cum Calculation'!P345</f>
        <v>0</v>
      </c>
      <c r="Q145" s="218">
        <f>'Secondary cum Calculation'!Q345</f>
        <v>0</v>
      </c>
      <c r="W145" s="211" t="e">
        <f>'Secondary cum Calculation'!W345</f>
        <v>#DIV/0!</v>
      </c>
      <c r="X145" s="211" t="e">
        <f>'Secondary cum Calculation'!X345</f>
        <v>#DIV/0!</v>
      </c>
    </row>
    <row r="146" spans="1:30">
      <c r="A146" s="6" t="str">
        <f>'Secondary cum Calculation'!A347</f>
        <v>Poland</v>
      </c>
      <c r="B146" s="119" t="str">
        <f>'Secondary cum Calculation'!B347</f>
        <v>Tourism Flows</v>
      </c>
      <c r="C146" s="119" t="str">
        <f>'Secondary cum Calculation'!C347</f>
        <v>International Arrivals by Place of Origin</v>
      </c>
      <c r="D146" s="119" t="str">
        <f>'Secondary cum Calculation'!D347</f>
        <v>Asia-Pacific</v>
      </c>
      <c r="E146" s="6" t="str">
        <f>'Secondary cum Calculation'!E347</f>
        <v>New Caledonia</v>
      </c>
      <c r="F146" s="7" t="str">
        <f>'Secondary cum Calculation'!F347</f>
        <v>The number of international arrivals to a country originating from New Caledonia</v>
      </c>
      <c r="G146" s="7" t="str">
        <f>'Secondary cum Calculation'!G347</f>
        <v>Tourism Demand &amp; Flows Database</v>
      </c>
      <c r="H146" s="7" t="str">
        <f>'Secondary cum Calculation'!H347</f>
        <v>New</v>
      </c>
      <c r="I146" s="7">
        <f>'Secondary cum Calculation'!I347</f>
        <v>0</v>
      </c>
      <c r="J146" s="7" t="str">
        <f>'Secondary cum Calculation'!J347</f>
        <v>Thousand</v>
      </c>
      <c r="K146" s="8">
        <f>'Secondary cum Calculation'!K347</f>
        <v>0</v>
      </c>
      <c r="L146" s="218">
        <f>'Secondary cum Calculation'!L347</f>
        <v>0</v>
      </c>
      <c r="M146" s="218">
        <f>'Secondary cum Calculation'!M347</f>
        <v>0</v>
      </c>
      <c r="N146" s="218">
        <f>'Secondary cum Calculation'!N347</f>
        <v>0</v>
      </c>
      <c r="O146" s="218">
        <f>'Secondary cum Calculation'!O347</f>
        <v>0</v>
      </c>
      <c r="P146" s="218">
        <f>'Secondary cum Calculation'!P347</f>
        <v>0</v>
      </c>
      <c r="Q146" s="218">
        <f>'Secondary cum Calculation'!Q347</f>
        <v>0</v>
      </c>
      <c r="W146" s="211" t="e">
        <f>'Secondary cum Calculation'!W347</f>
        <v>#DIV/0!</v>
      </c>
      <c r="X146" s="211" t="e">
        <f>'Secondary cum Calculation'!X347</f>
        <v>#DIV/0!</v>
      </c>
    </row>
    <row r="147" spans="1:30">
      <c r="A147" s="6" t="str">
        <f>'Secondary cum Calculation'!A349</f>
        <v>Poland</v>
      </c>
      <c r="B147" s="119" t="str">
        <f>'Secondary cum Calculation'!B349</f>
        <v>Tourism Flows</v>
      </c>
      <c r="C147" s="119" t="str">
        <f>'Secondary cum Calculation'!C349</f>
        <v>International Arrivals by Place of Origin</v>
      </c>
      <c r="D147" s="119" t="str">
        <f>'Secondary cum Calculation'!D349</f>
        <v>Asia-Pacific</v>
      </c>
      <c r="E147" s="6" t="str">
        <f>'Secondary cum Calculation'!E349</f>
        <v>New Zealand</v>
      </c>
      <c r="F147" s="7" t="str">
        <f>'Secondary cum Calculation'!F349</f>
        <v>The number of international arrivals to a country originating from New Zealand</v>
      </c>
      <c r="G147" s="7" t="str">
        <f>'Secondary cum Calculation'!G349</f>
        <v>Tourism Demand &amp; Flows Database</v>
      </c>
      <c r="H147" s="7" t="str">
        <f>'Secondary cum Calculation'!H349</f>
        <v>New</v>
      </c>
      <c r="I147" s="7">
        <f>'Secondary cum Calculation'!I349</f>
        <v>0</v>
      </c>
      <c r="J147" s="7" t="str">
        <f>'Secondary cum Calculation'!J349</f>
        <v>Thousand</v>
      </c>
      <c r="K147" s="8">
        <f>'Secondary cum Calculation'!K349</f>
        <v>138.48599999999999</v>
      </c>
      <c r="L147" s="218">
        <f>'Secondary cum Calculation'!L349</f>
        <v>0</v>
      </c>
      <c r="M147" s="218">
        <f>'Secondary cum Calculation'!M349</f>
        <v>0</v>
      </c>
      <c r="N147" s="218">
        <f>'Secondary cum Calculation'!N349</f>
        <v>0</v>
      </c>
      <c r="O147" s="218">
        <f>'Secondary cum Calculation'!O349</f>
        <v>0</v>
      </c>
      <c r="P147" s="218">
        <f>'Secondary cum Calculation'!P349</f>
        <v>0</v>
      </c>
      <c r="Q147" s="218">
        <f>'Secondary cum Calculation'!Q349</f>
        <v>0</v>
      </c>
      <c r="W147" s="211" t="e">
        <f>'Secondary cum Calculation'!W349</f>
        <v>#DIV/0!</v>
      </c>
      <c r="X147" s="211" t="e">
        <f>'Secondary cum Calculation'!X349</f>
        <v>#DIV/0!</v>
      </c>
      <c r="Z147" s="12"/>
      <c r="AA147" s="12"/>
      <c r="AB147" s="12"/>
      <c r="AC147" s="12"/>
      <c r="AD147" s="12"/>
    </row>
    <row r="148" spans="1:30">
      <c r="A148" s="6" t="str">
        <f>'Secondary cum Calculation'!A351</f>
        <v>Poland</v>
      </c>
      <c r="B148" s="119" t="str">
        <f>'Secondary cum Calculation'!B351</f>
        <v>Tourism Flows</v>
      </c>
      <c r="C148" s="119" t="str">
        <f>'Secondary cum Calculation'!C351</f>
        <v>International Arrivals by Place of Origin</v>
      </c>
      <c r="D148" s="119" t="str">
        <f>'Secondary cum Calculation'!D351</f>
        <v>Asia-Pacific</v>
      </c>
      <c r="E148" s="6" t="str">
        <f>'Secondary cum Calculation'!E351</f>
        <v>Pakistan</v>
      </c>
      <c r="F148" s="7" t="str">
        <f>'Secondary cum Calculation'!F351</f>
        <v>The number of international arrivals to a country originating from Pakistan</v>
      </c>
      <c r="G148" s="7" t="str">
        <f>'Secondary cum Calculation'!G351</f>
        <v>Tourism Demand &amp; Flows Database</v>
      </c>
      <c r="H148" s="7" t="str">
        <f>'Secondary cum Calculation'!H351</f>
        <v>New</v>
      </c>
      <c r="I148" s="7">
        <f>'Secondary cum Calculation'!I351</f>
        <v>0</v>
      </c>
      <c r="J148" s="7" t="str">
        <f>'Secondary cum Calculation'!J351</f>
        <v>Thousand</v>
      </c>
      <c r="K148" s="8">
        <f>'Secondary cum Calculation'!K351</f>
        <v>0</v>
      </c>
      <c r="L148" s="218">
        <f>'Secondary cum Calculation'!L351</f>
        <v>0</v>
      </c>
      <c r="M148" s="218">
        <f>'Secondary cum Calculation'!M351</f>
        <v>0</v>
      </c>
      <c r="N148" s="218">
        <f>'Secondary cum Calculation'!N351</f>
        <v>0</v>
      </c>
      <c r="O148" s="219">
        <f>'Secondary cum Calculation'!O351</f>
        <v>0</v>
      </c>
      <c r="P148" s="218">
        <f>'Secondary cum Calculation'!P351</f>
        <v>0</v>
      </c>
      <c r="Q148" s="218">
        <f>'Secondary cum Calculation'!Q351</f>
        <v>0</v>
      </c>
      <c r="W148" s="211" t="e">
        <f>'Secondary cum Calculation'!W351</f>
        <v>#DIV/0!</v>
      </c>
      <c r="X148" s="211" t="e">
        <f>'Secondary cum Calculation'!X351</f>
        <v>#DIV/0!</v>
      </c>
    </row>
    <row r="149" spans="1:30">
      <c r="A149" s="6" t="str">
        <f>'Secondary cum Calculation'!A353</f>
        <v>Poland</v>
      </c>
      <c r="B149" s="119" t="str">
        <f>'Secondary cum Calculation'!B353</f>
        <v>Tourism Flows</v>
      </c>
      <c r="C149" s="119" t="str">
        <f>'Secondary cum Calculation'!C353</f>
        <v>International Arrivals by Place of Origin</v>
      </c>
      <c r="D149" s="119" t="str">
        <f>'Secondary cum Calculation'!D353</f>
        <v>Asia-Pacific</v>
      </c>
      <c r="E149" s="6" t="str">
        <f>'Secondary cum Calculation'!E353</f>
        <v>Papua New Guinea</v>
      </c>
      <c r="F149" s="7" t="str">
        <f>'Secondary cum Calculation'!F353</f>
        <v>The number of international arrivals to a country originating from Papua New Guinea</v>
      </c>
      <c r="G149" s="7" t="str">
        <f>'Secondary cum Calculation'!G353</f>
        <v>Tourism Demand &amp; Flows Database</v>
      </c>
      <c r="H149" s="7" t="str">
        <f>'Secondary cum Calculation'!H353</f>
        <v>New</v>
      </c>
      <c r="I149" s="7">
        <f>'Secondary cum Calculation'!I353</f>
        <v>0</v>
      </c>
      <c r="J149" s="7" t="str">
        <f>'Secondary cum Calculation'!J353</f>
        <v>Thousand</v>
      </c>
      <c r="K149" s="8">
        <f>'Secondary cum Calculation'!K353</f>
        <v>0</v>
      </c>
      <c r="L149" s="218">
        <f>'Secondary cum Calculation'!L353</f>
        <v>0</v>
      </c>
      <c r="M149" s="218">
        <f>'Secondary cum Calculation'!M353</f>
        <v>0</v>
      </c>
      <c r="N149" s="218">
        <f>'Secondary cum Calculation'!N353</f>
        <v>0</v>
      </c>
      <c r="O149" s="219">
        <f>'Secondary cum Calculation'!O353</f>
        <v>0</v>
      </c>
      <c r="P149" s="218">
        <f>'Secondary cum Calculation'!P353</f>
        <v>0</v>
      </c>
      <c r="Q149" s="218">
        <f>'Secondary cum Calculation'!Q353</f>
        <v>0</v>
      </c>
      <c r="W149" s="211" t="e">
        <f>'Secondary cum Calculation'!W353</f>
        <v>#DIV/0!</v>
      </c>
      <c r="X149" s="211" t="e">
        <f>'Secondary cum Calculation'!X353</f>
        <v>#DIV/0!</v>
      </c>
    </row>
    <row r="150" spans="1:30">
      <c r="A150" s="6" t="str">
        <f>'Secondary cum Calculation'!A355</f>
        <v>Poland</v>
      </c>
      <c r="B150" s="119" t="str">
        <f>'Secondary cum Calculation'!B355</f>
        <v>Tourism Flows</v>
      </c>
      <c r="C150" s="119" t="str">
        <f>'Secondary cum Calculation'!C355</f>
        <v>International Arrivals by Place of Origin</v>
      </c>
      <c r="D150" s="119" t="str">
        <f>'Secondary cum Calculation'!D355</f>
        <v>Asia-Pacific</v>
      </c>
      <c r="E150" s="6" t="str">
        <f>'Secondary cum Calculation'!E355</f>
        <v>Philippines</v>
      </c>
      <c r="F150" s="7" t="str">
        <f>'Secondary cum Calculation'!F355</f>
        <v>The number of international arrivals to a country originating from Philippines</v>
      </c>
      <c r="G150" s="7" t="str">
        <f>'Secondary cum Calculation'!G355</f>
        <v>Tourism Demand &amp; Flows Database</v>
      </c>
      <c r="H150" s="7" t="str">
        <f>'Secondary cum Calculation'!H355</f>
        <v>New</v>
      </c>
      <c r="I150" s="7">
        <f>'Secondary cum Calculation'!I355</f>
        <v>0</v>
      </c>
      <c r="J150" s="7" t="str">
        <f>'Secondary cum Calculation'!J355</f>
        <v>Thousand</v>
      </c>
      <c r="K150" s="8">
        <f>'Secondary cum Calculation'!K355</f>
        <v>153.887</v>
      </c>
      <c r="L150" s="218">
        <f>'Secondary cum Calculation'!L355</f>
        <v>0</v>
      </c>
      <c r="M150" s="218">
        <f>'Secondary cum Calculation'!M355</f>
        <v>0</v>
      </c>
      <c r="N150" s="218">
        <f>'Secondary cum Calculation'!N355</f>
        <v>0</v>
      </c>
      <c r="O150" s="218">
        <f>'Secondary cum Calculation'!O355</f>
        <v>0</v>
      </c>
      <c r="P150" s="218">
        <f>'Secondary cum Calculation'!P355</f>
        <v>0</v>
      </c>
      <c r="Q150" s="218">
        <f>'Secondary cum Calculation'!Q355</f>
        <v>0</v>
      </c>
      <c r="W150" s="211" t="e">
        <f>'Secondary cum Calculation'!W355</f>
        <v>#DIV/0!</v>
      </c>
      <c r="X150" s="211" t="e">
        <f>'Secondary cum Calculation'!X355</f>
        <v>#DIV/0!</v>
      </c>
      <c r="Z150" s="12"/>
      <c r="AA150" s="12"/>
      <c r="AB150" s="12"/>
      <c r="AC150" s="12"/>
      <c r="AD150" s="12"/>
    </row>
    <row r="151" spans="1:30">
      <c r="A151" s="6" t="str">
        <f>'Secondary cum Calculation'!A357</f>
        <v>Poland</v>
      </c>
      <c r="B151" s="119" t="str">
        <f>'Secondary cum Calculation'!B357</f>
        <v>Tourism Flows</v>
      </c>
      <c r="C151" s="119" t="str">
        <f>'Secondary cum Calculation'!C357</f>
        <v>International Arrivals by Place of Origin</v>
      </c>
      <c r="D151" s="119" t="str">
        <f>'Secondary cum Calculation'!D357</f>
        <v>Asia-Pacific</v>
      </c>
      <c r="E151" s="6" t="str">
        <f>'Secondary cum Calculation'!E357</f>
        <v>Republic of Korea</v>
      </c>
      <c r="F151" s="7" t="str">
        <f>'Secondary cum Calculation'!F357</f>
        <v>The number of international arrivals to a country originating from Republic of Korea</v>
      </c>
      <c r="G151" s="7" t="str">
        <f>'Secondary cum Calculation'!G357</f>
        <v>Tourism Demand &amp; Flows Database</v>
      </c>
      <c r="H151" s="7" t="str">
        <f>'Secondary cum Calculation'!H357</f>
        <v>New</v>
      </c>
      <c r="I151" s="7">
        <f>'Secondary cum Calculation'!I357</f>
        <v>0</v>
      </c>
      <c r="J151" s="7" t="str">
        <f>'Secondary cum Calculation'!J357</f>
        <v>Thousand</v>
      </c>
      <c r="K151" s="8">
        <f>'Secondary cum Calculation'!K357</f>
        <v>757.721</v>
      </c>
      <c r="L151" s="365">
        <f>'Secondary cum Calculation'!L357</f>
        <v>29.927881559407947</v>
      </c>
      <c r="M151" s="365">
        <f>'Secondary cum Calculation'!M357</f>
        <v>24.047306371955504</v>
      </c>
      <c r="N151" s="365">
        <f>'Secondary cum Calculation'!N357</f>
        <v>18.851519665958577</v>
      </c>
      <c r="O151" s="365">
        <f>'Secondary cum Calculation'!O357</f>
        <v>25.113342282050827</v>
      </c>
      <c r="P151" s="365">
        <f>'Secondary cum Calculation'!P357</f>
        <v>25.609714812121531</v>
      </c>
      <c r="Q151" s="365">
        <f>'Secondary cum Calculation'!Q357</f>
        <v>28.229435508652831</v>
      </c>
      <c r="W151" s="211">
        <f>'Secondary cum Calculation'!W357</f>
        <v>4.0899834144072278E-2</v>
      </c>
      <c r="X151" s="211">
        <f>'Secondary cum Calculation'!X357</f>
        <v>-1</v>
      </c>
      <c r="Y151" s="371" t="s">
        <v>1345</v>
      </c>
      <c r="Z151" s="12"/>
      <c r="AA151" s="12"/>
      <c r="AB151" s="12"/>
      <c r="AC151" s="12"/>
      <c r="AD151" s="7">
        <v>2</v>
      </c>
    </row>
    <row r="152" spans="1:30">
      <c r="A152" s="6" t="str">
        <f>'Secondary cum Calculation'!A359</f>
        <v>Poland</v>
      </c>
      <c r="B152" s="119" t="str">
        <f>'Secondary cum Calculation'!B359</f>
        <v>Tourism Flows</v>
      </c>
      <c r="C152" s="119" t="str">
        <f>'Secondary cum Calculation'!C359</f>
        <v>International Arrivals by Place of Origin</v>
      </c>
      <c r="D152" s="119" t="str">
        <f>'Secondary cum Calculation'!D359</f>
        <v>Asia-Pacific</v>
      </c>
      <c r="E152" s="6" t="str">
        <f>'Secondary cum Calculation'!E359</f>
        <v>Samoa</v>
      </c>
      <c r="F152" s="7" t="str">
        <f>'Secondary cum Calculation'!F359</f>
        <v>The number of international arrivals to a country originating from Samoa</v>
      </c>
      <c r="G152" s="7" t="str">
        <f>'Secondary cum Calculation'!G359</f>
        <v>Tourism Demand &amp; Flows Database</v>
      </c>
      <c r="H152" s="7" t="str">
        <f>'Secondary cum Calculation'!H359</f>
        <v>New</v>
      </c>
      <c r="I152" s="7">
        <f>'Secondary cum Calculation'!I359</f>
        <v>0</v>
      </c>
      <c r="J152" s="7" t="str">
        <f>'Secondary cum Calculation'!J359</f>
        <v>Thousand</v>
      </c>
      <c r="K152" s="8">
        <f>'Secondary cum Calculation'!K359</f>
        <v>0</v>
      </c>
      <c r="L152" s="218">
        <f>'Secondary cum Calculation'!L359</f>
        <v>0</v>
      </c>
      <c r="M152" s="218">
        <f>'Secondary cum Calculation'!M359</f>
        <v>0</v>
      </c>
      <c r="N152" s="218">
        <f>'Secondary cum Calculation'!N359</f>
        <v>0</v>
      </c>
      <c r="O152" s="219">
        <f>'Secondary cum Calculation'!O359</f>
        <v>0</v>
      </c>
      <c r="P152" s="218">
        <f>'Secondary cum Calculation'!P359</f>
        <v>0</v>
      </c>
      <c r="Q152" s="218">
        <f>'Secondary cum Calculation'!Q359</f>
        <v>0</v>
      </c>
      <c r="W152" s="211" t="e">
        <f>'Secondary cum Calculation'!W359</f>
        <v>#DIV/0!</v>
      </c>
      <c r="X152" s="211" t="e">
        <f>'Secondary cum Calculation'!X359</f>
        <v>#DIV/0!</v>
      </c>
    </row>
    <row r="153" spans="1:30">
      <c r="A153" s="6" t="str">
        <f>'Secondary cum Calculation'!A361</f>
        <v>Poland</v>
      </c>
      <c r="B153" s="119" t="str">
        <f>'Secondary cum Calculation'!B361</f>
        <v>Tourism Flows</v>
      </c>
      <c r="C153" s="119" t="str">
        <f>'Secondary cum Calculation'!C361</f>
        <v>International Arrivals by Place of Origin</v>
      </c>
      <c r="D153" s="119" t="str">
        <f>'Secondary cum Calculation'!D361</f>
        <v>Asia-Pacific</v>
      </c>
      <c r="E153" s="6" t="str">
        <f>'Secondary cum Calculation'!E361</f>
        <v>Singapore</v>
      </c>
      <c r="F153" s="7" t="str">
        <f>'Secondary cum Calculation'!F361</f>
        <v>The number of international arrivals to a country originating from Singapore</v>
      </c>
      <c r="G153" s="7" t="str">
        <f>'Secondary cum Calculation'!G361</f>
        <v>Tourism Demand &amp; Flows Database</v>
      </c>
      <c r="H153" s="7" t="str">
        <f>'Secondary cum Calculation'!H361</f>
        <v>New</v>
      </c>
      <c r="I153" s="7">
        <f>'Secondary cum Calculation'!I361</f>
        <v>0</v>
      </c>
      <c r="J153" s="7" t="str">
        <f>'Secondary cum Calculation'!J361</f>
        <v>Thousand</v>
      </c>
      <c r="K153" s="8">
        <f>'Secondary cum Calculation'!K361</f>
        <v>122.995</v>
      </c>
      <c r="L153" s="218">
        <f>'Secondary cum Calculation'!L361</f>
        <v>0</v>
      </c>
      <c r="M153" s="218">
        <f>'Secondary cum Calculation'!M361</f>
        <v>0</v>
      </c>
      <c r="N153" s="218">
        <f>'Secondary cum Calculation'!N361</f>
        <v>0</v>
      </c>
      <c r="O153" s="218">
        <f>'Secondary cum Calculation'!O361</f>
        <v>0</v>
      </c>
      <c r="P153" s="218">
        <f>'Secondary cum Calculation'!P361</f>
        <v>0</v>
      </c>
      <c r="Q153" s="218">
        <f>'Secondary cum Calculation'!Q361</f>
        <v>0</v>
      </c>
      <c r="W153" s="211" t="e">
        <f>'Secondary cum Calculation'!W361</f>
        <v>#DIV/0!</v>
      </c>
      <c r="X153" s="211" t="e">
        <f>'Secondary cum Calculation'!X361</f>
        <v>#DIV/0!</v>
      </c>
      <c r="Z153" s="12"/>
      <c r="AA153" s="12"/>
      <c r="AB153" s="12"/>
      <c r="AC153" s="12"/>
      <c r="AD153" s="12"/>
    </row>
    <row r="154" spans="1:30">
      <c r="A154" s="6" t="str">
        <f>'Secondary cum Calculation'!A363</f>
        <v>Poland</v>
      </c>
      <c r="B154" s="119" t="str">
        <f>'Secondary cum Calculation'!B363</f>
        <v>Tourism Flows</v>
      </c>
      <c r="C154" s="119" t="str">
        <f>'Secondary cum Calculation'!C363</f>
        <v>International Arrivals by Place of Origin</v>
      </c>
      <c r="D154" s="119" t="str">
        <f>'Secondary cum Calculation'!D363</f>
        <v>Asia-Pacific</v>
      </c>
      <c r="E154" s="6" t="str">
        <f>'Secondary cum Calculation'!E363</f>
        <v>Solomon Islands</v>
      </c>
      <c r="F154" s="7" t="str">
        <f>'Secondary cum Calculation'!F363</f>
        <v>The number of international arrivals to a country originating from Solomon Islands</v>
      </c>
      <c r="G154" s="7" t="str">
        <f>'Secondary cum Calculation'!G363</f>
        <v>Tourism Demand &amp; Flows Database</v>
      </c>
      <c r="H154" s="7" t="str">
        <f>'Secondary cum Calculation'!H363</f>
        <v>New</v>
      </c>
      <c r="I154" s="7">
        <f>'Secondary cum Calculation'!I363</f>
        <v>0</v>
      </c>
      <c r="J154" s="7" t="str">
        <f>'Secondary cum Calculation'!J363</f>
        <v>Thousand</v>
      </c>
      <c r="K154" s="8">
        <f>'Secondary cum Calculation'!K363</f>
        <v>0</v>
      </c>
      <c r="L154" s="218">
        <f>'Secondary cum Calculation'!L363</f>
        <v>0</v>
      </c>
      <c r="M154" s="218">
        <f>'Secondary cum Calculation'!M363</f>
        <v>0</v>
      </c>
      <c r="N154" s="218">
        <f>'Secondary cum Calculation'!N363</f>
        <v>0</v>
      </c>
      <c r="O154" s="219">
        <f>'Secondary cum Calculation'!O363</f>
        <v>0</v>
      </c>
      <c r="P154" s="218">
        <f>'Secondary cum Calculation'!P363</f>
        <v>0</v>
      </c>
      <c r="Q154" s="218">
        <f>'Secondary cum Calculation'!Q363</f>
        <v>0</v>
      </c>
      <c r="W154" s="211" t="e">
        <f>'Secondary cum Calculation'!W363</f>
        <v>#DIV/0!</v>
      </c>
      <c r="X154" s="211" t="e">
        <f>'Secondary cum Calculation'!X363</f>
        <v>#DIV/0!</v>
      </c>
    </row>
    <row r="155" spans="1:30">
      <c r="A155" s="6" t="str">
        <f>'Secondary cum Calculation'!A365</f>
        <v>Poland</v>
      </c>
      <c r="B155" s="119" t="str">
        <f>'Secondary cum Calculation'!B365</f>
        <v>Tourism Flows</v>
      </c>
      <c r="C155" s="119" t="str">
        <f>'Secondary cum Calculation'!C365</f>
        <v>International Arrivals by Place of Origin</v>
      </c>
      <c r="D155" s="119" t="str">
        <f>'Secondary cum Calculation'!D365</f>
        <v>Asia-Pacific</v>
      </c>
      <c r="E155" s="6" t="str">
        <f>'Secondary cum Calculation'!E365</f>
        <v>Sri Lanka</v>
      </c>
      <c r="F155" s="7" t="str">
        <f>'Secondary cum Calculation'!F365</f>
        <v>The number of international arrivals to a country originating from Sri Lanka</v>
      </c>
      <c r="G155" s="7" t="str">
        <f>'Secondary cum Calculation'!G365</f>
        <v>Tourism Demand &amp; Flows Database</v>
      </c>
      <c r="H155" s="7" t="str">
        <f>'Secondary cum Calculation'!H365</f>
        <v>New</v>
      </c>
      <c r="I155" s="7">
        <f>'Secondary cum Calculation'!I365</f>
        <v>0</v>
      </c>
      <c r="J155" s="7" t="str">
        <f>'Secondary cum Calculation'!J365</f>
        <v>Thousand</v>
      </c>
      <c r="K155" s="8">
        <f>'Secondary cum Calculation'!K365</f>
        <v>0</v>
      </c>
      <c r="L155" s="218">
        <f>'Secondary cum Calculation'!L365</f>
        <v>0</v>
      </c>
      <c r="M155" s="218">
        <f>'Secondary cum Calculation'!M365</f>
        <v>0</v>
      </c>
      <c r="N155" s="218">
        <f>'Secondary cum Calculation'!N365</f>
        <v>0</v>
      </c>
      <c r="O155" s="218">
        <f>'Secondary cum Calculation'!O365</f>
        <v>0</v>
      </c>
      <c r="P155" s="218">
        <f>'Secondary cum Calculation'!P365</f>
        <v>0</v>
      </c>
      <c r="Q155" s="218">
        <f>'Secondary cum Calculation'!Q365</f>
        <v>0</v>
      </c>
      <c r="W155" s="211" t="e">
        <f>'Secondary cum Calculation'!W365</f>
        <v>#DIV/0!</v>
      </c>
      <c r="X155" s="211" t="e">
        <f>'Secondary cum Calculation'!X365</f>
        <v>#DIV/0!</v>
      </c>
    </row>
    <row r="156" spans="1:30">
      <c r="A156" s="6" t="str">
        <f>'Secondary cum Calculation'!A367</f>
        <v>Poland</v>
      </c>
      <c r="B156" s="119" t="str">
        <f>'Secondary cum Calculation'!B367</f>
        <v>Tourism Flows</v>
      </c>
      <c r="C156" s="119" t="str">
        <f>'Secondary cum Calculation'!C367</f>
        <v>International Arrivals by Place of Origin</v>
      </c>
      <c r="D156" s="119" t="str">
        <f>'Secondary cum Calculation'!D367</f>
        <v>Asia-Pacific</v>
      </c>
      <c r="E156" s="6" t="str">
        <f>'Secondary cum Calculation'!E367</f>
        <v>Tajikistan</v>
      </c>
      <c r="F156" s="7" t="str">
        <f>'Secondary cum Calculation'!F367</f>
        <v>The number of international arrivals to a country originating from Tajikistan</v>
      </c>
      <c r="G156" s="7" t="str">
        <f>'Secondary cum Calculation'!G367</f>
        <v>Tourism Demand &amp; Flows Database</v>
      </c>
      <c r="H156" s="7" t="str">
        <f>'Secondary cum Calculation'!H367</f>
        <v>New</v>
      </c>
      <c r="I156" s="7">
        <f>'Secondary cum Calculation'!I367</f>
        <v>0</v>
      </c>
      <c r="J156" s="7" t="str">
        <f>'Secondary cum Calculation'!J367</f>
        <v>Thousand</v>
      </c>
      <c r="K156" s="8">
        <f>'Secondary cum Calculation'!K367</f>
        <v>0</v>
      </c>
      <c r="L156" s="218">
        <f>'Secondary cum Calculation'!L367</f>
        <v>0</v>
      </c>
      <c r="M156" s="218">
        <f>'Secondary cum Calculation'!M367</f>
        <v>0</v>
      </c>
      <c r="N156" s="218">
        <f>'Secondary cum Calculation'!N367</f>
        <v>0</v>
      </c>
      <c r="O156" s="218">
        <f>'Secondary cum Calculation'!O367</f>
        <v>0</v>
      </c>
      <c r="P156" s="218">
        <f>'Secondary cum Calculation'!P367</f>
        <v>0</v>
      </c>
      <c r="Q156" s="218">
        <f>'Secondary cum Calculation'!Q367</f>
        <v>0</v>
      </c>
      <c r="W156" s="211" t="e">
        <f>'Secondary cum Calculation'!W367</f>
        <v>#DIV/0!</v>
      </c>
      <c r="X156" s="211" t="e">
        <f>'Secondary cum Calculation'!X367</f>
        <v>#DIV/0!</v>
      </c>
    </row>
    <row r="157" spans="1:30">
      <c r="A157" s="6" t="str">
        <f>'Secondary cum Calculation'!A369</f>
        <v>Poland</v>
      </c>
      <c r="B157" s="119" t="str">
        <f>'Secondary cum Calculation'!B369</f>
        <v>Tourism Flows</v>
      </c>
      <c r="C157" s="119" t="str">
        <f>'Secondary cum Calculation'!C369</f>
        <v>International Arrivals by Place of Origin</v>
      </c>
      <c r="D157" s="119" t="str">
        <f>'Secondary cum Calculation'!D369</f>
        <v>Asia-Pacific</v>
      </c>
      <c r="E157" s="6" t="str">
        <f>'Secondary cum Calculation'!E369</f>
        <v>Thailand</v>
      </c>
      <c r="F157" s="7" t="str">
        <f>'Secondary cum Calculation'!F369</f>
        <v>The number of international arrivals to a country originating from Thailand</v>
      </c>
      <c r="G157" s="7" t="str">
        <f>'Secondary cum Calculation'!G369</f>
        <v>Tourism Demand &amp; Flows Database</v>
      </c>
      <c r="H157" s="7" t="str">
        <f>'Secondary cum Calculation'!H369</f>
        <v>New</v>
      </c>
      <c r="I157" s="7">
        <f>'Secondary cum Calculation'!I369</f>
        <v>0</v>
      </c>
      <c r="J157" s="7" t="str">
        <f>'Secondary cum Calculation'!J369</f>
        <v>Thousand</v>
      </c>
      <c r="K157" s="8">
        <f>'Secondary cum Calculation'!K369</f>
        <v>0</v>
      </c>
      <c r="L157" s="218">
        <f>'Secondary cum Calculation'!L369</f>
        <v>0</v>
      </c>
      <c r="M157" s="218">
        <f>'Secondary cum Calculation'!M369</f>
        <v>0</v>
      </c>
      <c r="N157" s="218">
        <f>'Secondary cum Calculation'!N369</f>
        <v>0</v>
      </c>
      <c r="O157" s="218">
        <f>'Secondary cum Calculation'!O369</f>
        <v>0</v>
      </c>
      <c r="P157" s="218">
        <f>'Secondary cum Calculation'!P369</f>
        <v>0</v>
      </c>
      <c r="Q157" s="218">
        <f>'Secondary cum Calculation'!Q369</f>
        <v>0</v>
      </c>
      <c r="W157" s="211" t="e">
        <f>'Secondary cum Calculation'!W369</f>
        <v>#DIV/0!</v>
      </c>
      <c r="X157" s="211" t="e">
        <f>'Secondary cum Calculation'!X369</f>
        <v>#DIV/0!</v>
      </c>
    </row>
    <row r="158" spans="1:30">
      <c r="A158" s="6" t="str">
        <f>'Secondary cum Calculation'!A371</f>
        <v>Poland</v>
      </c>
      <c r="B158" s="119" t="str">
        <f>'Secondary cum Calculation'!B371</f>
        <v>Tourism Flows</v>
      </c>
      <c r="C158" s="119" t="str">
        <f>'Secondary cum Calculation'!C371</f>
        <v>International Arrivals by Place of Origin</v>
      </c>
      <c r="D158" s="119" t="str">
        <f>'Secondary cum Calculation'!D371</f>
        <v>Asia-Pacific</v>
      </c>
      <c r="E158" s="6" t="str">
        <f>'Secondary cum Calculation'!E371</f>
        <v>Timor-Leste</v>
      </c>
      <c r="F158" s="7" t="str">
        <f>'Secondary cum Calculation'!F371</f>
        <v>The number of international arrivals to a country originating from Timor-Leste</v>
      </c>
      <c r="G158" s="7" t="str">
        <f>'Secondary cum Calculation'!G371</f>
        <v>Tourism Demand &amp; Flows Database</v>
      </c>
      <c r="H158" s="7" t="str">
        <f>'Secondary cum Calculation'!H371</f>
        <v>New</v>
      </c>
      <c r="I158" s="7">
        <f>'Secondary cum Calculation'!I371</f>
        <v>0</v>
      </c>
      <c r="J158" s="7" t="str">
        <f>'Secondary cum Calculation'!J371</f>
        <v>Thousand</v>
      </c>
      <c r="K158" s="8">
        <f>'Secondary cum Calculation'!K371</f>
        <v>0</v>
      </c>
      <c r="L158" s="218">
        <f>'Secondary cum Calculation'!L371</f>
        <v>0</v>
      </c>
      <c r="M158" s="218">
        <f>'Secondary cum Calculation'!M371</f>
        <v>0</v>
      </c>
      <c r="N158" s="218">
        <f>'Secondary cum Calculation'!N371</f>
        <v>0</v>
      </c>
      <c r="O158" s="218">
        <f>'Secondary cum Calculation'!O371</f>
        <v>0</v>
      </c>
      <c r="P158" s="218">
        <f>'Secondary cum Calculation'!P371</f>
        <v>0</v>
      </c>
      <c r="Q158" s="218">
        <f>'Secondary cum Calculation'!Q371</f>
        <v>0</v>
      </c>
      <c r="W158" s="211" t="e">
        <f>'Secondary cum Calculation'!W371</f>
        <v>#DIV/0!</v>
      </c>
      <c r="X158" s="211" t="e">
        <f>'Secondary cum Calculation'!X371</f>
        <v>#DIV/0!</v>
      </c>
    </row>
    <row r="159" spans="1:30">
      <c r="A159" s="6" t="str">
        <f>'Secondary cum Calculation'!A373</f>
        <v>Poland</v>
      </c>
      <c r="B159" s="119" t="str">
        <f>'Secondary cum Calculation'!B373</f>
        <v>Tourism Flows</v>
      </c>
      <c r="C159" s="119" t="str">
        <f>'Secondary cum Calculation'!C373</f>
        <v>International Arrivals by Place of Origin</v>
      </c>
      <c r="D159" s="119" t="str">
        <f>'Secondary cum Calculation'!D373</f>
        <v>Asia-Pacific</v>
      </c>
      <c r="E159" s="6" t="str">
        <f>'Secondary cum Calculation'!E373</f>
        <v>Turkmenistan</v>
      </c>
      <c r="F159" s="7" t="str">
        <f>'Secondary cum Calculation'!F373</f>
        <v>The number of international arrivals to a country originating from Turkmenistan</v>
      </c>
      <c r="G159" s="7" t="str">
        <f>'Secondary cum Calculation'!G373</f>
        <v>Tourism Demand &amp; Flows Database</v>
      </c>
      <c r="H159" s="7" t="str">
        <f>'Secondary cum Calculation'!H373</f>
        <v>New</v>
      </c>
      <c r="I159" s="7">
        <f>'Secondary cum Calculation'!I373</f>
        <v>0</v>
      </c>
      <c r="J159" s="7" t="str">
        <f>'Secondary cum Calculation'!J373</f>
        <v>Thousand</v>
      </c>
      <c r="K159" s="8">
        <f>'Secondary cum Calculation'!K373</f>
        <v>0</v>
      </c>
      <c r="L159" s="218">
        <f>'Secondary cum Calculation'!L373</f>
        <v>0</v>
      </c>
      <c r="M159" s="218">
        <f>'Secondary cum Calculation'!M373</f>
        <v>0</v>
      </c>
      <c r="N159" s="218">
        <f>'Secondary cum Calculation'!N373</f>
        <v>0</v>
      </c>
      <c r="O159" s="218">
        <f>'Secondary cum Calculation'!O373</f>
        <v>0</v>
      </c>
      <c r="P159" s="218">
        <f>'Secondary cum Calculation'!P373</f>
        <v>0</v>
      </c>
      <c r="Q159" s="218">
        <f>'Secondary cum Calculation'!Q373</f>
        <v>0</v>
      </c>
      <c r="W159" s="211" t="e">
        <f>'Secondary cum Calculation'!W373</f>
        <v>#DIV/0!</v>
      </c>
      <c r="X159" s="211" t="e">
        <f>'Secondary cum Calculation'!X373</f>
        <v>#DIV/0!</v>
      </c>
    </row>
    <row r="160" spans="1:30">
      <c r="A160" s="6" t="str">
        <f>'Secondary cum Calculation'!A375</f>
        <v>Poland</v>
      </c>
      <c r="B160" s="119" t="str">
        <f>'Secondary cum Calculation'!B375</f>
        <v>Tourism Flows</v>
      </c>
      <c r="C160" s="119" t="str">
        <f>'Secondary cum Calculation'!C375</f>
        <v>International Arrivals by Place of Origin</v>
      </c>
      <c r="D160" s="119" t="str">
        <f>'Secondary cum Calculation'!D375</f>
        <v>Asia-Pacific</v>
      </c>
      <c r="E160" s="6" t="str">
        <f>'Secondary cum Calculation'!E375</f>
        <v>Uzbekistan</v>
      </c>
      <c r="F160" s="7" t="str">
        <f>'Secondary cum Calculation'!F375</f>
        <v>The number of international arrivals to a country originating from Uzbekistan</v>
      </c>
      <c r="G160" s="7" t="str">
        <f>'Secondary cum Calculation'!G375</f>
        <v>Tourism Demand &amp; Flows Database</v>
      </c>
      <c r="H160" s="7" t="str">
        <f>'Secondary cum Calculation'!H375</f>
        <v>New</v>
      </c>
      <c r="I160" s="7">
        <f>'Secondary cum Calculation'!I375</f>
        <v>0</v>
      </c>
      <c r="J160" s="7" t="str">
        <f>'Secondary cum Calculation'!J375</f>
        <v>Thousand</v>
      </c>
      <c r="K160" s="8">
        <f>'Secondary cum Calculation'!K375</f>
        <v>0</v>
      </c>
      <c r="L160" s="218">
        <f>'Secondary cum Calculation'!L375</f>
        <v>0</v>
      </c>
      <c r="M160" s="218">
        <f>'Secondary cum Calculation'!M375</f>
        <v>0</v>
      </c>
      <c r="N160" s="218">
        <f>'Secondary cum Calculation'!N375</f>
        <v>0</v>
      </c>
      <c r="O160" s="218">
        <f>'Secondary cum Calculation'!O375</f>
        <v>0</v>
      </c>
      <c r="P160" s="218">
        <f>'Secondary cum Calculation'!P375</f>
        <v>0</v>
      </c>
      <c r="Q160" s="218">
        <f>'Secondary cum Calculation'!Q375</f>
        <v>0</v>
      </c>
      <c r="W160" s="211" t="e">
        <f>'Secondary cum Calculation'!W375</f>
        <v>#DIV/0!</v>
      </c>
      <c r="X160" s="211" t="e">
        <f>'Secondary cum Calculation'!X375</f>
        <v>#DIV/0!</v>
      </c>
    </row>
    <row r="161" spans="1:30">
      <c r="A161" s="6" t="str">
        <f>'Secondary cum Calculation'!A377</f>
        <v>Poland</v>
      </c>
      <c r="B161" s="119" t="str">
        <f>'Secondary cum Calculation'!B377</f>
        <v>Tourism Flows</v>
      </c>
      <c r="C161" s="119" t="str">
        <f>'Secondary cum Calculation'!C377</f>
        <v>International Arrivals by Place of Origin</v>
      </c>
      <c r="D161" s="119" t="str">
        <f>'Secondary cum Calculation'!D377</f>
        <v>Asia-Pacific</v>
      </c>
      <c r="E161" s="6" t="str">
        <f>'Secondary cum Calculation'!E377</f>
        <v>Vanuatu</v>
      </c>
      <c r="F161" s="7" t="str">
        <f>'Secondary cum Calculation'!F377</f>
        <v>The number of international arrivals to a country originating from Vanuatu</v>
      </c>
      <c r="G161" s="7" t="str">
        <f>'Secondary cum Calculation'!G377</f>
        <v>Tourism Demand &amp; Flows Database</v>
      </c>
      <c r="H161" s="7" t="str">
        <f>'Secondary cum Calculation'!H377</f>
        <v>New</v>
      </c>
      <c r="I161" s="7">
        <f>'Secondary cum Calculation'!I377</f>
        <v>0</v>
      </c>
      <c r="J161" s="7" t="str">
        <f>'Secondary cum Calculation'!J377</f>
        <v>Thousand</v>
      </c>
      <c r="K161" s="8">
        <f>'Secondary cum Calculation'!K377</f>
        <v>0</v>
      </c>
      <c r="L161" s="218">
        <f>'Secondary cum Calculation'!L377</f>
        <v>0</v>
      </c>
      <c r="M161" s="218">
        <f>'Secondary cum Calculation'!M377</f>
        <v>0</v>
      </c>
      <c r="N161" s="218">
        <f>'Secondary cum Calculation'!N377</f>
        <v>0</v>
      </c>
      <c r="O161" s="218">
        <f>'Secondary cum Calculation'!O377</f>
        <v>0</v>
      </c>
      <c r="P161" s="218">
        <f>'Secondary cum Calculation'!P377</f>
        <v>0</v>
      </c>
      <c r="Q161" s="218">
        <f>'Secondary cum Calculation'!Q377</f>
        <v>0</v>
      </c>
      <c r="W161" s="211" t="e">
        <f>'Secondary cum Calculation'!W377</f>
        <v>#DIV/0!</v>
      </c>
      <c r="X161" s="211" t="e">
        <f>'Secondary cum Calculation'!X377</f>
        <v>#DIV/0!</v>
      </c>
    </row>
    <row r="162" spans="1:30">
      <c r="A162" s="6" t="str">
        <f>'Secondary cum Calculation'!A379</f>
        <v>Poland</v>
      </c>
      <c r="B162" s="119" t="str">
        <f>'Secondary cum Calculation'!B379</f>
        <v>Tourism Flows</v>
      </c>
      <c r="C162" s="119" t="str">
        <f>'Secondary cum Calculation'!C379</f>
        <v>International Arrivals by Place of Origin</v>
      </c>
      <c r="D162" s="119" t="str">
        <f>'Secondary cum Calculation'!D379</f>
        <v>Asia-Pacific</v>
      </c>
      <c r="E162" s="6" t="str">
        <f>'Secondary cum Calculation'!E379</f>
        <v>Vietnam</v>
      </c>
      <c r="F162" s="7" t="str">
        <f>'Secondary cum Calculation'!F379</f>
        <v>The number of international arrivals to a country originating from Vietnam</v>
      </c>
      <c r="G162" s="7" t="str">
        <f>'Secondary cum Calculation'!G379</f>
        <v>Tourism Demand &amp; Flows Database</v>
      </c>
      <c r="H162" s="7" t="str">
        <f>'Secondary cum Calculation'!H379</f>
        <v>New</v>
      </c>
      <c r="I162" s="7">
        <f>'Secondary cum Calculation'!I379</f>
        <v>0</v>
      </c>
      <c r="J162" s="7" t="str">
        <f>'Secondary cum Calculation'!J379</f>
        <v>Thousand</v>
      </c>
      <c r="K162" s="8">
        <f>'Secondary cum Calculation'!K379</f>
        <v>0</v>
      </c>
      <c r="L162" s="218">
        <f>'Secondary cum Calculation'!L379</f>
        <v>0</v>
      </c>
      <c r="M162" s="218">
        <f>'Secondary cum Calculation'!M379</f>
        <v>0</v>
      </c>
      <c r="N162" s="218">
        <f>'Secondary cum Calculation'!N379</f>
        <v>0</v>
      </c>
      <c r="O162" s="219">
        <f>'Secondary cum Calculation'!O379</f>
        <v>0</v>
      </c>
      <c r="P162" s="219">
        <f>'Secondary cum Calculation'!P379</f>
        <v>0</v>
      </c>
      <c r="Q162" s="219">
        <f>'Secondary cum Calculation'!Q379</f>
        <v>0</v>
      </c>
      <c r="R162" s="132"/>
      <c r="S162" s="132"/>
      <c r="T162" s="132"/>
      <c r="U162" s="132"/>
      <c r="V162" s="132"/>
      <c r="W162" s="211" t="e">
        <f>'Secondary cum Calculation'!W379</f>
        <v>#DIV/0!</v>
      </c>
      <c r="X162" s="211" t="e">
        <f>'Secondary cum Calculation'!X379</f>
        <v>#DIV/0!</v>
      </c>
    </row>
    <row r="163" spans="1:30">
      <c r="A163" s="6" t="str">
        <f>'Secondary cum Calculation'!A381</f>
        <v>Poland</v>
      </c>
      <c r="B163" s="119" t="str">
        <f>'Secondary cum Calculation'!B381</f>
        <v>Tourism Flows</v>
      </c>
      <c r="C163" s="119" t="str">
        <f>'Secondary cum Calculation'!C381</f>
        <v>International Arrivals by Place of Origin</v>
      </c>
      <c r="D163" s="119" t="str">
        <f>'Secondary cum Calculation'!D381</f>
        <v>Asia-Pacific</v>
      </c>
      <c r="E163" s="6" t="str">
        <f>'Secondary cum Calculation'!E381</f>
        <v>Other Asia-Pacific Countries</v>
      </c>
      <c r="F163" s="41" t="str">
        <f>'Secondary cum Calculation'!F381</f>
        <v>To be defined according to the gaps in the country data above</v>
      </c>
      <c r="G163" s="7">
        <f>'Secondary cum Calculation'!G381</f>
        <v>0</v>
      </c>
      <c r="H163" s="7">
        <f>'Secondary cum Calculation'!H381</f>
        <v>0</v>
      </c>
      <c r="I163" s="7">
        <f>'Secondary cum Calculation'!I381</f>
        <v>0</v>
      </c>
      <c r="J163" s="7" t="str">
        <f>'Secondary cum Calculation'!J381</f>
        <v>Thousand</v>
      </c>
      <c r="K163" s="8">
        <f>'Secondary cum Calculation'!K381</f>
        <v>0</v>
      </c>
      <c r="L163" s="365">
        <f>'Secondary cum Calculation'!L381</f>
        <v>619.49130141617832</v>
      </c>
      <c r="M163" s="365">
        <f>'Secondary cum Calculation'!M381</f>
        <v>511.74742266190992</v>
      </c>
      <c r="N163" s="365">
        <f>'Secondary cum Calculation'!N381</f>
        <v>430.34296711272128</v>
      </c>
      <c r="O163" s="365">
        <f>'Secondary cum Calculation'!O381</f>
        <v>511.07743297681708</v>
      </c>
      <c r="P163" s="365">
        <f>'Secondary cum Calculation'!P381</f>
        <v>534.18113314552591</v>
      </c>
      <c r="Q163" s="365">
        <f>'Secondary cum Calculation'!Q381</f>
        <v>614.43270469318475</v>
      </c>
      <c r="R163" s="132"/>
      <c r="S163" s="132"/>
      <c r="T163" s="132"/>
      <c r="U163" s="132"/>
      <c r="V163" s="132"/>
      <c r="W163" s="211">
        <f>'Secondary cum Calculation'!W381</f>
        <v>4.677818905274278E-2</v>
      </c>
      <c r="X163" s="211">
        <f>'Secondary cum Calculation'!X381</f>
        <v>-1</v>
      </c>
      <c r="Y163" s="371" t="s">
        <v>1345</v>
      </c>
      <c r="AD163" s="7">
        <v>2</v>
      </c>
    </row>
    <row r="164" spans="1:30">
      <c r="A164" s="213" t="str">
        <f>'Secondary cum Calculation'!A383</f>
        <v>Poland</v>
      </c>
      <c r="B164" s="214" t="str">
        <f>'Secondary cum Calculation'!B383</f>
        <v>Tourism Flows</v>
      </c>
      <c r="C164" s="214" t="str">
        <f>'Secondary cum Calculation'!C383</f>
        <v>International Arrivals by Place of Origin</v>
      </c>
      <c r="D164" s="213" t="str">
        <f>'Secondary cum Calculation'!D383</f>
        <v>Europe</v>
      </c>
      <c r="E164" s="215"/>
      <c r="F164" s="215" t="str">
        <f>'Secondary cum Calculation'!F383</f>
        <v>The number of international arrivals to a country originating from Europe</v>
      </c>
      <c r="G164" s="215" t="str">
        <f>'Secondary cum Calculation'!G383</f>
        <v>Tourism Demand &amp; Flows Database</v>
      </c>
      <c r="H164" s="215" t="str">
        <f>'Secondary cum Calculation'!H383</f>
        <v>New</v>
      </c>
      <c r="I164" s="215">
        <f>'Secondary cum Calculation'!I383</f>
        <v>0</v>
      </c>
      <c r="J164" s="215" t="str">
        <f>'Secondary cum Calculation'!J383</f>
        <v>Thousand</v>
      </c>
      <c r="K164" s="216">
        <f>'Secondary cum Calculation'!K383</f>
        <v>3701.33</v>
      </c>
      <c r="L164" s="364">
        <f>'Secondary cum Calculation'!L383</f>
        <v>13494.813166540782</v>
      </c>
      <c r="M164" s="364">
        <f>'Secondary cum Calculation'!M383</f>
        <v>11718.407408010447</v>
      </c>
      <c r="N164" s="364">
        <f>'Secondary cum Calculation'!N383</f>
        <v>10825</v>
      </c>
      <c r="O164" s="364">
        <f>'Secondary cum Calculation'!O383</f>
        <v>11220</v>
      </c>
      <c r="P164" s="364">
        <f>'Secondary cum Calculation'!P383</f>
        <v>12070</v>
      </c>
      <c r="Q164" s="364">
        <f>Forecasting!Q389</f>
        <v>13385</v>
      </c>
      <c r="R164" s="253">
        <f>Forecasting!R389</f>
        <v>13957.657271987555</v>
      </c>
      <c r="S164" s="253">
        <f>Forecasting!S389</f>
        <v>14455.331948328077</v>
      </c>
      <c r="T164" s="253">
        <f>Forecasting!T389</f>
        <v>15046.1023581013</v>
      </c>
      <c r="U164" s="253">
        <f>Forecasting!U389</f>
        <v>15756.404945353475</v>
      </c>
      <c r="V164" s="253">
        <f>Forecasting!V389</f>
        <v>16569.927121109755</v>
      </c>
      <c r="W164" s="246">
        <f>'Secondary cum Calculation'!W383</f>
        <v>3.3802184842000926E-2</v>
      </c>
      <c r="X164" s="246">
        <f>'Secondary cum Calculation'!X383</f>
        <v>4.361531699017096E-2</v>
      </c>
      <c r="Y164" s="371" t="s">
        <v>1345</v>
      </c>
      <c r="AD164" s="7">
        <v>2</v>
      </c>
    </row>
    <row r="165" spans="1:30">
      <c r="A165" s="6" t="str">
        <f>'Secondary cum Calculation'!A385</f>
        <v>Poland</v>
      </c>
      <c r="B165" s="119" t="str">
        <f>'Secondary cum Calculation'!B385</f>
        <v>Tourism Flows</v>
      </c>
      <c r="C165" s="119" t="str">
        <f>'Secondary cum Calculation'!C385</f>
        <v>International Arrivals by Place of Origin</v>
      </c>
      <c r="D165" s="119" t="str">
        <f>'Secondary cum Calculation'!D385</f>
        <v>Europe</v>
      </c>
      <c r="E165" s="6" t="str">
        <f>'Secondary cum Calculation'!E385</f>
        <v>Albania</v>
      </c>
      <c r="F165" s="7" t="str">
        <f>'Secondary cum Calculation'!F385</f>
        <v>The number of international arrivals to a country originating from Albania</v>
      </c>
      <c r="G165" s="7" t="str">
        <f>'Secondary cum Calculation'!G385</f>
        <v>Tourism Demand &amp; Flows Database</v>
      </c>
      <c r="H165" s="7" t="str">
        <f>'Secondary cum Calculation'!H385</f>
        <v>New</v>
      </c>
      <c r="I165" s="7">
        <f>'Secondary cum Calculation'!I385</f>
        <v>0</v>
      </c>
      <c r="J165" s="7" t="str">
        <f>'Secondary cum Calculation'!J385</f>
        <v>Thousand</v>
      </c>
      <c r="K165" s="8">
        <f>'Secondary cum Calculation'!K385</f>
        <v>0</v>
      </c>
      <c r="L165" s="221">
        <f>'Secondary cum Calculation'!L385</f>
        <v>0</v>
      </c>
      <c r="M165" s="221">
        <f>'Secondary cum Calculation'!M385</f>
        <v>0</v>
      </c>
      <c r="N165" s="221">
        <f>'Secondary cum Calculation'!N385</f>
        <v>0</v>
      </c>
      <c r="O165" s="221">
        <f>'Secondary cum Calculation'!O385</f>
        <v>0</v>
      </c>
      <c r="P165" s="221">
        <f>'Secondary cum Calculation'!P385</f>
        <v>0</v>
      </c>
      <c r="Q165" s="221">
        <f>'Secondary cum Calculation'!Q385</f>
        <v>0</v>
      </c>
      <c r="W165" s="211" t="e">
        <f>'Secondary cum Calculation'!W385</f>
        <v>#DIV/0!</v>
      </c>
      <c r="X165" s="211" t="e">
        <f>'Secondary cum Calculation'!X385</f>
        <v>#DIV/0!</v>
      </c>
    </row>
    <row r="166" spans="1:30">
      <c r="A166" s="6" t="str">
        <f>'Secondary cum Calculation'!A387</f>
        <v>Poland</v>
      </c>
      <c r="B166" s="119" t="str">
        <f>'Secondary cum Calculation'!B387</f>
        <v>Tourism Flows</v>
      </c>
      <c r="C166" s="119" t="str">
        <f>'Secondary cum Calculation'!C387</f>
        <v>International Arrivals by Place of Origin</v>
      </c>
      <c r="D166" s="119" t="str">
        <f>'Secondary cum Calculation'!D387</f>
        <v>Europe</v>
      </c>
      <c r="E166" s="6" t="str">
        <f>'Secondary cum Calculation'!E387</f>
        <v>Armenia</v>
      </c>
      <c r="F166" s="7" t="str">
        <f>'Secondary cum Calculation'!F387</f>
        <v>The number of international arrivals to a country originating from Armenia</v>
      </c>
      <c r="G166" s="7" t="str">
        <f>'Secondary cum Calculation'!G387</f>
        <v>Tourism Demand &amp; Flows Database</v>
      </c>
      <c r="H166" s="7" t="str">
        <f>'Secondary cum Calculation'!H387</f>
        <v>New</v>
      </c>
      <c r="I166" s="7">
        <f>'Secondary cum Calculation'!I387</f>
        <v>0</v>
      </c>
      <c r="J166" s="7" t="str">
        <f>'Secondary cum Calculation'!J387</f>
        <v>Thousand</v>
      </c>
      <c r="K166" s="8">
        <f>'Secondary cum Calculation'!K387</f>
        <v>0</v>
      </c>
      <c r="L166" s="218">
        <f>'Secondary cum Calculation'!L387</f>
        <v>0</v>
      </c>
      <c r="M166" s="218">
        <f>'Secondary cum Calculation'!M387</f>
        <v>0</v>
      </c>
      <c r="N166" s="218">
        <f>'Secondary cum Calculation'!N387</f>
        <v>0</v>
      </c>
      <c r="O166" s="218">
        <f>'Secondary cum Calculation'!O387</f>
        <v>0</v>
      </c>
      <c r="P166" s="218">
        <f>'Secondary cum Calculation'!P387</f>
        <v>0</v>
      </c>
      <c r="Q166" s="218">
        <f>'Secondary cum Calculation'!Q387</f>
        <v>0</v>
      </c>
      <c r="W166" s="211" t="e">
        <f>'Secondary cum Calculation'!W387</f>
        <v>#DIV/0!</v>
      </c>
      <c r="X166" s="211" t="e">
        <f>'Secondary cum Calculation'!X387</f>
        <v>#DIV/0!</v>
      </c>
    </row>
    <row r="167" spans="1:30">
      <c r="A167" s="6" t="str">
        <f>'Secondary cum Calculation'!A389</f>
        <v>Poland</v>
      </c>
      <c r="B167" s="119" t="str">
        <f>'Secondary cum Calculation'!B389</f>
        <v>Tourism Flows</v>
      </c>
      <c r="C167" s="119" t="str">
        <f>'Secondary cum Calculation'!C389</f>
        <v>International Arrivals by Place of Origin</v>
      </c>
      <c r="D167" s="119" t="str">
        <f>'Secondary cum Calculation'!D389</f>
        <v>Europe</v>
      </c>
      <c r="E167" s="6" t="str">
        <f>'Secondary cum Calculation'!E389</f>
        <v>Austria</v>
      </c>
      <c r="F167" s="7" t="str">
        <f>'Secondary cum Calculation'!F389</f>
        <v>The number of international arrivals to a country originating from Austria</v>
      </c>
      <c r="G167" s="7" t="str">
        <f>'Secondary cum Calculation'!G389</f>
        <v>Tourism Demand &amp; Flows Database</v>
      </c>
      <c r="H167" s="7" t="str">
        <f>'Secondary cum Calculation'!H389</f>
        <v>New</v>
      </c>
      <c r="I167" s="7">
        <f>'Secondary cum Calculation'!I389</f>
        <v>0</v>
      </c>
      <c r="J167" s="7" t="str">
        <f>'Secondary cum Calculation'!J389</f>
        <v>Thousand</v>
      </c>
      <c r="K167" s="8">
        <f>'Secondary cum Calculation'!K389</f>
        <v>117.191</v>
      </c>
      <c r="L167" s="365">
        <f>'Secondary cum Calculation'!L389</f>
        <v>331.10589090338078</v>
      </c>
      <c r="M167" s="365">
        <f>'Secondary cum Calculation'!M389</f>
        <v>305.21794197063036</v>
      </c>
      <c r="N167" s="218">
        <f>'Secondary cum Calculation'!N389</f>
        <v>280</v>
      </c>
      <c r="O167" s="218">
        <f>'Secondary cum Calculation'!O389</f>
        <v>310</v>
      </c>
      <c r="P167" s="218">
        <f>'Secondary cum Calculation'!P389</f>
        <v>315</v>
      </c>
      <c r="Q167" s="218">
        <f>'Secondary cum Calculation'!Q389</f>
        <v>325</v>
      </c>
      <c r="W167" s="211">
        <f>'Secondary cum Calculation'!W389</f>
        <v>1.5823663215569272E-2</v>
      </c>
      <c r="X167" s="211">
        <f>'Secondary cum Calculation'!X389</f>
        <v>-1</v>
      </c>
      <c r="Y167" s="371" t="s">
        <v>1345</v>
      </c>
      <c r="Z167" s="12"/>
      <c r="AA167" s="12"/>
      <c r="AB167" s="12"/>
      <c r="AC167" s="12"/>
      <c r="AD167" s="7">
        <v>3</v>
      </c>
    </row>
    <row r="168" spans="1:30">
      <c r="A168" s="6" t="str">
        <f>'Secondary cum Calculation'!A391</f>
        <v>Poland</v>
      </c>
      <c r="B168" s="119" t="str">
        <f>'Secondary cum Calculation'!B391</f>
        <v>Tourism Flows</v>
      </c>
      <c r="C168" s="119" t="str">
        <f>'Secondary cum Calculation'!C391</f>
        <v>International Arrivals by Place of Origin</v>
      </c>
      <c r="D168" s="119" t="str">
        <f>'Secondary cum Calculation'!D391</f>
        <v>Europe</v>
      </c>
      <c r="E168" s="6" t="str">
        <f>'Secondary cum Calculation'!E391</f>
        <v>Belarus</v>
      </c>
      <c r="F168" s="7" t="str">
        <f>'Secondary cum Calculation'!F391</f>
        <v>The number of international arrivals to a country originating from Belarus</v>
      </c>
      <c r="G168" s="7" t="str">
        <f>'Secondary cum Calculation'!G391</f>
        <v>Tourism Demand &amp; Flows Database</v>
      </c>
      <c r="H168" s="7" t="str">
        <f>'Secondary cum Calculation'!H391</f>
        <v>New</v>
      </c>
      <c r="I168" s="7">
        <f>'Secondary cum Calculation'!I391</f>
        <v>0</v>
      </c>
      <c r="J168" s="7" t="str">
        <f>'Secondary cum Calculation'!J391</f>
        <v>Thousand</v>
      </c>
      <c r="K168" s="8">
        <f>'Secondary cum Calculation'!K391</f>
        <v>0</v>
      </c>
      <c r="L168" s="365">
        <f>'Secondary cum Calculation'!L391</f>
        <v>1648.3303463331877</v>
      </c>
      <c r="M168" s="365">
        <f>'Secondary cum Calculation'!M391</f>
        <v>1122.3874126036153</v>
      </c>
      <c r="N168" s="218">
        <f>'Secondary cum Calculation'!N391</f>
        <v>865</v>
      </c>
      <c r="O168" s="219">
        <f>'Secondary cum Calculation'!O391</f>
        <v>970</v>
      </c>
      <c r="P168" s="219">
        <f>'Secondary cum Calculation'!P391</f>
        <v>1220</v>
      </c>
      <c r="Q168" s="219">
        <f>'Secondary cum Calculation'!Q391</f>
        <v>1620</v>
      </c>
      <c r="R168" s="132"/>
      <c r="S168" s="132"/>
      <c r="T168" s="132"/>
      <c r="U168" s="132"/>
      <c r="V168" s="132"/>
      <c r="W168" s="211">
        <f>'Secondary cum Calculation'!W391</f>
        <v>9.6082027740405085E-2</v>
      </c>
      <c r="X168" s="211">
        <f>'Secondary cum Calculation'!X391</f>
        <v>-1</v>
      </c>
      <c r="Y168" s="371" t="s">
        <v>1345</v>
      </c>
      <c r="AD168" s="7">
        <v>3</v>
      </c>
    </row>
    <row r="169" spans="1:30">
      <c r="A169" s="6" t="str">
        <f>'Secondary cum Calculation'!A393</f>
        <v>Poland</v>
      </c>
      <c r="B169" s="119" t="str">
        <f>'Secondary cum Calculation'!B393</f>
        <v>Tourism Flows</v>
      </c>
      <c r="C169" s="119" t="str">
        <f>'Secondary cum Calculation'!C393</f>
        <v>International Arrivals by Place of Origin</v>
      </c>
      <c r="D169" s="119" t="str">
        <f>'Secondary cum Calculation'!D393</f>
        <v>Europe</v>
      </c>
      <c r="E169" s="6" t="str">
        <f>'Secondary cum Calculation'!E393</f>
        <v>Belgium</v>
      </c>
      <c r="F169" s="7" t="str">
        <f>'Secondary cum Calculation'!F393</f>
        <v>The number of international arrivals to a country originating from Belgium</v>
      </c>
      <c r="G169" s="7" t="str">
        <f>'Secondary cum Calculation'!G393</f>
        <v>Tourism Demand &amp; Flows Database</v>
      </c>
      <c r="H169" s="7" t="str">
        <f>'Secondary cum Calculation'!H393</f>
        <v>New</v>
      </c>
      <c r="I169" s="7">
        <f>'Secondary cum Calculation'!I393</f>
        <v>0</v>
      </c>
      <c r="J169" s="7" t="str">
        <f>'Secondary cum Calculation'!J393</f>
        <v>Thousand</v>
      </c>
      <c r="K169" s="8">
        <f>'Secondary cum Calculation'!K393</f>
        <v>188.31100000000001</v>
      </c>
      <c r="L169" s="218">
        <f>'Secondary cum Calculation'!L393</f>
        <v>0</v>
      </c>
      <c r="M169" s="218">
        <f>'Secondary cum Calculation'!M393</f>
        <v>0</v>
      </c>
      <c r="N169" s="218">
        <f>'Secondary cum Calculation'!N393</f>
        <v>0</v>
      </c>
      <c r="O169" s="218">
        <f>'Secondary cum Calculation'!O393</f>
        <v>0</v>
      </c>
      <c r="P169" s="218">
        <f>'Secondary cum Calculation'!P393</f>
        <v>0</v>
      </c>
      <c r="Q169" s="218">
        <f>'Secondary cum Calculation'!Q393</f>
        <v>0</v>
      </c>
      <c r="W169" s="211" t="e">
        <f>'Secondary cum Calculation'!W393</f>
        <v>#DIV/0!</v>
      </c>
      <c r="X169" s="211" t="e">
        <f>'Secondary cum Calculation'!X393</f>
        <v>#DIV/0!</v>
      </c>
      <c r="Y169" s="371"/>
      <c r="Z169" s="12"/>
      <c r="AA169" s="12"/>
      <c r="AB169" s="12"/>
      <c r="AC169" s="12"/>
      <c r="AD169" s="12"/>
    </row>
    <row r="170" spans="1:30">
      <c r="A170" s="6" t="str">
        <f>'Secondary cum Calculation'!A395</f>
        <v>Poland</v>
      </c>
      <c r="B170" s="119" t="str">
        <f>'Secondary cum Calculation'!B395</f>
        <v>Tourism Flows</v>
      </c>
      <c r="C170" s="119" t="str">
        <f>'Secondary cum Calculation'!C395</f>
        <v>International Arrivals by Place of Origin</v>
      </c>
      <c r="D170" s="119" t="str">
        <f>'Secondary cum Calculation'!D395</f>
        <v>Europe</v>
      </c>
      <c r="E170" s="6" t="str">
        <f>'Secondary cum Calculation'!E395</f>
        <v>Bosnia and Herzegovina</v>
      </c>
      <c r="F170" s="7" t="str">
        <f>'Secondary cum Calculation'!F395</f>
        <v>The number of international arrivals to a country originating from Bosnia and Herzegovina</v>
      </c>
      <c r="G170" s="7" t="str">
        <f>'Secondary cum Calculation'!G395</f>
        <v>Tourism Demand &amp; Flows Database</v>
      </c>
      <c r="H170" s="7" t="str">
        <f>'Secondary cum Calculation'!H395</f>
        <v>New</v>
      </c>
      <c r="I170" s="7">
        <f>'Secondary cum Calculation'!I395</f>
        <v>0</v>
      </c>
      <c r="J170" s="7" t="str">
        <f>'Secondary cum Calculation'!J395</f>
        <v>Thousand</v>
      </c>
      <c r="K170" s="8">
        <f>'Secondary cum Calculation'!K395</f>
        <v>0</v>
      </c>
      <c r="L170" s="218">
        <f>'Secondary cum Calculation'!L395</f>
        <v>0</v>
      </c>
      <c r="M170" s="218">
        <f>'Secondary cum Calculation'!M395</f>
        <v>0</v>
      </c>
      <c r="N170" s="218">
        <f>'Secondary cum Calculation'!N395</f>
        <v>0</v>
      </c>
      <c r="O170" s="219">
        <f>'Secondary cum Calculation'!O395</f>
        <v>0</v>
      </c>
      <c r="P170" s="219">
        <f>'Secondary cum Calculation'!P395</f>
        <v>0</v>
      </c>
      <c r="Q170" s="219">
        <f>'Secondary cum Calculation'!Q395</f>
        <v>0</v>
      </c>
      <c r="R170" s="132"/>
      <c r="S170" s="132"/>
      <c r="T170" s="132"/>
      <c r="U170" s="132"/>
      <c r="V170" s="132"/>
      <c r="W170" s="211" t="e">
        <f>'Secondary cum Calculation'!W395</f>
        <v>#DIV/0!</v>
      </c>
      <c r="X170" s="211" t="e">
        <f>'Secondary cum Calculation'!X395</f>
        <v>#DIV/0!</v>
      </c>
    </row>
    <row r="171" spans="1:30">
      <c r="A171" s="6" t="str">
        <f>'Secondary cum Calculation'!A397</f>
        <v>Poland</v>
      </c>
      <c r="B171" s="119" t="str">
        <f>'Secondary cum Calculation'!B397</f>
        <v>Tourism Flows</v>
      </c>
      <c r="C171" s="119" t="str">
        <f>'Secondary cum Calculation'!C397</f>
        <v>International Arrivals by Place of Origin</v>
      </c>
      <c r="D171" s="119" t="str">
        <f>'Secondary cum Calculation'!D397</f>
        <v>Europe</v>
      </c>
      <c r="E171" s="6" t="str">
        <f>'Secondary cum Calculation'!E397</f>
        <v>Bulgaria</v>
      </c>
      <c r="F171" s="7" t="str">
        <f>'Secondary cum Calculation'!F397</f>
        <v>The number of international arrivals to a country originating from Bulgaria</v>
      </c>
      <c r="G171" s="7" t="str">
        <f>'Secondary cum Calculation'!G397</f>
        <v>Tourism Demand &amp; Flows Database</v>
      </c>
      <c r="H171" s="7" t="str">
        <f>'Secondary cum Calculation'!H397</f>
        <v>New</v>
      </c>
      <c r="I171" s="7">
        <f>'Secondary cum Calculation'!I397</f>
        <v>0</v>
      </c>
      <c r="J171" s="7" t="str">
        <f>'Secondary cum Calculation'!J397</f>
        <v>Thousand</v>
      </c>
      <c r="K171" s="8">
        <f>'Secondary cum Calculation'!K397</f>
        <v>0</v>
      </c>
      <c r="L171" s="218">
        <f>'Secondary cum Calculation'!L397</f>
        <v>0</v>
      </c>
      <c r="M171" s="218">
        <f>'Secondary cum Calculation'!M397</f>
        <v>0</v>
      </c>
      <c r="N171" s="218">
        <f>'Secondary cum Calculation'!N397</f>
        <v>0</v>
      </c>
      <c r="O171" s="218">
        <f>'Secondary cum Calculation'!O397</f>
        <v>0</v>
      </c>
      <c r="P171" s="218">
        <f>'Secondary cum Calculation'!P397</f>
        <v>0</v>
      </c>
      <c r="Q171" s="218">
        <f>'Secondary cum Calculation'!Q397</f>
        <v>0</v>
      </c>
      <c r="W171" s="211" t="e">
        <f>'Secondary cum Calculation'!W397</f>
        <v>#DIV/0!</v>
      </c>
      <c r="X171" s="211" t="e">
        <f>'Secondary cum Calculation'!X397</f>
        <v>#DIV/0!</v>
      </c>
      <c r="Y171" s="371"/>
    </row>
    <row r="172" spans="1:30">
      <c r="A172" s="6" t="str">
        <f>'Secondary cum Calculation'!A399</f>
        <v>Poland</v>
      </c>
      <c r="B172" s="119" t="str">
        <f>'Secondary cum Calculation'!B399</f>
        <v>Tourism Flows</v>
      </c>
      <c r="C172" s="119" t="str">
        <f>'Secondary cum Calculation'!C399</f>
        <v>International Arrivals by Place of Origin</v>
      </c>
      <c r="D172" s="119" t="str">
        <f>'Secondary cum Calculation'!D399</f>
        <v>Europe</v>
      </c>
      <c r="E172" s="6" t="str">
        <f>'Secondary cum Calculation'!E399</f>
        <v>Channel Islands</v>
      </c>
      <c r="F172" s="7" t="str">
        <f>'Secondary cum Calculation'!F399</f>
        <v>The number of international arrivals to a country originating from Channel Islands</v>
      </c>
      <c r="G172" s="7" t="str">
        <f>'Secondary cum Calculation'!G399</f>
        <v>Tourism Demand &amp; Flows Database</v>
      </c>
      <c r="H172" s="7" t="str">
        <f>'Secondary cum Calculation'!H399</f>
        <v>New</v>
      </c>
      <c r="I172" s="7">
        <f>'Secondary cum Calculation'!I399</f>
        <v>0</v>
      </c>
      <c r="J172" s="7" t="str">
        <f>'Secondary cum Calculation'!J399</f>
        <v>Thousand</v>
      </c>
      <c r="K172" s="8">
        <f>'Secondary cum Calculation'!K399</f>
        <v>0</v>
      </c>
      <c r="L172" s="218">
        <f>'Secondary cum Calculation'!L399</f>
        <v>0</v>
      </c>
      <c r="M172" s="218">
        <f>'Secondary cum Calculation'!M399</f>
        <v>0</v>
      </c>
      <c r="N172" s="218">
        <f>'Secondary cum Calculation'!N399</f>
        <v>0</v>
      </c>
      <c r="O172" s="218">
        <f>'Secondary cum Calculation'!O399</f>
        <v>0</v>
      </c>
      <c r="P172" s="218">
        <f>'Secondary cum Calculation'!P399</f>
        <v>0</v>
      </c>
      <c r="Q172" s="218">
        <f>'Secondary cum Calculation'!Q399</f>
        <v>0</v>
      </c>
      <c r="W172" s="211" t="e">
        <f>'Secondary cum Calculation'!W399</f>
        <v>#DIV/0!</v>
      </c>
      <c r="X172" s="211" t="e">
        <f>'Secondary cum Calculation'!X399</f>
        <v>#DIV/0!</v>
      </c>
    </row>
    <row r="173" spans="1:30">
      <c r="A173" s="6" t="str">
        <f>'Secondary cum Calculation'!A401</f>
        <v>Poland</v>
      </c>
      <c r="B173" s="119" t="str">
        <f>'Secondary cum Calculation'!B401</f>
        <v>Tourism Flows</v>
      </c>
      <c r="C173" s="119" t="str">
        <f>'Secondary cum Calculation'!C401</f>
        <v>International Arrivals by Place of Origin</v>
      </c>
      <c r="D173" s="119" t="str">
        <f>'Secondary cum Calculation'!D401</f>
        <v>Europe</v>
      </c>
      <c r="E173" s="6" t="str">
        <f>'Secondary cum Calculation'!E401</f>
        <v>Croatia</v>
      </c>
      <c r="F173" s="7" t="str">
        <f>'Secondary cum Calculation'!F401</f>
        <v>The number of international arrivals to a country originating from Croatia</v>
      </c>
      <c r="G173" s="7" t="str">
        <f>'Secondary cum Calculation'!G401</f>
        <v>Tourism Demand &amp; Flows Database</v>
      </c>
      <c r="H173" s="7" t="str">
        <f>'Secondary cum Calculation'!H401</f>
        <v>New</v>
      </c>
      <c r="I173" s="7">
        <f>'Secondary cum Calculation'!I401</f>
        <v>0</v>
      </c>
      <c r="J173" s="7" t="str">
        <f>'Secondary cum Calculation'!J401</f>
        <v>Thousand</v>
      </c>
      <c r="K173" s="8">
        <f>'Secondary cum Calculation'!K401</f>
        <v>0</v>
      </c>
      <c r="L173" s="218">
        <f>'Secondary cum Calculation'!L401</f>
        <v>0</v>
      </c>
      <c r="M173" s="218">
        <f>'Secondary cum Calculation'!M401</f>
        <v>0</v>
      </c>
      <c r="N173" s="218">
        <f>'Secondary cum Calculation'!N401</f>
        <v>0</v>
      </c>
      <c r="O173" s="218">
        <f>'Secondary cum Calculation'!O401</f>
        <v>0</v>
      </c>
      <c r="P173" s="218">
        <f>'Secondary cum Calculation'!P401</f>
        <v>0</v>
      </c>
      <c r="Q173" s="218">
        <f>'Secondary cum Calculation'!Q401</f>
        <v>0</v>
      </c>
      <c r="W173" s="211" t="e">
        <f>'Secondary cum Calculation'!W401</f>
        <v>#DIV/0!</v>
      </c>
      <c r="X173" s="211" t="e">
        <f>'Secondary cum Calculation'!X401</f>
        <v>#DIV/0!</v>
      </c>
    </row>
    <row r="174" spans="1:30">
      <c r="A174" s="6" t="str">
        <f>'Secondary cum Calculation'!A403</f>
        <v>Poland</v>
      </c>
      <c r="B174" s="119" t="str">
        <f>'Secondary cum Calculation'!B403</f>
        <v>Tourism Flows</v>
      </c>
      <c r="C174" s="119" t="str">
        <f>'Secondary cum Calculation'!C403</f>
        <v>International Arrivals by Place of Origin</v>
      </c>
      <c r="D174" s="119" t="str">
        <f>'Secondary cum Calculation'!D403</f>
        <v>Europe</v>
      </c>
      <c r="E174" s="6" t="str">
        <f>'Secondary cum Calculation'!E403</f>
        <v>Cyprus</v>
      </c>
      <c r="F174" s="7" t="str">
        <f>'Secondary cum Calculation'!F403</f>
        <v>The number of international arrivals to a country originating from Cyprus</v>
      </c>
      <c r="G174" s="7" t="str">
        <f>'Secondary cum Calculation'!G403</f>
        <v>Tourism Demand &amp; Flows Database</v>
      </c>
      <c r="H174" s="7" t="str">
        <f>'Secondary cum Calculation'!H403</f>
        <v>New</v>
      </c>
      <c r="I174" s="7">
        <f>'Secondary cum Calculation'!I403</f>
        <v>0</v>
      </c>
      <c r="J174" s="7" t="str">
        <f>'Secondary cum Calculation'!J403</f>
        <v>Thousand</v>
      </c>
      <c r="K174" s="8">
        <f>'Secondary cum Calculation'!K403</f>
        <v>0</v>
      </c>
      <c r="L174" s="218">
        <f>'Secondary cum Calculation'!L403</f>
        <v>0</v>
      </c>
      <c r="M174" s="218">
        <f>'Secondary cum Calculation'!M403</f>
        <v>0</v>
      </c>
      <c r="N174" s="218">
        <f>'Secondary cum Calculation'!N403</f>
        <v>0</v>
      </c>
      <c r="O174" s="218">
        <f>'Secondary cum Calculation'!O403</f>
        <v>0</v>
      </c>
      <c r="P174" s="218">
        <f>'Secondary cum Calculation'!P403</f>
        <v>0</v>
      </c>
      <c r="Q174" s="218">
        <f>'Secondary cum Calculation'!Q403</f>
        <v>0</v>
      </c>
      <c r="W174" s="211" t="e">
        <f>'Secondary cum Calculation'!W403</f>
        <v>#DIV/0!</v>
      </c>
      <c r="X174" s="211" t="e">
        <f>'Secondary cum Calculation'!X403</f>
        <v>#DIV/0!</v>
      </c>
    </row>
    <row r="175" spans="1:30">
      <c r="A175" s="6" t="str">
        <f>'Secondary cum Calculation'!A405</f>
        <v>Poland</v>
      </c>
      <c r="B175" s="119" t="str">
        <f>'Secondary cum Calculation'!B405</f>
        <v>Tourism Flows</v>
      </c>
      <c r="C175" s="119" t="str">
        <f>'Secondary cum Calculation'!C405</f>
        <v>International Arrivals by Place of Origin</v>
      </c>
      <c r="D175" s="119" t="str">
        <f>'Secondary cum Calculation'!D405</f>
        <v>Europe</v>
      </c>
      <c r="E175" s="6" t="str">
        <f>'Secondary cum Calculation'!E405</f>
        <v>Czech Republic</v>
      </c>
      <c r="F175" s="7" t="str">
        <f>'Secondary cum Calculation'!F405</f>
        <v>The number of international arrivals to a country originating from Czech Republic</v>
      </c>
      <c r="G175" s="7" t="str">
        <f>'Secondary cum Calculation'!G405</f>
        <v>Tourism Demand &amp; Flows Database</v>
      </c>
      <c r="H175" s="7" t="str">
        <f>'Secondary cum Calculation'!H405</f>
        <v>New</v>
      </c>
      <c r="I175" s="7">
        <f>'Secondary cum Calculation'!I405</f>
        <v>0</v>
      </c>
      <c r="J175" s="7" t="str">
        <f>'Secondary cum Calculation'!J405</f>
        <v>Thousand</v>
      </c>
      <c r="K175" s="8">
        <f>'Secondary cum Calculation'!K405</f>
        <v>0</v>
      </c>
      <c r="L175" s="365">
        <f>'Secondary cum Calculation'!L405</f>
        <v>208.15478317675095</v>
      </c>
      <c r="M175" s="365">
        <f>'Secondary cum Calculation'!M405</f>
        <v>185.50323512523551</v>
      </c>
      <c r="N175" s="218">
        <f>'Secondary cum Calculation'!N405</f>
        <v>175</v>
      </c>
      <c r="O175" s="218">
        <f>'Secondary cum Calculation'!O405</f>
        <v>175</v>
      </c>
      <c r="P175" s="218">
        <f>'Secondary cum Calculation'!P405</f>
        <v>195</v>
      </c>
      <c r="Q175" s="218">
        <f>'Secondary cum Calculation'!Q405</f>
        <v>205</v>
      </c>
      <c r="W175" s="211">
        <f>'Secondary cum Calculation'!W405</f>
        <v>2.5299140398871822E-2</v>
      </c>
      <c r="X175" s="211">
        <f>'Secondary cum Calculation'!X405</f>
        <v>-1</v>
      </c>
      <c r="Y175" s="371" t="s">
        <v>1345</v>
      </c>
      <c r="AD175" s="7">
        <v>3</v>
      </c>
    </row>
    <row r="176" spans="1:30">
      <c r="A176" s="6" t="str">
        <f>'Secondary cum Calculation'!A407</f>
        <v>Poland</v>
      </c>
      <c r="B176" s="119" t="str">
        <f>'Secondary cum Calculation'!B407</f>
        <v>Tourism Flows</v>
      </c>
      <c r="C176" s="119" t="str">
        <f>'Secondary cum Calculation'!C407</f>
        <v>International Arrivals by Place of Origin</v>
      </c>
      <c r="D176" s="119" t="str">
        <f>'Secondary cum Calculation'!D407</f>
        <v>Europe</v>
      </c>
      <c r="E176" s="6" t="str">
        <f>'Secondary cum Calculation'!E407</f>
        <v>Denmark</v>
      </c>
      <c r="F176" s="7" t="str">
        <f>'Secondary cum Calculation'!F407</f>
        <v>The number of international arrivals to a country originating from Denmark</v>
      </c>
      <c r="G176" s="7" t="str">
        <f>'Secondary cum Calculation'!G407</f>
        <v>Tourism Demand &amp; Flows Database</v>
      </c>
      <c r="H176" s="7" t="str">
        <f>'Secondary cum Calculation'!H407</f>
        <v>New</v>
      </c>
      <c r="I176" s="7">
        <f>'Secondary cum Calculation'!I407</f>
        <v>0</v>
      </c>
      <c r="J176" s="7" t="str">
        <f>'Secondary cum Calculation'!J407</f>
        <v>Thousand</v>
      </c>
      <c r="K176" s="8">
        <f>'Secondary cum Calculation'!K407</f>
        <v>185.33699999999999</v>
      </c>
      <c r="L176" s="218">
        <f>'Secondary cum Calculation'!L407</f>
        <v>0</v>
      </c>
      <c r="M176" s="218">
        <f>'Secondary cum Calculation'!M407</f>
        <v>0</v>
      </c>
      <c r="N176" s="218">
        <f>'Secondary cum Calculation'!N407</f>
        <v>0</v>
      </c>
      <c r="O176" s="218">
        <f>'Secondary cum Calculation'!O407</f>
        <v>0</v>
      </c>
      <c r="P176" s="218">
        <f>'Secondary cum Calculation'!P407</f>
        <v>0</v>
      </c>
      <c r="Q176" s="218">
        <f>'Secondary cum Calculation'!Q407</f>
        <v>0</v>
      </c>
      <c r="W176" s="211" t="e">
        <f>'Secondary cum Calculation'!W407</f>
        <v>#DIV/0!</v>
      </c>
      <c r="X176" s="211" t="e">
        <f>'Secondary cum Calculation'!X407</f>
        <v>#DIV/0!</v>
      </c>
      <c r="Y176" s="371"/>
      <c r="Z176" s="12"/>
      <c r="AA176" s="12"/>
      <c r="AB176" s="12"/>
      <c r="AC176" s="12"/>
      <c r="AD176" s="12"/>
    </row>
    <row r="177" spans="1:30">
      <c r="A177" s="6" t="str">
        <f>'Secondary cum Calculation'!A409</f>
        <v>Poland</v>
      </c>
      <c r="B177" s="119" t="str">
        <f>'Secondary cum Calculation'!B409</f>
        <v>Tourism Flows</v>
      </c>
      <c r="C177" s="119" t="str">
        <f>'Secondary cum Calculation'!C409</f>
        <v>International Arrivals by Place of Origin</v>
      </c>
      <c r="D177" s="119" t="str">
        <f>'Secondary cum Calculation'!D409</f>
        <v>Europe</v>
      </c>
      <c r="E177" s="6" t="str">
        <f>'Secondary cum Calculation'!E409</f>
        <v>Estonia</v>
      </c>
      <c r="F177" s="7" t="str">
        <f>'Secondary cum Calculation'!F409</f>
        <v>The number of international arrivals to a country originating from Estonia</v>
      </c>
      <c r="G177" s="7" t="str">
        <f>'Secondary cum Calculation'!G409</f>
        <v>Tourism Demand &amp; Flows Database</v>
      </c>
      <c r="H177" s="7" t="str">
        <f>'Secondary cum Calculation'!H409</f>
        <v>New</v>
      </c>
      <c r="I177" s="7">
        <f>'Secondary cum Calculation'!I409</f>
        <v>0</v>
      </c>
      <c r="J177" s="7" t="str">
        <f>'Secondary cum Calculation'!J409</f>
        <v>Thousand</v>
      </c>
      <c r="K177" s="8">
        <f>'Secondary cum Calculation'!K409</f>
        <v>0</v>
      </c>
      <c r="L177" s="218">
        <f>'Secondary cum Calculation'!L409</f>
        <v>0</v>
      </c>
      <c r="M177" s="218">
        <f>'Secondary cum Calculation'!M409</f>
        <v>0</v>
      </c>
      <c r="N177" s="218">
        <f>'Secondary cum Calculation'!N409</f>
        <v>0</v>
      </c>
      <c r="O177" s="219">
        <f>'Secondary cum Calculation'!O409</f>
        <v>0</v>
      </c>
      <c r="P177" s="219">
        <f>'Secondary cum Calculation'!P409</f>
        <v>0</v>
      </c>
      <c r="Q177" s="219">
        <f>'Secondary cum Calculation'!Q409</f>
        <v>0</v>
      </c>
      <c r="R177" s="132"/>
      <c r="S177" s="132"/>
      <c r="T177" s="132"/>
      <c r="U177" s="132"/>
      <c r="V177" s="132"/>
      <c r="W177" s="211" t="e">
        <f>'Secondary cum Calculation'!W409</f>
        <v>#DIV/0!</v>
      </c>
      <c r="X177" s="211" t="e">
        <f>'Secondary cum Calculation'!X409</f>
        <v>#DIV/0!</v>
      </c>
      <c r="Y177" s="371"/>
    </row>
    <row r="178" spans="1:30">
      <c r="A178" s="6" t="str">
        <f>'Secondary cum Calculation'!A411</f>
        <v>Poland</v>
      </c>
      <c r="B178" s="119" t="str">
        <f>'Secondary cum Calculation'!B411</f>
        <v>Tourism Flows</v>
      </c>
      <c r="C178" s="119" t="str">
        <f>'Secondary cum Calculation'!C411</f>
        <v>International Arrivals by Place of Origin</v>
      </c>
      <c r="D178" s="119" t="str">
        <f>'Secondary cum Calculation'!D411</f>
        <v>Europe</v>
      </c>
      <c r="E178" s="6" t="str">
        <f>'Secondary cum Calculation'!E411</f>
        <v>Finland</v>
      </c>
      <c r="F178" s="7" t="str">
        <f>'Secondary cum Calculation'!F411</f>
        <v>The number of international arrivals to a country originating from Finland</v>
      </c>
      <c r="G178" s="7" t="str">
        <f>'Secondary cum Calculation'!G411</f>
        <v>Tourism Demand &amp; Flows Database</v>
      </c>
      <c r="H178" s="7" t="str">
        <f>'Secondary cum Calculation'!H411</f>
        <v>New</v>
      </c>
      <c r="I178" s="7">
        <f>'Secondary cum Calculation'!I411</f>
        <v>0</v>
      </c>
      <c r="J178" s="7" t="str">
        <f>'Secondary cum Calculation'!J411</f>
        <v>Thousand</v>
      </c>
      <c r="K178" s="8">
        <f>'Secondary cum Calculation'!K411</f>
        <v>87.903999999999996</v>
      </c>
      <c r="L178" s="218">
        <f>'Secondary cum Calculation'!L411</f>
        <v>0</v>
      </c>
      <c r="M178" s="218">
        <f>'Secondary cum Calculation'!M411</f>
        <v>0</v>
      </c>
      <c r="N178" s="218">
        <f>'Secondary cum Calculation'!N411</f>
        <v>0</v>
      </c>
      <c r="O178" s="218">
        <f>'Secondary cum Calculation'!O411</f>
        <v>0</v>
      </c>
      <c r="P178" s="218">
        <f>'Secondary cum Calculation'!P411</f>
        <v>0</v>
      </c>
      <c r="Q178" s="218">
        <f>'Secondary cum Calculation'!Q411</f>
        <v>0</v>
      </c>
      <c r="R178" s="128"/>
      <c r="W178" s="211" t="e">
        <f>'Secondary cum Calculation'!W411</f>
        <v>#DIV/0!</v>
      </c>
      <c r="X178" s="211" t="e">
        <f>'Secondary cum Calculation'!X411</f>
        <v>#DIV/0!</v>
      </c>
      <c r="Y178" s="371"/>
      <c r="Z178" s="12"/>
      <c r="AA178" s="12"/>
      <c r="AB178" s="12"/>
      <c r="AC178" s="12"/>
      <c r="AD178" s="12"/>
    </row>
    <row r="179" spans="1:30">
      <c r="A179" s="6" t="str">
        <f>'Secondary cum Calculation'!A413</f>
        <v>Poland</v>
      </c>
      <c r="B179" s="119" t="str">
        <f>'Secondary cum Calculation'!B413</f>
        <v>Tourism Flows</v>
      </c>
      <c r="C179" s="119" t="str">
        <f>'Secondary cum Calculation'!C413</f>
        <v>International Arrivals by Place of Origin</v>
      </c>
      <c r="D179" s="119" t="str">
        <f>'Secondary cum Calculation'!D413</f>
        <v>Europe</v>
      </c>
      <c r="E179" s="6" t="str">
        <f>'Secondary cum Calculation'!E413</f>
        <v>France</v>
      </c>
      <c r="F179" s="7" t="str">
        <f>'Secondary cum Calculation'!F413</f>
        <v>The number of international arrivals to a country originating from France</v>
      </c>
      <c r="G179" s="7" t="str">
        <f>'Secondary cum Calculation'!G413</f>
        <v>Tourism Demand &amp; Flows Database</v>
      </c>
      <c r="H179" s="7" t="str">
        <f>'Secondary cum Calculation'!H413</f>
        <v>New</v>
      </c>
      <c r="I179" s="7">
        <f>'Secondary cum Calculation'!I413</f>
        <v>0</v>
      </c>
      <c r="J179" s="7" t="str">
        <f>'Secondary cum Calculation'!J413</f>
        <v>Thousand</v>
      </c>
      <c r="K179" s="8">
        <f>'Secondary cum Calculation'!K413</f>
        <v>789.81500000000005</v>
      </c>
      <c r="L179" s="365">
        <f>'Secondary cum Calculation'!L413</f>
        <v>245.01602959390124</v>
      </c>
      <c r="M179" s="365">
        <f>'Secondary cum Calculation'!M413</f>
        <v>228.54835172100599</v>
      </c>
      <c r="N179" s="218">
        <f>'Secondary cum Calculation'!N413</f>
        <v>215</v>
      </c>
      <c r="O179" s="218">
        <f>'Secondary cum Calculation'!O413</f>
        <v>225</v>
      </c>
      <c r="P179" s="218">
        <f>'Secondary cum Calculation'!P413</f>
        <v>240</v>
      </c>
      <c r="Q179" s="218">
        <f>'Secondary cum Calculation'!Q413</f>
        <v>240</v>
      </c>
      <c r="W179" s="211">
        <f>'Secondary cum Calculation'!W413</f>
        <v>1.2297786101481245E-2</v>
      </c>
      <c r="X179" s="211">
        <f>'Secondary cum Calculation'!X413</f>
        <v>-1</v>
      </c>
      <c r="Y179" s="371" t="s">
        <v>1345</v>
      </c>
      <c r="Z179" s="12"/>
      <c r="AA179" s="12"/>
      <c r="AB179" s="12"/>
      <c r="AC179" s="12"/>
      <c r="AD179" s="7">
        <v>3</v>
      </c>
    </row>
    <row r="180" spans="1:30">
      <c r="A180" s="6" t="str">
        <f>'Secondary cum Calculation'!A415</f>
        <v>Poland</v>
      </c>
      <c r="B180" s="119" t="str">
        <f>'Secondary cum Calculation'!B415</f>
        <v>Tourism Flows</v>
      </c>
      <c r="C180" s="119" t="str">
        <f>'Secondary cum Calculation'!C415</f>
        <v>International Arrivals by Place of Origin</v>
      </c>
      <c r="D180" s="119" t="str">
        <f>'Secondary cum Calculation'!D415</f>
        <v>Europe</v>
      </c>
      <c r="E180" s="6" t="str">
        <f>'Secondary cum Calculation'!E415</f>
        <v>Georgia</v>
      </c>
      <c r="F180" s="7" t="str">
        <f>'Secondary cum Calculation'!F415</f>
        <v>The number of international arrivals to a country originating from Georgia</v>
      </c>
      <c r="G180" s="7" t="str">
        <f>'Secondary cum Calculation'!G415</f>
        <v>Tourism Demand &amp; Flows Database</v>
      </c>
      <c r="H180" s="7" t="str">
        <f>'Secondary cum Calculation'!H415</f>
        <v>New</v>
      </c>
      <c r="I180" s="7">
        <f>'Secondary cum Calculation'!I415</f>
        <v>0</v>
      </c>
      <c r="J180" s="7" t="str">
        <f>'Secondary cum Calculation'!J415</f>
        <v>Thousand</v>
      </c>
      <c r="K180" s="8">
        <f>'Secondary cum Calculation'!K415</f>
        <v>0</v>
      </c>
      <c r="L180" s="218">
        <f>'Secondary cum Calculation'!L415</f>
        <v>0</v>
      </c>
      <c r="M180" s="218">
        <f>'Secondary cum Calculation'!M415</f>
        <v>0</v>
      </c>
      <c r="N180" s="218">
        <f>'Secondary cum Calculation'!N415</f>
        <v>0</v>
      </c>
      <c r="O180" s="219">
        <f>'Secondary cum Calculation'!O415</f>
        <v>0</v>
      </c>
      <c r="P180" s="219">
        <f>'Secondary cum Calculation'!P415</f>
        <v>0</v>
      </c>
      <c r="Q180" s="219">
        <f>'Secondary cum Calculation'!Q415</f>
        <v>0</v>
      </c>
      <c r="R180" s="132"/>
      <c r="S180" s="132"/>
      <c r="T180" s="132"/>
      <c r="U180" s="132"/>
      <c r="V180" s="132"/>
      <c r="W180" s="211" t="e">
        <f>'Secondary cum Calculation'!W415</f>
        <v>#DIV/0!</v>
      </c>
      <c r="X180" s="211" t="e">
        <f>'Secondary cum Calculation'!X415</f>
        <v>#DIV/0!</v>
      </c>
    </row>
    <row r="181" spans="1:30">
      <c r="A181" s="6" t="str">
        <f>'Secondary cum Calculation'!A417</f>
        <v>Poland</v>
      </c>
      <c r="B181" s="119" t="str">
        <f>'Secondary cum Calculation'!B417</f>
        <v>Tourism Flows</v>
      </c>
      <c r="C181" s="119" t="str">
        <f>'Secondary cum Calculation'!C417</f>
        <v>International Arrivals by Place of Origin</v>
      </c>
      <c r="D181" s="119" t="str">
        <f>'Secondary cum Calculation'!D417</f>
        <v>Europe</v>
      </c>
      <c r="E181" s="6" t="str">
        <f>'Secondary cum Calculation'!E417</f>
        <v>Germany</v>
      </c>
      <c r="F181" s="7" t="str">
        <f>'Secondary cum Calculation'!F417</f>
        <v>The number of international arrivals to a country originating from Germany</v>
      </c>
      <c r="G181" s="7" t="str">
        <f>'Secondary cum Calculation'!G417</f>
        <v>Tourism Demand &amp; Flows Database</v>
      </c>
      <c r="H181" s="7" t="str">
        <f>'Secondary cum Calculation'!H417</f>
        <v>New</v>
      </c>
      <c r="I181" s="7">
        <f>'Secondary cum Calculation'!I417</f>
        <v>0</v>
      </c>
      <c r="J181" s="7" t="str">
        <f>'Secondary cum Calculation'!J417</f>
        <v>Thousand</v>
      </c>
      <c r="K181" s="8">
        <f>'Secondary cum Calculation'!K417</f>
        <v>1385.52</v>
      </c>
      <c r="L181" s="365">
        <f>'Secondary cum Calculation'!L417</f>
        <v>4782.9576056261722</v>
      </c>
      <c r="M181" s="365">
        <f>'Secondary cum Calculation'!M417</f>
        <v>4601.5046766722371</v>
      </c>
      <c r="N181" s="218">
        <f>'Secondary cum Calculation'!N417</f>
        <v>4560</v>
      </c>
      <c r="O181" s="218">
        <f>'Secondary cum Calculation'!O417</f>
        <v>4520</v>
      </c>
      <c r="P181" s="218">
        <f>'Secondary cum Calculation'!P417</f>
        <v>4590</v>
      </c>
      <c r="Q181" s="218">
        <f>'Secondary cum Calculation'!Q417</f>
        <v>4800</v>
      </c>
      <c r="W181" s="211">
        <f>'Secondary cum Calculation'!W417</f>
        <v>1.0614074920884509E-2</v>
      </c>
      <c r="X181" s="211">
        <f>'Secondary cum Calculation'!X417</f>
        <v>-1</v>
      </c>
      <c r="Y181" s="371" t="s">
        <v>1345</v>
      </c>
      <c r="Z181" s="12"/>
      <c r="AA181" s="12"/>
      <c r="AB181" s="12"/>
      <c r="AC181" s="12"/>
      <c r="AD181" s="7">
        <v>3</v>
      </c>
    </row>
    <row r="182" spans="1:30">
      <c r="A182" s="6" t="str">
        <f>'Secondary cum Calculation'!A419</f>
        <v>Poland</v>
      </c>
      <c r="B182" s="119" t="str">
        <f>'Secondary cum Calculation'!B419</f>
        <v>Tourism Flows</v>
      </c>
      <c r="C182" s="119" t="str">
        <f>'Secondary cum Calculation'!C419</f>
        <v>International Arrivals by Place of Origin</v>
      </c>
      <c r="D182" s="119" t="str">
        <f>'Secondary cum Calculation'!D419</f>
        <v>Europe</v>
      </c>
      <c r="E182" s="6" t="str">
        <f>'Secondary cum Calculation'!E419</f>
        <v>Greece</v>
      </c>
      <c r="F182" s="7" t="str">
        <f>'Secondary cum Calculation'!F419</f>
        <v>The number of international arrivals to a country originating from Greece</v>
      </c>
      <c r="G182" s="7" t="str">
        <f>'Secondary cum Calculation'!G419</f>
        <v>Tourism Demand &amp; Flows Database</v>
      </c>
      <c r="H182" s="7" t="str">
        <f>'Secondary cum Calculation'!H419</f>
        <v>New</v>
      </c>
      <c r="I182" s="7">
        <f>'Secondary cum Calculation'!I419</f>
        <v>0</v>
      </c>
      <c r="J182" s="7" t="str">
        <f>'Secondary cum Calculation'!J419</f>
        <v>Thousand</v>
      </c>
      <c r="K182" s="8">
        <f>'Secondary cum Calculation'!K419</f>
        <v>0</v>
      </c>
      <c r="L182" s="218">
        <f>'Secondary cum Calculation'!L419</f>
        <v>0</v>
      </c>
      <c r="M182" s="218">
        <f>'Secondary cum Calculation'!M419</f>
        <v>0</v>
      </c>
      <c r="N182" s="218">
        <f>'Secondary cum Calculation'!N419</f>
        <v>0</v>
      </c>
      <c r="O182" s="218">
        <f>'Secondary cum Calculation'!O419</f>
        <v>0</v>
      </c>
      <c r="P182" s="218">
        <f>'Secondary cum Calculation'!P419</f>
        <v>0</v>
      </c>
      <c r="Q182" s="218">
        <f>'Secondary cum Calculation'!Q419</f>
        <v>0</v>
      </c>
      <c r="W182" s="211" t="e">
        <f>'Secondary cum Calculation'!W419</f>
        <v>#DIV/0!</v>
      </c>
      <c r="X182" s="211" t="e">
        <f>'Secondary cum Calculation'!X419</f>
        <v>#DIV/0!</v>
      </c>
      <c r="Y182" s="371"/>
    </row>
    <row r="183" spans="1:30">
      <c r="A183" s="6" t="str">
        <f>'Secondary cum Calculation'!A421</f>
        <v>Poland</v>
      </c>
      <c r="B183" s="119" t="str">
        <f>'Secondary cum Calculation'!B421</f>
        <v>Tourism Flows</v>
      </c>
      <c r="C183" s="119" t="str">
        <f>'Secondary cum Calculation'!C421</f>
        <v>International Arrivals by Place of Origin</v>
      </c>
      <c r="D183" s="119" t="str">
        <f>'Secondary cum Calculation'!D421</f>
        <v>Europe</v>
      </c>
      <c r="E183" s="6" t="str">
        <f>'Secondary cum Calculation'!E421</f>
        <v>Hungary</v>
      </c>
      <c r="F183" s="7" t="str">
        <f>'Secondary cum Calculation'!F421</f>
        <v>The number of international arrivals to a country originating from Hungary</v>
      </c>
      <c r="G183" s="7" t="str">
        <f>'Secondary cum Calculation'!G421</f>
        <v>Tourism Demand &amp; Flows Database</v>
      </c>
      <c r="H183" s="7" t="str">
        <f>'Secondary cum Calculation'!H421</f>
        <v>New</v>
      </c>
      <c r="I183" s="7">
        <f>'Secondary cum Calculation'!I421</f>
        <v>0</v>
      </c>
      <c r="J183" s="7" t="str">
        <f>'Secondary cum Calculation'!J421</f>
        <v>Thousand</v>
      </c>
      <c r="K183" s="8">
        <f>'Secondary cum Calculation'!K421</f>
        <v>0</v>
      </c>
      <c r="L183" s="365">
        <f>'Secondary cum Calculation'!L421</f>
        <v>208.07886153889325</v>
      </c>
      <c r="M183" s="365">
        <f>'Secondary cum Calculation'!M421</f>
        <v>200.5898318085062</v>
      </c>
      <c r="N183" s="218">
        <f>'Secondary cum Calculation'!N421</f>
        <v>200</v>
      </c>
      <c r="O183" s="218">
        <f>'Secondary cum Calculation'!O421</f>
        <v>195</v>
      </c>
      <c r="P183" s="218">
        <f>'Secondary cum Calculation'!P421</f>
        <v>200</v>
      </c>
      <c r="Q183" s="218">
        <f>'Secondary cum Calculation'!Q421</f>
        <v>210</v>
      </c>
      <c r="W183" s="211">
        <f>'Secondary cum Calculation'!W421</f>
        <v>1.1527269108423832E-2</v>
      </c>
      <c r="X183" s="211">
        <f>'Secondary cum Calculation'!X421</f>
        <v>-1</v>
      </c>
      <c r="Y183" s="371" t="s">
        <v>1345</v>
      </c>
      <c r="AD183" s="7">
        <v>3</v>
      </c>
    </row>
    <row r="184" spans="1:30">
      <c r="A184" s="6" t="str">
        <f>'Secondary cum Calculation'!A423</f>
        <v>Poland</v>
      </c>
      <c r="B184" s="119" t="str">
        <f>'Secondary cum Calculation'!B423</f>
        <v>Tourism Flows</v>
      </c>
      <c r="C184" s="119" t="str">
        <f>'Secondary cum Calculation'!C423</f>
        <v>International Arrivals by Place of Origin</v>
      </c>
      <c r="D184" s="119" t="str">
        <f>'Secondary cum Calculation'!D423</f>
        <v>Europe</v>
      </c>
      <c r="E184" s="6" t="str">
        <f>'Secondary cum Calculation'!E423</f>
        <v>Iceland</v>
      </c>
      <c r="F184" s="7" t="str">
        <f>'Secondary cum Calculation'!F423</f>
        <v>The number of international arrivals to a country originating from Iceland</v>
      </c>
      <c r="G184" s="7" t="str">
        <f>'Secondary cum Calculation'!G423</f>
        <v>Tourism Demand &amp; Flows Database</v>
      </c>
      <c r="H184" s="7" t="str">
        <f>'Secondary cum Calculation'!H423</f>
        <v>New</v>
      </c>
      <c r="I184" s="7">
        <f>'Secondary cum Calculation'!I423</f>
        <v>0</v>
      </c>
      <c r="J184" s="7" t="str">
        <f>'Secondary cum Calculation'!J423</f>
        <v>Thousand</v>
      </c>
      <c r="K184" s="8">
        <f>'Secondary cum Calculation'!K423</f>
        <v>0</v>
      </c>
      <c r="L184" s="218">
        <f>'Secondary cum Calculation'!L423</f>
        <v>0</v>
      </c>
      <c r="M184" s="218">
        <f>'Secondary cum Calculation'!M423</f>
        <v>0</v>
      </c>
      <c r="N184" s="218">
        <f>'Secondary cum Calculation'!N423</f>
        <v>0</v>
      </c>
      <c r="O184" s="219">
        <f>'Secondary cum Calculation'!O423</f>
        <v>0</v>
      </c>
      <c r="P184" s="219">
        <f>'Secondary cum Calculation'!P423</f>
        <v>0</v>
      </c>
      <c r="Q184" s="219">
        <f>'Secondary cum Calculation'!Q423</f>
        <v>0</v>
      </c>
      <c r="R184" s="132"/>
      <c r="S184" s="132"/>
      <c r="T184" s="132"/>
      <c r="U184" s="132"/>
      <c r="V184" s="132"/>
      <c r="W184" s="211" t="e">
        <f>'Secondary cum Calculation'!W423</f>
        <v>#DIV/0!</v>
      </c>
      <c r="X184" s="211" t="e">
        <f>'Secondary cum Calculation'!X423</f>
        <v>#DIV/0!</v>
      </c>
    </row>
    <row r="185" spans="1:30">
      <c r="A185" s="6" t="str">
        <f>'Secondary cum Calculation'!A425</f>
        <v>Poland</v>
      </c>
      <c r="B185" s="119" t="str">
        <f>'Secondary cum Calculation'!B425</f>
        <v>Tourism Flows</v>
      </c>
      <c r="C185" s="119" t="str">
        <f>'Secondary cum Calculation'!C425</f>
        <v>International Arrivals by Place of Origin</v>
      </c>
      <c r="D185" s="119" t="str">
        <f>'Secondary cum Calculation'!D425</f>
        <v>Europe</v>
      </c>
      <c r="E185" s="6" t="str">
        <f>'Secondary cum Calculation'!E425</f>
        <v>Ireland</v>
      </c>
      <c r="F185" s="7" t="str">
        <f>'Secondary cum Calculation'!F425</f>
        <v>The number of international arrivals to a country originating from Ireland</v>
      </c>
      <c r="G185" s="7" t="str">
        <f>'Secondary cum Calculation'!G425</f>
        <v>Tourism Demand &amp; Flows Database</v>
      </c>
      <c r="H185" s="7" t="str">
        <f>'Secondary cum Calculation'!H425</f>
        <v>New</v>
      </c>
      <c r="I185" s="7">
        <f>'Secondary cum Calculation'!I425</f>
        <v>0</v>
      </c>
      <c r="J185" s="7" t="str">
        <f>'Secondary cum Calculation'!J425</f>
        <v>Thousand</v>
      </c>
      <c r="K185" s="8">
        <f>'Secondary cum Calculation'!K425</f>
        <v>414.423</v>
      </c>
      <c r="L185" s="218">
        <f>'Secondary cum Calculation'!L425</f>
        <v>0</v>
      </c>
      <c r="M185" s="218">
        <f>'Secondary cum Calculation'!M425</f>
        <v>0</v>
      </c>
      <c r="N185" s="218">
        <f>'Secondary cum Calculation'!N425</f>
        <v>0</v>
      </c>
      <c r="O185" s="218">
        <f>'Secondary cum Calculation'!O425</f>
        <v>0</v>
      </c>
      <c r="P185" s="218">
        <f>'Secondary cum Calculation'!P425</f>
        <v>0</v>
      </c>
      <c r="Q185" s="218">
        <f>'Secondary cum Calculation'!Q425</f>
        <v>0</v>
      </c>
      <c r="W185" s="211" t="e">
        <f>'Secondary cum Calculation'!W425</f>
        <v>#DIV/0!</v>
      </c>
      <c r="X185" s="211" t="e">
        <f>'Secondary cum Calculation'!X425</f>
        <v>#DIV/0!</v>
      </c>
      <c r="Y185" s="371"/>
      <c r="Z185" s="12"/>
      <c r="AA185" s="12"/>
      <c r="AB185" s="12"/>
      <c r="AC185" s="12"/>
      <c r="AD185" s="12"/>
    </row>
    <row r="186" spans="1:30">
      <c r="A186" s="6" t="str">
        <f>'Secondary cum Calculation'!A427</f>
        <v>Poland</v>
      </c>
      <c r="B186" s="119" t="str">
        <f>'Secondary cum Calculation'!B427</f>
        <v>Tourism Flows</v>
      </c>
      <c r="C186" s="119" t="str">
        <f>'Secondary cum Calculation'!C427</f>
        <v>International Arrivals by Place of Origin</v>
      </c>
      <c r="D186" s="119" t="str">
        <f>'Secondary cum Calculation'!D427</f>
        <v>Europe</v>
      </c>
      <c r="E186" s="6" t="str">
        <f>'Secondary cum Calculation'!E427</f>
        <v>Italy</v>
      </c>
      <c r="F186" s="7" t="str">
        <f>'Secondary cum Calculation'!F427</f>
        <v>The number of international arrivals to a country originating from Italy</v>
      </c>
      <c r="G186" s="7" t="str">
        <f>'Secondary cum Calculation'!G427</f>
        <v>Tourism Demand &amp; Flows Database</v>
      </c>
      <c r="H186" s="7" t="str">
        <f>'Secondary cum Calculation'!H427</f>
        <v>New</v>
      </c>
      <c r="I186" s="7">
        <f>'Secondary cum Calculation'!I427</f>
        <v>0</v>
      </c>
      <c r="J186" s="7" t="str">
        <f>'Secondary cum Calculation'!J427</f>
        <v>Thousand</v>
      </c>
      <c r="K186" s="8">
        <f>'Secondary cum Calculation'!K427</f>
        <v>532.82899999999995</v>
      </c>
      <c r="L186" s="365">
        <f>'Secondary cum Calculation'!L427</f>
        <v>301.99113593153811</v>
      </c>
      <c r="M186" s="365">
        <f>'Secondary cum Calculation'!M427</f>
        <v>269.64899624745112</v>
      </c>
      <c r="N186" s="218">
        <f>'Secondary cum Calculation'!N427</f>
        <v>245</v>
      </c>
      <c r="O186" s="218">
        <f>'Secondary cum Calculation'!O427</f>
        <v>265</v>
      </c>
      <c r="P186" s="218">
        <f>'Secondary cum Calculation'!P427</f>
        <v>285</v>
      </c>
      <c r="Q186" s="218">
        <f>'Secondary cum Calculation'!Q427</f>
        <v>295</v>
      </c>
      <c r="W186" s="211">
        <f>'Secondary cum Calculation'!W427</f>
        <v>2.2717769994264891E-2</v>
      </c>
      <c r="X186" s="211">
        <f>'Secondary cum Calculation'!X427</f>
        <v>-1</v>
      </c>
      <c r="Y186" s="371" t="s">
        <v>1345</v>
      </c>
      <c r="Z186" s="12"/>
      <c r="AA186" s="12"/>
      <c r="AB186" s="12"/>
      <c r="AC186" s="12"/>
      <c r="AD186" s="7">
        <v>3</v>
      </c>
    </row>
    <row r="187" spans="1:30">
      <c r="A187" s="6" t="str">
        <f>'Secondary cum Calculation'!A429</f>
        <v>Poland</v>
      </c>
      <c r="B187" s="119" t="str">
        <f>'Secondary cum Calculation'!B429</f>
        <v>Tourism Flows</v>
      </c>
      <c r="C187" s="119" t="str">
        <f>'Secondary cum Calculation'!C429</f>
        <v>International Arrivals by Place of Origin</v>
      </c>
      <c r="D187" s="119" t="str">
        <f>'Secondary cum Calculation'!D429</f>
        <v>Europe</v>
      </c>
      <c r="E187" s="6" t="str">
        <f>'Secondary cum Calculation'!E429</f>
        <v>Latvia</v>
      </c>
      <c r="F187" s="7" t="str">
        <f>'Secondary cum Calculation'!F429</f>
        <v>The number of international arrivals to a country originating from Latvia</v>
      </c>
      <c r="G187" s="7" t="str">
        <f>'Secondary cum Calculation'!G429</f>
        <v>Tourism Demand &amp; Flows Database</v>
      </c>
      <c r="H187" s="7" t="str">
        <f>'Secondary cum Calculation'!H429</f>
        <v>New</v>
      </c>
      <c r="I187" s="7">
        <f>'Secondary cum Calculation'!I429</f>
        <v>0</v>
      </c>
      <c r="J187" s="7" t="str">
        <f>'Secondary cum Calculation'!J429</f>
        <v>Thousand</v>
      </c>
      <c r="K187" s="8">
        <f>'Secondary cum Calculation'!K429</f>
        <v>0</v>
      </c>
      <c r="L187" s="365">
        <f>'Secondary cum Calculation'!L429</f>
        <v>340.02390754437158</v>
      </c>
      <c r="M187" s="365">
        <f>'Secondary cum Calculation'!M429</f>
        <v>276.93897730318031</v>
      </c>
      <c r="N187" s="218">
        <f>'Secondary cum Calculation'!N429</f>
        <v>230</v>
      </c>
      <c r="O187" s="219">
        <f>'Secondary cum Calculation'!O429</f>
        <v>270</v>
      </c>
      <c r="P187" s="219">
        <f>'Secondary cum Calculation'!P429</f>
        <v>300</v>
      </c>
      <c r="Q187" s="219">
        <f>'Secondary cum Calculation'!Q429</f>
        <v>330</v>
      </c>
      <c r="R187" s="132"/>
      <c r="S187" s="132"/>
      <c r="T187" s="132"/>
      <c r="U187" s="132"/>
      <c r="V187" s="132"/>
      <c r="W187" s="211">
        <f>'Secondary cum Calculation'!W429</f>
        <v>4.4798316025846052E-2</v>
      </c>
      <c r="X187" s="211">
        <f>'Secondary cum Calculation'!X429</f>
        <v>-1</v>
      </c>
      <c r="Y187" s="371" t="s">
        <v>1345</v>
      </c>
      <c r="AD187" s="7">
        <v>3</v>
      </c>
    </row>
    <row r="188" spans="1:30">
      <c r="A188" s="6" t="str">
        <f>'Secondary cum Calculation'!A431</f>
        <v>Poland</v>
      </c>
      <c r="B188" s="119" t="str">
        <f>'Secondary cum Calculation'!B431</f>
        <v>Tourism Flows</v>
      </c>
      <c r="C188" s="119" t="str">
        <f>'Secondary cum Calculation'!C431</f>
        <v>International Arrivals by Place of Origin</v>
      </c>
      <c r="D188" s="119" t="str">
        <f>'Secondary cum Calculation'!D431</f>
        <v>Europe</v>
      </c>
      <c r="E188" s="6" t="str">
        <f>'Secondary cum Calculation'!E431</f>
        <v>Lithuania</v>
      </c>
      <c r="F188" s="7" t="str">
        <f>'Secondary cum Calculation'!F431</f>
        <v>The number of international arrivals to a country originating from Lithuania</v>
      </c>
      <c r="G188" s="7" t="str">
        <f>'Secondary cum Calculation'!G431</f>
        <v>Tourism Demand &amp; Flows Database</v>
      </c>
      <c r="H188" s="7" t="str">
        <f>'Secondary cum Calculation'!H431</f>
        <v>New</v>
      </c>
      <c r="I188" s="7">
        <f>'Secondary cum Calculation'!I431</f>
        <v>0</v>
      </c>
      <c r="J188" s="7" t="str">
        <f>'Secondary cum Calculation'!J431</f>
        <v>Thousand</v>
      </c>
      <c r="K188" s="8">
        <f>'Secondary cum Calculation'!K431</f>
        <v>0</v>
      </c>
      <c r="L188" s="365">
        <f>'Secondary cum Calculation'!L431</f>
        <v>620.9472425918716</v>
      </c>
      <c r="M188" s="365">
        <f>'Secondary cum Calculation'!M431</f>
        <v>621.27926854050952</v>
      </c>
      <c r="N188" s="218">
        <f>'Secondary cum Calculation'!N431</f>
        <v>620</v>
      </c>
      <c r="O188" s="218">
        <f>'Secondary cum Calculation'!O431</f>
        <v>620</v>
      </c>
      <c r="P188" s="218">
        <f>'Secondary cum Calculation'!P431</f>
        <v>630</v>
      </c>
      <c r="Q188" s="218">
        <f>'Secondary cum Calculation'!Q431</f>
        <v>615</v>
      </c>
      <c r="W188" s="211">
        <f>'Secondary cum Calculation'!W431</f>
        <v>-2.5363831392188896E-3</v>
      </c>
      <c r="X188" s="211">
        <f>'Secondary cum Calculation'!X431</f>
        <v>-1</v>
      </c>
      <c r="Y188" s="371" t="s">
        <v>1345</v>
      </c>
      <c r="AD188" s="7">
        <v>3</v>
      </c>
    </row>
    <row r="189" spans="1:30">
      <c r="A189" s="6" t="str">
        <f>'Secondary cum Calculation'!A433</f>
        <v>Poland</v>
      </c>
      <c r="B189" s="119" t="str">
        <f>'Secondary cum Calculation'!B433</f>
        <v>Tourism Flows</v>
      </c>
      <c r="C189" s="119" t="str">
        <f>'Secondary cum Calculation'!C433</f>
        <v>International Arrivals by Place of Origin</v>
      </c>
      <c r="D189" s="119" t="str">
        <f>'Secondary cum Calculation'!D433</f>
        <v>Europe</v>
      </c>
      <c r="E189" s="6" t="str">
        <f>'Secondary cum Calculation'!E433</f>
        <v>Luxembourg</v>
      </c>
      <c r="F189" s="7" t="str">
        <f>'Secondary cum Calculation'!F433</f>
        <v>The number of international arrivals to a country originating from Luxembourg</v>
      </c>
      <c r="G189" s="7" t="str">
        <f>'Secondary cum Calculation'!G433</f>
        <v>Tourism Demand &amp; Flows Database</v>
      </c>
      <c r="H189" s="7" t="str">
        <f>'Secondary cum Calculation'!H433</f>
        <v>New</v>
      </c>
      <c r="I189" s="7">
        <f>'Secondary cum Calculation'!I433</f>
        <v>0</v>
      </c>
      <c r="J189" s="7" t="str">
        <f>'Secondary cum Calculation'!J433</f>
        <v>Thousand</v>
      </c>
      <c r="K189" s="8">
        <f>'Secondary cum Calculation'!K433</f>
        <v>0</v>
      </c>
      <c r="L189" s="218">
        <f>'Secondary cum Calculation'!L433</f>
        <v>0</v>
      </c>
      <c r="M189" s="218">
        <f>'Secondary cum Calculation'!M433</f>
        <v>0</v>
      </c>
      <c r="N189" s="218">
        <f>'Secondary cum Calculation'!N433</f>
        <v>0</v>
      </c>
      <c r="O189" s="218">
        <f>'Secondary cum Calculation'!O433</f>
        <v>0</v>
      </c>
      <c r="P189" s="218">
        <f>'Secondary cum Calculation'!P433</f>
        <v>0</v>
      </c>
      <c r="Q189" s="218">
        <f>'Secondary cum Calculation'!Q433</f>
        <v>0</v>
      </c>
      <c r="W189" s="211" t="e">
        <f>'Secondary cum Calculation'!W433</f>
        <v>#DIV/0!</v>
      </c>
      <c r="X189" s="211" t="e">
        <f>'Secondary cum Calculation'!X433</f>
        <v>#DIV/0!</v>
      </c>
      <c r="Y189" s="371"/>
    </row>
    <row r="190" spans="1:30">
      <c r="A190" s="6" t="str">
        <f>'Secondary cum Calculation'!A435</f>
        <v>Poland</v>
      </c>
      <c r="B190" s="119" t="str">
        <f>'Secondary cum Calculation'!B435</f>
        <v>Tourism Flows</v>
      </c>
      <c r="C190" s="119" t="str">
        <f>'Secondary cum Calculation'!C435</f>
        <v>International Arrivals by Place of Origin</v>
      </c>
      <c r="D190" s="119" t="str">
        <f>'Secondary cum Calculation'!D435</f>
        <v>Europe</v>
      </c>
      <c r="E190" s="6" t="str">
        <f>'Secondary cum Calculation'!E435</f>
        <v>Malta</v>
      </c>
      <c r="F190" s="7" t="str">
        <f>'Secondary cum Calculation'!F435</f>
        <v>The number of international arrivals to a country originating from Malta</v>
      </c>
      <c r="G190" s="7" t="str">
        <f>'Secondary cum Calculation'!G435</f>
        <v>Tourism Demand &amp; Flows Database</v>
      </c>
      <c r="H190" s="7" t="str">
        <f>'Secondary cum Calculation'!H435</f>
        <v>New</v>
      </c>
      <c r="I190" s="7">
        <f>'Secondary cum Calculation'!I435</f>
        <v>0</v>
      </c>
      <c r="J190" s="7" t="str">
        <f>'Secondary cum Calculation'!J435</f>
        <v>Thousand</v>
      </c>
      <c r="K190" s="8">
        <f>'Secondary cum Calculation'!K435</f>
        <v>0</v>
      </c>
      <c r="L190" s="218">
        <f>'Secondary cum Calculation'!L435</f>
        <v>0</v>
      </c>
      <c r="M190" s="218">
        <f>'Secondary cum Calculation'!M435</f>
        <v>0</v>
      </c>
      <c r="N190" s="218">
        <f>'Secondary cum Calculation'!N435</f>
        <v>0</v>
      </c>
      <c r="O190" s="218">
        <f>'Secondary cum Calculation'!O435</f>
        <v>0</v>
      </c>
      <c r="P190" s="218">
        <f>'Secondary cum Calculation'!P435</f>
        <v>0</v>
      </c>
      <c r="Q190" s="218">
        <f>'Secondary cum Calculation'!Q435</f>
        <v>0</v>
      </c>
      <c r="W190" s="211" t="e">
        <f>'Secondary cum Calculation'!W435</f>
        <v>#DIV/0!</v>
      </c>
      <c r="X190" s="211" t="e">
        <f>'Secondary cum Calculation'!X435</f>
        <v>#DIV/0!</v>
      </c>
    </row>
    <row r="191" spans="1:30">
      <c r="A191" s="6" t="str">
        <f>'Secondary cum Calculation'!A437</f>
        <v>Poland</v>
      </c>
      <c r="B191" s="119" t="str">
        <f>'Secondary cum Calculation'!B437</f>
        <v>Tourism Flows</v>
      </c>
      <c r="C191" s="119" t="str">
        <f>'Secondary cum Calculation'!C437</f>
        <v>International Arrivals by Place of Origin</v>
      </c>
      <c r="D191" s="119" t="str">
        <f>'Secondary cum Calculation'!D437</f>
        <v>Europe</v>
      </c>
      <c r="E191" s="6" t="str">
        <f>'Secondary cum Calculation'!E437</f>
        <v>Montenegro</v>
      </c>
      <c r="F191" s="7" t="str">
        <f>'Secondary cum Calculation'!F437</f>
        <v>The number of international arrivals to a country originating from Montenegro</v>
      </c>
      <c r="G191" s="7" t="str">
        <f>'Secondary cum Calculation'!G437</f>
        <v>Tourism Demand &amp; Flows Database</v>
      </c>
      <c r="H191" s="7" t="str">
        <f>'Secondary cum Calculation'!H437</f>
        <v>New</v>
      </c>
      <c r="I191" s="7">
        <f>'Secondary cum Calculation'!I437</f>
        <v>0</v>
      </c>
      <c r="J191" s="7" t="str">
        <f>'Secondary cum Calculation'!J437</f>
        <v>Thousand</v>
      </c>
      <c r="K191" s="8">
        <f>'Secondary cum Calculation'!K437</f>
        <v>0</v>
      </c>
      <c r="L191" s="218">
        <f>'Secondary cum Calculation'!L437</f>
        <v>0</v>
      </c>
      <c r="M191" s="218">
        <f>'Secondary cum Calculation'!M437</f>
        <v>0</v>
      </c>
      <c r="N191" s="218">
        <f>'Secondary cum Calculation'!N437</f>
        <v>0</v>
      </c>
      <c r="O191" s="219">
        <f>'Secondary cum Calculation'!O437</f>
        <v>0</v>
      </c>
      <c r="P191" s="219">
        <f>'Secondary cum Calculation'!P437</f>
        <v>0</v>
      </c>
      <c r="Q191" s="219">
        <f>'Secondary cum Calculation'!Q437</f>
        <v>0</v>
      </c>
      <c r="R191" s="132"/>
      <c r="S191" s="132"/>
      <c r="T191" s="132"/>
      <c r="U191" s="132"/>
      <c r="V191" s="132"/>
      <c r="W191" s="211" t="e">
        <f>'Secondary cum Calculation'!W437</f>
        <v>#DIV/0!</v>
      </c>
      <c r="X191" s="211" t="e">
        <f>'Secondary cum Calculation'!X437</f>
        <v>#DIV/0!</v>
      </c>
    </row>
    <row r="192" spans="1:30">
      <c r="A192" s="6" t="str">
        <f>'Secondary cum Calculation'!A439</f>
        <v>Poland</v>
      </c>
      <c r="B192" s="119" t="str">
        <f>'Secondary cum Calculation'!B439</f>
        <v>Tourism Flows</v>
      </c>
      <c r="C192" s="119" t="str">
        <f>'Secondary cum Calculation'!C439</f>
        <v>International Arrivals by Place of Origin</v>
      </c>
      <c r="D192" s="119" t="str">
        <f>'Secondary cum Calculation'!D439</f>
        <v>Europe</v>
      </c>
      <c r="E192" s="6" t="str">
        <f>'Secondary cum Calculation'!E439</f>
        <v>Netherlands</v>
      </c>
      <c r="F192" s="7" t="str">
        <f>'Secondary cum Calculation'!F439</f>
        <v>The number of international arrivals to a country originating from Netherlands</v>
      </c>
      <c r="G192" s="7" t="str">
        <f>'Secondary cum Calculation'!G439</f>
        <v>Tourism Demand &amp; Flows Database</v>
      </c>
      <c r="H192" s="7" t="str">
        <f>'Secondary cum Calculation'!H439</f>
        <v>New</v>
      </c>
      <c r="I192" s="7">
        <f>'Secondary cum Calculation'!I439</f>
        <v>0</v>
      </c>
      <c r="J192" s="7" t="str">
        <f>'Secondary cum Calculation'!J439</f>
        <v>Thousand</v>
      </c>
      <c r="K192" s="8">
        <f>'Secondary cum Calculation'!K439</f>
        <v>446.78500000000003</v>
      </c>
      <c r="L192" s="365">
        <f>'Secondary cum Calculation'!L439</f>
        <v>364.64259444329207</v>
      </c>
      <c r="M192" s="365">
        <f>'Secondary cum Calculation'!M439</f>
        <v>332.13435426192814</v>
      </c>
      <c r="N192" s="218">
        <f>'Secondary cum Calculation'!N439</f>
        <v>300</v>
      </c>
      <c r="O192" s="218">
        <f>'Secondary cum Calculation'!O439</f>
        <v>335</v>
      </c>
      <c r="P192" s="218">
        <f>'Secondary cum Calculation'!P439</f>
        <v>350</v>
      </c>
      <c r="Q192" s="218">
        <f>'Secondary cum Calculation'!Q439</f>
        <v>355</v>
      </c>
      <c r="W192" s="211">
        <f>'Secondary cum Calculation'!W439</f>
        <v>1.6783847583144329E-2</v>
      </c>
      <c r="X192" s="211">
        <f>'Secondary cum Calculation'!X439</f>
        <v>-1</v>
      </c>
      <c r="Y192" s="371" t="s">
        <v>1345</v>
      </c>
      <c r="Z192" s="12"/>
      <c r="AA192" s="12"/>
      <c r="AB192" s="12"/>
      <c r="AC192" s="12"/>
      <c r="AD192" s="7">
        <v>3</v>
      </c>
    </row>
    <row r="193" spans="1:30">
      <c r="A193" s="6" t="str">
        <f>'Secondary cum Calculation'!A441</f>
        <v>Poland</v>
      </c>
      <c r="B193" s="119" t="str">
        <f>'Secondary cum Calculation'!B441</f>
        <v>Tourism Flows</v>
      </c>
      <c r="C193" s="119" t="str">
        <f>'Secondary cum Calculation'!C441</f>
        <v>International Arrivals by Place of Origin</v>
      </c>
      <c r="D193" s="119" t="str">
        <f>'Secondary cum Calculation'!D441</f>
        <v>Europe</v>
      </c>
      <c r="E193" s="6" t="str">
        <f>'Secondary cum Calculation'!E441</f>
        <v>Norway</v>
      </c>
      <c r="F193" s="7" t="str">
        <f>'Secondary cum Calculation'!F441</f>
        <v>The number of international arrivals to a country originating from Norway</v>
      </c>
      <c r="G193" s="7" t="str">
        <f>'Secondary cum Calculation'!G441</f>
        <v>Tourism Demand &amp; Flows Database</v>
      </c>
      <c r="H193" s="7" t="str">
        <f>'Secondary cum Calculation'!H441</f>
        <v>New</v>
      </c>
      <c r="I193" s="7">
        <f>'Secondary cum Calculation'!I441</f>
        <v>0</v>
      </c>
      <c r="J193" s="7" t="str">
        <f>'Secondary cum Calculation'!J441</f>
        <v>Thousand</v>
      </c>
      <c r="K193" s="8">
        <f>'Secondary cum Calculation'!K441</f>
        <v>145.35900000000001</v>
      </c>
      <c r="L193" s="218">
        <f>'Secondary cum Calculation'!L441</f>
        <v>0</v>
      </c>
      <c r="M193" s="218">
        <f>'Secondary cum Calculation'!M441</f>
        <v>0</v>
      </c>
      <c r="N193" s="218">
        <f>'Secondary cum Calculation'!N441</f>
        <v>0</v>
      </c>
      <c r="O193" s="218">
        <f>'Secondary cum Calculation'!O441</f>
        <v>0</v>
      </c>
      <c r="P193" s="218">
        <f>'Secondary cum Calculation'!P441</f>
        <v>0</v>
      </c>
      <c r="Q193" s="218">
        <f>'Secondary cum Calculation'!Q441</f>
        <v>0</v>
      </c>
      <c r="W193" s="211" t="e">
        <f>'Secondary cum Calculation'!W441</f>
        <v>#DIV/0!</v>
      </c>
      <c r="X193" s="211" t="e">
        <f>'Secondary cum Calculation'!X441</f>
        <v>#DIV/0!</v>
      </c>
      <c r="Y193" s="371"/>
      <c r="Z193" s="12"/>
      <c r="AA193" s="12"/>
      <c r="AB193" s="12"/>
      <c r="AC193" s="12"/>
      <c r="AD193" s="12"/>
    </row>
    <row r="194" spans="1:30">
      <c r="A194" s="6" t="str">
        <f>'Secondary cum Calculation'!A443</f>
        <v>Poland</v>
      </c>
      <c r="B194" s="119" t="str">
        <f>'Secondary cum Calculation'!B443</f>
        <v>Tourism Flows</v>
      </c>
      <c r="C194" s="119" t="str">
        <f>'Secondary cum Calculation'!C443</f>
        <v>International Arrivals by Place of Origin</v>
      </c>
      <c r="D194" s="119" t="str">
        <f>'Secondary cum Calculation'!D443</f>
        <v>Europe</v>
      </c>
      <c r="E194" s="6" t="str">
        <f>'Secondary cum Calculation'!E443</f>
        <v>Poland</v>
      </c>
      <c r="F194" s="7" t="str">
        <f>'Secondary cum Calculation'!F443</f>
        <v>The number of international arrivals to a country originating from Poland</v>
      </c>
      <c r="G194" s="7" t="str">
        <f>'Secondary cum Calculation'!G443</f>
        <v>Tourism Demand &amp; Flows Database</v>
      </c>
      <c r="H194" s="7" t="str">
        <f>'Secondary cum Calculation'!H443</f>
        <v>New</v>
      </c>
      <c r="I194" s="7">
        <f>'Secondary cum Calculation'!I443</f>
        <v>0</v>
      </c>
      <c r="J194" s="7" t="str">
        <f>'Secondary cum Calculation'!J443</f>
        <v>Thousand</v>
      </c>
      <c r="K194" s="8">
        <f>'Secondary cum Calculation'!K443</f>
        <v>137.58799999999999</v>
      </c>
      <c r="L194" s="218">
        <f>'Secondary cum Calculation'!L443</f>
        <v>0</v>
      </c>
      <c r="M194" s="218">
        <f>'Secondary cum Calculation'!M443</f>
        <v>0</v>
      </c>
      <c r="N194" s="218">
        <f>'Secondary cum Calculation'!N443</f>
        <v>0</v>
      </c>
      <c r="O194" s="218">
        <f>'Secondary cum Calculation'!O443</f>
        <v>0</v>
      </c>
      <c r="P194" s="218">
        <f>'Secondary cum Calculation'!P443</f>
        <v>0</v>
      </c>
      <c r="Q194" s="218">
        <f>'Secondary cum Calculation'!Q443</f>
        <v>0</v>
      </c>
      <c r="W194" s="211" t="e">
        <f>'Secondary cum Calculation'!W443</f>
        <v>#DIV/0!</v>
      </c>
      <c r="X194" s="211" t="e">
        <f>'Secondary cum Calculation'!X443</f>
        <v>#DIV/0!</v>
      </c>
      <c r="Z194" s="12"/>
      <c r="AA194" s="12"/>
      <c r="AB194" s="12"/>
      <c r="AC194" s="12"/>
      <c r="AD194" s="12"/>
    </row>
    <row r="195" spans="1:30">
      <c r="A195" s="6" t="str">
        <f>'Secondary cum Calculation'!A445</f>
        <v>Poland</v>
      </c>
      <c r="B195" s="119" t="str">
        <f>'Secondary cum Calculation'!B445</f>
        <v>Tourism Flows</v>
      </c>
      <c r="C195" s="119" t="str">
        <f>'Secondary cum Calculation'!C445</f>
        <v>International Arrivals by Place of Origin</v>
      </c>
      <c r="D195" s="119" t="str">
        <f>'Secondary cum Calculation'!D445</f>
        <v>Europe</v>
      </c>
      <c r="E195" s="6" t="str">
        <f>'Secondary cum Calculation'!E445</f>
        <v>Portugal</v>
      </c>
      <c r="F195" s="7" t="str">
        <f>'Secondary cum Calculation'!F445</f>
        <v>The number of international arrivals to a country originating from Portugal</v>
      </c>
      <c r="G195" s="7" t="str">
        <f>'Secondary cum Calculation'!G445</f>
        <v>Tourism Demand &amp; Flows Database</v>
      </c>
      <c r="H195" s="7" t="str">
        <f>'Secondary cum Calculation'!H445</f>
        <v>New</v>
      </c>
      <c r="I195" s="7">
        <f>'Secondary cum Calculation'!I445</f>
        <v>0</v>
      </c>
      <c r="J195" s="7" t="str">
        <f>'Secondary cum Calculation'!J445</f>
        <v>Thousand</v>
      </c>
      <c r="K195" s="8">
        <f>'Secondary cum Calculation'!K445</f>
        <v>71.406000000000006</v>
      </c>
      <c r="L195" s="218">
        <f>'Secondary cum Calculation'!L445</f>
        <v>0</v>
      </c>
      <c r="M195" s="218">
        <f>'Secondary cum Calculation'!M445</f>
        <v>0</v>
      </c>
      <c r="N195" s="218">
        <f>'Secondary cum Calculation'!N445</f>
        <v>0</v>
      </c>
      <c r="O195" s="218">
        <f>'Secondary cum Calculation'!O445</f>
        <v>0</v>
      </c>
      <c r="P195" s="218">
        <f>'Secondary cum Calculation'!P445</f>
        <v>0</v>
      </c>
      <c r="Q195" s="218">
        <f>'Secondary cum Calculation'!Q445</f>
        <v>0</v>
      </c>
      <c r="W195" s="211" t="e">
        <f>'Secondary cum Calculation'!W445</f>
        <v>#DIV/0!</v>
      </c>
      <c r="X195" s="211" t="e">
        <f>'Secondary cum Calculation'!X445</f>
        <v>#DIV/0!</v>
      </c>
      <c r="Y195" s="371"/>
      <c r="Z195" s="12"/>
      <c r="AA195" s="12"/>
      <c r="AB195" s="12"/>
      <c r="AC195" s="12"/>
      <c r="AD195" s="12"/>
    </row>
    <row r="196" spans="1:30">
      <c r="A196" s="6" t="str">
        <f>'Secondary cum Calculation'!A447</f>
        <v>Poland</v>
      </c>
      <c r="B196" s="119" t="str">
        <f>'Secondary cum Calculation'!B447</f>
        <v>Tourism Flows</v>
      </c>
      <c r="C196" s="119" t="str">
        <f>'Secondary cum Calculation'!C447</f>
        <v>International Arrivals by Place of Origin</v>
      </c>
      <c r="D196" s="119" t="str">
        <f>'Secondary cum Calculation'!D447</f>
        <v>Europe</v>
      </c>
      <c r="E196" s="6" t="str">
        <f>'Secondary cum Calculation'!E447</f>
        <v>Republic of Moldova</v>
      </c>
      <c r="F196" s="7" t="str">
        <f>'Secondary cum Calculation'!F447</f>
        <v>The number of international arrivals to a country originating from Republic of Moldova</v>
      </c>
      <c r="G196" s="7" t="str">
        <f>'Secondary cum Calculation'!G447</f>
        <v>Tourism Demand &amp; Flows Database</v>
      </c>
      <c r="H196" s="7" t="str">
        <f>'Secondary cum Calculation'!H447</f>
        <v>New</v>
      </c>
      <c r="I196" s="7">
        <f>'Secondary cum Calculation'!I447</f>
        <v>0</v>
      </c>
      <c r="J196" s="7" t="str">
        <f>'Secondary cum Calculation'!J447</f>
        <v>Thousand</v>
      </c>
      <c r="K196" s="8">
        <f>'Secondary cum Calculation'!K447</f>
        <v>0</v>
      </c>
      <c r="L196" s="218">
        <f>'Secondary cum Calculation'!L447</f>
        <v>0</v>
      </c>
      <c r="M196" s="218">
        <f>'Secondary cum Calculation'!M447</f>
        <v>0</v>
      </c>
      <c r="N196" s="218">
        <f>'Secondary cum Calculation'!N447</f>
        <v>0</v>
      </c>
      <c r="O196" s="219">
        <f>'Secondary cum Calculation'!O447</f>
        <v>0</v>
      </c>
      <c r="P196" s="219">
        <f>'Secondary cum Calculation'!P447</f>
        <v>0</v>
      </c>
      <c r="Q196" s="219">
        <f>'Secondary cum Calculation'!Q447</f>
        <v>0</v>
      </c>
      <c r="R196" s="132"/>
      <c r="S196" s="132"/>
      <c r="T196" s="132"/>
      <c r="U196" s="132"/>
      <c r="V196" s="132"/>
      <c r="W196" s="211" t="e">
        <f>'Secondary cum Calculation'!W447</f>
        <v>#DIV/0!</v>
      </c>
      <c r="X196" s="211" t="e">
        <f>'Secondary cum Calculation'!X447</f>
        <v>#DIV/0!</v>
      </c>
    </row>
    <row r="197" spans="1:30">
      <c r="A197" s="6" t="str">
        <f>'Secondary cum Calculation'!A449</f>
        <v>Poland</v>
      </c>
      <c r="B197" s="119" t="str">
        <f>'Secondary cum Calculation'!B449</f>
        <v>Tourism Flows</v>
      </c>
      <c r="C197" s="119" t="str">
        <f>'Secondary cum Calculation'!C449</f>
        <v>International Arrivals by Place of Origin</v>
      </c>
      <c r="D197" s="119" t="str">
        <f>'Secondary cum Calculation'!D449</f>
        <v>Europe</v>
      </c>
      <c r="E197" s="6" t="str">
        <f>'Secondary cum Calculation'!E449</f>
        <v>Romania</v>
      </c>
      <c r="F197" s="7" t="str">
        <f>'Secondary cum Calculation'!F449</f>
        <v>The number of international arrivals to a country originating from Romania</v>
      </c>
      <c r="G197" s="7" t="str">
        <f>'Secondary cum Calculation'!G449</f>
        <v>Tourism Demand &amp; Flows Database</v>
      </c>
      <c r="H197" s="7" t="str">
        <f>'Secondary cum Calculation'!H449</f>
        <v>New</v>
      </c>
      <c r="I197" s="7">
        <f>'Secondary cum Calculation'!I449</f>
        <v>0</v>
      </c>
      <c r="J197" s="7" t="str">
        <f>'Secondary cum Calculation'!J449</f>
        <v>Thousand</v>
      </c>
      <c r="K197" s="8">
        <f>'Secondary cum Calculation'!K449</f>
        <v>0</v>
      </c>
      <c r="L197" s="218">
        <f>'Secondary cum Calculation'!L449</f>
        <v>0</v>
      </c>
      <c r="M197" s="218">
        <f>'Secondary cum Calculation'!M449</f>
        <v>0</v>
      </c>
      <c r="N197" s="218">
        <f>'Secondary cum Calculation'!N449</f>
        <v>0</v>
      </c>
      <c r="O197" s="218">
        <f>'Secondary cum Calculation'!O449</f>
        <v>0</v>
      </c>
      <c r="P197" s="218">
        <f>'Secondary cum Calculation'!P449</f>
        <v>0</v>
      </c>
      <c r="Q197" s="218">
        <f>'Secondary cum Calculation'!Q449</f>
        <v>0</v>
      </c>
      <c r="W197" s="211" t="e">
        <f>'Secondary cum Calculation'!W449</f>
        <v>#DIV/0!</v>
      </c>
      <c r="X197" s="211" t="e">
        <f>'Secondary cum Calculation'!X449</f>
        <v>#DIV/0!</v>
      </c>
      <c r="Y197" s="371"/>
    </row>
    <row r="198" spans="1:30">
      <c r="A198" s="6" t="str">
        <f>'Secondary cum Calculation'!A451</f>
        <v>Poland</v>
      </c>
      <c r="B198" s="119" t="str">
        <f>'Secondary cum Calculation'!B451</f>
        <v>Tourism Flows</v>
      </c>
      <c r="C198" s="119" t="str">
        <f>'Secondary cum Calculation'!C451</f>
        <v>International Arrivals by Place of Origin</v>
      </c>
      <c r="D198" s="119" t="str">
        <f>'Secondary cum Calculation'!D451</f>
        <v>Europe</v>
      </c>
      <c r="E198" s="6" t="str">
        <f>'Secondary cum Calculation'!E451</f>
        <v>Russian Federation</v>
      </c>
      <c r="F198" s="7" t="str">
        <f>'Secondary cum Calculation'!F451</f>
        <v>The number of international arrivals to a country originating from Russian Federation</v>
      </c>
      <c r="G198" s="7" t="str">
        <f>'Secondary cum Calculation'!G451</f>
        <v>Tourism Demand &amp; Flows Database</v>
      </c>
      <c r="H198" s="7" t="str">
        <f>'Secondary cum Calculation'!H451</f>
        <v>New</v>
      </c>
      <c r="I198" s="7">
        <f>'Secondary cum Calculation'!I451</f>
        <v>0</v>
      </c>
      <c r="J198" s="7" t="str">
        <f>'Secondary cum Calculation'!J451</f>
        <v>Thousand</v>
      </c>
      <c r="K198" s="8">
        <f>'Secondary cum Calculation'!K451</f>
        <v>94.680999999999997</v>
      </c>
      <c r="L198" s="365">
        <f>'Secondary cum Calculation'!L451</f>
        <v>687.09605490829472</v>
      </c>
      <c r="M198" s="365">
        <f>'Secondary cum Calculation'!M451</f>
        <v>451.754303420322</v>
      </c>
      <c r="N198" s="218">
        <f>'Secondary cum Calculation'!N451</f>
        <v>320</v>
      </c>
      <c r="O198" s="218">
        <f>'Secondary cum Calculation'!O451</f>
        <v>400</v>
      </c>
      <c r="P198" s="218">
        <f>'Secondary cum Calculation'!P451</f>
        <v>500</v>
      </c>
      <c r="Q198" s="218">
        <f>'Secondary cum Calculation'!Q451</f>
        <v>670</v>
      </c>
      <c r="W198" s="211">
        <f>'Secondary cum Calculation'!W451</f>
        <v>0.10355282304749869</v>
      </c>
      <c r="X198" s="211">
        <f>'Secondary cum Calculation'!X451</f>
        <v>-1</v>
      </c>
      <c r="Y198" s="371"/>
      <c r="Z198" s="12"/>
      <c r="AA198" s="12"/>
      <c r="AB198" s="12"/>
      <c r="AC198" s="12"/>
      <c r="AD198" s="7">
        <v>3</v>
      </c>
    </row>
    <row r="199" spans="1:30">
      <c r="A199" s="6" t="str">
        <f>'Secondary cum Calculation'!A453</f>
        <v>Poland</v>
      </c>
      <c r="B199" s="119" t="str">
        <f>'Secondary cum Calculation'!B453</f>
        <v>Tourism Flows</v>
      </c>
      <c r="C199" s="119" t="str">
        <f>'Secondary cum Calculation'!C453</f>
        <v>International Arrivals by Place of Origin</v>
      </c>
      <c r="D199" s="119" t="str">
        <f>'Secondary cum Calculation'!D453</f>
        <v>Europe</v>
      </c>
      <c r="E199" s="6" t="str">
        <f>'Secondary cum Calculation'!E453</f>
        <v>Serbia</v>
      </c>
      <c r="F199" s="7" t="str">
        <f>'Secondary cum Calculation'!F453</f>
        <v>The number of international arrivals to a country originating from Serbia</v>
      </c>
      <c r="G199" s="7" t="str">
        <f>'Secondary cum Calculation'!G453</f>
        <v>Tourism Demand &amp; Flows Database</v>
      </c>
      <c r="H199" s="7" t="str">
        <f>'Secondary cum Calculation'!H453</f>
        <v>New</v>
      </c>
      <c r="I199" s="7">
        <f>'Secondary cum Calculation'!I453</f>
        <v>0</v>
      </c>
      <c r="J199" s="7" t="str">
        <f>'Secondary cum Calculation'!J453</f>
        <v>Thousand</v>
      </c>
      <c r="K199" s="8">
        <f>'Secondary cum Calculation'!K453</f>
        <v>0</v>
      </c>
      <c r="L199" s="218">
        <f>'Secondary cum Calculation'!L453</f>
        <v>0</v>
      </c>
      <c r="M199" s="218">
        <f>'Secondary cum Calculation'!M453</f>
        <v>0</v>
      </c>
      <c r="N199" s="218">
        <f>'Secondary cum Calculation'!N453</f>
        <v>0</v>
      </c>
      <c r="O199" s="219">
        <f>'Secondary cum Calculation'!O453</f>
        <v>0</v>
      </c>
      <c r="P199" s="219">
        <f>'Secondary cum Calculation'!P453</f>
        <v>0</v>
      </c>
      <c r="Q199" s="219">
        <f>'Secondary cum Calculation'!Q453</f>
        <v>0</v>
      </c>
      <c r="R199" s="132"/>
      <c r="S199" s="132"/>
      <c r="T199" s="132"/>
      <c r="U199" s="132"/>
      <c r="V199" s="132"/>
      <c r="W199" s="211" t="e">
        <f>'Secondary cum Calculation'!W453</f>
        <v>#DIV/0!</v>
      </c>
      <c r="X199" s="211" t="e">
        <f>'Secondary cum Calculation'!X453</f>
        <v>#DIV/0!</v>
      </c>
    </row>
    <row r="200" spans="1:30">
      <c r="A200" s="6" t="str">
        <f>'Secondary cum Calculation'!A455</f>
        <v>Poland</v>
      </c>
      <c r="B200" s="119" t="str">
        <f>'Secondary cum Calculation'!B455</f>
        <v>Tourism Flows</v>
      </c>
      <c r="C200" s="119" t="str">
        <f>'Secondary cum Calculation'!C455</f>
        <v>International Arrivals by Place of Origin</v>
      </c>
      <c r="D200" s="119" t="str">
        <f>'Secondary cum Calculation'!D455</f>
        <v>Europe</v>
      </c>
      <c r="E200" s="6" t="str">
        <f>'Secondary cum Calculation'!E455</f>
        <v>Slovakia</v>
      </c>
      <c r="F200" s="7" t="str">
        <f>'Secondary cum Calculation'!F455</f>
        <v>The number of international arrivals to a country originating from Slovakia</v>
      </c>
      <c r="G200" s="7" t="str">
        <f>'Secondary cum Calculation'!G455</f>
        <v>Tourism Demand &amp; Flows Database</v>
      </c>
      <c r="H200" s="7" t="str">
        <f>'Secondary cum Calculation'!H455</f>
        <v>New</v>
      </c>
      <c r="I200" s="7">
        <f>'Secondary cum Calculation'!I455</f>
        <v>0</v>
      </c>
      <c r="J200" s="7" t="str">
        <f>'Secondary cum Calculation'!J455</f>
        <v>Thousand</v>
      </c>
      <c r="K200" s="8">
        <f>'Secondary cum Calculation'!K455</f>
        <v>0</v>
      </c>
      <c r="L200" s="365">
        <f>'Secondary cum Calculation'!L455</f>
        <v>111.29228192584348</v>
      </c>
      <c r="M200" s="365">
        <f>'Secondary cum Calculation'!M455</f>
        <v>96.16665537678594</v>
      </c>
      <c r="N200" s="218">
        <f>'Secondary cum Calculation'!N455</f>
        <v>85</v>
      </c>
      <c r="O200" s="218">
        <f>'Secondary cum Calculation'!O455</f>
        <v>95</v>
      </c>
      <c r="P200" s="218">
        <f>'Secondary cum Calculation'!P455</f>
        <v>100</v>
      </c>
      <c r="Q200" s="218">
        <f>'Secondary cum Calculation'!Q455</f>
        <v>110</v>
      </c>
      <c r="W200" s="211">
        <f>'Secondary cum Calculation'!W455</f>
        <v>3.4170257350608857E-2</v>
      </c>
      <c r="X200" s="211">
        <f>'Secondary cum Calculation'!X455</f>
        <v>-1</v>
      </c>
      <c r="Y200" s="371" t="s">
        <v>1345</v>
      </c>
      <c r="AD200" s="7">
        <v>3</v>
      </c>
    </row>
    <row r="201" spans="1:30">
      <c r="A201" s="6" t="str">
        <f>'Secondary cum Calculation'!A457</f>
        <v>Poland</v>
      </c>
      <c r="B201" s="119" t="str">
        <f>'Secondary cum Calculation'!B457</f>
        <v>Tourism Flows</v>
      </c>
      <c r="C201" s="119" t="str">
        <f>'Secondary cum Calculation'!C457</f>
        <v>International Arrivals by Place of Origin</v>
      </c>
      <c r="D201" s="119" t="str">
        <f>'Secondary cum Calculation'!D457</f>
        <v>Europe</v>
      </c>
      <c r="E201" s="6" t="str">
        <f>'Secondary cum Calculation'!E457</f>
        <v>Slovenia</v>
      </c>
      <c r="F201" s="7" t="str">
        <f>'Secondary cum Calculation'!F457</f>
        <v>The number of international arrivals to a country originating from Slovenia</v>
      </c>
      <c r="G201" s="7" t="str">
        <f>'Secondary cum Calculation'!G457</f>
        <v>Tourism Demand &amp; Flows Database</v>
      </c>
      <c r="H201" s="7" t="str">
        <f>'Secondary cum Calculation'!H457</f>
        <v>New</v>
      </c>
      <c r="I201" s="7">
        <f>'Secondary cum Calculation'!I457</f>
        <v>0</v>
      </c>
      <c r="J201" s="7" t="str">
        <f>'Secondary cum Calculation'!J457</f>
        <v>Thousand</v>
      </c>
      <c r="K201" s="8">
        <f>'Secondary cum Calculation'!K457</f>
        <v>0</v>
      </c>
      <c r="L201" s="218">
        <f>'Secondary cum Calculation'!L457</f>
        <v>0</v>
      </c>
      <c r="M201" s="218">
        <f>'Secondary cum Calculation'!M457</f>
        <v>0</v>
      </c>
      <c r="N201" s="218">
        <f>'Secondary cum Calculation'!N457</f>
        <v>0</v>
      </c>
      <c r="O201" s="219">
        <f>'Secondary cum Calculation'!O457</f>
        <v>0</v>
      </c>
      <c r="P201" s="219">
        <f>'Secondary cum Calculation'!P457</f>
        <v>0</v>
      </c>
      <c r="Q201" s="219">
        <f>'Secondary cum Calculation'!Q457</f>
        <v>0</v>
      </c>
      <c r="R201" s="132"/>
      <c r="S201" s="132"/>
      <c r="T201" s="132"/>
      <c r="U201" s="132"/>
      <c r="V201" s="132"/>
      <c r="W201" s="211" t="e">
        <f>'Secondary cum Calculation'!W457</f>
        <v>#DIV/0!</v>
      </c>
      <c r="X201" s="211" t="e">
        <f>'Secondary cum Calculation'!X457</f>
        <v>#DIV/0!</v>
      </c>
      <c r="Y201" s="371"/>
    </row>
    <row r="202" spans="1:30">
      <c r="A202" s="6" t="str">
        <f>'Secondary cum Calculation'!A459</f>
        <v>Poland</v>
      </c>
      <c r="B202" s="119" t="str">
        <f>'Secondary cum Calculation'!B459</f>
        <v>Tourism Flows</v>
      </c>
      <c r="C202" s="119" t="str">
        <f>'Secondary cum Calculation'!C459</f>
        <v>International Arrivals by Place of Origin</v>
      </c>
      <c r="D202" s="119" t="str">
        <f>'Secondary cum Calculation'!D459</f>
        <v>Europe</v>
      </c>
      <c r="E202" s="6" t="str">
        <f>'Secondary cum Calculation'!E459</f>
        <v>Spain</v>
      </c>
      <c r="F202" s="7" t="str">
        <f>'Secondary cum Calculation'!F459</f>
        <v>The number of international arrivals to a country originating from Spain</v>
      </c>
      <c r="G202" s="7" t="str">
        <f>'Secondary cum Calculation'!G459</f>
        <v>Tourism Demand &amp; Flows Database</v>
      </c>
      <c r="H202" s="7" t="str">
        <f>'Secondary cum Calculation'!H459</f>
        <v>New</v>
      </c>
      <c r="I202" s="7">
        <f>'Secondary cum Calculation'!I459</f>
        <v>0</v>
      </c>
      <c r="J202" s="7" t="str">
        <f>'Secondary cum Calculation'!J459</f>
        <v>Thousand</v>
      </c>
      <c r="K202" s="8">
        <f>'Secondary cum Calculation'!K459</f>
        <v>424.22399999999999</v>
      </c>
      <c r="L202" s="218">
        <f>'Secondary cum Calculation'!L459</f>
        <v>0</v>
      </c>
      <c r="M202" s="218">
        <f>'Secondary cum Calculation'!M459</f>
        <v>0</v>
      </c>
      <c r="N202" s="218">
        <f>'Secondary cum Calculation'!N459</f>
        <v>0</v>
      </c>
      <c r="O202" s="218">
        <f>'Secondary cum Calculation'!O459</f>
        <v>0</v>
      </c>
      <c r="P202" s="218">
        <f>'Secondary cum Calculation'!P459</f>
        <v>0</v>
      </c>
      <c r="Q202" s="218">
        <f>'Secondary cum Calculation'!Q459</f>
        <v>0</v>
      </c>
      <c r="W202" s="211" t="e">
        <f>'Secondary cum Calculation'!W459</f>
        <v>#DIV/0!</v>
      </c>
      <c r="X202" s="211" t="e">
        <f>'Secondary cum Calculation'!X459</f>
        <v>#DIV/0!</v>
      </c>
      <c r="Y202" s="371"/>
      <c r="Z202" s="12"/>
      <c r="AA202" s="12"/>
      <c r="AB202" s="12"/>
      <c r="AC202" s="12"/>
      <c r="AD202" s="12"/>
    </row>
    <row r="203" spans="1:30">
      <c r="A203" s="6" t="str">
        <f>'Secondary cum Calculation'!A461</f>
        <v>Poland</v>
      </c>
      <c r="B203" s="119" t="str">
        <f>'Secondary cum Calculation'!B461</f>
        <v>Tourism Flows</v>
      </c>
      <c r="C203" s="119" t="str">
        <f>'Secondary cum Calculation'!C461</f>
        <v>International Arrivals by Place of Origin</v>
      </c>
      <c r="D203" s="119" t="str">
        <f>'Secondary cum Calculation'!D461</f>
        <v>Europe</v>
      </c>
      <c r="E203" s="6" t="str">
        <f>'Secondary cum Calculation'!E461</f>
        <v>Sweden</v>
      </c>
      <c r="F203" s="7" t="str">
        <f>'Secondary cum Calculation'!F461</f>
        <v>The number of international arrivals to a country originating from Sweden</v>
      </c>
      <c r="G203" s="7" t="str">
        <f>'Secondary cum Calculation'!G461</f>
        <v>Tourism Demand &amp; Flows Database</v>
      </c>
      <c r="H203" s="7" t="str">
        <f>'Secondary cum Calculation'!H461</f>
        <v>New</v>
      </c>
      <c r="I203" s="7">
        <f>'Secondary cum Calculation'!I461</f>
        <v>0</v>
      </c>
      <c r="J203" s="7" t="str">
        <f>'Secondary cum Calculation'!J461</f>
        <v>Thousand</v>
      </c>
      <c r="K203" s="8">
        <f>'Secondary cum Calculation'!K461</f>
        <v>285.99400000000003</v>
      </c>
      <c r="L203" s="365">
        <f>'Secondary cum Calculation'!L461</f>
        <v>178.78673196809359</v>
      </c>
      <c r="M203" s="365">
        <f>'Secondary cum Calculation'!M461</f>
        <v>159.55466724765893</v>
      </c>
      <c r="N203" s="218">
        <f>'Secondary cum Calculation'!N461</f>
        <v>155</v>
      </c>
      <c r="O203" s="218">
        <f>'Secondary cum Calculation'!O461</f>
        <v>150</v>
      </c>
      <c r="P203" s="218">
        <f>'Secondary cum Calculation'!P461</f>
        <v>160</v>
      </c>
      <c r="Q203" s="218">
        <f>'Secondary cum Calculation'!Q461</f>
        <v>180</v>
      </c>
      <c r="W203" s="211">
        <f>'Secondary cum Calculation'!W461</f>
        <v>3.06014475753702E-2</v>
      </c>
      <c r="X203" s="211">
        <f>'Secondary cum Calculation'!X461</f>
        <v>-1</v>
      </c>
      <c r="Y203" s="371" t="s">
        <v>1345</v>
      </c>
      <c r="Z203" s="12"/>
      <c r="AA203" s="12"/>
      <c r="AB203" s="12"/>
      <c r="AC203" s="12"/>
      <c r="AD203" s="7">
        <v>3</v>
      </c>
    </row>
    <row r="204" spans="1:30">
      <c r="A204" s="6" t="str">
        <f>'Secondary cum Calculation'!A463</f>
        <v>Poland</v>
      </c>
      <c r="B204" s="119" t="str">
        <f>'Secondary cum Calculation'!B463</f>
        <v>Tourism Flows</v>
      </c>
      <c r="C204" s="119" t="str">
        <f>'Secondary cum Calculation'!C463</f>
        <v>International Arrivals by Place of Origin</v>
      </c>
      <c r="D204" s="119" t="str">
        <f>'Secondary cum Calculation'!D463</f>
        <v>Europe</v>
      </c>
      <c r="E204" s="6" t="str">
        <f>'Secondary cum Calculation'!E463</f>
        <v>Switzerland</v>
      </c>
      <c r="F204" s="7" t="str">
        <f>'Secondary cum Calculation'!F463</f>
        <v>The number of international arrivals to a country originating from Switzerland</v>
      </c>
      <c r="G204" s="7" t="str">
        <f>'Secondary cum Calculation'!G463</f>
        <v>Tourism Demand &amp; Flows Database</v>
      </c>
      <c r="H204" s="7" t="str">
        <f>'Secondary cum Calculation'!H463</f>
        <v>New</v>
      </c>
      <c r="I204" s="7">
        <f>'Secondary cum Calculation'!I463</f>
        <v>0</v>
      </c>
      <c r="J204" s="7" t="str">
        <f>'Secondary cum Calculation'!J463</f>
        <v>Thousand</v>
      </c>
      <c r="K204" s="8">
        <f>'Secondary cum Calculation'!K463</f>
        <v>270.57100000000003</v>
      </c>
      <c r="L204" s="218">
        <f>'Secondary cum Calculation'!L463</f>
        <v>0</v>
      </c>
      <c r="M204" s="218">
        <f>'Secondary cum Calculation'!M463</f>
        <v>0</v>
      </c>
      <c r="N204" s="218">
        <f>'Secondary cum Calculation'!N463</f>
        <v>0</v>
      </c>
      <c r="O204" s="218">
        <f>'Secondary cum Calculation'!O463</f>
        <v>0</v>
      </c>
      <c r="P204" s="218">
        <f>'Secondary cum Calculation'!P463</f>
        <v>0</v>
      </c>
      <c r="Q204" s="218">
        <f>'Secondary cum Calculation'!Q463</f>
        <v>0</v>
      </c>
      <c r="W204" s="211" t="e">
        <f>'Secondary cum Calculation'!W463</f>
        <v>#DIV/0!</v>
      </c>
      <c r="X204" s="211" t="e">
        <f>'Secondary cum Calculation'!X463</f>
        <v>#DIV/0!</v>
      </c>
      <c r="Y204" s="371"/>
      <c r="Z204" s="12"/>
      <c r="AA204" s="12"/>
      <c r="AB204" s="12"/>
      <c r="AC204" s="12"/>
      <c r="AD204" s="12"/>
    </row>
    <row r="205" spans="1:30">
      <c r="A205" s="6" t="str">
        <f>'Secondary cum Calculation'!A465</f>
        <v>Poland</v>
      </c>
      <c r="B205" s="119" t="str">
        <f>'Secondary cum Calculation'!B465</f>
        <v>Tourism Flows</v>
      </c>
      <c r="C205" s="119" t="str">
        <f>'Secondary cum Calculation'!C465</f>
        <v>International Arrivals by Place of Origin</v>
      </c>
      <c r="D205" s="119" t="str">
        <f>'Secondary cum Calculation'!D465</f>
        <v>Europe</v>
      </c>
      <c r="E205" s="6" t="str">
        <f>'Secondary cum Calculation'!E465</f>
        <v>TFYR Macedonia</v>
      </c>
      <c r="F205" s="7" t="str">
        <f>'Secondary cum Calculation'!F465</f>
        <v>The number of international arrivals to a country originating from TFYR Macedonia</v>
      </c>
      <c r="G205" s="7" t="str">
        <f>'Secondary cum Calculation'!G465</f>
        <v>Tourism Demand &amp; Flows Database</v>
      </c>
      <c r="H205" s="7" t="str">
        <f>'Secondary cum Calculation'!H465</f>
        <v>New</v>
      </c>
      <c r="I205" s="7">
        <f>'Secondary cum Calculation'!I465</f>
        <v>0</v>
      </c>
      <c r="J205" s="7" t="str">
        <f>'Secondary cum Calculation'!J465</f>
        <v>Thousand</v>
      </c>
      <c r="K205" s="8">
        <f>'Secondary cum Calculation'!K465</f>
        <v>0</v>
      </c>
      <c r="L205" s="218">
        <f>'Secondary cum Calculation'!L465</f>
        <v>0</v>
      </c>
      <c r="M205" s="218">
        <f>'Secondary cum Calculation'!M465</f>
        <v>0</v>
      </c>
      <c r="N205" s="218">
        <f>'Secondary cum Calculation'!N465</f>
        <v>0</v>
      </c>
      <c r="O205" s="219">
        <f>'Secondary cum Calculation'!O465</f>
        <v>0</v>
      </c>
      <c r="P205" s="219">
        <f>'Secondary cum Calculation'!P465</f>
        <v>0</v>
      </c>
      <c r="Q205" s="219">
        <f>'Secondary cum Calculation'!Q465</f>
        <v>0</v>
      </c>
      <c r="R205" s="132"/>
      <c r="S205" s="132"/>
      <c r="T205" s="132"/>
      <c r="U205" s="132"/>
      <c r="V205" s="132"/>
      <c r="W205" s="211" t="e">
        <f>'Secondary cum Calculation'!W465</f>
        <v>#DIV/0!</v>
      </c>
      <c r="X205" s="211" t="e">
        <f>'Secondary cum Calculation'!X465</f>
        <v>#DIV/0!</v>
      </c>
    </row>
    <row r="206" spans="1:30">
      <c r="A206" s="6" t="str">
        <f>'Secondary cum Calculation'!A467</f>
        <v>Poland</v>
      </c>
      <c r="B206" s="119" t="str">
        <f>'Secondary cum Calculation'!B467</f>
        <v>Tourism Flows</v>
      </c>
      <c r="C206" s="119" t="str">
        <f>'Secondary cum Calculation'!C467</f>
        <v>International Arrivals by Place of Origin</v>
      </c>
      <c r="D206" s="119" t="str">
        <f>'Secondary cum Calculation'!D467</f>
        <v>Europe</v>
      </c>
      <c r="E206" s="6" t="str">
        <f>'Secondary cum Calculation'!E467</f>
        <v>Turkey</v>
      </c>
      <c r="F206" s="7" t="str">
        <f>'Secondary cum Calculation'!F467</f>
        <v>The number of international arrivals to a country originating from Turkey</v>
      </c>
      <c r="G206" s="7" t="str">
        <f>'Secondary cum Calculation'!G467</f>
        <v>Tourism Demand &amp; Flows Database</v>
      </c>
      <c r="H206" s="7" t="str">
        <f>'Secondary cum Calculation'!H467</f>
        <v>New</v>
      </c>
      <c r="I206" s="7">
        <f>'Secondary cum Calculation'!I467</f>
        <v>0</v>
      </c>
      <c r="J206" s="7" t="str">
        <f>'Secondary cum Calculation'!J467</f>
        <v>Thousand</v>
      </c>
      <c r="K206" s="8">
        <f>'Secondary cum Calculation'!K467</f>
        <v>90.122</v>
      </c>
      <c r="L206" s="218">
        <f>'Secondary cum Calculation'!L467</f>
        <v>0</v>
      </c>
      <c r="M206" s="218">
        <f>'Secondary cum Calculation'!M467</f>
        <v>0</v>
      </c>
      <c r="N206" s="218">
        <f>'Secondary cum Calculation'!N467</f>
        <v>0</v>
      </c>
      <c r="O206" s="218">
        <f>'Secondary cum Calculation'!O467</f>
        <v>0</v>
      </c>
      <c r="P206" s="218">
        <f>'Secondary cum Calculation'!P467</f>
        <v>0</v>
      </c>
      <c r="Q206" s="218">
        <f>'Secondary cum Calculation'!Q467</f>
        <v>0</v>
      </c>
      <c r="W206" s="211" t="e">
        <f>'Secondary cum Calculation'!W467</f>
        <v>#DIV/0!</v>
      </c>
      <c r="X206" s="211" t="e">
        <f>'Secondary cum Calculation'!X467</f>
        <v>#DIV/0!</v>
      </c>
      <c r="Y206" s="371"/>
      <c r="Z206" s="12"/>
      <c r="AA206" s="12"/>
      <c r="AB206" s="12"/>
      <c r="AC206" s="12"/>
      <c r="AD206" s="12"/>
    </row>
    <row r="207" spans="1:30">
      <c r="A207" s="6" t="str">
        <f>'Secondary cum Calculation'!A469</f>
        <v>Poland</v>
      </c>
      <c r="B207" s="119" t="str">
        <f>'Secondary cum Calculation'!B469</f>
        <v>Tourism Flows</v>
      </c>
      <c r="C207" s="119" t="str">
        <f>'Secondary cum Calculation'!C469</f>
        <v>International Arrivals by Place of Origin</v>
      </c>
      <c r="D207" s="119" t="str">
        <f>'Secondary cum Calculation'!D469</f>
        <v>Europe</v>
      </c>
      <c r="E207" s="6" t="str">
        <f>'Secondary cum Calculation'!E469</f>
        <v>Ukraine</v>
      </c>
      <c r="F207" s="7" t="str">
        <f>'Secondary cum Calculation'!F469</f>
        <v>The number of international arrivals to a country originating from Ukraine</v>
      </c>
      <c r="G207" s="7" t="str">
        <f>'Secondary cum Calculation'!G469</f>
        <v>Tourism Demand &amp; Flows Database</v>
      </c>
      <c r="H207" s="7" t="str">
        <f>'Secondary cum Calculation'!H469</f>
        <v>New</v>
      </c>
      <c r="I207" s="7">
        <f>'Secondary cum Calculation'!I469</f>
        <v>0</v>
      </c>
      <c r="J207" s="365" t="str">
        <f>'Secondary cum Calculation'!J469</f>
        <v>Thousand</v>
      </c>
      <c r="K207" s="365">
        <f>'Secondary cum Calculation'!K469</f>
        <v>0</v>
      </c>
      <c r="L207" s="365">
        <f>'Secondary cum Calculation'!L469</f>
        <v>1950.5307899946154</v>
      </c>
      <c r="M207" s="365">
        <f>'Secondary cum Calculation'!M469</f>
        <v>1498.9418155940984</v>
      </c>
      <c r="N207" s="218">
        <f>'Secondary cum Calculation'!N469</f>
        <v>1295</v>
      </c>
      <c r="O207" s="219">
        <f>'Secondary cum Calculation'!O469</f>
        <v>1350</v>
      </c>
      <c r="P207" s="219">
        <f>'Secondary cum Calculation'!P469</f>
        <v>1580</v>
      </c>
      <c r="Q207" s="219">
        <f>'Secondary cum Calculation'!Q469</f>
        <v>1930</v>
      </c>
      <c r="R207" s="132"/>
      <c r="S207" s="132"/>
      <c r="T207" s="132"/>
      <c r="U207" s="132"/>
      <c r="V207" s="132"/>
      <c r="W207" s="211">
        <f>'Secondary cum Calculation'!W469</f>
        <v>6.5229373348253183E-2</v>
      </c>
      <c r="X207" s="211">
        <f>'Secondary cum Calculation'!X469</f>
        <v>-1</v>
      </c>
      <c r="Y207" s="371" t="s">
        <v>1345</v>
      </c>
      <c r="AD207" s="7">
        <v>3</v>
      </c>
    </row>
    <row r="208" spans="1:30">
      <c r="A208" s="6" t="str">
        <f>'Secondary cum Calculation'!A471</f>
        <v>Poland</v>
      </c>
      <c r="B208" s="119" t="str">
        <f>'Secondary cum Calculation'!B471</f>
        <v>Tourism Flows</v>
      </c>
      <c r="C208" s="119" t="str">
        <f>'Secondary cum Calculation'!C471</f>
        <v>International Arrivals by Place of Origin</v>
      </c>
      <c r="D208" s="119" t="str">
        <f>'Secondary cum Calculation'!D471</f>
        <v>Europe</v>
      </c>
      <c r="E208" s="6" t="str">
        <f>'Secondary cum Calculation'!E471</f>
        <v>United Kingdom</v>
      </c>
      <c r="F208" s="7" t="str">
        <f>'Secondary cum Calculation'!F471</f>
        <v>The number of international arrivals to a country originating from United Kingdom</v>
      </c>
      <c r="G208" s="7" t="str">
        <f>'Secondary cum Calculation'!G471</f>
        <v>Tourism Demand &amp; Flows Database</v>
      </c>
      <c r="H208" s="7" t="str">
        <f>'Secondary cum Calculation'!H471</f>
        <v>New</v>
      </c>
      <c r="I208" s="7">
        <f>'Secondary cum Calculation'!I471</f>
        <v>0</v>
      </c>
      <c r="J208" s="365" t="str">
        <f>'Secondary cum Calculation'!J471</f>
        <v>Thousand</v>
      </c>
      <c r="K208" s="365">
        <f>'Secondary cum Calculation'!K471</f>
        <v>4176.2110000000002</v>
      </c>
      <c r="L208" s="365">
        <f>'Secondary cum Calculation'!L471</f>
        <v>498.01581727602348</v>
      </c>
      <c r="M208" s="365">
        <f>'Secondary cum Calculation'!M471</f>
        <v>471.40414474799451</v>
      </c>
      <c r="N208" s="218">
        <f>'Secondary cum Calculation'!N471</f>
        <v>450</v>
      </c>
      <c r="O208" s="218">
        <f>'Secondary cum Calculation'!O471</f>
        <v>485</v>
      </c>
      <c r="P208" s="218">
        <f>'Secondary cum Calculation'!P471</f>
        <v>460</v>
      </c>
      <c r="Q208" s="218">
        <f>'Secondary cum Calculation'!Q471</f>
        <v>500</v>
      </c>
      <c r="W208" s="211">
        <f>'Secondary cum Calculation'!W471</f>
        <v>1.4831997291598675E-2</v>
      </c>
      <c r="X208" s="211">
        <f>'Secondary cum Calculation'!X471</f>
        <v>-1</v>
      </c>
      <c r="Y208" s="371" t="s">
        <v>1345</v>
      </c>
      <c r="Z208" s="12"/>
      <c r="AA208" s="12"/>
      <c r="AB208" s="12"/>
      <c r="AC208" s="12"/>
      <c r="AD208" s="7">
        <v>3</v>
      </c>
    </row>
    <row r="209" spans="1:30">
      <c r="A209" s="6" t="str">
        <f>'Secondary cum Calculation'!A473</f>
        <v>Poland</v>
      </c>
      <c r="B209" s="119" t="str">
        <f>'Secondary cum Calculation'!B473</f>
        <v>Tourism Flows</v>
      </c>
      <c r="C209" s="119" t="str">
        <f>'Secondary cum Calculation'!C473</f>
        <v>International Arrivals by Place of Origin</v>
      </c>
      <c r="D209" s="119" t="str">
        <f>'Secondary cum Calculation'!D473</f>
        <v>Europe</v>
      </c>
      <c r="E209" s="6" t="str">
        <f>'Secondary cum Calculation'!E473</f>
        <v>Other European Countries</v>
      </c>
      <c r="F209" s="41" t="str">
        <f>'Secondary cum Calculation'!F473</f>
        <v>To be defined according to the gaps in the country data above</v>
      </c>
      <c r="G209" s="7">
        <f>'Secondary cum Calculation'!G473</f>
        <v>0</v>
      </c>
      <c r="H209" s="7">
        <f>'Secondary cum Calculation'!H473</f>
        <v>0</v>
      </c>
      <c r="I209" s="7">
        <f>'Secondary cum Calculation'!I473</f>
        <v>0</v>
      </c>
      <c r="J209" s="7" t="str">
        <f>'Secondary cum Calculation'!J473</f>
        <v>Thousand</v>
      </c>
      <c r="K209" s="8">
        <f>'Secondary cum Calculation'!K473</f>
        <v>0</v>
      </c>
      <c r="L209" s="365">
        <f>'Secondary cum Calculation'!L473</f>
        <v>1017.8430927845529</v>
      </c>
      <c r="M209" s="365">
        <f>'Secondary cum Calculation'!M473</f>
        <v>896.83277536928836</v>
      </c>
      <c r="N209" s="365">
        <f>'Secondary cum Calculation'!N473</f>
        <v>830</v>
      </c>
      <c r="O209" s="365">
        <f>'Secondary cum Calculation'!O473</f>
        <v>855</v>
      </c>
      <c r="P209" s="365">
        <f>'Secondary cum Calculation'!P473</f>
        <v>945</v>
      </c>
      <c r="Q209" s="365">
        <f>'Secondary cum Calculation'!Q473</f>
        <v>1000</v>
      </c>
      <c r="W209" s="211">
        <f>'Secondary cum Calculation'!W473</f>
        <v>2.7595354193829413E-2</v>
      </c>
      <c r="X209" s="211">
        <f>'Secondary cum Calculation'!X473</f>
        <v>-1</v>
      </c>
      <c r="Y209" s="371" t="s">
        <v>1345</v>
      </c>
      <c r="Z209" s="12"/>
      <c r="AA209" s="12"/>
      <c r="AB209" s="12"/>
      <c r="AC209" s="12"/>
      <c r="AD209" s="7">
        <v>2</v>
      </c>
    </row>
    <row r="210" spans="1:30">
      <c r="A210" s="213" t="str">
        <f>'Secondary cum Calculation'!A475</f>
        <v>Poland</v>
      </c>
      <c r="B210" s="214" t="str">
        <f>'Secondary cum Calculation'!B475</f>
        <v>Tourism Flows</v>
      </c>
      <c r="C210" s="214" t="str">
        <f>'Secondary cum Calculation'!C475</f>
        <v>International Arrivals by Place of Origin</v>
      </c>
      <c r="D210" s="213" t="str">
        <f>'Secondary cum Calculation'!D475</f>
        <v>Middle East</v>
      </c>
      <c r="E210" s="215"/>
      <c r="F210" s="215" t="str">
        <f>'Secondary cum Calculation'!F475</f>
        <v>The number of international arrivals to a country originating from the Middle East</v>
      </c>
      <c r="G210" s="215" t="str">
        <f>'Secondary cum Calculation'!G475</f>
        <v>Tourism Demand &amp; Flows Database</v>
      </c>
      <c r="H210" s="215" t="str">
        <f>'Secondary cum Calculation'!H475</f>
        <v>New</v>
      </c>
      <c r="I210" s="215">
        <f>'Secondary cum Calculation'!I475</f>
        <v>0</v>
      </c>
      <c r="J210" s="215" t="str">
        <f>'Secondary cum Calculation'!J475</f>
        <v>Thousand</v>
      </c>
      <c r="K210" s="216">
        <f>'Secondary cum Calculation'!K475</f>
        <v>283.88900000000001</v>
      </c>
      <c r="L210" s="364">
        <f>'Secondary cum Calculation'!L475</f>
        <v>134.62580622548694</v>
      </c>
      <c r="M210" s="364">
        <f>'Secondary cum Calculation'!M475</f>
        <v>113.00152602826763</v>
      </c>
      <c r="N210" s="364">
        <f>'Secondary cum Calculation'!N475</f>
        <v>103.3937052330171</v>
      </c>
      <c r="O210" s="364">
        <f>'Secondary cum Calculation'!O475</f>
        <v>119.90965126419432</v>
      </c>
      <c r="P210" s="364">
        <f>'Secondary cum Calculation'!P475</f>
        <v>119.40595989696668</v>
      </c>
      <c r="Q210" s="364">
        <f>Forecasting!Q491</f>
        <v>141.49119239388128</v>
      </c>
      <c r="R210" s="217">
        <f>Forecasting!R491</f>
        <v>148.59480386411897</v>
      </c>
      <c r="S210" s="217">
        <f>Forecasting!S491</f>
        <v>156.48883207213089</v>
      </c>
      <c r="T210" s="217">
        <f>Forecasting!T491</f>
        <v>163.49592930046356</v>
      </c>
      <c r="U210" s="217">
        <f>Forecasting!U491</f>
        <v>172.7034364516976</v>
      </c>
      <c r="V210" s="217">
        <f>Forecasting!V491</f>
        <v>183.18555875981355</v>
      </c>
      <c r="W210" s="246">
        <f>'Secondary cum Calculation'!W475</f>
        <v>5.7818783702454635E-2</v>
      </c>
      <c r="X210" s="246">
        <f>'Secondary cum Calculation'!X475</f>
        <v>5.3009684498946052E-2</v>
      </c>
      <c r="Y210" s="371" t="s">
        <v>1345</v>
      </c>
      <c r="AD210" s="7">
        <v>2</v>
      </c>
    </row>
    <row r="211" spans="1:30">
      <c r="A211" s="6" t="str">
        <f>'Secondary cum Calculation'!A477</f>
        <v>Poland</v>
      </c>
      <c r="B211" s="119" t="str">
        <f>'Secondary cum Calculation'!B477</f>
        <v>Tourism Flows</v>
      </c>
      <c r="C211" s="119" t="str">
        <f>'Secondary cum Calculation'!C477</f>
        <v>International Arrivals by Place of Origin</v>
      </c>
      <c r="D211" s="119" t="str">
        <f>'Secondary cum Calculation'!D477</f>
        <v>Middle East</v>
      </c>
      <c r="E211" s="6" t="str">
        <f>'Secondary cum Calculation'!E477</f>
        <v>Bahrain</v>
      </c>
      <c r="F211" s="7" t="str">
        <f>'Secondary cum Calculation'!F477</f>
        <v>The number of international arrivals to a country originating from Bahrain</v>
      </c>
      <c r="G211" s="7" t="str">
        <f>'Secondary cum Calculation'!G477</f>
        <v>Tourism Demand &amp; Flows Database</v>
      </c>
      <c r="H211" s="7" t="str">
        <f>'Secondary cum Calculation'!H477</f>
        <v>New</v>
      </c>
      <c r="I211" s="7">
        <f>'Secondary cum Calculation'!I477</f>
        <v>0</v>
      </c>
      <c r="J211" s="7" t="str">
        <f>'Secondary cum Calculation'!J477</f>
        <v>Thousand</v>
      </c>
      <c r="K211" s="8">
        <f>'Secondary cum Calculation'!K477</f>
        <v>0</v>
      </c>
      <c r="L211" s="218">
        <f>'Secondary cum Calculation'!L477</f>
        <v>0</v>
      </c>
      <c r="M211" s="218">
        <f>'Secondary cum Calculation'!M477</f>
        <v>0</v>
      </c>
      <c r="N211" s="218">
        <f>'Secondary cum Calculation'!N477</f>
        <v>0</v>
      </c>
      <c r="O211" s="218">
        <f>'Secondary cum Calculation'!O477</f>
        <v>0</v>
      </c>
      <c r="P211" s="218">
        <f>'Secondary cum Calculation'!P477</f>
        <v>0</v>
      </c>
      <c r="Q211" s="218">
        <f>'Secondary cum Calculation'!Q477</f>
        <v>0</v>
      </c>
      <c r="W211" s="211" t="e">
        <f>'Secondary cum Calculation'!W477</f>
        <v>#DIV/0!</v>
      </c>
      <c r="X211" s="211" t="e">
        <f>'Secondary cum Calculation'!X477</f>
        <v>#DIV/0!</v>
      </c>
    </row>
    <row r="212" spans="1:30">
      <c r="A212" s="6" t="str">
        <f>'Secondary cum Calculation'!A479</f>
        <v>Poland</v>
      </c>
      <c r="B212" s="119" t="str">
        <f>'Secondary cum Calculation'!B479</f>
        <v>Tourism Flows</v>
      </c>
      <c r="C212" s="119" t="str">
        <f>'Secondary cum Calculation'!C479</f>
        <v>International Arrivals by Place of Origin</v>
      </c>
      <c r="D212" s="119" t="str">
        <f>'Secondary cum Calculation'!D479</f>
        <v>Middle East</v>
      </c>
      <c r="E212" s="6" t="str">
        <f>'Secondary cum Calculation'!E479</f>
        <v>Iran (Islamic Republic of)</v>
      </c>
      <c r="F212" s="7" t="str">
        <f>'Secondary cum Calculation'!F479</f>
        <v>The number of international arrivals to a country originating from Iran (Islamic Republic of)</v>
      </c>
      <c r="G212" s="7" t="str">
        <f>'Secondary cum Calculation'!G479</f>
        <v>Tourism Demand &amp; Flows Database</v>
      </c>
      <c r="H212" s="7" t="str">
        <f>'Secondary cum Calculation'!H479</f>
        <v>New</v>
      </c>
      <c r="I212" s="7">
        <f>'Secondary cum Calculation'!I479</f>
        <v>0</v>
      </c>
      <c r="J212" s="7" t="str">
        <f>'Secondary cum Calculation'!J479</f>
        <v>Thousand</v>
      </c>
      <c r="K212" s="8">
        <f>'Secondary cum Calculation'!K479</f>
        <v>0</v>
      </c>
      <c r="L212" s="218">
        <f>'Secondary cum Calculation'!L479</f>
        <v>0</v>
      </c>
      <c r="M212" s="218">
        <f>'Secondary cum Calculation'!M479</f>
        <v>0</v>
      </c>
      <c r="N212" s="218">
        <f>'Secondary cum Calculation'!N479</f>
        <v>0</v>
      </c>
      <c r="O212" s="218">
        <f>'Secondary cum Calculation'!O479</f>
        <v>0</v>
      </c>
      <c r="P212" s="218">
        <f>'Secondary cum Calculation'!P479</f>
        <v>0</v>
      </c>
      <c r="Q212" s="218">
        <f>'Secondary cum Calculation'!Q479</f>
        <v>0</v>
      </c>
      <c r="W212" s="211" t="e">
        <f>'Secondary cum Calculation'!W479</f>
        <v>#DIV/0!</v>
      </c>
      <c r="X212" s="211" t="e">
        <f>'Secondary cum Calculation'!X479</f>
        <v>#DIV/0!</v>
      </c>
    </row>
    <row r="213" spans="1:30">
      <c r="A213" s="6" t="str">
        <f>'Secondary cum Calculation'!A481</f>
        <v>Poland</v>
      </c>
      <c r="B213" s="119" t="str">
        <f>'Secondary cum Calculation'!B481</f>
        <v>Tourism Flows</v>
      </c>
      <c r="C213" s="119" t="str">
        <f>'Secondary cum Calculation'!C481</f>
        <v>International Arrivals by Place of Origin</v>
      </c>
      <c r="D213" s="119" t="str">
        <f>'Secondary cum Calculation'!D481</f>
        <v>Middle East</v>
      </c>
      <c r="E213" s="6" t="str">
        <f>'Secondary cum Calculation'!E481</f>
        <v>Iraq</v>
      </c>
      <c r="F213" s="7" t="str">
        <f>'Secondary cum Calculation'!F481</f>
        <v>The number of international arrivals to a country originating from Iraq</v>
      </c>
      <c r="G213" s="7" t="str">
        <f>'Secondary cum Calculation'!G481</f>
        <v>Tourism Demand &amp; Flows Database</v>
      </c>
      <c r="H213" s="7" t="str">
        <f>'Secondary cum Calculation'!H481</f>
        <v>New</v>
      </c>
      <c r="I213" s="7">
        <f>'Secondary cum Calculation'!I481</f>
        <v>0</v>
      </c>
      <c r="J213" s="7" t="str">
        <f>'Secondary cum Calculation'!J481</f>
        <v>Thousand</v>
      </c>
      <c r="K213" s="8">
        <f>'Secondary cum Calculation'!K481</f>
        <v>0</v>
      </c>
      <c r="L213" s="218">
        <f>'Secondary cum Calculation'!L481</f>
        <v>0</v>
      </c>
      <c r="M213" s="218">
        <f>'Secondary cum Calculation'!M481</f>
        <v>0</v>
      </c>
      <c r="N213" s="218">
        <f>'Secondary cum Calculation'!N481</f>
        <v>0</v>
      </c>
      <c r="O213" s="218">
        <f>'Secondary cum Calculation'!O481</f>
        <v>0</v>
      </c>
      <c r="P213" s="218">
        <f>'Secondary cum Calculation'!P481</f>
        <v>0</v>
      </c>
      <c r="Q213" s="218">
        <f>'Secondary cum Calculation'!Q481</f>
        <v>0</v>
      </c>
      <c r="W213" s="211" t="e">
        <f>'Secondary cum Calculation'!W481</f>
        <v>#DIV/0!</v>
      </c>
      <c r="X213" s="211" t="e">
        <f>'Secondary cum Calculation'!X481</f>
        <v>#DIV/0!</v>
      </c>
    </row>
    <row r="214" spans="1:30">
      <c r="A214" s="6" t="str">
        <f>'Secondary cum Calculation'!A483</f>
        <v>Poland</v>
      </c>
      <c r="B214" s="119" t="str">
        <f>'Secondary cum Calculation'!B483</f>
        <v>Tourism Flows</v>
      </c>
      <c r="C214" s="119" t="str">
        <f>'Secondary cum Calculation'!C483</f>
        <v>International Arrivals by Place of Origin</v>
      </c>
      <c r="D214" s="119" t="str">
        <f>'Secondary cum Calculation'!D483</f>
        <v>Middle East</v>
      </c>
      <c r="E214" s="6" t="str">
        <f>'Secondary cum Calculation'!E483</f>
        <v>Israel</v>
      </c>
      <c r="F214" s="7" t="str">
        <f>'Secondary cum Calculation'!F483</f>
        <v>The number of international arrivals to a country originating from Israel</v>
      </c>
      <c r="G214" s="7" t="str">
        <f>'Secondary cum Calculation'!G483</f>
        <v>Tourism Demand &amp; Flows Database</v>
      </c>
      <c r="H214" s="7" t="str">
        <f>'Secondary cum Calculation'!H483</f>
        <v>New</v>
      </c>
      <c r="I214" s="7">
        <f>'Secondary cum Calculation'!I483</f>
        <v>0</v>
      </c>
      <c r="J214" s="7" t="str">
        <f>'Secondary cum Calculation'!J483</f>
        <v>Thousand</v>
      </c>
      <c r="K214" s="8">
        <f>'Secondary cum Calculation'!K483</f>
        <v>283.88900000000001</v>
      </c>
      <c r="L214" s="218">
        <f>'Secondary cum Calculation'!L483</f>
        <v>0</v>
      </c>
      <c r="M214" s="218">
        <f>'Secondary cum Calculation'!M483</f>
        <v>0</v>
      </c>
      <c r="N214" s="218">
        <f>'Secondary cum Calculation'!N483</f>
        <v>0</v>
      </c>
      <c r="O214" s="218">
        <f>'Secondary cum Calculation'!O483</f>
        <v>0</v>
      </c>
      <c r="P214" s="218">
        <f>'Secondary cum Calculation'!P483</f>
        <v>0</v>
      </c>
      <c r="Q214" s="218">
        <f>'Secondary cum Calculation'!Q483</f>
        <v>0</v>
      </c>
      <c r="W214" s="211" t="e">
        <f>'Secondary cum Calculation'!W483</f>
        <v>#DIV/0!</v>
      </c>
      <c r="X214" s="211" t="e">
        <f>'Secondary cum Calculation'!X483</f>
        <v>#DIV/0!</v>
      </c>
      <c r="Y214" s="371"/>
      <c r="Z214" s="12"/>
      <c r="AA214" s="12"/>
      <c r="AB214" s="12"/>
      <c r="AC214" s="12"/>
      <c r="AD214" s="12"/>
    </row>
    <row r="215" spans="1:30">
      <c r="A215" s="6" t="str">
        <f>'Secondary cum Calculation'!A485</f>
        <v>Poland</v>
      </c>
      <c r="B215" s="119" t="str">
        <f>'Secondary cum Calculation'!B485</f>
        <v>Tourism Flows</v>
      </c>
      <c r="C215" s="119" t="str">
        <f>'Secondary cum Calculation'!C485</f>
        <v>International Arrivals by Place of Origin</v>
      </c>
      <c r="D215" s="119" t="str">
        <f>'Secondary cum Calculation'!D485</f>
        <v>Middle East</v>
      </c>
      <c r="E215" s="6" t="str">
        <f>'Secondary cum Calculation'!E485</f>
        <v>Jordan</v>
      </c>
      <c r="F215" s="7" t="str">
        <f>'Secondary cum Calculation'!F485</f>
        <v>The number of international arrivals to a country originating from Jordan</v>
      </c>
      <c r="G215" s="7" t="str">
        <f>'Secondary cum Calculation'!G485</f>
        <v>Tourism Demand &amp; Flows Database</v>
      </c>
      <c r="H215" s="7" t="str">
        <f>'Secondary cum Calculation'!H485</f>
        <v>New</v>
      </c>
      <c r="I215" s="7">
        <f>'Secondary cum Calculation'!I485</f>
        <v>0</v>
      </c>
      <c r="J215" s="7" t="str">
        <f>'Secondary cum Calculation'!J485</f>
        <v>Thousand</v>
      </c>
      <c r="K215" s="8">
        <f>'Secondary cum Calculation'!K485</f>
        <v>0</v>
      </c>
      <c r="L215" s="218">
        <f>'Secondary cum Calculation'!L485</f>
        <v>0</v>
      </c>
      <c r="M215" s="218">
        <f>'Secondary cum Calculation'!M485</f>
        <v>0</v>
      </c>
      <c r="N215" s="218">
        <f>'Secondary cum Calculation'!N485</f>
        <v>0</v>
      </c>
      <c r="O215" s="219">
        <f>'Secondary cum Calculation'!O485</f>
        <v>0</v>
      </c>
      <c r="P215" s="219">
        <f>'Secondary cum Calculation'!P485</f>
        <v>0</v>
      </c>
      <c r="Q215" s="219">
        <f>'Secondary cum Calculation'!Q485</f>
        <v>0</v>
      </c>
      <c r="R215" s="132"/>
      <c r="S215" s="132"/>
      <c r="T215" s="132"/>
      <c r="U215" s="132"/>
      <c r="V215" s="132"/>
      <c r="W215" s="211" t="e">
        <f>'Secondary cum Calculation'!W485</f>
        <v>#DIV/0!</v>
      </c>
      <c r="X215" s="211" t="e">
        <f>'Secondary cum Calculation'!X485</f>
        <v>#DIV/0!</v>
      </c>
    </row>
    <row r="216" spans="1:30">
      <c r="A216" s="6" t="str">
        <f>'Secondary cum Calculation'!A487</f>
        <v>Poland</v>
      </c>
      <c r="B216" s="119" t="str">
        <f>'Secondary cum Calculation'!B487</f>
        <v>Tourism Flows</v>
      </c>
      <c r="C216" s="119" t="str">
        <f>'Secondary cum Calculation'!C487</f>
        <v>International Arrivals by Place of Origin</v>
      </c>
      <c r="D216" s="119" t="str">
        <f>'Secondary cum Calculation'!D487</f>
        <v>Middle East</v>
      </c>
      <c r="E216" s="6" t="str">
        <f>'Secondary cum Calculation'!E487</f>
        <v>Kuwait</v>
      </c>
      <c r="F216" s="7" t="str">
        <f>'Secondary cum Calculation'!F487</f>
        <v>The number of international arrivals to a country originating from Kuwait</v>
      </c>
      <c r="G216" s="7" t="str">
        <f>'Secondary cum Calculation'!G487</f>
        <v>Tourism Demand &amp; Flows Database</v>
      </c>
      <c r="H216" s="7" t="str">
        <f>'Secondary cum Calculation'!H487</f>
        <v>New</v>
      </c>
      <c r="I216" s="7">
        <f>'Secondary cum Calculation'!I487</f>
        <v>0</v>
      </c>
      <c r="J216" s="7" t="str">
        <f>'Secondary cum Calculation'!J487</f>
        <v>Thousand</v>
      </c>
      <c r="K216" s="8">
        <f>'Secondary cum Calculation'!K487</f>
        <v>0</v>
      </c>
      <c r="L216" s="218">
        <f>'Secondary cum Calculation'!L487</f>
        <v>0</v>
      </c>
      <c r="M216" s="218">
        <f>'Secondary cum Calculation'!M487</f>
        <v>0</v>
      </c>
      <c r="N216" s="218">
        <f>'Secondary cum Calculation'!N487</f>
        <v>0</v>
      </c>
      <c r="O216" s="218">
        <f>'Secondary cum Calculation'!O487</f>
        <v>0</v>
      </c>
      <c r="P216" s="218">
        <f>'Secondary cum Calculation'!P487</f>
        <v>0</v>
      </c>
      <c r="Q216" s="218">
        <f>'Secondary cum Calculation'!Q487</f>
        <v>0</v>
      </c>
      <c r="W216" s="211" t="e">
        <f>'Secondary cum Calculation'!W487</f>
        <v>#DIV/0!</v>
      </c>
      <c r="X216" s="211" t="e">
        <f>'Secondary cum Calculation'!X487</f>
        <v>#DIV/0!</v>
      </c>
    </row>
    <row r="217" spans="1:30">
      <c r="A217" s="6" t="str">
        <f>'Secondary cum Calculation'!A489</f>
        <v>Poland</v>
      </c>
      <c r="B217" s="119" t="str">
        <f>'Secondary cum Calculation'!B489</f>
        <v>Tourism Flows</v>
      </c>
      <c r="C217" s="119" t="str">
        <f>'Secondary cum Calculation'!C489</f>
        <v>International Arrivals by Place of Origin</v>
      </c>
      <c r="D217" s="119" t="str">
        <f>'Secondary cum Calculation'!D489</f>
        <v>Middle East</v>
      </c>
      <c r="E217" s="6" t="str">
        <f>'Secondary cum Calculation'!E489</f>
        <v>Lebanon</v>
      </c>
      <c r="F217" s="7" t="str">
        <f>'Secondary cum Calculation'!F489</f>
        <v>The number of international arrivals to a country originating from Lebanon</v>
      </c>
      <c r="G217" s="7" t="str">
        <f>'Secondary cum Calculation'!G489</f>
        <v>Tourism Demand &amp; Flows Database</v>
      </c>
      <c r="H217" s="7" t="str">
        <f>'Secondary cum Calculation'!H489</f>
        <v>New</v>
      </c>
      <c r="I217" s="7">
        <f>'Secondary cum Calculation'!I489</f>
        <v>0</v>
      </c>
      <c r="J217" s="7" t="str">
        <f>'Secondary cum Calculation'!J489</f>
        <v>Thousand</v>
      </c>
      <c r="K217" s="8">
        <f>'Secondary cum Calculation'!K489</f>
        <v>0</v>
      </c>
      <c r="L217" s="218">
        <f>'Secondary cum Calculation'!L489</f>
        <v>0</v>
      </c>
      <c r="M217" s="218">
        <f>'Secondary cum Calculation'!M489</f>
        <v>0</v>
      </c>
      <c r="N217" s="218">
        <f>'Secondary cum Calculation'!N489</f>
        <v>0</v>
      </c>
      <c r="O217" s="218">
        <f>'Secondary cum Calculation'!O489</f>
        <v>0</v>
      </c>
      <c r="P217" s="218">
        <f>'Secondary cum Calculation'!P489</f>
        <v>0</v>
      </c>
      <c r="Q217" s="218">
        <f>'Secondary cum Calculation'!Q489</f>
        <v>0</v>
      </c>
      <c r="W217" s="211" t="e">
        <f>'Secondary cum Calculation'!W489</f>
        <v>#DIV/0!</v>
      </c>
      <c r="X217" s="211" t="e">
        <f>'Secondary cum Calculation'!X489</f>
        <v>#DIV/0!</v>
      </c>
    </row>
    <row r="218" spans="1:30">
      <c r="A218" s="6" t="str">
        <f>'Secondary cum Calculation'!A491</f>
        <v>Poland</v>
      </c>
      <c r="B218" s="119" t="str">
        <f>'Secondary cum Calculation'!B491</f>
        <v>Tourism Flows</v>
      </c>
      <c r="C218" s="119" t="str">
        <f>'Secondary cum Calculation'!C491</f>
        <v>International Arrivals by Place of Origin</v>
      </c>
      <c r="D218" s="119" t="str">
        <f>'Secondary cum Calculation'!D491</f>
        <v>Middle East</v>
      </c>
      <c r="E218" s="6" t="str">
        <f>'Secondary cum Calculation'!E491</f>
        <v>Occupied Palestinian Territory</v>
      </c>
      <c r="F218" s="7" t="str">
        <f>'Secondary cum Calculation'!F491</f>
        <v>The number of international arrivals to a country originating from Occupied Palestinian Territory</v>
      </c>
      <c r="G218" s="7" t="str">
        <f>'Secondary cum Calculation'!G491</f>
        <v>Tourism Demand &amp; Flows Database</v>
      </c>
      <c r="H218" s="7" t="str">
        <f>'Secondary cum Calculation'!H491</f>
        <v>New</v>
      </c>
      <c r="I218" s="7">
        <f>'Secondary cum Calculation'!I491</f>
        <v>0</v>
      </c>
      <c r="J218" s="7" t="str">
        <f>'Secondary cum Calculation'!J491</f>
        <v>Thousand</v>
      </c>
      <c r="K218" s="8">
        <f>'Secondary cum Calculation'!K491</f>
        <v>0</v>
      </c>
      <c r="L218" s="218">
        <f>'Secondary cum Calculation'!L491</f>
        <v>0</v>
      </c>
      <c r="M218" s="218">
        <f>'Secondary cum Calculation'!M491</f>
        <v>0</v>
      </c>
      <c r="N218" s="218">
        <f>'Secondary cum Calculation'!N491</f>
        <v>0</v>
      </c>
      <c r="O218" s="218">
        <f>'Secondary cum Calculation'!O491</f>
        <v>0</v>
      </c>
      <c r="P218" s="218">
        <f>'Secondary cum Calculation'!P491</f>
        <v>0</v>
      </c>
      <c r="Q218" s="218">
        <f>'Secondary cum Calculation'!Q491</f>
        <v>0</v>
      </c>
      <c r="W218" s="211" t="e">
        <f>'Secondary cum Calculation'!W491</f>
        <v>#DIV/0!</v>
      </c>
      <c r="X218" s="211" t="e">
        <f>'Secondary cum Calculation'!X491</f>
        <v>#DIV/0!</v>
      </c>
    </row>
    <row r="219" spans="1:30">
      <c r="A219" s="6" t="str">
        <f>'Secondary cum Calculation'!A493</f>
        <v>Poland</v>
      </c>
      <c r="B219" s="119" t="str">
        <f>'Secondary cum Calculation'!B493</f>
        <v>Tourism Flows</v>
      </c>
      <c r="C219" s="119" t="str">
        <f>'Secondary cum Calculation'!C493</f>
        <v>International Arrivals by Place of Origin</v>
      </c>
      <c r="D219" s="119" t="str">
        <f>'Secondary cum Calculation'!D493</f>
        <v>Middle East</v>
      </c>
      <c r="E219" s="6" t="str">
        <f>'Secondary cum Calculation'!E493</f>
        <v>Oman</v>
      </c>
      <c r="F219" s="7" t="str">
        <f>'Secondary cum Calculation'!F493</f>
        <v>The number of international arrivals to a country originating from Oman</v>
      </c>
      <c r="G219" s="7" t="str">
        <f>'Secondary cum Calculation'!G493</f>
        <v>Tourism Demand &amp; Flows Database</v>
      </c>
      <c r="H219" s="7" t="str">
        <f>'Secondary cum Calculation'!H493</f>
        <v>New</v>
      </c>
      <c r="I219" s="7">
        <f>'Secondary cum Calculation'!I493</f>
        <v>0</v>
      </c>
      <c r="J219" s="7" t="str">
        <f>'Secondary cum Calculation'!J493</f>
        <v>Thousand</v>
      </c>
      <c r="K219" s="8">
        <f>'Secondary cum Calculation'!K493</f>
        <v>0</v>
      </c>
      <c r="L219" s="218">
        <f>'Secondary cum Calculation'!L493</f>
        <v>0</v>
      </c>
      <c r="M219" s="218">
        <f>'Secondary cum Calculation'!M493</f>
        <v>0</v>
      </c>
      <c r="N219" s="218">
        <f>'Secondary cum Calculation'!N493</f>
        <v>0</v>
      </c>
      <c r="O219" s="218">
        <f>'Secondary cum Calculation'!O493</f>
        <v>0</v>
      </c>
      <c r="P219" s="218">
        <f>'Secondary cum Calculation'!P493</f>
        <v>0</v>
      </c>
      <c r="Q219" s="218">
        <f>'Secondary cum Calculation'!Q493</f>
        <v>0</v>
      </c>
      <c r="W219" s="211" t="e">
        <f>'Secondary cum Calculation'!W493</f>
        <v>#DIV/0!</v>
      </c>
      <c r="X219" s="211" t="e">
        <f>'Secondary cum Calculation'!X493</f>
        <v>#DIV/0!</v>
      </c>
    </row>
    <row r="220" spans="1:30">
      <c r="A220" s="6" t="str">
        <f>'Secondary cum Calculation'!A495</f>
        <v>Poland</v>
      </c>
      <c r="B220" s="119" t="str">
        <f>'Secondary cum Calculation'!B495</f>
        <v>Tourism Flows</v>
      </c>
      <c r="C220" s="119" t="str">
        <f>'Secondary cum Calculation'!C495</f>
        <v>International Arrivals by Place of Origin</v>
      </c>
      <c r="D220" s="119" t="str">
        <f>'Secondary cum Calculation'!D495</f>
        <v>Middle East</v>
      </c>
      <c r="E220" s="6" t="str">
        <f>'Secondary cum Calculation'!E495</f>
        <v>Qatar</v>
      </c>
      <c r="F220" s="7" t="str">
        <f>'Secondary cum Calculation'!F495</f>
        <v>The number of international arrivals to a country originating from Qatar</v>
      </c>
      <c r="G220" s="7" t="str">
        <f>'Secondary cum Calculation'!G495</f>
        <v>Tourism Demand &amp; Flows Database</v>
      </c>
      <c r="H220" s="7" t="str">
        <f>'Secondary cum Calculation'!H495</f>
        <v>New</v>
      </c>
      <c r="I220" s="7">
        <f>'Secondary cum Calculation'!I495</f>
        <v>0</v>
      </c>
      <c r="J220" s="7" t="str">
        <f>'Secondary cum Calculation'!J495</f>
        <v>Thousand</v>
      </c>
      <c r="K220" s="8">
        <f>'Secondary cum Calculation'!K495</f>
        <v>0</v>
      </c>
      <c r="L220" s="218">
        <f>'Secondary cum Calculation'!L495</f>
        <v>0</v>
      </c>
      <c r="M220" s="218">
        <f>'Secondary cum Calculation'!M495</f>
        <v>0</v>
      </c>
      <c r="N220" s="218">
        <f>'Secondary cum Calculation'!N495</f>
        <v>0</v>
      </c>
      <c r="O220" s="218">
        <f>'Secondary cum Calculation'!O495</f>
        <v>0</v>
      </c>
      <c r="P220" s="218">
        <f>'Secondary cum Calculation'!P495</f>
        <v>0</v>
      </c>
      <c r="Q220" s="218">
        <f>'Secondary cum Calculation'!Q495</f>
        <v>0</v>
      </c>
      <c r="W220" s="211" t="e">
        <f>'Secondary cum Calculation'!W495</f>
        <v>#DIV/0!</v>
      </c>
      <c r="X220" s="211" t="e">
        <f>'Secondary cum Calculation'!X495</f>
        <v>#DIV/0!</v>
      </c>
    </row>
    <row r="221" spans="1:30">
      <c r="A221" s="6" t="str">
        <f>'Secondary cum Calculation'!A497</f>
        <v>Poland</v>
      </c>
      <c r="B221" s="119" t="str">
        <f>'Secondary cum Calculation'!B497</f>
        <v>Tourism Flows</v>
      </c>
      <c r="C221" s="119" t="str">
        <f>'Secondary cum Calculation'!C497</f>
        <v>International Arrivals by Place of Origin</v>
      </c>
      <c r="D221" s="119" t="str">
        <f>'Secondary cum Calculation'!D497</f>
        <v>Middle East</v>
      </c>
      <c r="E221" s="6" t="str">
        <f>'Secondary cum Calculation'!E497</f>
        <v>Saudi Arabia</v>
      </c>
      <c r="F221" s="7" t="str">
        <f>'Secondary cum Calculation'!F497</f>
        <v>The number of international arrivals to a country originating from Saudi Arabia</v>
      </c>
      <c r="G221" s="7" t="str">
        <f>'Secondary cum Calculation'!G497</f>
        <v>Tourism Demand &amp; Flows Database</v>
      </c>
      <c r="H221" s="7" t="str">
        <f>'Secondary cum Calculation'!H497</f>
        <v>New</v>
      </c>
      <c r="I221" s="7">
        <f>'Secondary cum Calculation'!I497</f>
        <v>0</v>
      </c>
      <c r="J221" s="7" t="str">
        <f>'Secondary cum Calculation'!J497</f>
        <v>Thousand</v>
      </c>
      <c r="K221" s="8">
        <f>'Secondary cum Calculation'!K497</f>
        <v>31.510999999999999</v>
      </c>
      <c r="L221" s="218">
        <f>'Secondary cum Calculation'!L497</f>
        <v>0</v>
      </c>
      <c r="M221" s="218">
        <f>'Secondary cum Calculation'!M497</f>
        <v>0</v>
      </c>
      <c r="N221" s="218">
        <f>'Secondary cum Calculation'!N497</f>
        <v>0</v>
      </c>
      <c r="O221" s="218">
        <f>'Secondary cum Calculation'!O497</f>
        <v>0</v>
      </c>
      <c r="P221" s="218">
        <f>'Secondary cum Calculation'!P497</f>
        <v>0</v>
      </c>
      <c r="Q221" s="218">
        <f>'Secondary cum Calculation'!Q497</f>
        <v>0</v>
      </c>
      <c r="W221" s="211" t="e">
        <f>'Secondary cum Calculation'!W497</f>
        <v>#DIV/0!</v>
      </c>
      <c r="X221" s="211" t="e">
        <f>'Secondary cum Calculation'!X497</f>
        <v>#DIV/0!</v>
      </c>
      <c r="Z221" s="12"/>
      <c r="AA221" s="12"/>
      <c r="AB221" s="12"/>
      <c r="AC221" s="12"/>
      <c r="AD221" s="12"/>
    </row>
    <row r="222" spans="1:30">
      <c r="A222" s="6" t="str">
        <f>'Secondary cum Calculation'!A499</f>
        <v>Poland</v>
      </c>
      <c r="B222" s="119" t="str">
        <f>'Secondary cum Calculation'!B499</f>
        <v>Tourism Flows</v>
      </c>
      <c r="C222" s="119" t="str">
        <f>'Secondary cum Calculation'!C499</f>
        <v>International Arrivals by Place of Origin</v>
      </c>
      <c r="D222" s="119" t="str">
        <f>'Secondary cum Calculation'!D499</f>
        <v>Middle East</v>
      </c>
      <c r="E222" s="6" t="str">
        <f>'Secondary cum Calculation'!E499</f>
        <v>Syrian Arab Republic</v>
      </c>
      <c r="F222" s="7" t="str">
        <f>'Secondary cum Calculation'!F499</f>
        <v>The number of international arrivals to a country originating from Syrian Arab Republic</v>
      </c>
      <c r="G222" s="7" t="str">
        <f>'Secondary cum Calculation'!G499</f>
        <v>Tourism Demand &amp; Flows Database</v>
      </c>
      <c r="H222" s="7" t="str">
        <f>'Secondary cum Calculation'!H499</f>
        <v>New</v>
      </c>
      <c r="I222" s="7">
        <f>'Secondary cum Calculation'!I499</f>
        <v>0</v>
      </c>
      <c r="J222" s="7" t="str">
        <f>'Secondary cum Calculation'!J499</f>
        <v>Thousand</v>
      </c>
      <c r="K222" s="8">
        <f>'Secondary cum Calculation'!K499</f>
        <v>0</v>
      </c>
      <c r="L222" s="218">
        <f>'Secondary cum Calculation'!L499</f>
        <v>0</v>
      </c>
      <c r="M222" s="218">
        <f>'Secondary cum Calculation'!M499</f>
        <v>0</v>
      </c>
      <c r="N222" s="218">
        <f>'Secondary cum Calculation'!N499</f>
        <v>0</v>
      </c>
      <c r="O222" s="219">
        <f>'Secondary cum Calculation'!O499</f>
        <v>0</v>
      </c>
      <c r="P222" s="219">
        <f>'Secondary cum Calculation'!P499</f>
        <v>0</v>
      </c>
      <c r="Q222" s="219">
        <f>'Secondary cum Calculation'!Q499</f>
        <v>0</v>
      </c>
      <c r="R222" s="132"/>
      <c r="S222" s="132"/>
      <c r="T222" s="132"/>
      <c r="U222" s="132"/>
      <c r="V222" s="132"/>
      <c r="W222" s="211" t="e">
        <f>'Secondary cum Calculation'!W499</f>
        <v>#DIV/0!</v>
      </c>
      <c r="X222" s="211" t="e">
        <f>'Secondary cum Calculation'!X499</f>
        <v>#DIV/0!</v>
      </c>
    </row>
    <row r="223" spans="1:30">
      <c r="A223" s="6" t="str">
        <f>'Secondary cum Calculation'!A501</f>
        <v>Poland</v>
      </c>
      <c r="B223" s="119" t="str">
        <f>'Secondary cum Calculation'!B501</f>
        <v>Tourism Flows</v>
      </c>
      <c r="C223" s="119" t="str">
        <f>'Secondary cum Calculation'!C501</f>
        <v>International Arrivals by Place of Origin</v>
      </c>
      <c r="D223" s="119" t="str">
        <f>'Secondary cum Calculation'!D501</f>
        <v>Middle East</v>
      </c>
      <c r="E223" s="6" t="str">
        <f>'Secondary cum Calculation'!E501</f>
        <v>United Arab Emirates</v>
      </c>
      <c r="F223" s="7" t="str">
        <f>'Secondary cum Calculation'!F501</f>
        <v>The number of international arrivals to a country originating from United Arab Emirates</v>
      </c>
      <c r="G223" s="7" t="str">
        <f>'Secondary cum Calculation'!G501</f>
        <v>Tourism Demand &amp; Flows Database</v>
      </c>
      <c r="H223" s="7" t="str">
        <f>'Secondary cum Calculation'!H501</f>
        <v>New</v>
      </c>
      <c r="I223" s="7">
        <f>'Secondary cum Calculation'!I501</f>
        <v>0</v>
      </c>
      <c r="J223" s="7" t="str">
        <f>'Secondary cum Calculation'!J501</f>
        <v>Thousand</v>
      </c>
      <c r="K223" s="8">
        <f>'Secondary cum Calculation'!K501</f>
        <v>0</v>
      </c>
      <c r="L223" s="218">
        <f>'Secondary cum Calculation'!L501</f>
        <v>0</v>
      </c>
      <c r="M223" s="218">
        <f>'Secondary cum Calculation'!M501</f>
        <v>0</v>
      </c>
      <c r="N223" s="218">
        <f>'Secondary cum Calculation'!N501</f>
        <v>0</v>
      </c>
      <c r="O223" s="218">
        <f>'Secondary cum Calculation'!O501</f>
        <v>0</v>
      </c>
      <c r="P223" s="218">
        <f>'Secondary cum Calculation'!P501</f>
        <v>0</v>
      </c>
      <c r="Q223" s="218">
        <f>'Secondary cum Calculation'!Q501</f>
        <v>0</v>
      </c>
      <c r="W223" s="211" t="e">
        <f>'Secondary cum Calculation'!W501</f>
        <v>#DIV/0!</v>
      </c>
      <c r="X223" s="211" t="e">
        <f>'Secondary cum Calculation'!X501</f>
        <v>#DIV/0!</v>
      </c>
    </row>
    <row r="224" spans="1:30">
      <c r="A224" s="6" t="str">
        <f>'Secondary cum Calculation'!A503</f>
        <v>Poland</v>
      </c>
      <c r="B224" s="119" t="str">
        <f>'Secondary cum Calculation'!B503</f>
        <v>Tourism Flows</v>
      </c>
      <c r="C224" s="119" t="str">
        <f>'Secondary cum Calculation'!C503</f>
        <v>International Arrivals by Place of Origin</v>
      </c>
      <c r="D224" s="119" t="str">
        <f>'Secondary cum Calculation'!D503</f>
        <v>Middle East</v>
      </c>
      <c r="E224" s="6" t="str">
        <f>'Secondary cum Calculation'!E503</f>
        <v>Yemen</v>
      </c>
      <c r="F224" s="7" t="str">
        <f>'Secondary cum Calculation'!F503</f>
        <v>The number of international arrivals to a country originating from Yemen</v>
      </c>
      <c r="G224" s="7" t="str">
        <f>'Secondary cum Calculation'!G503</f>
        <v>Tourism Demand &amp; Flows Database</v>
      </c>
      <c r="H224" s="7" t="str">
        <f>'Secondary cum Calculation'!H503</f>
        <v>New</v>
      </c>
      <c r="I224" s="7">
        <f>'Secondary cum Calculation'!I503</f>
        <v>0</v>
      </c>
      <c r="J224" s="7" t="str">
        <f>'Secondary cum Calculation'!J503</f>
        <v>Thousand</v>
      </c>
      <c r="K224" s="8">
        <f>'Secondary cum Calculation'!K503</f>
        <v>0</v>
      </c>
      <c r="L224" s="218">
        <f>'Secondary cum Calculation'!L503</f>
        <v>0</v>
      </c>
      <c r="M224" s="218">
        <f>'Secondary cum Calculation'!M503</f>
        <v>0</v>
      </c>
      <c r="N224" s="218">
        <f>'Secondary cum Calculation'!N503</f>
        <v>0</v>
      </c>
      <c r="O224" s="219">
        <f>'Secondary cum Calculation'!O503</f>
        <v>0</v>
      </c>
      <c r="P224" s="219">
        <f>'Secondary cum Calculation'!P503</f>
        <v>0</v>
      </c>
      <c r="Q224" s="219">
        <f>'Secondary cum Calculation'!Q503</f>
        <v>0</v>
      </c>
      <c r="R224" s="132"/>
      <c r="S224" s="132"/>
      <c r="T224" s="132"/>
      <c r="U224" s="132"/>
      <c r="V224" s="132"/>
      <c r="W224" s="211" t="e">
        <f>'Secondary cum Calculation'!W503</f>
        <v>#DIV/0!</v>
      </c>
      <c r="X224" s="211" t="e">
        <f>'Secondary cum Calculation'!X503</f>
        <v>#DIV/0!</v>
      </c>
    </row>
    <row r="225" spans="1:31">
      <c r="A225" s="6" t="str">
        <f>'Secondary cum Calculation'!A505</f>
        <v>Poland</v>
      </c>
      <c r="B225" s="119" t="str">
        <f>'Secondary cum Calculation'!B505</f>
        <v>Tourism Flows</v>
      </c>
      <c r="C225" s="119" t="str">
        <f>'Secondary cum Calculation'!C505</f>
        <v>International Arrivals by Place of Origin</v>
      </c>
      <c r="D225" s="119" t="str">
        <f>'Secondary cum Calculation'!D505</f>
        <v>Middle East</v>
      </c>
      <c r="E225" s="6" t="str">
        <f>'Secondary cum Calculation'!E505</f>
        <v>Other Middle Eastern Countries</v>
      </c>
      <c r="F225" s="41" t="str">
        <f>'Secondary cum Calculation'!F505</f>
        <v>To be defined according to the gaps in the country data above</v>
      </c>
      <c r="G225" s="41">
        <f>'Secondary cum Calculation'!G505</f>
        <v>0</v>
      </c>
      <c r="H225" s="41">
        <f>'Secondary cum Calculation'!H505</f>
        <v>0</v>
      </c>
      <c r="I225" s="41">
        <f>'Secondary cum Calculation'!I505</f>
        <v>0</v>
      </c>
      <c r="J225" s="7" t="str">
        <f>'Secondary cum Calculation'!J505</f>
        <v>Thousand</v>
      </c>
      <c r="K225" s="138">
        <f>'Secondary cum Calculation'!K505</f>
        <v>0</v>
      </c>
      <c r="L225" s="365">
        <f>'Secondary cum Calculation'!L505</f>
        <v>134.62580622548694</v>
      </c>
      <c r="M225" s="365">
        <f>'Secondary cum Calculation'!M505</f>
        <v>113.00152602826763</v>
      </c>
      <c r="N225" s="365">
        <f>'Secondary cum Calculation'!N505</f>
        <v>103.3937052330171</v>
      </c>
      <c r="O225" s="365">
        <f>'Secondary cum Calculation'!O505</f>
        <v>119.90965126419432</v>
      </c>
      <c r="P225" s="365">
        <f>'Secondary cum Calculation'!P505</f>
        <v>119.40595989696668</v>
      </c>
      <c r="Q225" s="365">
        <f>'Secondary cum Calculation'!Q505</f>
        <v>141.49119239388128</v>
      </c>
      <c r="R225" s="132"/>
      <c r="S225" s="132"/>
      <c r="T225" s="132"/>
      <c r="U225" s="132"/>
      <c r="V225" s="132"/>
      <c r="W225" s="211">
        <f>'Secondary cum Calculation'!W505</f>
        <v>5.7818783702454635E-2</v>
      </c>
      <c r="X225" s="211">
        <f>'Secondary cum Calculation'!X505</f>
        <v>-1</v>
      </c>
      <c r="Y225" s="371" t="s">
        <v>1345</v>
      </c>
      <c r="Z225" s="41"/>
      <c r="AA225" s="41"/>
      <c r="AB225" s="41"/>
      <c r="AC225" s="41"/>
      <c r="AD225" s="7">
        <v>2</v>
      </c>
      <c r="AE225" s="41"/>
    </row>
    <row r="226" spans="1:31">
      <c r="A226" s="213" t="str">
        <f>'Secondary cum Calculation'!A507</f>
        <v>Poland</v>
      </c>
      <c r="B226" s="214" t="str">
        <f>'Secondary cum Calculation'!B507</f>
        <v>Tourism Flows</v>
      </c>
      <c r="C226" s="214" t="str">
        <f>'Secondary cum Calculation'!C507</f>
        <v>International Arrivals by Place of Origin</v>
      </c>
      <c r="D226" s="213" t="str">
        <f>'Secondary cum Calculation'!D507</f>
        <v>North America</v>
      </c>
      <c r="E226" s="215"/>
      <c r="F226" s="215" t="str">
        <f>'Secondary cum Calculation'!F507</f>
        <v>The number of international arrivals to a country originating from North America</v>
      </c>
      <c r="G226" s="215" t="str">
        <f>'Secondary cum Calculation'!G507</f>
        <v>Tourism Demand &amp; Flows Database</v>
      </c>
      <c r="H226" s="215" t="str">
        <f>'Secondary cum Calculation'!H507</f>
        <v>New</v>
      </c>
      <c r="I226" s="215">
        <f>'Secondary cum Calculation'!I507</f>
        <v>0</v>
      </c>
      <c r="J226" s="215" t="str">
        <f>'Secondary cum Calculation'!J507</f>
        <v>Thousand</v>
      </c>
      <c r="K226" s="216">
        <f>'Secondary cum Calculation'!K507</f>
        <v>15992</v>
      </c>
      <c r="L226" s="364">
        <f>'Secondary cum Calculation'!L507</f>
        <v>346.2128642351725</v>
      </c>
      <c r="M226" s="364">
        <f>'Secondary cum Calculation'!M507</f>
        <v>299.37164272563712</v>
      </c>
      <c r="N226" s="364">
        <f>'Secondary cum Calculation'!N507</f>
        <v>262.23558628407193</v>
      </c>
      <c r="O226" s="364">
        <f>'Secondary cum Calculation'!O507</f>
        <v>296.45312197728828</v>
      </c>
      <c r="P226" s="364">
        <f>'Secondary cum Calculation'!P507</f>
        <v>304.31440017805778</v>
      </c>
      <c r="Q226" s="364">
        <f>Forecasting!Q533</f>
        <v>339.37671561471467</v>
      </c>
      <c r="R226" s="217">
        <f>Forecasting!R533</f>
        <v>352.75667966869656</v>
      </c>
      <c r="S226" s="217">
        <f>Forecasting!S533</f>
        <v>368.37296657187579</v>
      </c>
      <c r="T226" s="217">
        <f>Forecasting!T533</f>
        <v>386.43752938715971</v>
      </c>
      <c r="U226" s="217">
        <f>Forecasting!U533</f>
        <v>401.25995750132438</v>
      </c>
      <c r="V226" s="217">
        <f>Forecasting!V533</f>
        <v>417.31188669197456</v>
      </c>
      <c r="W226" s="246">
        <f>'Secondary cum Calculation'!W507</f>
        <v>3.1853034014171611E-2</v>
      </c>
      <c r="X226" s="246">
        <f>'Secondary cum Calculation'!X507</f>
        <v>4.221121592433108E-2</v>
      </c>
      <c r="Y226" s="371" t="s">
        <v>1345</v>
      </c>
      <c r="AD226" s="7">
        <v>2</v>
      </c>
    </row>
    <row r="227" spans="1:31">
      <c r="A227" s="6" t="str">
        <f>'Secondary cum Calculation'!A509</f>
        <v>Poland</v>
      </c>
      <c r="B227" s="119" t="str">
        <f>'Secondary cum Calculation'!B509</f>
        <v>Tourism Flows</v>
      </c>
      <c r="C227" s="119" t="str">
        <f>'Secondary cum Calculation'!C509</f>
        <v>International Arrivals by Place of Origin</v>
      </c>
      <c r="D227" s="119" t="str">
        <f>'Secondary cum Calculation'!D509</f>
        <v>North America</v>
      </c>
      <c r="E227" s="6" t="str">
        <f>'Secondary cum Calculation'!E509</f>
        <v>Canada</v>
      </c>
      <c r="F227" s="7" t="str">
        <f>'Secondary cum Calculation'!F509</f>
        <v>The number of international arrivals to a country originating from Canada</v>
      </c>
      <c r="G227" s="7" t="str">
        <f>'Secondary cum Calculation'!G509</f>
        <v>Tourism Demand &amp; Flows Database</v>
      </c>
      <c r="H227" s="7" t="str">
        <f>'Secondary cum Calculation'!H509</f>
        <v>New</v>
      </c>
      <c r="I227" s="7">
        <f>'Secondary cum Calculation'!I509</f>
        <v>0</v>
      </c>
      <c r="J227" s="7" t="str">
        <f>'Secondary cum Calculation'!J509</f>
        <v>Thousand</v>
      </c>
      <c r="K227" s="8">
        <f>'Secondary cum Calculation'!K509</f>
        <v>15992</v>
      </c>
      <c r="L227" s="365">
        <f>'Secondary cum Calculation'!L509</f>
        <v>45.896268227840721</v>
      </c>
      <c r="M227" s="365">
        <f>'Secondary cum Calculation'!M509</f>
        <v>42.763728471674511</v>
      </c>
      <c r="N227" s="365">
        <f>'Secondary cum Calculation'!N509</f>
        <v>35.52062726637439</v>
      </c>
      <c r="O227" s="365">
        <f>'Secondary cum Calculation'!O509</f>
        <v>43.126700360656933</v>
      </c>
      <c r="P227" s="365">
        <f>'Secondary cum Calculation'!P509</f>
        <v>42.033918533133075</v>
      </c>
      <c r="Q227" s="365">
        <f>'Secondary cum Calculation'!Q509</f>
        <v>45.14764701687939</v>
      </c>
      <c r="W227" s="211">
        <f>'Secondary cum Calculation'!W509</f>
        <v>1.3654352193729125E-2</v>
      </c>
      <c r="X227" s="211">
        <f>'Secondary cum Calculation'!X509</f>
        <v>-1</v>
      </c>
      <c r="Y227" s="371" t="s">
        <v>1345</v>
      </c>
      <c r="Z227" s="12"/>
      <c r="AA227" s="12"/>
      <c r="AB227" s="12"/>
      <c r="AC227" s="12"/>
      <c r="AD227" s="7">
        <v>2</v>
      </c>
    </row>
    <row r="228" spans="1:31">
      <c r="A228" s="6" t="str">
        <f>'Secondary cum Calculation'!A511</f>
        <v>Poland</v>
      </c>
      <c r="B228" s="119" t="str">
        <f>'Secondary cum Calculation'!B511</f>
        <v>Tourism Flows</v>
      </c>
      <c r="C228" s="119" t="str">
        <f>'Secondary cum Calculation'!C511</f>
        <v>International Arrivals by Place of Origin</v>
      </c>
      <c r="D228" s="119" t="str">
        <f>'Secondary cum Calculation'!D511</f>
        <v>North America</v>
      </c>
      <c r="E228" s="6" t="str">
        <f>'Secondary cum Calculation'!E511</f>
        <v>Mexico</v>
      </c>
      <c r="F228" s="7" t="str">
        <f>'Secondary cum Calculation'!F511</f>
        <v>The number of international arrivals to a country originating from Mexico</v>
      </c>
      <c r="G228" s="7" t="str">
        <f>'Secondary cum Calculation'!G511</f>
        <v>Tourism Demand &amp; Flows Database</v>
      </c>
      <c r="H228" s="7" t="str">
        <f>'Secondary cum Calculation'!H511</f>
        <v>New</v>
      </c>
      <c r="I228" s="7">
        <f>'Secondary cum Calculation'!I511</f>
        <v>0</v>
      </c>
      <c r="J228" s="7" t="str">
        <f>'Secondary cum Calculation'!J511</f>
        <v>Thousand</v>
      </c>
      <c r="K228" s="8">
        <f>'Secondary cum Calculation'!K511</f>
        <v>13317</v>
      </c>
      <c r="L228" s="365">
        <f>'Secondary cum Calculation'!L511</f>
        <v>16.382974071338502</v>
      </c>
      <c r="M228" s="365">
        <f>'Secondary cum Calculation'!M511</f>
        <v>14.000912197431335</v>
      </c>
      <c r="N228" s="365">
        <f>'Secondary cum Calculation'!N511</f>
        <v>11.71495901769754</v>
      </c>
      <c r="O228" s="365">
        <f>'Secondary cum Calculation'!O511</f>
        <v>13.326421616631322</v>
      </c>
      <c r="P228" s="365">
        <f>'Secondary cum Calculation'!P511</f>
        <v>12.28048164492469</v>
      </c>
      <c r="Q228" s="365">
        <f>'Secondary cum Calculation'!Q511</f>
        <v>14.229068597835298</v>
      </c>
      <c r="W228" s="211">
        <f>'Secondary cum Calculation'!W511</f>
        <v>4.0492943494856437E-3</v>
      </c>
      <c r="X228" s="211">
        <f>'Secondary cum Calculation'!X511</f>
        <v>-1</v>
      </c>
      <c r="Y228" s="371" t="s">
        <v>1345</v>
      </c>
      <c r="Z228" s="12"/>
      <c r="AA228" s="12"/>
      <c r="AB228" s="12"/>
      <c r="AC228" s="12"/>
      <c r="AD228" s="7">
        <v>2</v>
      </c>
    </row>
    <row r="229" spans="1:31">
      <c r="A229" s="6" t="str">
        <f>'Secondary cum Calculation'!A513</f>
        <v>Poland</v>
      </c>
      <c r="B229" s="119" t="str">
        <f>'Secondary cum Calculation'!B513</f>
        <v>Tourism Flows</v>
      </c>
      <c r="C229" s="119" t="str">
        <f>'Secondary cum Calculation'!C513</f>
        <v>International Arrivals by Place of Origin</v>
      </c>
      <c r="D229" s="119" t="str">
        <f>'Secondary cum Calculation'!D513</f>
        <v>North America</v>
      </c>
      <c r="E229" s="6" t="str">
        <f>'Secondary cum Calculation'!E513</f>
        <v>United States of America</v>
      </c>
      <c r="F229" s="7" t="str">
        <f>'Secondary cum Calculation'!F513</f>
        <v>The number of international arrivals to a country originating from South &amp; Central America</v>
      </c>
      <c r="G229" s="7" t="str">
        <f>'Secondary cum Calculation'!G513</f>
        <v>Tourism Demand &amp; Flows Database</v>
      </c>
      <c r="H229" s="7" t="str">
        <f>'Secondary cum Calculation'!H513</f>
        <v>New</v>
      </c>
      <c r="I229" s="7">
        <f>'Secondary cum Calculation'!I513</f>
        <v>0</v>
      </c>
      <c r="J229" s="7" t="str">
        <f>'Secondary cum Calculation'!J513</f>
        <v>Thousand</v>
      </c>
      <c r="K229" s="8">
        <f>'Secondary cum Calculation'!K513</f>
        <v>0</v>
      </c>
      <c r="L229" s="251">
        <f>'Secondary cum Calculation'!L513</f>
        <v>283.9336219359933</v>
      </c>
      <c r="M229" s="251">
        <f>'Secondary cum Calculation'!M513</f>
        <v>242.60700205653126</v>
      </c>
      <c r="N229" s="250">
        <f>'Secondary cum Calculation'!N513</f>
        <v>215</v>
      </c>
      <c r="O229" s="250">
        <f>'Secondary cum Calculation'!O513</f>
        <v>240</v>
      </c>
      <c r="P229" s="250">
        <f>'Secondary cum Calculation'!P513</f>
        <v>250</v>
      </c>
      <c r="Q229" s="250">
        <f>'Secondary cum Calculation'!Q513</f>
        <v>280</v>
      </c>
      <c r="R229" s="132"/>
      <c r="S229" s="132"/>
      <c r="T229" s="132"/>
      <c r="U229" s="132"/>
      <c r="V229" s="132"/>
      <c r="W229" s="211">
        <f>'Secondary cum Calculation'!W513</f>
        <v>3.6486560036040672E-2</v>
      </c>
      <c r="X229" s="211">
        <f>'Secondary cum Calculation'!X513</f>
        <v>-1</v>
      </c>
      <c r="Y229" s="371" t="s">
        <v>1345</v>
      </c>
      <c r="AD229" s="7">
        <v>4</v>
      </c>
    </row>
    <row r="230" spans="1:31">
      <c r="A230" s="213" t="str">
        <f>'Secondary cum Calculation'!A515</f>
        <v>Poland</v>
      </c>
      <c r="B230" s="214" t="str">
        <f>'Secondary cum Calculation'!B515</f>
        <v>Tourism Flows</v>
      </c>
      <c r="C230" s="214" t="str">
        <f>'Secondary cum Calculation'!C515</f>
        <v>International Arrivals by Place of Origin</v>
      </c>
      <c r="D230" s="213" t="str">
        <f>'Secondary cum Calculation'!D515</f>
        <v>South &amp; Central America</v>
      </c>
      <c r="E230" s="215"/>
      <c r="F230" s="215" t="str">
        <f>'Secondary cum Calculation'!F515</f>
        <v xml:space="preserve">The number of international arrivals to a country originating from </v>
      </c>
      <c r="G230" s="215" t="str">
        <f>'Secondary cum Calculation'!G515</f>
        <v>Tourism Demand &amp; Flows Database</v>
      </c>
      <c r="H230" s="215" t="str">
        <f>'Secondary cum Calculation'!H515</f>
        <v>New</v>
      </c>
      <c r="I230" s="215">
        <f>'Secondary cum Calculation'!I515</f>
        <v>0</v>
      </c>
      <c r="J230" s="215" t="str">
        <f>'Secondary cum Calculation'!J515</f>
        <v>Thousand</v>
      </c>
      <c r="K230" s="216">
        <f>'Secondary cum Calculation'!K515</f>
        <v>2266.15</v>
      </c>
      <c r="L230" s="367">
        <f>'Secondary cum Calculation'!L515</f>
        <v>124.7215478821098</v>
      </c>
      <c r="M230" s="367">
        <f>'Secondary cum Calculation'!M515</f>
        <v>105.61380313813152</v>
      </c>
      <c r="N230" s="367">
        <f>'Secondary cum Calculation'!N515</f>
        <v>89.982485120907882</v>
      </c>
      <c r="O230" s="367">
        <f>'Secondary cum Calculation'!O515</f>
        <v>101.64829680960473</v>
      </c>
      <c r="P230" s="367">
        <f>'Secondary cum Calculation'!P515</f>
        <v>92.827273713447013</v>
      </c>
      <c r="Q230" s="367">
        <f>Forecasting!Q551</f>
        <v>110.3944584958241</v>
      </c>
      <c r="R230" s="217">
        <f>Forecasting!R551</f>
        <v>115.36232275436232</v>
      </c>
      <c r="S230" s="217">
        <f>Forecasting!S551</f>
        <v>118.28013619075453</v>
      </c>
      <c r="T230" s="217">
        <f>Forecasting!T551</f>
        <v>120.27753185432343</v>
      </c>
      <c r="U230" s="217">
        <f>Forecasting!U551</f>
        <v>123.76897001992225</v>
      </c>
      <c r="V230" s="217">
        <f>Forecasting!V551</f>
        <v>126.42703074011808</v>
      </c>
      <c r="W230" s="246">
        <f>'Secondary cum Calculation'!W515</f>
        <v>1.1129189632818504E-2</v>
      </c>
      <c r="X230" s="246">
        <f>'Secondary cum Calculation'!X515</f>
        <v>2.7492198201930051E-2</v>
      </c>
      <c r="Y230" s="371" t="s">
        <v>1345</v>
      </c>
      <c r="AD230" s="7">
        <v>2</v>
      </c>
    </row>
    <row r="231" spans="1:31">
      <c r="A231" s="6" t="str">
        <f>'Secondary cum Calculation'!A517</f>
        <v>Poland</v>
      </c>
      <c r="B231" s="119" t="str">
        <f>'Secondary cum Calculation'!B517</f>
        <v>Tourism Flows</v>
      </c>
      <c r="C231" s="119" t="str">
        <f>'Secondary cum Calculation'!C517</f>
        <v>International Arrivals by Place of Origin</v>
      </c>
      <c r="D231" s="119" t="str">
        <f>'Secondary cum Calculation'!D517</f>
        <v>South &amp; Central America</v>
      </c>
      <c r="E231" s="6" t="str">
        <f>'Secondary cum Calculation'!E517</f>
        <v>Argentina</v>
      </c>
      <c r="F231" s="7" t="str">
        <f>'Secondary cum Calculation'!F517</f>
        <v>The number of international arrivals to a country originating from Argentina</v>
      </c>
      <c r="G231" s="7" t="str">
        <f>'Secondary cum Calculation'!G517</f>
        <v>Tourism Demand &amp; Flows Database</v>
      </c>
      <c r="H231" s="7" t="str">
        <f>'Secondary cum Calculation'!H517</f>
        <v>New</v>
      </c>
      <c r="I231" s="7">
        <f>'Secondary cum Calculation'!I517</f>
        <v>0</v>
      </c>
      <c r="J231" s="7" t="str">
        <f>'Secondary cum Calculation'!J517</f>
        <v>Thousand</v>
      </c>
      <c r="K231" s="8">
        <f>'Secondary cum Calculation'!K517</f>
        <v>212.096</v>
      </c>
      <c r="L231" s="218">
        <f>'Secondary cum Calculation'!L517</f>
        <v>0</v>
      </c>
      <c r="M231" s="218">
        <f>'Secondary cum Calculation'!M517</f>
        <v>0</v>
      </c>
      <c r="N231" s="218">
        <f>'Secondary cum Calculation'!N517</f>
        <v>0</v>
      </c>
      <c r="O231" s="218">
        <f>'Secondary cum Calculation'!O517</f>
        <v>0</v>
      </c>
      <c r="P231" s="218">
        <f>'Secondary cum Calculation'!P517</f>
        <v>0</v>
      </c>
      <c r="Q231" s="218">
        <f>'Secondary cum Calculation'!Q517</f>
        <v>0</v>
      </c>
      <c r="W231" s="211" t="e">
        <f>'Secondary cum Calculation'!W517</f>
        <v>#DIV/0!</v>
      </c>
      <c r="X231" s="211" t="e">
        <f>'Secondary cum Calculation'!X517</f>
        <v>#DIV/0!</v>
      </c>
      <c r="Y231" s="371"/>
      <c r="Z231" s="12"/>
      <c r="AA231" s="12"/>
      <c r="AB231" s="12"/>
      <c r="AC231" s="12"/>
      <c r="AD231" s="12"/>
    </row>
    <row r="232" spans="1:31">
      <c r="A232" s="6" t="str">
        <f>'Secondary cum Calculation'!A519</f>
        <v>Poland</v>
      </c>
      <c r="B232" s="119" t="str">
        <f>'Secondary cum Calculation'!B519</f>
        <v>Tourism Flows</v>
      </c>
      <c r="C232" s="119" t="str">
        <f>'Secondary cum Calculation'!C519</f>
        <v>International Arrivals by Place of Origin</v>
      </c>
      <c r="D232" s="119" t="str">
        <f>'Secondary cum Calculation'!D519</f>
        <v>South &amp; Central America</v>
      </c>
      <c r="E232" s="6" t="str">
        <f>'Secondary cum Calculation'!E519</f>
        <v>Aruba</v>
      </c>
      <c r="F232" s="7" t="str">
        <f>'Secondary cum Calculation'!F519</f>
        <v>The number of international arrivals to a country originating from Aruba</v>
      </c>
      <c r="G232" s="7" t="str">
        <f>'Secondary cum Calculation'!G519</f>
        <v>Tourism Demand &amp; Flows Database</v>
      </c>
      <c r="H232" s="7" t="str">
        <f>'Secondary cum Calculation'!H519</f>
        <v>New</v>
      </c>
      <c r="I232" s="7">
        <f>'Secondary cum Calculation'!I519</f>
        <v>0</v>
      </c>
      <c r="J232" s="7" t="str">
        <f>'Secondary cum Calculation'!J519</f>
        <v>Thousand</v>
      </c>
      <c r="K232" s="8">
        <f>'Secondary cum Calculation'!K519</f>
        <v>0</v>
      </c>
      <c r="L232" s="218">
        <f>'Secondary cum Calculation'!L519</f>
        <v>0</v>
      </c>
      <c r="M232" s="218">
        <f>'Secondary cum Calculation'!M519</f>
        <v>0</v>
      </c>
      <c r="N232" s="218">
        <f>'Secondary cum Calculation'!N519</f>
        <v>0</v>
      </c>
      <c r="O232" s="218">
        <f>'Secondary cum Calculation'!O519</f>
        <v>0</v>
      </c>
      <c r="P232" s="218">
        <f>'Secondary cum Calculation'!P519</f>
        <v>0</v>
      </c>
      <c r="Q232" s="218">
        <f>'Secondary cum Calculation'!Q519</f>
        <v>0</v>
      </c>
      <c r="R232" s="132"/>
      <c r="S232" s="132"/>
      <c r="T232" s="132"/>
      <c r="U232" s="132"/>
      <c r="V232" s="132"/>
      <c r="W232" s="211" t="e">
        <f>'Secondary cum Calculation'!W519</f>
        <v>#DIV/0!</v>
      </c>
      <c r="X232" s="211" t="e">
        <f>'Secondary cum Calculation'!X519</f>
        <v>#DIV/0!</v>
      </c>
    </row>
    <row r="233" spans="1:31">
      <c r="A233" s="6" t="str">
        <f>'Secondary cum Calculation'!A521</f>
        <v>Poland</v>
      </c>
      <c r="B233" s="119" t="str">
        <f>'Secondary cum Calculation'!B521</f>
        <v>Tourism Flows</v>
      </c>
      <c r="C233" s="119" t="str">
        <f>'Secondary cum Calculation'!C521</f>
        <v>International Arrivals by Place of Origin</v>
      </c>
      <c r="D233" s="119" t="str">
        <f>'Secondary cum Calculation'!D521</f>
        <v>South &amp; Central America</v>
      </c>
      <c r="E233" s="6" t="str">
        <f>'Secondary cum Calculation'!E521</f>
        <v>Bahamas</v>
      </c>
      <c r="F233" s="7" t="str">
        <f>'Secondary cum Calculation'!F521</f>
        <v>The number of international arrivals to a country originating from Bahamas</v>
      </c>
      <c r="G233" s="7" t="str">
        <f>'Secondary cum Calculation'!G521</f>
        <v>Tourism Demand &amp; Flows Database</v>
      </c>
      <c r="H233" s="7" t="str">
        <f>'Secondary cum Calculation'!H521</f>
        <v>New</v>
      </c>
      <c r="I233" s="7">
        <f>'Secondary cum Calculation'!I521</f>
        <v>0</v>
      </c>
      <c r="J233" s="7" t="str">
        <f>'Secondary cum Calculation'!J521</f>
        <v>Thousand</v>
      </c>
      <c r="K233" s="8">
        <f>'Secondary cum Calculation'!K521</f>
        <v>243.3</v>
      </c>
      <c r="L233" s="218">
        <f>'Secondary cum Calculation'!L521</f>
        <v>0</v>
      </c>
      <c r="M233" s="218">
        <f>'Secondary cum Calculation'!M521</f>
        <v>0</v>
      </c>
      <c r="N233" s="218">
        <f>'Secondary cum Calculation'!N521</f>
        <v>0</v>
      </c>
      <c r="O233" s="218">
        <f>'Secondary cum Calculation'!O521</f>
        <v>0</v>
      </c>
      <c r="P233" s="218">
        <f>'Secondary cum Calculation'!P521</f>
        <v>0</v>
      </c>
      <c r="Q233" s="218">
        <f>'Secondary cum Calculation'!Q521</f>
        <v>0</v>
      </c>
      <c r="W233" s="211" t="e">
        <f>'Secondary cum Calculation'!W521</f>
        <v>#DIV/0!</v>
      </c>
      <c r="X233" s="211" t="e">
        <f>'Secondary cum Calculation'!X521</f>
        <v>#DIV/0!</v>
      </c>
      <c r="Z233" s="12"/>
      <c r="AA233" s="12"/>
      <c r="AB233" s="12"/>
      <c r="AC233" s="12"/>
      <c r="AD233" s="12"/>
    </row>
    <row r="234" spans="1:31">
      <c r="A234" s="6" t="str">
        <f>'Secondary cum Calculation'!A523</f>
        <v>Poland</v>
      </c>
      <c r="B234" s="119" t="str">
        <f>'Secondary cum Calculation'!B523</f>
        <v>Tourism Flows</v>
      </c>
      <c r="C234" s="119" t="str">
        <f>'Secondary cum Calculation'!C523</f>
        <v>International Arrivals by Place of Origin</v>
      </c>
      <c r="D234" s="119" t="str">
        <f>'Secondary cum Calculation'!D523</f>
        <v>South &amp; Central America</v>
      </c>
      <c r="E234" s="6" t="str">
        <f>'Secondary cum Calculation'!E523</f>
        <v>Barbados</v>
      </c>
      <c r="F234" s="7" t="str">
        <f>'Secondary cum Calculation'!F523</f>
        <v>The number of international arrivals to a country originating from Barbados</v>
      </c>
      <c r="G234" s="7" t="str">
        <f>'Secondary cum Calculation'!G523</f>
        <v>Tourism Demand &amp; Flows Database</v>
      </c>
      <c r="H234" s="7" t="str">
        <f>'Secondary cum Calculation'!H523</f>
        <v>New</v>
      </c>
      <c r="I234" s="7">
        <f>'Secondary cum Calculation'!I523</f>
        <v>0</v>
      </c>
      <c r="J234" s="7" t="str">
        <f>'Secondary cum Calculation'!J523</f>
        <v>Thousand</v>
      </c>
      <c r="K234" s="8">
        <f>'Secondary cum Calculation'!K523</f>
        <v>0</v>
      </c>
      <c r="L234" s="218">
        <f>'Secondary cum Calculation'!L523</f>
        <v>0</v>
      </c>
      <c r="M234" s="218">
        <f>'Secondary cum Calculation'!M523</f>
        <v>0</v>
      </c>
      <c r="N234" s="218">
        <f>'Secondary cum Calculation'!N523</f>
        <v>0</v>
      </c>
      <c r="O234" s="218">
        <f>'Secondary cum Calculation'!O523</f>
        <v>0</v>
      </c>
      <c r="P234" s="218">
        <f>'Secondary cum Calculation'!P523</f>
        <v>0</v>
      </c>
      <c r="Q234" s="218">
        <f>'Secondary cum Calculation'!Q523</f>
        <v>0</v>
      </c>
      <c r="R234" s="132"/>
      <c r="S234" s="132"/>
      <c r="T234" s="132"/>
      <c r="U234" s="132"/>
      <c r="V234" s="132"/>
      <c r="W234" s="211" t="e">
        <f>'Secondary cum Calculation'!W523</f>
        <v>#DIV/0!</v>
      </c>
      <c r="X234" s="211" t="e">
        <f>'Secondary cum Calculation'!X523</f>
        <v>#DIV/0!</v>
      </c>
    </row>
    <row r="235" spans="1:31">
      <c r="A235" s="6" t="str">
        <f>'Secondary cum Calculation'!A525</f>
        <v>Poland</v>
      </c>
      <c r="B235" s="119" t="str">
        <f>'Secondary cum Calculation'!B525</f>
        <v>Tourism Flows</v>
      </c>
      <c r="C235" s="119" t="str">
        <f>'Secondary cum Calculation'!C525</f>
        <v>International Arrivals by Place of Origin</v>
      </c>
      <c r="D235" s="119" t="str">
        <f>'Secondary cum Calculation'!D525</f>
        <v>South &amp; Central America</v>
      </c>
      <c r="E235" s="6" t="str">
        <f>'Secondary cum Calculation'!E525</f>
        <v>Belize</v>
      </c>
      <c r="F235" s="7" t="str">
        <f>'Secondary cum Calculation'!F525</f>
        <v>The number of international arrivals to a country originating from Belize</v>
      </c>
      <c r="G235" s="7" t="str">
        <f>'Secondary cum Calculation'!G525</f>
        <v>Tourism Demand &amp; Flows Database</v>
      </c>
      <c r="H235" s="7" t="str">
        <f>'Secondary cum Calculation'!H525</f>
        <v>New</v>
      </c>
      <c r="I235" s="7">
        <f>'Secondary cum Calculation'!I525</f>
        <v>0</v>
      </c>
      <c r="J235" s="7" t="str">
        <f>'Secondary cum Calculation'!J525</f>
        <v>Thousand</v>
      </c>
      <c r="K235" s="8">
        <f>'Secondary cum Calculation'!K525</f>
        <v>0</v>
      </c>
      <c r="L235" s="218">
        <f>'Secondary cum Calculation'!L525</f>
        <v>0</v>
      </c>
      <c r="M235" s="218">
        <f>'Secondary cum Calculation'!M525</f>
        <v>0</v>
      </c>
      <c r="N235" s="218">
        <f>'Secondary cum Calculation'!N525</f>
        <v>0</v>
      </c>
      <c r="O235" s="218">
        <f>'Secondary cum Calculation'!O525</f>
        <v>0</v>
      </c>
      <c r="P235" s="218">
        <f>'Secondary cum Calculation'!P525</f>
        <v>0</v>
      </c>
      <c r="Q235" s="218">
        <f>'Secondary cum Calculation'!Q525</f>
        <v>0</v>
      </c>
      <c r="W235" s="211" t="e">
        <f>'Secondary cum Calculation'!W525</f>
        <v>#DIV/0!</v>
      </c>
      <c r="X235" s="211" t="e">
        <f>'Secondary cum Calculation'!X525</f>
        <v>#DIV/0!</v>
      </c>
    </row>
    <row r="236" spans="1:31">
      <c r="A236" s="6" t="str">
        <f>'Secondary cum Calculation'!A527</f>
        <v>Poland</v>
      </c>
      <c r="B236" s="119" t="str">
        <f>'Secondary cum Calculation'!B527</f>
        <v>Tourism Flows</v>
      </c>
      <c r="C236" s="119" t="str">
        <f>'Secondary cum Calculation'!C527</f>
        <v>International Arrivals by Place of Origin</v>
      </c>
      <c r="D236" s="119" t="str">
        <f>'Secondary cum Calculation'!D527</f>
        <v>South &amp; Central America</v>
      </c>
      <c r="E236" s="6" t="str">
        <f>'Secondary cum Calculation'!E527</f>
        <v>Bolivia (Plurinational State of)</v>
      </c>
      <c r="F236" s="7" t="str">
        <f>'Secondary cum Calculation'!F527</f>
        <v>The number of international arrivals to a country originating from Bolivia (Plurinational State of)</v>
      </c>
      <c r="G236" s="7" t="str">
        <f>'Secondary cum Calculation'!G527</f>
        <v>Tourism Demand &amp; Flows Database</v>
      </c>
      <c r="H236" s="7" t="str">
        <f>'Secondary cum Calculation'!H527</f>
        <v>New</v>
      </c>
      <c r="I236" s="7">
        <f>'Secondary cum Calculation'!I527</f>
        <v>0</v>
      </c>
      <c r="J236" s="7" t="str">
        <f>'Secondary cum Calculation'!J527</f>
        <v>Thousand</v>
      </c>
      <c r="K236" s="8">
        <f>'Secondary cum Calculation'!K527</f>
        <v>0</v>
      </c>
      <c r="L236" s="218">
        <f>'Secondary cum Calculation'!L527</f>
        <v>0</v>
      </c>
      <c r="M236" s="218">
        <f>'Secondary cum Calculation'!M527</f>
        <v>0</v>
      </c>
      <c r="N236" s="218">
        <f>'Secondary cum Calculation'!N527</f>
        <v>0</v>
      </c>
      <c r="O236" s="218">
        <f>'Secondary cum Calculation'!O527</f>
        <v>0</v>
      </c>
      <c r="P236" s="218">
        <f>'Secondary cum Calculation'!P527</f>
        <v>0</v>
      </c>
      <c r="Q236" s="218">
        <f>'Secondary cum Calculation'!Q527</f>
        <v>0</v>
      </c>
      <c r="R236" s="132"/>
      <c r="S236" s="132"/>
      <c r="T236" s="132"/>
      <c r="U236" s="132"/>
      <c r="V236" s="132"/>
      <c r="W236" s="211" t="e">
        <f>'Secondary cum Calculation'!W527</f>
        <v>#DIV/0!</v>
      </c>
      <c r="X236" s="211" t="e">
        <f>'Secondary cum Calculation'!X527</f>
        <v>#DIV/0!</v>
      </c>
    </row>
    <row r="237" spans="1:31">
      <c r="A237" s="6" t="str">
        <f>'Secondary cum Calculation'!A529</f>
        <v>Poland</v>
      </c>
      <c r="B237" s="119" t="str">
        <f>'Secondary cum Calculation'!B529</f>
        <v>Tourism Flows</v>
      </c>
      <c r="C237" s="119" t="str">
        <f>'Secondary cum Calculation'!C529</f>
        <v>International Arrivals by Place of Origin</v>
      </c>
      <c r="D237" s="119" t="str">
        <f>'Secondary cum Calculation'!D529</f>
        <v>South &amp; Central America</v>
      </c>
      <c r="E237" s="6" t="str">
        <f>'Secondary cum Calculation'!E529</f>
        <v>Brazil</v>
      </c>
      <c r="F237" s="7" t="str">
        <f>'Secondary cum Calculation'!F529</f>
        <v>The number of international arrivals to a country originating from Brazil</v>
      </c>
      <c r="G237" s="7" t="str">
        <f>'Secondary cum Calculation'!G529</f>
        <v>Tourism Demand &amp; Flows Database</v>
      </c>
      <c r="H237" s="7" t="str">
        <f>'Secondary cum Calculation'!H529</f>
        <v>New</v>
      </c>
      <c r="I237" s="7">
        <f>'Secondary cum Calculation'!I529</f>
        <v>0</v>
      </c>
      <c r="J237" s="7" t="str">
        <f>'Secondary cum Calculation'!J529</f>
        <v>Thousand</v>
      </c>
      <c r="K237" s="8">
        <f>'Secondary cum Calculation'!K529</f>
        <v>525.27099999999996</v>
      </c>
      <c r="L237" s="218">
        <f>'Secondary cum Calculation'!L529</f>
        <v>0</v>
      </c>
      <c r="M237" s="218">
        <f>'Secondary cum Calculation'!M529</f>
        <v>0</v>
      </c>
      <c r="N237" s="218">
        <f>'Secondary cum Calculation'!N529</f>
        <v>0</v>
      </c>
      <c r="O237" s="218">
        <f>'Secondary cum Calculation'!O529</f>
        <v>0</v>
      </c>
      <c r="P237" s="218">
        <f>'Secondary cum Calculation'!P529</f>
        <v>0</v>
      </c>
      <c r="Q237" s="218">
        <f>'Secondary cum Calculation'!Q529</f>
        <v>0</v>
      </c>
      <c r="W237" s="211" t="e">
        <f>'Secondary cum Calculation'!W529</f>
        <v>#DIV/0!</v>
      </c>
      <c r="X237" s="211" t="e">
        <f>'Secondary cum Calculation'!X529</f>
        <v>#DIV/0!</v>
      </c>
      <c r="Z237" s="12"/>
      <c r="AA237" s="12"/>
      <c r="AB237" s="12"/>
      <c r="AC237" s="12"/>
      <c r="AD237" s="12"/>
    </row>
    <row r="238" spans="1:31">
      <c r="A238" s="6" t="str">
        <f>'Secondary cum Calculation'!A531</f>
        <v>Poland</v>
      </c>
      <c r="B238" s="119" t="str">
        <f>'Secondary cum Calculation'!B531</f>
        <v>Tourism Flows</v>
      </c>
      <c r="C238" s="119" t="str">
        <f>'Secondary cum Calculation'!C531</f>
        <v>International Arrivals by Place of Origin</v>
      </c>
      <c r="D238" s="119" t="str">
        <f>'Secondary cum Calculation'!D531</f>
        <v>South &amp; Central America</v>
      </c>
      <c r="E238" s="6" t="str">
        <f>'Secondary cum Calculation'!E531</f>
        <v>Chile</v>
      </c>
      <c r="F238" s="7" t="str">
        <f>'Secondary cum Calculation'!F531</f>
        <v>The number of international arrivals to a country originating from Chile</v>
      </c>
      <c r="G238" s="7" t="str">
        <f>'Secondary cum Calculation'!G531</f>
        <v>Tourism Demand &amp; Flows Database</v>
      </c>
      <c r="H238" s="7" t="str">
        <f>'Secondary cum Calculation'!H531</f>
        <v>New</v>
      </c>
      <c r="I238" s="7">
        <f>'Secondary cum Calculation'!I531</f>
        <v>0</v>
      </c>
      <c r="J238" s="7" t="str">
        <f>'Secondary cum Calculation'!J531</f>
        <v>Thousand</v>
      </c>
      <c r="K238" s="8">
        <f>'Secondary cum Calculation'!K531</f>
        <v>110.143</v>
      </c>
      <c r="L238" s="218">
        <f>'Secondary cum Calculation'!L531</f>
        <v>0</v>
      </c>
      <c r="M238" s="218">
        <f>'Secondary cum Calculation'!M531</f>
        <v>0</v>
      </c>
      <c r="N238" s="218">
        <f>'Secondary cum Calculation'!N531</f>
        <v>0</v>
      </c>
      <c r="O238" s="218">
        <f>'Secondary cum Calculation'!O531</f>
        <v>0</v>
      </c>
      <c r="P238" s="218">
        <f>'Secondary cum Calculation'!P531</f>
        <v>0</v>
      </c>
      <c r="Q238" s="218">
        <f>'Secondary cum Calculation'!Q531</f>
        <v>0</v>
      </c>
      <c r="W238" s="211" t="e">
        <f>'Secondary cum Calculation'!W531</f>
        <v>#DIV/0!</v>
      </c>
      <c r="X238" s="211" t="e">
        <f>'Secondary cum Calculation'!X531</f>
        <v>#DIV/0!</v>
      </c>
      <c r="Z238" s="12"/>
      <c r="AA238" s="12"/>
      <c r="AB238" s="12"/>
      <c r="AC238" s="12"/>
      <c r="AD238" s="12"/>
    </row>
    <row r="239" spans="1:31">
      <c r="A239" s="6" t="str">
        <f>'Secondary cum Calculation'!A533</f>
        <v>Poland</v>
      </c>
      <c r="B239" s="119" t="str">
        <f>'Secondary cum Calculation'!B533</f>
        <v>Tourism Flows</v>
      </c>
      <c r="C239" s="119" t="str">
        <f>'Secondary cum Calculation'!C533</f>
        <v>International Arrivals by Place of Origin</v>
      </c>
      <c r="D239" s="119" t="str">
        <f>'Secondary cum Calculation'!D533</f>
        <v>South &amp; Central America</v>
      </c>
      <c r="E239" s="6" t="str">
        <f>'Secondary cum Calculation'!E533</f>
        <v>Colombia</v>
      </c>
      <c r="F239" s="7" t="str">
        <f>'Secondary cum Calculation'!F533</f>
        <v>The number of international arrivals to a country originating from Colombia</v>
      </c>
      <c r="G239" s="7" t="str">
        <f>'Secondary cum Calculation'!G533</f>
        <v>Tourism Demand &amp; Flows Database</v>
      </c>
      <c r="H239" s="7" t="str">
        <f>'Secondary cum Calculation'!H533</f>
        <v>New</v>
      </c>
      <c r="I239" s="7">
        <f>'Secondary cum Calculation'!I533</f>
        <v>0</v>
      </c>
      <c r="J239" s="7" t="str">
        <f>'Secondary cum Calculation'!J533</f>
        <v>Thousand</v>
      </c>
      <c r="K239" s="8">
        <f>'Secondary cum Calculation'!K533</f>
        <v>348.38799999999998</v>
      </c>
      <c r="L239" s="218">
        <f>'Secondary cum Calculation'!L533</f>
        <v>0</v>
      </c>
      <c r="M239" s="218">
        <f>'Secondary cum Calculation'!M533</f>
        <v>0</v>
      </c>
      <c r="N239" s="218">
        <f>'Secondary cum Calculation'!N533</f>
        <v>0</v>
      </c>
      <c r="O239" s="218">
        <f>'Secondary cum Calculation'!O533</f>
        <v>0</v>
      </c>
      <c r="P239" s="218">
        <f>'Secondary cum Calculation'!P533</f>
        <v>0</v>
      </c>
      <c r="Q239" s="218">
        <f>'Secondary cum Calculation'!Q533</f>
        <v>0</v>
      </c>
      <c r="W239" s="211" t="e">
        <f>'Secondary cum Calculation'!W533</f>
        <v>#DIV/0!</v>
      </c>
      <c r="X239" s="211" t="e">
        <f>'Secondary cum Calculation'!X533</f>
        <v>#DIV/0!</v>
      </c>
      <c r="Z239" s="12"/>
      <c r="AA239" s="12"/>
      <c r="AB239" s="12"/>
      <c r="AC239" s="12"/>
      <c r="AD239" s="12"/>
    </row>
    <row r="240" spans="1:31">
      <c r="A240" s="6" t="str">
        <f>'Secondary cum Calculation'!A535</f>
        <v>Poland</v>
      </c>
      <c r="B240" s="119" t="str">
        <f>'Secondary cum Calculation'!B535</f>
        <v>Tourism Flows</v>
      </c>
      <c r="C240" s="119" t="str">
        <f>'Secondary cum Calculation'!C535</f>
        <v>International Arrivals by Place of Origin</v>
      </c>
      <c r="D240" s="119" t="str">
        <f>'Secondary cum Calculation'!D535</f>
        <v>South &amp; Central America</v>
      </c>
      <c r="E240" s="6" t="str">
        <f>'Secondary cum Calculation'!E535</f>
        <v>Costa Rica</v>
      </c>
      <c r="F240" s="7" t="str">
        <f>'Secondary cum Calculation'!F535</f>
        <v>The number of international arrivals to a country originating from Costa Rica</v>
      </c>
      <c r="G240" s="7" t="str">
        <f>'Secondary cum Calculation'!G535</f>
        <v>Tourism Demand &amp; Flows Database</v>
      </c>
      <c r="H240" s="7" t="str">
        <f>'Secondary cum Calculation'!H535</f>
        <v>New</v>
      </c>
      <c r="I240" s="7">
        <f>'Secondary cum Calculation'!I535</f>
        <v>0</v>
      </c>
      <c r="J240" s="7" t="str">
        <f>'Secondary cum Calculation'!J535</f>
        <v>Thousand</v>
      </c>
      <c r="K240" s="8">
        <f>'Secondary cum Calculation'!K535</f>
        <v>130.702</v>
      </c>
      <c r="L240" s="218">
        <f>'Secondary cum Calculation'!L535</f>
        <v>0</v>
      </c>
      <c r="M240" s="218">
        <f>'Secondary cum Calculation'!M535</f>
        <v>0</v>
      </c>
      <c r="N240" s="218">
        <f>'Secondary cum Calculation'!N535</f>
        <v>0</v>
      </c>
      <c r="O240" s="218">
        <f>'Secondary cum Calculation'!O535</f>
        <v>0</v>
      </c>
      <c r="P240" s="218">
        <f>'Secondary cum Calculation'!P535</f>
        <v>0</v>
      </c>
      <c r="Q240" s="218">
        <f>'Secondary cum Calculation'!Q535</f>
        <v>0</v>
      </c>
      <c r="W240" s="211" t="e">
        <f>'Secondary cum Calculation'!W535</f>
        <v>#DIV/0!</v>
      </c>
      <c r="X240" s="211" t="e">
        <f>'Secondary cum Calculation'!X535</f>
        <v>#DIV/0!</v>
      </c>
      <c r="Z240" s="12"/>
      <c r="AA240" s="12"/>
      <c r="AB240" s="12"/>
      <c r="AC240" s="12"/>
      <c r="AD240" s="12"/>
    </row>
    <row r="241" spans="1:30">
      <c r="A241" s="6" t="str">
        <f>'Secondary cum Calculation'!A537</f>
        <v>Poland</v>
      </c>
      <c r="B241" s="119" t="str">
        <f>'Secondary cum Calculation'!B537</f>
        <v>Tourism Flows</v>
      </c>
      <c r="C241" s="119" t="str">
        <f>'Secondary cum Calculation'!C537</f>
        <v>International Arrivals by Place of Origin</v>
      </c>
      <c r="D241" s="119" t="str">
        <f>'Secondary cum Calculation'!D537</f>
        <v>South &amp; Central America</v>
      </c>
      <c r="E241" s="6" t="str">
        <f>'Secondary cum Calculation'!E537</f>
        <v>Cuba</v>
      </c>
      <c r="F241" s="7" t="str">
        <f>'Secondary cum Calculation'!F537</f>
        <v>The number of international arrivals to a country originating from Cuba</v>
      </c>
      <c r="G241" s="7" t="str">
        <f>'Secondary cum Calculation'!G537</f>
        <v>Tourism Demand &amp; Flows Database</v>
      </c>
      <c r="H241" s="7" t="str">
        <f>'Secondary cum Calculation'!H537</f>
        <v>New</v>
      </c>
      <c r="I241" s="7">
        <f>'Secondary cum Calculation'!I537</f>
        <v>0</v>
      </c>
      <c r="J241" s="7" t="str">
        <f>'Secondary cum Calculation'!J537</f>
        <v>Thousand</v>
      </c>
      <c r="K241" s="8">
        <f>'Secondary cum Calculation'!K537</f>
        <v>0</v>
      </c>
      <c r="L241" s="218">
        <f>'Secondary cum Calculation'!L537</f>
        <v>0</v>
      </c>
      <c r="M241" s="218">
        <f>'Secondary cum Calculation'!M537</f>
        <v>0</v>
      </c>
      <c r="N241" s="218">
        <f>'Secondary cum Calculation'!N537</f>
        <v>0</v>
      </c>
      <c r="O241" s="218">
        <f>'Secondary cum Calculation'!O537</f>
        <v>0</v>
      </c>
      <c r="P241" s="218">
        <f>'Secondary cum Calculation'!P537</f>
        <v>0</v>
      </c>
      <c r="Q241" s="218">
        <f>'Secondary cum Calculation'!Q537</f>
        <v>0</v>
      </c>
      <c r="R241" s="132"/>
      <c r="S241" s="132"/>
      <c r="T241" s="132"/>
      <c r="U241" s="132"/>
      <c r="V241" s="132"/>
      <c r="W241" s="211" t="e">
        <f>'Secondary cum Calculation'!W537</f>
        <v>#DIV/0!</v>
      </c>
      <c r="X241" s="211" t="e">
        <f>'Secondary cum Calculation'!X537</f>
        <v>#DIV/0!</v>
      </c>
    </row>
    <row r="242" spans="1:30">
      <c r="A242" s="6" t="str">
        <f>'Secondary cum Calculation'!A539</f>
        <v>Poland</v>
      </c>
      <c r="B242" s="119" t="str">
        <f>'Secondary cum Calculation'!B539</f>
        <v>Tourism Flows</v>
      </c>
      <c r="C242" s="119" t="str">
        <f>'Secondary cum Calculation'!C539</f>
        <v>International Arrivals by Place of Origin</v>
      </c>
      <c r="D242" s="119" t="str">
        <f>'Secondary cum Calculation'!D539</f>
        <v>South &amp; Central America</v>
      </c>
      <c r="E242" s="6" t="str">
        <f>'Secondary cum Calculation'!E539</f>
        <v>Dominican Republic</v>
      </c>
      <c r="F242" s="7" t="str">
        <f>'Secondary cum Calculation'!F539</f>
        <v>The number of international arrivals to a country originating from Dominican Republic</v>
      </c>
      <c r="G242" s="7" t="str">
        <f>'Secondary cum Calculation'!G539</f>
        <v>Tourism Demand &amp; Flows Database</v>
      </c>
      <c r="H242" s="7" t="str">
        <f>'Secondary cum Calculation'!H539</f>
        <v>New</v>
      </c>
      <c r="I242" s="7">
        <f>'Secondary cum Calculation'!I539</f>
        <v>0</v>
      </c>
      <c r="J242" s="7" t="str">
        <f>'Secondary cum Calculation'!J539</f>
        <v>Thousand</v>
      </c>
      <c r="K242" s="8">
        <f>'Secondary cum Calculation'!K539</f>
        <v>221.44900000000001</v>
      </c>
      <c r="L242" s="218">
        <f>'Secondary cum Calculation'!L539</f>
        <v>0</v>
      </c>
      <c r="M242" s="218">
        <f>'Secondary cum Calculation'!M539</f>
        <v>0</v>
      </c>
      <c r="N242" s="218">
        <f>'Secondary cum Calculation'!N539</f>
        <v>0</v>
      </c>
      <c r="O242" s="218">
        <f>'Secondary cum Calculation'!O539</f>
        <v>0</v>
      </c>
      <c r="P242" s="218">
        <f>'Secondary cum Calculation'!P539</f>
        <v>0</v>
      </c>
      <c r="Q242" s="218">
        <f>'Secondary cum Calculation'!Q539</f>
        <v>0</v>
      </c>
      <c r="W242" s="211" t="e">
        <f>'Secondary cum Calculation'!W539</f>
        <v>#DIV/0!</v>
      </c>
      <c r="X242" s="211" t="e">
        <f>'Secondary cum Calculation'!X539</f>
        <v>#DIV/0!</v>
      </c>
      <c r="Z242" s="12"/>
      <c r="AA242" s="12"/>
      <c r="AB242" s="12"/>
      <c r="AC242" s="12"/>
      <c r="AD242" s="12"/>
    </row>
    <row r="243" spans="1:30">
      <c r="A243" s="6" t="str">
        <f>'Secondary cum Calculation'!A541</f>
        <v>Poland</v>
      </c>
      <c r="B243" s="119" t="str">
        <f>'Secondary cum Calculation'!B541</f>
        <v>Tourism Flows</v>
      </c>
      <c r="C243" s="119" t="str">
        <f>'Secondary cum Calculation'!C541</f>
        <v>International Arrivals by Place of Origin</v>
      </c>
      <c r="D243" s="119" t="str">
        <f>'Secondary cum Calculation'!D541</f>
        <v>South &amp; Central America</v>
      </c>
      <c r="E243" s="6" t="str">
        <f>'Secondary cum Calculation'!E541</f>
        <v>Ecuador</v>
      </c>
      <c r="F243" s="7" t="str">
        <f>'Secondary cum Calculation'!F541</f>
        <v>The number of international arrivals to a country originating from Ecuador</v>
      </c>
      <c r="G243" s="7" t="str">
        <f>'Secondary cum Calculation'!G541</f>
        <v>Tourism Demand &amp; Flows Database</v>
      </c>
      <c r="H243" s="7" t="str">
        <f>'Secondary cum Calculation'!H541</f>
        <v>New</v>
      </c>
      <c r="I243" s="7">
        <f>'Secondary cum Calculation'!I541</f>
        <v>0</v>
      </c>
      <c r="J243" s="7" t="str">
        <f>'Secondary cum Calculation'!J541</f>
        <v>Thousand</v>
      </c>
      <c r="K243" s="8">
        <f>'Secondary cum Calculation'!K541</f>
        <v>147.173</v>
      </c>
      <c r="L243" s="218">
        <f>'Secondary cum Calculation'!L541</f>
        <v>0</v>
      </c>
      <c r="M243" s="218">
        <f>'Secondary cum Calculation'!M541</f>
        <v>0</v>
      </c>
      <c r="N243" s="218">
        <f>'Secondary cum Calculation'!N541</f>
        <v>0</v>
      </c>
      <c r="O243" s="218">
        <f>'Secondary cum Calculation'!O541</f>
        <v>0</v>
      </c>
      <c r="P243" s="218">
        <f>'Secondary cum Calculation'!P541</f>
        <v>0</v>
      </c>
      <c r="Q243" s="218">
        <f>'Secondary cum Calculation'!Q541</f>
        <v>0</v>
      </c>
      <c r="W243" s="211" t="e">
        <f>'Secondary cum Calculation'!W541</f>
        <v>#DIV/0!</v>
      </c>
      <c r="X243" s="211" t="e">
        <f>'Secondary cum Calculation'!X541</f>
        <v>#DIV/0!</v>
      </c>
      <c r="Z243" s="12"/>
      <c r="AA243" s="12"/>
      <c r="AB243" s="12"/>
      <c r="AC243" s="12"/>
      <c r="AD243" s="12"/>
    </row>
    <row r="244" spans="1:30">
      <c r="A244" s="6" t="str">
        <f>'Secondary cum Calculation'!A543</f>
        <v>Poland</v>
      </c>
      <c r="B244" s="119" t="str">
        <f>'Secondary cum Calculation'!B543</f>
        <v>Tourism Flows</v>
      </c>
      <c r="C244" s="119" t="str">
        <f>'Secondary cum Calculation'!C543</f>
        <v>International Arrivals by Place of Origin</v>
      </c>
      <c r="D244" s="119" t="str">
        <f>'Secondary cum Calculation'!D543</f>
        <v>South &amp; Central America</v>
      </c>
      <c r="E244" s="6" t="str">
        <f>'Secondary cum Calculation'!E543</f>
        <v>El Salvador</v>
      </c>
      <c r="F244" s="7" t="str">
        <f>'Secondary cum Calculation'!F543</f>
        <v>The number of international arrivals to a country originating from El Salvador</v>
      </c>
      <c r="G244" s="7" t="str">
        <f>'Secondary cum Calculation'!G543</f>
        <v>Tourism Demand &amp; Flows Database</v>
      </c>
      <c r="H244" s="7" t="str">
        <f>'Secondary cum Calculation'!H543</f>
        <v>New</v>
      </c>
      <c r="I244" s="7">
        <f>'Secondary cum Calculation'!I543</f>
        <v>0</v>
      </c>
      <c r="J244" s="7" t="str">
        <f>'Secondary cum Calculation'!J543</f>
        <v>Thousand</v>
      </c>
      <c r="K244" s="8">
        <f>'Secondary cum Calculation'!K543</f>
        <v>153.83500000000001</v>
      </c>
      <c r="L244" s="218">
        <f>'Secondary cum Calculation'!L543</f>
        <v>0</v>
      </c>
      <c r="M244" s="218">
        <f>'Secondary cum Calculation'!M543</f>
        <v>0</v>
      </c>
      <c r="N244" s="218">
        <f>'Secondary cum Calculation'!N543</f>
        <v>0</v>
      </c>
      <c r="O244" s="218">
        <f>'Secondary cum Calculation'!O543</f>
        <v>0</v>
      </c>
      <c r="P244" s="218">
        <f>'Secondary cum Calculation'!P543</f>
        <v>0</v>
      </c>
      <c r="Q244" s="218">
        <f>'Secondary cum Calculation'!Q543</f>
        <v>0</v>
      </c>
      <c r="W244" s="211" t="e">
        <f>'Secondary cum Calculation'!W543</f>
        <v>#DIV/0!</v>
      </c>
      <c r="X244" s="211" t="e">
        <f>'Secondary cum Calculation'!X543</f>
        <v>#DIV/0!</v>
      </c>
      <c r="Z244" s="12"/>
      <c r="AA244" s="12"/>
      <c r="AB244" s="12"/>
      <c r="AC244" s="12"/>
      <c r="AD244" s="12"/>
    </row>
    <row r="245" spans="1:30">
      <c r="A245" s="6" t="str">
        <f>'Secondary cum Calculation'!A545</f>
        <v>Poland</v>
      </c>
      <c r="B245" s="119" t="str">
        <f>'Secondary cum Calculation'!B545</f>
        <v>Tourism Flows</v>
      </c>
      <c r="C245" s="119" t="str">
        <f>'Secondary cum Calculation'!C545</f>
        <v>International Arrivals by Place of Origin</v>
      </c>
      <c r="D245" s="119" t="str">
        <f>'Secondary cum Calculation'!D545</f>
        <v>South &amp; Central America</v>
      </c>
      <c r="E245" s="6" t="str">
        <f>'Secondary cum Calculation'!E545</f>
        <v>French Guiana</v>
      </c>
      <c r="F245" s="7" t="str">
        <f>'Secondary cum Calculation'!F545</f>
        <v>The number of international arrivals to a country originating from French Guiana</v>
      </c>
      <c r="G245" s="7" t="str">
        <f>'Secondary cum Calculation'!G545</f>
        <v>Tourism Demand &amp; Flows Database</v>
      </c>
      <c r="H245" s="7" t="str">
        <f>'Secondary cum Calculation'!H545</f>
        <v>New</v>
      </c>
      <c r="I245" s="7">
        <f>'Secondary cum Calculation'!I545</f>
        <v>0</v>
      </c>
      <c r="J245" s="7" t="str">
        <f>'Secondary cum Calculation'!J545</f>
        <v>Thousand</v>
      </c>
      <c r="K245" s="8">
        <f>'Secondary cum Calculation'!K545</f>
        <v>0</v>
      </c>
      <c r="L245" s="218">
        <f>'Secondary cum Calculation'!L545</f>
        <v>0</v>
      </c>
      <c r="M245" s="218">
        <f>'Secondary cum Calculation'!M545</f>
        <v>0</v>
      </c>
      <c r="N245" s="218">
        <f>'Secondary cum Calculation'!N545</f>
        <v>0</v>
      </c>
      <c r="O245" s="218">
        <f>'Secondary cum Calculation'!O545</f>
        <v>0</v>
      </c>
      <c r="P245" s="218">
        <f>'Secondary cum Calculation'!P545</f>
        <v>0</v>
      </c>
      <c r="Q245" s="218">
        <f>'Secondary cum Calculation'!Q545</f>
        <v>0</v>
      </c>
      <c r="W245" s="211" t="e">
        <f>'Secondary cum Calculation'!W545</f>
        <v>#DIV/0!</v>
      </c>
      <c r="X245" s="211" t="e">
        <f>'Secondary cum Calculation'!X545</f>
        <v>#DIV/0!</v>
      </c>
    </row>
    <row r="246" spans="1:30">
      <c r="A246" s="6" t="str">
        <f>'Secondary cum Calculation'!A547</f>
        <v>Poland</v>
      </c>
      <c r="B246" s="119" t="str">
        <f>'Secondary cum Calculation'!B547</f>
        <v>Tourism Flows</v>
      </c>
      <c r="C246" s="119" t="str">
        <f>'Secondary cum Calculation'!C547</f>
        <v>International Arrivals by Place of Origin</v>
      </c>
      <c r="D246" s="119" t="str">
        <f>'Secondary cum Calculation'!D547</f>
        <v>South &amp; Central America</v>
      </c>
      <c r="E246" s="6" t="str">
        <f>'Secondary cum Calculation'!E547</f>
        <v>Grenada</v>
      </c>
      <c r="F246" s="7" t="str">
        <f>'Secondary cum Calculation'!F547</f>
        <v>The number of international arrivals to a country originating from Grenada</v>
      </c>
      <c r="G246" s="7" t="str">
        <f>'Secondary cum Calculation'!G547</f>
        <v>Tourism Demand &amp; Flows Database</v>
      </c>
      <c r="H246" s="7" t="str">
        <f>'Secondary cum Calculation'!H547</f>
        <v>New</v>
      </c>
      <c r="I246" s="7">
        <f>'Secondary cum Calculation'!I547</f>
        <v>0</v>
      </c>
      <c r="J246" s="7" t="str">
        <f>'Secondary cum Calculation'!J547</f>
        <v>Thousand</v>
      </c>
      <c r="K246" s="8">
        <f>'Secondary cum Calculation'!K547</f>
        <v>0</v>
      </c>
      <c r="L246" s="218">
        <f>'Secondary cum Calculation'!L547</f>
        <v>0</v>
      </c>
      <c r="M246" s="218">
        <f>'Secondary cum Calculation'!M547</f>
        <v>0</v>
      </c>
      <c r="N246" s="218">
        <f>'Secondary cum Calculation'!N547</f>
        <v>0</v>
      </c>
      <c r="O246" s="218">
        <f>'Secondary cum Calculation'!O547</f>
        <v>0</v>
      </c>
      <c r="P246" s="218">
        <f>'Secondary cum Calculation'!P547</f>
        <v>0</v>
      </c>
      <c r="Q246" s="218">
        <f>'Secondary cum Calculation'!Q547</f>
        <v>0</v>
      </c>
      <c r="W246" s="211" t="e">
        <f>'Secondary cum Calculation'!W547</f>
        <v>#DIV/0!</v>
      </c>
      <c r="X246" s="211" t="e">
        <f>'Secondary cum Calculation'!X547</f>
        <v>#DIV/0!</v>
      </c>
    </row>
    <row r="247" spans="1:30">
      <c r="A247" s="6" t="str">
        <f>'Secondary cum Calculation'!A549</f>
        <v>Poland</v>
      </c>
      <c r="B247" s="119" t="str">
        <f>'Secondary cum Calculation'!B549</f>
        <v>Tourism Flows</v>
      </c>
      <c r="C247" s="119" t="str">
        <f>'Secondary cum Calculation'!C549</f>
        <v>International Arrivals by Place of Origin</v>
      </c>
      <c r="D247" s="119" t="str">
        <f>'Secondary cum Calculation'!D549</f>
        <v>South &amp; Central America</v>
      </c>
      <c r="E247" s="6" t="str">
        <f>'Secondary cum Calculation'!E549</f>
        <v>Guadeloupe</v>
      </c>
      <c r="F247" s="7" t="str">
        <f>'Secondary cum Calculation'!F549</f>
        <v>The number of international arrivals to a country originating from Guadeloupe</v>
      </c>
      <c r="G247" s="7" t="str">
        <f>'Secondary cum Calculation'!G549</f>
        <v>Tourism Demand &amp; Flows Database</v>
      </c>
      <c r="H247" s="7" t="str">
        <f>'Secondary cum Calculation'!H549</f>
        <v>New</v>
      </c>
      <c r="I247" s="7">
        <f>'Secondary cum Calculation'!I549</f>
        <v>0</v>
      </c>
      <c r="J247" s="7" t="str">
        <f>'Secondary cum Calculation'!J549</f>
        <v>Thousand</v>
      </c>
      <c r="K247" s="8">
        <f>'Secondary cum Calculation'!K549</f>
        <v>0</v>
      </c>
      <c r="L247" s="218">
        <f>'Secondary cum Calculation'!L549</f>
        <v>0</v>
      </c>
      <c r="M247" s="218">
        <f>'Secondary cum Calculation'!M549</f>
        <v>0</v>
      </c>
      <c r="N247" s="218">
        <f>'Secondary cum Calculation'!N549</f>
        <v>0</v>
      </c>
      <c r="O247" s="218">
        <f>'Secondary cum Calculation'!O549</f>
        <v>0</v>
      </c>
      <c r="P247" s="218">
        <f>'Secondary cum Calculation'!P549</f>
        <v>0</v>
      </c>
      <c r="Q247" s="218">
        <f>'Secondary cum Calculation'!Q549</f>
        <v>0</v>
      </c>
      <c r="R247" s="132"/>
      <c r="S247" s="132"/>
      <c r="T247" s="132"/>
      <c r="U247" s="132"/>
      <c r="V247" s="132"/>
      <c r="W247" s="211" t="e">
        <f>'Secondary cum Calculation'!W549</f>
        <v>#DIV/0!</v>
      </c>
      <c r="X247" s="211" t="e">
        <f>'Secondary cum Calculation'!X549</f>
        <v>#DIV/0!</v>
      </c>
    </row>
    <row r="248" spans="1:30">
      <c r="A248" s="6" t="str">
        <f>'Secondary cum Calculation'!A551</f>
        <v>Poland</v>
      </c>
      <c r="B248" s="119" t="str">
        <f>'Secondary cum Calculation'!B551</f>
        <v>Tourism Flows</v>
      </c>
      <c r="C248" s="119" t="str">
        <f>'Secondary cum Calculation'!C551</f>
        <v>International Arrivals by Place of Origin</v>
      </c>
      <c r="D248" s="119" t="str">
        <f>'Secondary cum Calculation'!D551</f>
        <v>South &amp; Central America</v>
      </c>
      <c r="E248" s="6" t="str">
        <f>'Secondary cum Calculation'!E551</f>
        <v>Guatemala</v>
      </c>
      <c r="F248" s="7" t="str">
        <f>'Secondary cum Calculation'!F551</f>
        <v>The number of international arrivals to a country originating from Guatemala</v>
      </c>
      <c r="G248" s="7" t="str">
        <f>'Secondary cum Calculation'!G551</f>
        <v>Tourism Demand &amp; Flows Database</v>
      </c>
      <c r="H248" s="7" t="str">
        <f>'Secondary cum Calculation'!H551</f>
        <v>New</v>
      </c>
      <c r="I248" s="7">
        <f>'Secondary cum Calculation'!I551</f>
        <v>0</v>
      </c>
      <c r="J248" s="7" t="str">
        <f>'Secondary cum Calculation'!J551</f>
        <v>Thousand</v>
      </c>
      <c r="K248" s="8">
        <f>'Secondary cum Calculation'!K551</f>
        <v>173.79300000000001</v>
      </c>
      <c r="L248" s="218">
        <f>'Secondary cum Calculation'!L551</f>
        <v>0</v>
      </c>
      <c r="M248" s="218">
        <f>'Secondary cum Calculation'!M551</f>
        <v>0</v>
      </c>
      <c r="N248" s="218">
        <f>'Secondary cum Calculation'!N551</f>
        <v>0</v>
      </c>
      <c r="O248" s="218">
        <f>'Secondary cum Calculation'!O551</f>
        <v>0</v>
      </c>
      <c r="P248" s="218">
        <f>'Secondary cum Calculation'!P551</f>
        <v>0</v>
      </c>
      <c r="Q248" s="218">
        <f>'Secondary cum Calculation'!Q551</f>
        <v>0</v>
      </c>
      <c r="W248" s="211" t="e">
        <f>'Secondary cum Calculation'!W551</f>
        <v>#DIV/0!</v>
      </c>
      <c r="X248" s="211" t="e">
        <f>'Secondary cum Calculation'!X551</f>
        <v>#DIV/0!</v>
      </c>
      <c r="Z248" s="12"/>
      <c r="AA248" s="12"/>
      <c r="AB248" s="12"/>
      <c r="AC248" s="12"/>
      <c r="AD248" s="12"/>
    </row>
    <row r="249" spans="1:30">
      <c r="A249" s="6" t="str">
        <f>'Secondary cum Calculation'!A553</f>
        <v>Poland</v>
      </c>
      <c r="B249" s="119" t="str">
        <f>'Secondary cum Calculation'!B553</f>
        <v>Tourism Flows</v>
      </c>
      <c r="C249" s="119" t="str">
        <f>'Secondary cum Calculation'!C553</f>
        <v>International Arrivals by Place of Origin</v>
      </c>
      <c r="D249" s="119" t="str">
        <f>'Secondary cum Calculation'!D553</f>
        <v>South &amp; Central America</v>
      </c>
      <c r="E249" s="6" t="str">
        <f>'Secondary cum Calculation'!E553</f>
        <v>Guyana</v>
      </c>
      <c r="F249" s="7" t="str">
        <f>'Secondary cum Calculation'!F553</f>
        <v>The number of international arrivals to a country originating from Guyana</v>
      </c>
      <c r="G249" s="7" t="str">
        <f>'Secondary cum Calculation'!G553</f>
        <v>Tourism Demand &amp; Flows Database</v>
      </c>
      <c r="H249" s="7" t="str">
        <f>'Secondary cum Calculation'!H553</f>
        <v>New</v>
      </c>
      <c r="I249" s="7">
        <f>'Secondary cum Calculation'!I553</f>
        <v>0</v>
      </c>
      <c r="J249" s="7" t="str">
        <f>'Secondary cum Calculation'!J553</f>
        <v>Thousand</v>
      </c>
      <c r="K249" s="8">
        <f>'Secondary cum Calculation'!K553</f>
        <v>0</v>
      </c>
      <c r="L249" s="218">
        <f>'Secondary cum Calculation'!L553</f>
        <v>0</v>
      </c>
      <c r="M249" s="218">
        <f>'Secondary cum Calculation'!M553</f>
        <v>0</v>
      </c>
      <c r="N249" s="218">
        <f>'Secondary cum Calculation'!N553</f>
        <v>0</v>
      </c>
      <c r="O249" s="218">
        <f>'Secondary cum Calculation'!O553</f>
        <v>0</v>
      </c>
      <c r="P249" s="218">
        <f>'Secondary cum Calculation'!P553</f>
        <v>0</v>
      </c>
      <c r="Q249" s="218">
        <f>'Secondary cum Calculation'!Q553</f>
        <v>0</v>
      </c>
      <c r="R249" s="132"/>
      <c r="S249" s="132"/>
      <c r="T249" s="132"/>
      <c r="U249" s="132"/>
      <c r="V249" s="132"/>
      <c r="W249" s="211" t="e">
        <f>'Secondary cum Calculation'!W553</f>
        <v>#DIV/0!</v>
      </c>
      <c r="X249" s="211" t="e">
        <f>'Secondary cum Calculation'!X553</f>
        <v>#DIV/0!</v>
      </c>
    </row>
    <row r="250" spans="1:30">
      <c r="A250" s="6" t="str">
        <f>'Secondary cum Calculation'!A555</f>
        <v>Poland</v>
      </c>
      <c r="B250" s="119" t="str">
        <f>'Secondary cum Calculation'!B555</f>
        <v>Tourism Flows</v>
      </c>
      <c r="C250" s="119" t="str">
        <f>'Secondary cum Calculation'!C555</f>
        <v>International Arrivals by Place of Origin</v>
      </c>
      <c r="D250" s="119" t="str">
        <f>'Secondary cum Calculation'!D555</f>
        <v>South &amp; Central America</v>
      </c>
      <c r="E250" s="6" t="str">
        <f>'Secondary cum Calculation'!E555</f>
        <v>Haiti</v>
      </c>
      <c r="F250" s="7" t="str">
        <f>'Secondary cum Calculation'!F555</f>
        <v>The number of international arrivals to a country originating from Haiti</v>
      </c>
      <c r="G250" s="7" t="str">
        <f>'Secondary cum Calculation'!G555</f>
        <v>Tourism Demand &amp; Flows Database</v>
      </c>
      <c r="H250" s="7" t="str">
        <f>'Secondary cum Calculation'!H555</f>
        <v>New</v>
      </c>
      <c r="I250" s="7">
        <f>'Secondary cum Calculation'!I555</f>
        <v>0</v>
      </c>
      <c r="J250" s="7" t="str">
        <f>'Secondary cum Calculation'!J555</f>
        <v>Thousand</v>
      </c>
      <c r="K250" s="8">
        <f>'Secondary cum Calculation'!K555</f>
        <v>58.917999999999999</v>
      </c>
      <c r="L250" s="218">
        <f>'Secondary cum Calculation'!L555</f>
        <v>0</v>
      </c>
      <c r="M250" s="218">
        <f>'Secondary cum Calculation'!M555</f>
        <v>0</v>
      </c>
      <c r="N250" s="218">
        <f>'Secondary cum Calculation'!N555</f>
        <v>0</v>
      </c>
      <c r="O250" s="218">
        <f>'Secondary cum Calculation'!O555</f>
        <v>0</v>
      </c>
      <c r="P250" s="218">
        <f>'Secondary cum Calculation'!P555</f>
        <v>0</v>
      </c>
      <c r="Q250" s="218">
        <f>'Secondary cum Calculation'!Q555</f>
        <v>0</v>
      </c>
      <c r="W250" s="211" t="e">
        <f>'Secondary cum Calculation'!W555</f>
        <v>#DIV/0!</v>
      </c>
      <c r="X250" s="211" t="e">
        <f>'Secondary cum Calculation'!X555</f>
        <v>#DIV/0!</v>
      </c>
      <c r="Z250" s="12"/>
      <c r="AA250" s="12"/>
      <c r="AB250" s="12"/>
      <c r="AC250" s="12"/>
      <c r="AD250" s="12"/>
    </row>
    <row r="251" spans="1:30">
      <c r="A251" s="6" t="str">
        <f>'Secondary cum Calculation'!A557</f>
        <v>Poland</v>
      </c>
      <c r="B251" s="119" t="str">
        <f>'Secondary cum Calculation'!B557</f>
        <v>Tourism Flows</v>
      </c>
      <c r="C251" s="119" t="str">
        <f>'Secondary cum Calculation'!C557</f>
        <v>International Arrivals by Place of Origin</v>
      </c>
      <c r="D251" s="119" t="str">
        <f>'Secondary cum Calculation'!D557</f>
        <v>South &amp; Central America</v>
      </c>
      <c r="E251" s="6" t="str">
        <f>'Secondary cum Calculation'!E557</f>
        <v>Honduras</v>
      </c>
      <c r="F251" s="7" t="str">
        <f>'Secondary cum Calculation'!F557</f>
        <v>The number of international arrivals to a country originating from Honduras</v>
      </c>
      <c r="G251" s="7" t="str">
        <f>'Secondary cum Calculation'!G557</f>
        <v>Tourism Demand &amp; Flows Database</v>
      </c>
      <c r="H251" s="7" t="str">
        <f>'Secondary cum Calculation'!H557</f>
        <v>New</v>
      </c>
      <c r="I251" s="7">
        <f>'Secondary cum Calculation'!I557</f>
        <v>0</v>
      </c>
      <c r="J251" s="7" t="str">
        <f>'Secondary cum Calculation'!J557</f>
        <v>Thousand</v>
      </c>
      <c r="K251" s="8">
        <f>'Secondary cum Calculation'!K557</f>
        <v>92.444999999999993</v>
      </c>
      <c r="L251" s="218">
        <f>'Secondary cum Calculation'!L557</f>
        <v>0</v>
      </c>
      <c r="M251" s="218">
        <f>'Secondary cum Calculation'!M557</f>
        <v>0</v>
      </c>
      <c r="N251" s="218">
        <f>'Secondary cum Calculation'!N557</f>
        <v>0</v>
      </c>
      <c r="O251" s="218">
        <f>'Secondary cum Calculation'!O557</f>
        <v>0</v>
      </c>
      <c r="P251" s="218">
        <f>'Secondary cum Calculation'!P557</f>
        <v>0</v>
      </c>
      <c r="Q251" s="218">
        <f>'Secondary cum Calculation'!Q557</f>
        <v>0</v>
      </c>
      <c r="W251" s="211" t="e">
        <f>'Secondary cum Calculation'!W557</f>
        <v>#DIV/0!</v>
      </c>
      <c r="X251" s="211" t="e">
        <f>'Secondary cum Calculation'!X557</f>
        <v>#DIV/0!</v>
      </c>
      <c r="Z251" s="12"/>
      <c r="AA251" s="12"/>
      <c r="AB251" s="12"/>
      <c r="AC251" s="12"/>
      <c r="AD251" s="12"/>
    </row>
    <row r="252" spans="1:30">
      <c r="A252" s="6" t="str">
        <f>'Secondary cum Calculation'!A559</f>
        <v>Poland</v>
      </c>
      <c r="B252" s="119" t="str">
        <f>'Secondary cum Calculation'!B559</f>
        <v>Tourism Flows</v>
      </c>
      <c r="C252" s="119" t="str">
        <f>'Secondary cum Calculation'!C559</f>
        <v>International Arrivals by Place of Origin</v>
      </c>
      <c r="D252" s="119" t="str">
        <f>'Secondary cum Calculation'!D559</f>
        <v>South &amp; Central America</v>
      </c>
      <c r="E252" s="6" t="str">
        <f>'Secondary cum Calculation'!E559</f>
        <v>Jamaica</v>
      </c>
      <c r="F252" s="7" t="str">
        <f>'Secondary cum Calculation'!F559</f>
        <v>The number of international arrivals to a country originating from Jamaica</v>
      </c>
      <c r="G252" s="7" t="str">
        <f>'Secondary cum Calculation'!G559</f>
        <v>Tourism Demand &amp; Flows Database</v>
      </c>
      <c r="H252" s="7" t="str">
        <f>'Secondary cum Calculation'!H559</f>
        <v>New</v>
      </c>
      <c r="I252" s="7">
        <f>'Secondary cum Calculation'!I559</f>
        <v>0</v>
      </c>
      <c r="J252" s="7" t="str">
        <f>'Secondary cum Calculation'!J559</f>
        <v>Thousand</v>
      </c>
      <c r="K252" s="8">
        <f>'Secondary cum Calculation'!K559</f>
        <v>204.91200000000001</v>
      </c>
      <c r="L252" s="218">
        <f>'Secondary cum Calculation'!L559</f>
        <v>0</v>
      </c>
      <c r="M252" s="218">
        <f>'Secondary cum Calculation'!M559</f>
        <v>0</v>
      </c>
      <c r="N252" s="218">
        <f>'Secondary cum Calculation'!N559</f>
        <v>0</v>
      </c>
      <c r="O252" s="218">
        <f>'Secondary cum Calculation'!O559</f>
        <v>0</v>
      </c>
      <c r="P252" s="218">
        <f>'Secondary cum Calculation'!P559</f>
        <v>0</v>
      </c>
      <c r="Q252" s="218">
        <f>'Secondary cum Calculation'!Q559</f>
        <v>0</v>
      </c>
      <c r="W252" s="211" t="e">
        <f>'Secondary cum Calculation'!W559</f>
        <v>#DIV/0!</v>
      </c>
      <c r="X252" s="211" t="e">
        <f>'Secondary cum Calculation'!X559</f>
        <v>#DIV/0!</v>
      </c>
      <c r="Z252" s="12"/>
      <c r="AA252" s="12"/>
      <c r="AB252" s="12"/>
      <c r="AC252" s="12"/>
      <c r="AD252" s="12"/>
    </row>
    <row r="253" spans="1:30">
      <c r="A253" s="6" t="str">
        <f>'Secondary cum Calculation'!A561</f>
        <v>Poland</v>
      </c>
      <c r="B253" s="119" t="str">
        <f>'Secondary cum Calculation'!B561</f>
        <v>Tourism Flows</v>
      </c>
      <c r="C253" s="119" t="str">
        <f>'Secondary cum Calculation'!C561</f>
        <v>International Arrivals by Place of Origin</v>
      </c>
      <c r="D253" s="119" t="str">
        <f>'Secondary cum Calculation'!D561</f>
        <v>South &amp; Central America</v>
      </c>
      <c r="E253" s="6" t="str">
        <f>'Secondary cum Calculation'!E561</f>
        <v>Martinique</v>
      </c>
      <c r="F253" s="7" t="str">
        <f>'Secondary cum Calculation'!F561</f>
        <v>The number of international arrivals to a country originating from Martinique</v>
      </c>
      <c r="G253" s="7" t="str">
        <f>'Secondary cum Calculation'!G561</f>
        <v>Tourism Demand &amp; Flows Database</v>
      </c>
      <c r="H253" s="7" t="str">
        <f>'Secondary cum Calculation'!H561</f>
        <v>New</v>
      </c>
      <c r="I253" s="7">
        <f>'Secondary cum Calculation'!I561</f>
        <v>0</v>
      </c>
      <c r="J253" s="7" t="str">
        <f>'Secondary cum Calculation'!J561</f>
        <v>Thousand</v>
      </c>
      <c r="K253" s="8">
        <f>'Secondary cum Calculation'!K561</f>
        <v>0</v>
      </c>
      <c r="L253" s="218">
        <f>'Secondary cum Calculation'!L561</f>
        <v>0</v>
      </c>
      <c r="M253" s="218">
        <f>'Secondary cum Calculation'!M561</f>
        <v>0</v>
      </c>
      <c r="N253" s="218">
        <f>'Secondary cum Calculation'!N561</f>
        <v>0</v>
      </c>
      <c r="O253" s="218">
        <f>'Secondary cum Calculation'!O561</f>
        <v>0</v>
      </c>
      <c r="P253" s="218">
        <f>'Secondary cum Calculation'!P561</f>
        <v>0</v>
      </c>
      <c r="Q253" s="218">
        <f>'Secondary cum Calculation'!Q561</f>
        <v>0</v>
      </c>
      <c r="W253" s="211" t="e">
        <f>'Secondary cum Calculation'!W561</f>
        <v>#DIV/0!</v>
      </c>
      <c r="X253" s="211" t="e">
        <f>'Secondary cum Calculation'!X561</f>
        <v>#DIV/0!</v>
      </c>
    </row>
    <row r="254" spans="1:30">
      <c r="A254" s="6" t="str">
        <f>'Secondary cum Calculation'!A563</f>
        <v>Poland</v>
      </c>
      <c r="B254" s="119" t="str">
        <f>'Secondary cum Calculation'!B563</f>
        <v>Tourism Flows</v>
      </c>
      <c r="C254" s="119" t="str">
        <f>'Secondary cum Calculation'!C563</f>
        <v>International Arrivals by Place of Origin</v>
      </c>
      <c r="D254" s="119" t="str">
        <f>'Secondary cum Calculation'!D563</f>
        <v>South &amp; Central America</v>
      </c>
      <c r="E254" s="6" t="str">
        <f>'Secondary cum Calculation'!E563</f>
        <v>Netherlands Antilles</v>
      </c>
      <c r="F254" s="7" t="str">
        <f>'Secondary cum Calculation'!F563</f>
        <v>The number of international arrivals to a country originating from Netherlands Antilles</v>
      </c>
      <c r="G254" s="7" t="str">
        <f>'Secondary cum Calculation'!G563</f>
        <v>Tourism Demand &amp; Flows Database</v>
      </c>
      <c r="H254" s="7" t="str">
        <f>'Secondary cum Calculation'!H563</f>
        <v>New</v>
      </c>
      <c r="I254" s="7">
        <f>'Secondary cum Calculation'!I563</f>
        <v>0</v>
      </c>
      <c r="J254" s="7" t="str">
        <f>'Secondary cum Calculation'!J563</f>
        <v>Thousand</v>
      </c>
      <c r="K254" s="8">
        <f>'Secondary cum Calculation'!K563</f>
        <v>0</v>
      </c>
      <c r="L254" s="218">
        <f>'Secondary cum Calculation'!L563</f>
        <v>0</v>
      </c>
      <c r="M254" s="218">
        <f>'Secondary cum Calculation'!M563</f>
        <v>0</v>
      </c>
      <c r="N254" s="218">
        <f>'Secondary cum Calculation'!N563</f>
        <v>0</v>
      </c>
      <c r="O254" s="218">
        <f>'Secondary cum Calculation'!O563</f>
        <v>0</v>
      </c>
      <c r="P254" s="218">
        <f>'Secondary cum Calculation'!P563</f>
        <v>0</v>
      </c>
      <c r="Q254" s="218">
        <f>'Secondary cum Calculation'!Q563</f>
        <v>0</v>
      </c>
      <c r="W254" s="211" t="e">
        <f>'Secondary cum Calculation'!W563</f>
        <v>#DIV/0!</v>
      </c>
      <c r="X254" s="211" t="e">
        <f>'Secondary cum Calculation'!X563</f>
        <v>#DIV/0!</v>
      </c>
    </row>
    <row r="255" spans="1:30">
      <c r="A255" s="6" t="str">
        <f>'Secondary cum Calculation'!A565</f>
        <v>Poland</v>
      </c>
      <c r="B255" s="119" t="str">
        <f>'Secondary cum Calculation'!B565</f>
        <v>Tourism Flows</v>
      </c>
      <c r="C255" s="119" t="str">
        <f>'Secondary cum Calculation'!C565</f>
        <v>International Arrivals by Place of Origin</v>
      </c>
      <c r="D255" s="119" t="str">
        <f>'Secondary cum Calculation'!D565</f>
        <v>South &amp; Central America</v>
      </c>
      <c r="E255" s="6" t="str">
        <f>'Secondary cum Calculation'!E565</f>
        <v>Nicaragua</v>
      </c>
      <c r="F255" s="7" t="str">
        <f>'Secondary cum Calculation'!F565</f>
        <v>The number of international arrivals to a country originating from Nicaragua</v>
      </c>
      <c r="G255" s="7" t="str">
        <f>'Secondary cum Calculation'!G565</f>
        <v>Tourism Demand &amp; Flows Database</v>
      </c>
      <c r="H255" s="7" t="str">
        <f>'Secondary cum Calculation'!H565</f>
        <v>New</v>
      </c>
      <c r="I255" s="7">
        <f>'Secondary cum Calculation'!I565</f>
        <v>0</v>
      </c>
      <c r="J255" s="7" t="str">
        <f>'Secondary cum Calculation'!J565</f>
        <v>Thousand</v>
      </c>
      <c r="K255" s="8">
        <f>'Secondary cum Calculation'!K565</f>
        <v>0</v>
      </c>
      <c r="L255" s="218">
        <f>'Secondary cum Calculation'!L565</f>
        <v>0</v>
      </c>
      <c r="M255" s="218">
        <f>'Secondary cum Calculation'!M565</f>
        <v>0</v>
      </c>
      <c r="N255" s="218">
        <f>'Secondary cum Calculation'!N565</f>
        <v>0</v>
      </c>
      <c r="O255" s="218">
        <f>'Secondary cum Calculation'!O565</f>
        <v>0</v>
      </c>
      <c r="P255" s="218">
        <f>'Secondary cum Calculation'!P565</f>
        <v>0</v>
      </c>
      <c r="Q255" s="218">
        <f>'Secondary cum Calculation'!Q565</f>
        <v>0</v>
      </c>
      <c r="R255" s="132"/>
      <c r="S255" s="132"/>
      <c r="T255" s="132"/>
      <c r="U255" s="132"/>
      <c r="V255" s="132"/>
      <c r="W255" s="211" t="e">
        <f>'Secondary cum Calculation'!W565</f>
        <v>#DIV/0!</v>
      </c>
      <c r="X255" s="211" t="e">
        <f>'Secondary cum Calculation'!X565</f>
        <v>#DIV/0!</v>
      </c>
    </row>
    <row r="256" spans="1:30">
      <c r="A256" s="6" t="str">
        <f>'Secondary cum Calculation'!A567</f>
        <v>Poland</v>
      </c>
      <c r="B256" s="119" t="str">
        <f>'Secondary cum Calculation'!B567</f>
        <v>Tourism Flows</v>
      </c>
      <c r="C256" s="119" t="str">
        <f>'Secondary cum Calculation'!C567</f>
        <v>International Arrivals by Place of Origin</v>
      </c>
      <c r="D256" s="119" t="str">
        <f>'Secondary cum Calculation'!D567</f>
        <v>South &amp; Central America</v>
      </c>
      <c r="E256" s="6" t="str">
        <f>'Secondary cum Calculation'!E567</f>
        <v>Panama</v>
      </c>
      <c r="F256" s="7" t="str">
        <f>'Secondary cum Calculation'!F567</f>
        <v>The number of international arrivals to a country originating from Panama</v>
      </c>
      <c r="G256" s="7" t="str">
        <f>'Secondary cum Calculation'!G567</f>
        <v>Tourism Demand &amp; Flows Database</v>
      </c>
      <c r="H256" s="7" t="str">
        <f>'Secondary cum Calculation'!H567</f>
        <v>New</v>
      </c>
      <c r="I256" s="7">
        <f>'Secondary cum Calculation'!I567</f>
        <v>0</v>
      </c>
      <c r="J256" s="7" t="str">
        <f>'Secondary cum Calculation'!J567</f>
        <v>Thousand</v>
      </c>
      <c r="K256" s="8">
        <f>'Secondary cum Calculation'!K567</f>
        <v>81.358000000000004</v>
      </c>
      <c r="L256" s="218">
        <f>'Secondary cum Calculation'!L567</f>
        <v>0</v>
      </c>
      <c r="M256" s="218">
        <f>'Secondary cum Calculation'!M567</f>
        <v>0</v>
      </c>
      <c r="N256" s="218">
        <f>'Secondary cum Calculation'!N567</f>
        <v>0</v>
      </c>
      <c r="O256" s="218">
        <f>'Secondary cum Calculation'!O567</f>
        <v>0</v>
      </c>
      <c r="P256" s="218">
        <f>'Secondary cum Calculation'!P567</f>
        <v>0</v>
      </c>
      <c r="Q256" s="218">
        <f>'Secondary cum Calculation'!Q567</f>
        <v>0</v>
      </c>
      <c r="W256" s="211" t="e">
        <f>'Secondary cum Calculation'!W567</f>
        <v>#DIV/0!</v>
      </c>
      <c r="X256" s="211" t="e">
        <f>'Secondary cum Calculation'!X567</f>
        <v>#DIV/0!</v>
      </c>
      <c r="Z256" s="12"/>
      <c r="AA256" s="12"/>
      <c r="AB256" s="12"/>
      <c r="AC256" s="12"/>
      <c r="AD256" s="12"/>
    </row>
    <row r="257" spans="1:31">
      <c r="A257" s="6" t="str">
        <f>'Secondary cum Calculation'!A569</f>
        <v>Poland</v>
      </c>
      <c r="B257" s="119" t="str">
        <f>'Secondary cum Calculation'!B569</f>
        <v>Tourism Flows</v>
      </c>
      <c r="C257" s="119" t="str">
        <f>'Secondary cum Calculation'!C569</f>
        <v>International Arrivals by Place of Origin</v>
      </c>
      <c r="D257" s="119" t="str">
        <f>'Secondary cum Calculation'!D569</f>
        <v>South &amp; Central America</v>
      </c>
      <c r="E257" s="6" t="str">
        <f>'Secondary cum Calculation'!E569</f>
        <v>Paraguay</v>
      </c>
      <c r="F257" s="7" t="str">
        <f>'Secondary cum Calculation'!F569</f>
        <v>The number of international arrivals to a country originating from Paraguay</v>
      </c>
      <c r="G257" s="7" t="str">
        <f>'Secondary cum Calculation'!G569</f>
        <v>Tourism Demand &amp; Flows Database</v>
      </c>
      <c r="H257" s="7" t="str">
        <f>'Secondary cum Calculation'!H569</f>
        <v>New</v>
      </c>
      <c r="I257" s="7">
        <f>'Secondary cum Calculation'!I569</f>
        <v>0</v>
      </c>
      <c r="J257" s="7" t="str">
        <f>'Secondary cum Calculation'!J569</f>
        <v>Thousand</v>
      </c>
      <c r="K257" s="8">
        <f>'Secondary cum Calculation'!K569</f>
        <v>0</v>
      </c>
      <c r="L257" s="218">
        <f>'Secondary cum Calculation'!L569</f>
        <v>0</v>
      </c>
      <c r="M257" s="218">
        <f>'Secondary cum Calculation'!M569</f>
        <v>0</v>
      </c>
      <c r="N257" s="218">
        <f>'Secondary cum Calculation'!N569</f>
        <v>0</v>
      </c>
      <c r="O257" s="218">
        <f>'Secondary cum Calculation'!O569</f>
        <v>0</v>
      </c>
      <c r="P257" s="218">
        <f>'Secondary cum Calculation'!P569</f>
        <v>0</v>
      </c>
      <c r="Q257" s="218">
        <f>'Secondary cum Calculation'!Q569</f>
        <v>0</v>
      </c>
      <c r="R257" s="132"/>
      <c r="S257" s="132"/>
      <c r="T257" s="132"/>
      <c r="U257" s="132"/>
      <c r="V257" s="132"/>
      <c r="W257" s="211" t="e">
        <f>'Secondary cum Calculation'!W569</f>
        <v>#DIV/0!</v>
      </c>
      <c r="X257" s="211" t="e">
        <f>'Secondary cum Calculation'!X569</f>
        <v>#DIV/0!</v>
      </c>
    </row>
    <row r="258" spans="1:31">
      <c r="A258" s="6" t="str">
        <f>'Secondary cum Calculation'!A571</f>
        <v>Poland</v>
      </c>
      <c r="B258" s="119" t="str">
        <f>'Secondary cum Calculation'!B571</f>
        <v>Tourism Flows</v>
      </c>
      <c r="C258" s="119" t="str">
        <f>'Secondary cum Calculation'!C571</f>
        <v>International Arrivals by Place of Origin</v>
      </c>
      <c r="D258" s="119" t="str">
        <f>'Secondary cum Calculation'!D571</f>
        <v>South &amp; Central America</v>
      </c>
      <c r="E258" s="6" t="str">
        <f>'Secondary cum Calculation'!E571</f>
        <v>Peru</v>
      </c>
      <c r="F258" s="7" t="str">
        <f>'Secondary cum Calculation'!F571</f>
        <v>The number of international arrivals to a country originating from Peru</v>
      </c>
      <c r="G258" s="7" t="str">
        <f>'Secondary cum Calculation'!G571</f>
        <v>Tourism Demand &amp; Flows Database</v>
      </c>
      <c r="H258" s="7" t="str">
        <f>'Secondary cum Calculation'!H571</f>
        <v>New</v>
      </c>
      <c r="I258" s="7">
        <f>'Secondary cum Calculation'!I571</f>
        <v>0</v>
      </c>
      <c r="J258" s="7" t="str">
        <f>'Secondary cum Calculation'!J571</f>
        <v>Thousand</v>
      </c>
      <c r="K258" s="8">
        <f>'Secondary cum Calculation'!K571</f>
        <v>133.398</v>
      </c>
      <c r="L258" s="218">
        <f>'Secondary cum Calculation'!L571</f>
        <v>0</v>
      </c>
      <c r="M258" s="218">
        <f>'Secondary cum Calculation'!M571</f>
        <v>0</v>
      </c>
      <c r="N258" s="218">
        <f>'Secondary cum Calculation'!N571</f>
        <v>0</v>
      </c>
      <c r="O258" s="218">
        <f>'Secondary cum Calculation'!O571</f>
        <v>0</v>
      </c>
      <c r="P258" s="218">
        <f>'Secondary cum Calculation'!P571</f>
        <v>0</v>
      </c>
      <c r="Q258" s="218">
        <f>'Secondary cum Calculation'!Q571</f>
        <v>0</v>
      </c>
      <c r="W258" s="211" t="e">
        <f>'Secondary cum Calculation'!W571</f>
        <v>#DIV/0!</v>
      </c>
      <c r="X258" s="211" t="e">
        <f>'Secondary cum Calculation'!X571</f>
        <v>#DIV/0!</v>
      </c>
      <c r="Z258" s="12"/>
      <c r="AA258" s="12"/>
      <c r="AB258" s="12"/>
      <c r="AC258" s="12"/>
      <c r="AD258" s="12"/>
    </row>
    <row r="259" spans="1:31">
      <c r="A259" s="6" t="str">
        <f>'Secondary cum Calculation'!A573</f>
        <v>Poland</v>
      </c>
      <c r="B259" s="119" t="str">
        <f>'Secondary cum Calculation'!B573</f>
        <v>Tourism Flows</v>
      </c>
      <c r="C259" s="119" t="str">
        <f>'Secondary cum Calculation'!C573</f>
        <v>International Arrivals by Place of Origin</v>
      </c>
      <c r="D259" s="119" t="str">
        <f>'Secondary cum Calculation'!D573</f>
        <v>South &amp; Central America</v>
      </c>
      <c r="E259" s="6" t="str">
        <f>'Secondary cum Calculation'!E573</f>
        <v>Puerto Rico</v>
      </c>
      <c r="F259" s="7" t="str">
        <f>'Secondary cum Calculation'!F573</f>
        <v>The number of international arrivals to a country originating from Puerto Rico</v>
      </c>
      <c r="G259" s="7" t="str">
        <f>'Secondary cum Calculation'!G573</f>
        <v>Tourism Demand &amp; Flows Database</v>
      </c>
      <c r="H259" s="7" t="str">
        <f>'Secondary cum Calculation'!H573</f>
        <v>New</v>
      </c>
      <c r="I259" s="7">
        <f>'Secondary cum Calculation'!I573</f>
        <v>0</v>
      </c>
      <c r="J259" s="7" t="str">
        <f>'Secondary cum Calculation'!J573</f>
        <v>Thousand</v>
      </c>
      <c r="K259" s="8">
        <f>'Secondary cum Calculation'!K573</f>
        <v>0</v>
      </c>
      <c r="L259" s="218">
        <f>'Secondary cum Calculation'!L573</f>
        <v>0</v>
      </c>
      <c r="M259" s="218">
        <f>'Secondary cum Calculation'!M573</f>
        <v>0</v>
      </c>
      <c r="N259" s="218">
        <f>'Secondary cum Calculation'!N573</f>
        <v>0</v>
      </c>
      <c r="O259" s="218">
        <f>'Secondary cum Calculation'!O573</f>
        <v>0</v>
      </c>
      <c r="P259" s="218">
        <f>'Secondary cum Calculation'!P573</f>
        <v>0</v>
      </c>
      <c r="Q259" s="218">
        <f>'Secondary cum Calculation'!Q573</f>
        <v>0</v>
      </c>
      <c r="W259" s="211" t="e">
        <f>'Secondary cum Calculation'!W573</f>
        <v>#DIV/0!</v>
      </c>
      <c r="X259" s="211" t="e">
        <f>'Secondary cum Calculation'!X573</f>
        <v>#DIV/0!</v>
      </c>
    </row>
    <row r="260" spans="1:31">
      <c r="A260" s="6" t="str">
        <f>'Secondary cum Calculation'!A575</f>
        <v>Poland</v>
      </c>
      <c r="B260" s="119" t="str">
        <f>'Secondary cum Calculation'!B575</f>
        <v>Tourism Flows</v>
      </c>
      <c r="C260" s="119" t="str">
        <f>'Secondary cum Calculation'!C575</f>
        <v>International Arrivals by Place of Origin</v>
      </c>
      <c r="D260" s="119" t="str">
        <f>'Secondary cum Calculation'!D575</f>
        <v>South &amp; Central America</v>
      </c>
      <c r="E260" s="6" t="str">
        <f>'Secondary cum Calculation'!E575</f>
        <v>Saint Lucia</v>
      </c>
      <c r="F260" s="7" t="str">
        <f>'Secondary cum Calculation'!F575</f>
        <v>The number of international arrivals to a country originating from Saint Lucia</v>
      </c>
      <c r="G260" s="7" t="str">
        <f>'Secondary cum Calculation'!G575</f>
        <v>Tourism Demand &amp; Flows Database</v>
      </c>
      <c r="H260" s="7" t="str">
        <f>'Secondary cum Calculation'!H575</f>
        <v>New</v>
      </c>
      <c r="I260" s="7">
        <f>'Secondary cum Calculation'!I575</f>
        <v>0</v>
      </c>
      <c r="J260" s="7" t="str">
        <f>'Secondary cum Calculation'!J575</f>
        <v>Thousand</v>
      </c>
      <c r="K260" s="8">
        <f>'Secondary cum Calculation'!K575</f>
        <v>0</v>
      </c>
      <c r="L260" s="218">
        <f>'Secondary cum Calculation'!L575</f>
        <v>0</v>
      </c>
      <c r="M260" s="218">
        <f>'Secondary cum Calculation'!M575</f>
        <v>0</v>
      </c>
      <c r="N260" s="218">
        <f>'Secondary cum Calculation'!N575</f>
        <v>0</v>
      </c>
      <c r="O260" s="218">
        <f>'Secondary cum Calculation'!O575</f>
        <v>0</v>
      </c>
      <c r="P260" s="218">
        <f>'Secondary cum Calculation'!P575</f>
        <v>0</v>
      </c>
      <c r="Q260" s="218">
        <f>'Secondary cum Calculation'!Q575</f>
        <v>0</v>
      </c>
      <c r="W260" s="211" t="e">
        <f>'Secondary cum Calculation'!W575</f>
        <v>#DIV/0!</v>
      </c>
      <c r="X260" s="211" t="e">
        <f>'Secondary cum Calculation'!X575</f>
        <v>#DIV/0!</v>
      </c>
    </row>
    <row r="261" spans="1:31">
      <c r="A261" s="6" t="str">
        <f>'Secondary cum Calculation'!A577</f>
        <v>Poland</v>
      </c>
      <c r="B261" s="119" t="str">
        <f>'Secondary cum Calculation'!B577</f>
        <v>Tourism Flows</v>
      </c>
      <c r="C261" s="119" t="str">
        <f>'Secondary cum Calculation'!C577</f>
        <v>International Arrivals by Place of Origin</v>
      </c>
      <c r="D261" s="119" t="str">
        <f>'Secondary cum Calculation'!D577</f>
        <v>South &amp; Central America</v>
      </c>
      <c r="E261" s="6" t="str">
        <f>'Secondary cum Calculation'!E577</f>
        <v>Sao Tome and Principe</v>
      </c>
      <c r="F261" s="7" t="str">
        <f>'Secondary cum Calculation'!F577</f>
        <v>The number of international arrivals to a country originating from Sao Tome and Principe</v>
      </c>
      <c r="G261" s="7" t="str">
        <f>'Secondary cum Calculation'!G577</f>
        <v>Tourism Demand &amp; Flows Database</v>
      </c>
      <c r="H261" s="7" t="str">
        <f>'Secondary cum Calculation'!H577</f>
        <v>New</v>
      </c>
      <c r="I261" s="7">
        <f>'Secondary cum Calculation'!I577</f>
        <v>0</v>
      </c>
      <c r="J261" s="7" t="str">
        <f>'Secondary cum Calculation'!J577</f>
        <v>Thousand</v>
      </c>
      <c r="K261" s="8">
        <f>'Secondary cum Calculation'!K577</f>
        <v>0</v>
      </c>
      <c r="L261" s="218">
        <f>'Secondary cum Calculation'!L577</f>
        <v>0</v>
      </c>
      <c r="M261" s="218">
        <f>'Secondary cum Calculation'!M577</f>
        <v>0</v>
      </c>
      <c r="N261" s="218">
        <f>'Secondary cum Calculation'!N577</f>
        <v>0</v>
      </c>
      <c r="O261" s="218">
        <f>'Secondary cum Calculation'!O577</f>
        <v>0</v>
      </c>
      <c r="P261" s="218">
        <f>'Secondary cum Calculation'!P577</f>
        <v>0</v>
      </c>
      <c r="Q261" s="218">
        <f>'Secondary cum Calculation'!Q577</f>
        <v>0</v>
      </c>
      <c r="W261" s="211" t="e">
        <f>'Secondary cum Calculation'!W577</f>
        <v>#DIV/0!</v>
      </c>
      <c r="X261" s="211" t="e">
        <f>'Secondary cum Calculation'!X577</f>
        <v>#DIV/0!</v>
      </c>
    </row>
    <row r="262" spans="1:31">
      <c r="A262" s="6" t="str">
        <f>'Secondary cum Calculation'!A579</f>
        <v>Poland</v>
      </c>
      <c r="B262" s="119" t="str">
        <f>'Secondary cum Calculation'!B579</f>
        <v>Tourism Flows</v>
      </c>
      <c r="C262" s="119" t="str">
        <f>'Secondary cum Calculation'!C579</f>
        <v>International Arrivals by Place of Origin</v>
      </c>
      <c r="D262" s="119" t="str">
        <f>'Secondary cum Calculation'!D579</f>
        <v>South &amp; Central America</v>
      </c>
      <c r="E262" s="6" t="str">
        <f>'Secondary cum Calculation'!E579</f>
        <v>St. Vincent and the Grenadines</v>
      </c>
      <c r="F262" s="7" t="str">
        <f>'Secondary cum Calculation'!F579</f>
        <v>The number of international arrivals to a country originating from St. Vincent and the Grenadines</v>
      </c>
      <c r="G262" s="7" t="str">
        <f>'Secondary cum Calculation'!G579</f>
        <v>Tourism Demand &amp; Flows Database</v>
      </c>
      <c r="H262" s="7" t="str">
        <f>'Secondary cum Calculation'!H579</f>
        <v>New</v>
      </c>
      <c r="I262" s="7">
        <f>'Secondary cum Calculation'!I579</f>
        <v>0</v>
      </c>
      <c r="J262" s="7" t="str">
        <f>'Secondary cum Calculation'!J579</f>
        <v>Thousand</v>
      </c>
      <c r="K262" s="8">
        <f>'Secondary cum Calculation'!K579</f>
        <v>0</v>
      </c>
      <c r="L262" s="218">
        <f>'Secondary cum Calculation'!L579</f>
        <v>0</v>
      </c>
      <c r="M262" s="218">
        <f>'Secondary cum Calculation'!M579</f>
        <v>0</v>
      </c>
      <c r="N262" s="218">
        <f>'Secondary cum Calculation'!N579</f>
        <v>0</v>
      </c>
      <c r="O262" s="218">
        <f>'Secondary cum Calculation'!O579</f>
        <v>0</v>
      </c>
      <c r="P262" s="218">
        <f>'Secondary cum Calculation'!P579</f>
        <v>0</v>
      </c>
      <c r="Q262" s="218">
        <f>'Secondary cum Calculation'!Q579</f>
        <v>0</v>
      </c>
      <c r="W262" s="211" t="e">
        <f>'Secondary cum Calculation'!W579</f>
        <v>#DIV/0!</v>
      </c>
      <c r="X262" s="211" t="e">
        <f>'Secondary cum Calculation'!X579</f>
        <v>#DIV/0!</v>
      </c>
    </row>
    <row r="263" spans="1:31">
      <c r="A263" s="6" t="str">
        <f>'Secondary cum Calculation'!A581</f>
        <v>Poland</v>
      </c>
      <c r="B263" s="119" t="str">
        <f>'Secondary cum Calculation'!B581</f>
        <v>Tourism Flows</v>
      </c>
      <c r="C263" s="119" t="str">
        <f>'Secondary cum Calculation'!C581</f>
        <v>International Arrivals by Place of Origin</v>
      </c>
      <c r="D263" s="119" t="str">
        <f>'Secondary cum Calculation'!D581</f>
        <v>South &amp; Central America</v>
      </c>
      <c r="E263" s="6" t="str">
        <f>'Secondary cum Calculation'!E581</f>
        <v>Suriname</v>
      </c>
      <c r="F263" s="7" t="str">
        <f>'Secondary cum Calculation'!F581</f>
        <v>The number of international arrivals to a country originating from Suriname</v>
      </c>
      <c r="G263" s="7" t="str">
        <f>'Secondary cum Calculation'!G581</f>
        <v>Tourism Demand &amp; Flows Database</v>
      </c>
      <c r="H263" s="7" t="str">
        <f>'Secondary cum Calculation'!H581</f>
        <v>New</v>
      </c>
      <c r="I263" s="7">
        <f>'Secondary cum Calculation'!I581</f>
        <v>0</v>
      </c>
      <c r="J263" s="7" t="str">
        <f>'Secondary cum Calculation'!J581</f>
        <v>Thousand</v>
      </c>
      <c r="K263" s="8">
        <f>'Secondary cum Calculation'!K581</f>
        <v>0</v>
      </c>
      <c r="L263" s="218">
        <f>'Secondary cum Calculation'!L581</f>
        <v>0</v>
      </c>
      <c r="M263" s="218">
        <f>'Secondary cum Calculation'!M581</f>
        <v>0</v>
      </c>
      <c r="N263" s="218">
        <f>'Secondary cum Calculation'!N581</f>
        <v>0</v>
      </c>
      <c r="O263" s="218">
        <f>'Secondary cum Calculation'!O581</f>
        <v>0</v>
      </c>
      <c r="P263" s="218">
        <f>'Secondary cum Calculation'!P581</f>
        <v>0</v>
      </c>
      <c r="Q263" s="218">
        <f>'Secondary cum Calculation'!Q581</f>
        <v>0</v>
      </c>
      <c r="R263" s="132"/>
      <c r="S263" s="132"/>
      <c r="T263" s="132"/>
      <c r="U263" s="132"/>
      <c r="V263" s="132"/>
      <c r="W263" s="211" t="e">
        <f>'Secondary cum Calculation'!W581</f>
        <v>#DIV/0!</v>
      </c>
      <c r="X263" s="211" t="e">
        <f>'Secondary cum Calculation'!X581</f>
        <v>#DIV/0!</v>
      </c>
    </row>
    <row r="264" spans="1:31">
      <c r="A264" s="6" t="str">
        <f>'Secondary cum Calculation'!A583</f>
        <v>Poland</v>
      </c>
      <c r="B264" s="119" t="str">
        <f>'Secondary cum Calculation'!B583</f>
        <v>Tourism Flows</v>
      </c>
      <c r="C264" s="119" t="str">
        <f>'Secondary cum Calculation'!C583</f>
        <v>International Arrivals by Place of Origin</v>
      </c>
      <c r="D264" s="119" t="str">
        <f>'Secondary cum Calculation'!D583</f>
        <v>South &amp; Central America</v>
      </c>
      <c r="E264" s="6" t="str">
        <f>'Secondary cum Calculation'!E583</f>
        <v>Trinidad and Tobago</v>
      </c>
      <c r="F264" s="7" t="str">
        <f>'Secondary cum Calculation'!F583</f>
        <v>The number of international arrivals to a country originating from Trinidad and Tobago</v>
      </c>
      <c r="G264" s="7" t="str">
        <f>'Secondary cum Calculation'!G583</f>
        <v>Tourism Demand &amp; Flows Database</v>
      </c>
      <c r="H264" s="7" t="str">
        <f>'Secondary cum Calculation'!H583</f>
        <v>New</v>
      </c>
      <c r="I264" s="7">
        <f>'Secondary cum Calculation'!I583</f>
        <v>0</v>
      </c>
      <c r="J264" s="7" t="str">
        <f>'Secondary cum Calculation'!J583</f>
        <v>Thousand</v>
      </c>
      <c r="K264" s="8">
        <f>'Secondary cum Calculation'!K583</f>
        <v>133.90600000000001</v>
      </c>
      <c r="L264" s="218">
        <f>'Secondary cum Calculation'!L583</f>
        <v>0</v>
      </c>
      <c r="M264" s="218">
        <f>'Secondary cum Calculation'!M583</f>
        <v>0</v>
      </c>
      <c r="N264" s="218">
        <f>'Secondary cum Calculation'!N583</f>
        <v>0</v>
      </c>
      <c r="O264" s="218">
        <f>'Secondary cum Calculation'!O583</f>
        <v>0</v>
      </c>
      <c r="P264" s="218">
        <f>'Secondary cum Calculation'!P583</f>
        <v>0</v>
      </c>
      <c r="Q264" s="218">
        <f>'Secondary cum Calculation'!Q583</f>
        <v>0</v>
      </c>
      <c r="W264" s="211" t="e">
        <f>'Secondary cum Calculation'!W583</f>
        <v>#DIV/0!</v>
      </c>
      <c r="X264" s="211" t="e">
        <f>'Secondary cum Calculation'!X583</f>
        <v>#DIV/0!</v>
      </c>
      <c r="Z264" s="12"/>
      <c r="AA264" s="12"/>
      <c r="AB264" s="12"/>
      <c r="AC264" s="12"/>
      <c r="AD264" s="12"/>
    </row>
    <row r="265" spans="1:31">
      <c r="A265" s="6" t="str">
        <f>'Secondary cum Calculation'!A585</f>
        <v>Poland</v>
      </c>
      <c r="B265" s="119" t="str">
        <f>'Secondary cum Calculation'!B585</f>
        <v>Tourism Flows</v>
      </c>
      <c r="C265" s="119" t="str">
        <f>'Secondary cum Calculation'!C585</f>
        <v>International Arrivals by Place of Origin</v>
      </c>
      <c r="D265" s="119" t="str">
        <f>'Secondary cum Calculation'!D585</f>
        <v>South &amp; Central America</v>
      </c>
      <c r="E265" s="6" t="str">
        <f>'Secondary cum Calculation'!E585</f>
        <v>United States Virgin Islands</v>
      </c>
      <c r="F265" s="7" t="str">
        <f>'Secondary cum Calculation'!F585</f>
        <v>The number of international arrivals to a country originating from United States Virgin Islands</v>
      </c>
      <c r="G265" s="7" t="str">
        <f>'Secondary cum Calculation'!G585</f>
        <v>Tourism Demand &amp; Flows Database</v>
      </c>
      <c r="H265" s="7" t="str">
        <f>'Secondary cum Calculation'!H585</f>
        <v>New</v>
      </c>
      <c r="I265" s="7">
        <f>'Secondary cum Calculation'!I585</f>
        <v>0</v>
      </c>
      <c r="J265" s="7" t="str">
        <f>'Secondary cum Calculation'!J585</f>
        <v>Thousand</v>
      </c>
      <c r="K265" s="8">
        <f>'Secondary cum Calculation'!K585</f>
        <v>0</v>
      </c>
      <c r="L265" s="218">
        <f>'Secondary cum Calculation'!L585</f>
        <v>0</v>
      </c>
      <c r="M265" s="218">
        <f>'Secondary cum Calculation'!M585</f>
        <v>0</v>
      </c>
      <c r="N265" s="218">
        <f>'Secondary cum Calculation'!N585</f>
        <v>0</v>
      </c>
      <c r="O265" s="218">
        <f>'Secondary cum Calculation'!O585</f>
        <v>0</v>
      </c>
      <c r="P265" s="218">
        <f>'Secondary cum Calculation'!P585</f>
        <v>0</v>
      </c>
      <c r="Q265" s="218">
        <f>'Secondary cum Calculation'!Q585</f>
        <v>0</v>
      </c>
      <c r="W265" s="211" t="e">
        <f>'Secondary cum Calculation'!W585</f>
        <v>#DIV/0!</v>
      </c>
      <c r="X265" s="211" t="e">
        <f>'Secondary cum Calculation'!X585</f>
        <v>#DIV/0!</v>
      </c>
    </row>
    <row r="266" spans="1:31">
      <c r="A266" s="6" t="str">
        <f>'Secondary cum Calculation'!A587</f>
        <v>Poland</v>
      </c>
      <c r="B266" s="119" t="str">
        <f>'Secondary cum Calculation'!B587</f>
        <v>Tourism Flows</v>
      </c>
      <c r="C266" s="119" t="str">
        <f>'Secondary cum Calculation'!C587</f>
        <v>International Arrivals by Place of Origin</v>
      </c>
      <c r="D266" s="119" t="str">
        <f>'Secondary cum Calculation'!D587</f>
        <v>South &amp; Central America</v>
      </c>
      <c r="E266" s="6" t="str">
        <f>'Secondary cum Calculation'!E587</f>
        <v>Uruguay</v>
      </c>
      <c r="F266" s="7" t="str">
        <f>'Secondary cum Calculation'!F587</f>
        <v>The number of international arrivals to a country originating from Uruguay</v>
      </c>
      <c r="G266" s="7" t="str">
        <f>'Secondary cum Calculation'!G587</f>
        <v>Tourism Demand &amp; Flows Database</v>
      </c>
      <c r="H266" s="7" t="str">
        <f>'Secondary cum Calculation'!H587</f>
        <v>New</v>
      </c>
      <c r="I266" s="7">
        <f>'Secondary cum Calculation'!I587</f>
        <v>0</v>
      </c>
      <c r="J266" s="7" t="str">
        <f>'Secondary cum Calculation'!J587</f>
        <v>Thousand</v>
      </c>
      <c r="K266" s="8">
        <f>'Secondary cum Calculation'!K587</f>
        <v>0</v>
      </c>
      <c r="L266" s="218">
        <f>'Secondary cum Calculation'!L587</f>
        <v>0</v>
      </c>
      <c r="M266" s="218">
        <f>'Secondary cum Calculation'!M587</f>
        <v>0</v>
      </c>
      <c r="N266" s="218">
        <f>'Secondary cum Calculation'!N587</f>
        <v>0</v>
      </c>
      <c r="O266" s="218">
        <f>'Secondary cum Calculation'!O587</f>
        <v>0</v>
      </c>
      <c r="P266" s="218">
        <f>'Secondary cum Calculation'!P587</f>
        <v>0</v>
      </c>
      <c r="Q266" s="218">
        <f>'Secondary cum Calculation'!Q587</f>
        <v>0</v>
      </c>
      <c r="R266" s="132"/>
      <c r="S266" s="132"/>
      <c r="T266" s="132"/>
      <c r="U266" s="132"/>
      <c r="V266" s="132"/>
      <c r="W266" s="211" t="e">
        <f>'Secondary cum Calculation'!W587</f>
        <v>#DIV/0!</v>
      </c>
      <c r="X266" s="211" t="e">
        <f>'Secondary cum Calculation'!X587</f>
        <v>#DIV/0!</v>
      </c>
    </row>
    <row r="267" spans="1:31">
      <c r="A267" s="6" t="str">
        <f>'Secondary cum Calculation'!A589</f>
        <v>Poland</v>
      </c>
      <c r="B267" s="119" t="str">
        <f>'Secondary cum Calculation'!B589</f>
        <v>Tourism Flows</v>
      </c>
      <c r="C267" s="119" t="str">
        <f>'Secondary cum Calculation'!C589</f>
        <v>International Arrivals by Place of Origin</v>
      </c>
      <c r="D267" s="119" t="str">
        <f>'Secondary cum Calculation'!D589</f>
        <v>South &amp; Central America</v>
      </c>
      <c r="E267" s="6" t="str">
        <f>'Secondary cum Calculation'!E589</f>
        <v>Venezuela</v>
      </c>
      <c r="F267" s="7" t="str">
        <f>'Secondary cum Calculation'!F589</f>
        <v>The number of international arrivals to a country originating from Venezuela</v>
      </c>
      <c r="G267" s="7" t="str">
        <f>'Secondary cum Calculation'!G589</f>
        <v>Tourism Demand &amp; Flows Database</v>
      </c>
      <c r="H267" s="7" t="str">
        <f>'Secondary cum Calculation'!H589</f>
        <v>New</v>
      </c>
      <c r="I267" s="7">
        <f>'Secondary cum Calculation'!I589</f>
        <v>0</v>
      </c>
      <c r="J267" s="7" t="str">
        <f>'Secondary cum Calculation'!J589</f>
        <v>Thousand</v>
      </c>
      <c r="K267" s="8">
        <f>'Secondary cum Calculation'!K589</f>
        <v>369.03699999999998</v>
      </c>
      <c r="L267" s="218">
        <f>'Secondary cum Calculation'!L589</f>
        <v>0</v>
      </c>
      <c r="M267" s="218">
        <f>'Secondary cum Calculation'!M589</f>
        <v>0</v>
      </c>
      <c r="N267" s="218">
        <f>'Secondary cum Calculation'!N589</f>
        <v>0</v>
      </c>
      <c r="O267" s="218">
        <f>'Secondary cum Calculation'!O589</f>
        <v>0</v>
      </c>
      <c r="P267" s="218">
        <f>'Secondary cum Calculation'!P589</f>
        <v>0</v>
      </c>
      <c r="Q267" s="218">
        <f>'Secondary cum Calculation'!Q589</f>
        <v>0</v>
      </c>
      <c r="W267" s="211" t="e">
        <f>'Secondary cum Calculation'!W589</f>
        <v>#DIV/0!</v>
      </c>
      <c r="X267" s="211" t="e">
        <f>'Secondary cum Calculation'!X589</f>
        <v>#DIV/0!</v>
      </c>
      <c r="Z267" s="12"/>
      <c r="AA267" s="12"/>
      <c r="AB267" s="12"/>
      <c r="AC267" s="12"/>
      <c r="AD267" s="12"/>
    </row>
    <row r="268" spans="1:31">
      <c r="A268" s="6" t="str">
        <f>'Secondary cum Calculation'!A591</f>
        <v>Poland</v>
      </c>
      <c r="B268" s="119" t="str">
        <f>'Secondary cum Calculation'!B591</f>
        <v>Tourism Flows</v>
      </c>
      <c r="C268" s="119" t="str">
        <f>'Secondary cum Calculation'!C591</f>
        <v>International Arrivals by Place of Origin</v>
      </c>
      <c r="D268" s="119" t="str">
        <f>'Secondary cum Calculation'!D591</f>
        <v>South &amp; Central America</v>
      </c>
      <c r="E268" s="6" t="str">
        <f>'Secondary cum Calculation'!E591</f>
        <v>Other South American Countries</v>
      </c>
      <c r="F268" s="41" t="str">
        <f>'Secondary cum Calculation'!F591</f>
        <v>To be defined according to the gaps in the country data above</v>
      </c>
      <c r="G268" s="41" t="str">
        <f>'Secondary cum Calculation'!G591</f>
        <v>Tourism Demand &amp; Flows Database</v>
      </c>
      <c r="H268" s="41" t="str">
        <f>'Secondary cum Calculation'!H591</f>
        <v>New</v>
      </c>
      <c r="I268" s="41">
        <f>'Secondary cum Calculation'!I591</f>
        <v>0</v>
      </c>
      <c r="J268" s="7" t="str">
        <f>'Secondary cum Calculation'!J591</f>
        <v>Thousand</v>
      </c>
      <c r="K268" s="140">
        <f>'Secondary cum Calculation'!K591</f>
        <v>0</v>
      </c>
      <c r="L268" s="365">
        <f>'Secondary cum Calculation'!L591</f>
        <v>124.7215478821098</v>
      </c>
      <c r="M268" s="365">
        <f>'Secondary cum Calculation'!M591</f>
        <v>105.61380313813152</v>
      </c>
      <c r="N268" s="365">
        <f>'Secondary cum Calculation'!N591</f>
        <v>89.982485120907882</v>
      </c>
      <c r="O268" s="365">
        <f>'Secondary cum Calculation'!O591</f>
        <v>101.64829680960473</v>
      </c>
      <c r="P268" s="365">
        <f>'Secondary cum Calculation'!P591</f>
        <v>92.827273713447013</v>
      </c>
      <c r="Q268" s="365">
        <f>'Secondary cum Calculation'!Q591</f>
        <v>110.3944584958241</v>
      </c>
      <c r="R268" s="126"/>
      <c r="S268" s="126"/>
      <c r="T268" s="126"/>
      <c r="U268" s="126"/>
      <c r="V268" s="126"/>
      <c r="W268" s="211">
        <f>'Secondary cum Calculation'!W591</f>
        <v>1.1129189632818504E-2</v>
      </c>
      <c r="X268" s="211">
        <f>'Secondary cum Calculation'!X591</f>
        <v>-1</v>
      </c>
      <c r="Y268" s="371" t="s">
        <v>1345</v>
      </c>
      <c r="Z268" s="41"/>
      <c r="AA268" s="41"/>
      <c r="AB268" s="41"/>
      <c r="AC268" s="41"/>
      <c r="AD268" s="7">
        <v>2</v>
      </c>
      <c r="AE268" s="41"/>
    </row>
    <row r="269" spans="1:31">
      <c r="A269" s="69" t="str">
        <f>'Secondary cum Calculation'!A593</f>
        <v>Poland</v>
      </c>
      <c r="B269" s="222" t="str">
        <f>'Secondary cum Calculation'!B593</f>
        <v>Tourism Flows</v>
      </c>
      <c r="C269" s="69" t="str">
        <f>'Secondary cum Calculation'!C593</f>
        <v>International Arrivals by Purpose of Visit</v>
      </c>
      <c r="D269" s="67"/>
      <c r="E269" s="67"/>
      <c r="F269" s="67" t="str">
        <f>'Secondary cum Calculation'!F593</f>
        <v>The total number of international arrivals to a country, segmented by the purpose of the visit and the mode of transport used to get to and from the destination.</v>
      </c>
      <c r="G269" s="67" t="str">
        <f>'Secondary cum Calculation'!G593</f>
        <v>Tourism Demand &amp; Flows Database</v>
      </c>
      <c r="H269" s="67" t="str">
        <f>'Secondary cum Calculation'!H593</f>
        <v>Exists</v>
      </c>
      <c r="I269" s="67">
        <f>'Secondary cum Calculation'!I593</f>
        <v>0</v>
      </c>
      <c r="J269" s="67" t="str">
        <f>'Secondary cum Calculation'!J593</f>
        <v>Thousand</v>
      </c>
      <c r="K269" s="74">
        <f>'Secondary cum Calculation'!K593</f>
        <v>0</v>
      </c>
      <c r="L269" s="254">
        <f>'Secondary cum Calculation'!L593</f>
        <v>14975.131262212246</v>
      </c>
      <c r="M269" s="254">
        <f>'Secondary cum Calculation'!M593</f>
        <v>12959.850226300863</v>
      </c>
      <c r="N269" s="254">
        <f>'Secondary cum Calculation'!N593</f>
        <v>11890</v>
      </c>
      <c r="O269" s="254">
        <f>'Secondary cum Calculation'!O593</f>
        <v>12470</v>
      </c>
      <c r="P269" s="254">
        <f>'Secondary cum Calculation'!P593</f>
        <v>13350</v>
      </c>
      <c r="Q269" s="254">
        <f>Forecasting!Q639</f>
        <v>14840.000000000002</v>
      </c>
      <c r="R269" s="254">
        <f>Forecasting!R639</f>
        <v>15491.394687244565</v>
      </c>
      <c r="S269" s="254">
        <f>Forecasting!S639</f>
        <v>16075.885905664962</v>
      </c>
      <c r="T269" s="254">
        <f>Forecasting!T639</f>
        <v>16743.512843757366</v>
      </c>
      <c r="U269" s="254">
        <f>Forecasting!U639</f>
        <v>17530.93536460535</v>
      </c>
      <c r="V269" s="254">
        <f>Forecasting!V639</f>
        <v>18417.93995094355</v>
      </c>
      <c r="W269" s="247">
        <f>'Secondary cum Calculation'!W593</f>
        <v>3.4447560113938902E-2</v>
      </c>
      <c r="X269" s="247">
        <f>'Secondary cum Calculation'!X593</f>
        <v>4.4146483873642506E-2</v>
      </c>
      <c r="Y269" s="371" t="s">
        <v>1345</v>
      </c>
      <c r="AD269" s="7">
        <v>4</v>
      </c>
      <c r="AE269" s="7" t="s">
        <v>1355</v>
      </c>
    </row>
    <row r="270" spans="1:31">
      <c r="A270" s="6" t="str">
        <f>'Secondary cum Calculation'!A595</f>
        <v>Poland</v>
      </c>
      <c r="B270" s="119" t="str">
        <f>'Secondary cum Calculation'!B595</f>
        <v>Tourism Flows</v>
      </c>
      <c r="C270" s="119" t="str">
        <f>'Secondary cum Calculation'!C595</f>
        <v>International Arrivals by Purpose of Visit</v>
      </c>
      <c r="D270" s="6" t="str">
        <f>'Secondary cum Calculation'!D595</f>
        <v>Business</v>
      </c>
      <c r="F270" s="7" t="str">
        <f>'Secondary cum Calculation'!F595</f>
        <v>The number of international arrivals to a country who are engaging in travel &amp; tourism activities on behalf of their business or employer.</v>
      </c>
      <c r="G270" s="7" t="str">
        <f>'Secondary cum Calculation'!G595</f>
        <v>Tourism Demand &amp; Flows Database</v>
      </c>
      <c r="H270" s="7" t="str">
        <f>'Secondary cum Calculation'!H595</f>
        <v>Exists</v>
      </c>
      <c r="I270" s="7" t="str">
        <f>'Secondary cum Calculation'!I595</f>
        <v>UNWTO</v>
      </c>
      <c r="J270" s="7" t="str">
        <f>'Secondary cum Calculation'!J595</f>
        <v>Thousand</v>
      </c>
      <c r="K270" s="8" t="e">
        <f>'Secondary cum Calculation'!K595</f>
        <v>#REF!</v>
      </c>
      <c r="L270" s="358">
        <f>'Secondary cum Calculation'!L595</f>
        <v>4297.9058436177911</v>
      </c>
      <c r="M270" s="358">
        <f>'Secondary cum Calculation'!M595</f>
        <v>3628.7580633642419</v>
      </c>
      <c r="N270" s="358">
        <f>'Secondary cum Calculation'!N595</f>
        <v>3210.3</v>
      </c>
      <c r="O270" s="358">
        <f>'Secondary cum Calculation'!O595</f>
        <v>3117.5</v>
      </c>
      <c r="P270" s="358">
        <f>'Secondary cum Calculation'!P595</f>
        <v>3471</v>
      </c>
      <c r="Q270" s="251">
        <f>Forecasting!Q641</f>
        <v>3839.5399690028439</v>
      </c>
      <c r="R270" s="250">
        <f>Forecasting!R641</f>
        <v>3933.6136609789919</v>
      </c>
      <c r="S270" s="250">
        <f>Forecasting!S641</f>
        <v>4020.2576053901921</v>
      </c>
      <c r="T270" s="250">
        <f>Forecasting!T641</f>
        <v>4103.80165074468</v>
      </c>
      <c r="U270" s="250">
        <f>Forecasting!U641</f>
        <v>4234.7066364105376</v>
      </c>
      <c r="V270" s="250">
        <f>Forecasting!V641</f>
        <v>4377.6053695505616</v>
      </c>
      <c r="W270" s="211">
        <f>'Secondary cum Calculation'!W595</f>
        <v>1.4215619747853347E-2</v>
      </c>
      <c r="X270" s="211">
        <f>'Secondary cum Calculation'!X595</f>
        <v>2.6576889481508159E-2</v>
      </c>
      <c r="Y270" s="13" t="s">
        <v>1223</v>
      </c>
      <c r="Z270" s="7" t="s">
        <v>1224</v>
      </c>
      <c r="AD270" s="7">
        <v>4</v>
      </c>
      <c r="AE270" s="7" t="s">
        <v>1386</v>
      </c>
    </row>
    <row r="271" spans="1:31">
      <c r="A271" s="6" t="str">
        <f>'Secondary cum Calculation'!A597</f>
        <v>Poland</v>
      </c>
      <c r="B271" s="119" t="str">
        <f>'Secondary cum Calculation'!B597</f>
        <v>Tourism Flows</v>
      </c>
      <c r="C271" s="119" t="str">
        <f>'Secondary cum Calculation'!C597</f>
        <v>International Arrivals by Purpose of Visit</v>
      </c>
      <c r="D271" s="6" t="str">
        <f>'Secondary cum Calculation'!D597</f>
        <v>Leisure</v>
      </c>
      <c r="F271" s="7" t="str">
        <f>'Secondary cum Calculation'!F597</f>
        <v>The number of international arrivals to a country who are engaging in travel &amp; tourism activities for personal reasons related to leisure.</v>
      </c>
      <c r="G271" s="7" t="str">
        <f>'Secondary cum Calculation'!G597</f>
        <v>Tourism Demand &amp; Flows Database</v>
      </c>
      <c r="H271" s="7" t="str">
        <f>'Secondary cum Calculation'!H597</f>
        <v>Exists</v>
      </c>
      <c r="I271" s="7" t="str">
        <f>'Secondary cum Calculation'!I597</f>
        <v>UNWTO</v>
      </c>
      <c r="J271" s="7" t="str">
        <f>'Secondary cum Calculation'!J597</f>
        <v>Thousand</v>
      </c>
      <c r="K271" s="8" t="e">
        <f>'Secondary cum Calculation'!K597</f>
        <v>#REF!</v>
      </c>
      <c r="L271" s="358">
        <f>'Secondary cum Calculation'!L597</f>
        <v>9019.9085652861395</v>
      </c>
      <c r="M271" s="358">
        <f>'Secondary cum Calculation'!M597</f>
        <v>7775.9101357805193</v>
      </c>
      <c r="N271" s="358">
        <f>'Secondary cum Calculation'!N597</f>
        <v>7015.0999999999995</v>
      </c>
      <c r="O271" s="358">
        <f>'Secondary cum Calculation'!O597</f>
        <v>7606.7</v>
      </c>
      <c r="P271" s="358">
        <f>'Secondary cum Calculation'!P597</f>
        <v>8010.0000000000009</v>
      </c>
      <c r="Q271" s="251">
        <f>Forecasting!Q643</f>
        <v>8941.8938197013758</v>
      </c>
      <c r="R271" s="250">
        <f>Forecasting!R643</f>
        <v>9353.6538367743979</v>
      </c>
      <c r="S271" s="250">
        <f>Forecasting!S643</f>
        <v>9704.2452729572615</v>
      </c>
      <c r="T271" s="250">
        <f>Forecasting!T643</f>
        <v>10161.509202673269</v>
      </c>
      <c r="U271" s="250">
        <f>Forecasting!U643</f>
        <v>10680.483105977279</v>
      </c>
      <c r="V271" s="250">
        <f>Forecasting!V643</f>
        <v>11263.114246042038</v>
      </c>
      <c r="W271" s="211">
        <f>'Secondary cum Calculation'!W597</f>
        <v>3.5546413577605351E-2</v>
      </c>
      <c r="X271" s="211">
        <f>'Secondary cum Calculation'!X597</f>
        <v>4.7238973115547367E-2</v>
      </c>
      <c r="Y271" s="13" t="s">
        <v>1223</v>
      </c>
      <c r="Z271" s="7" t="s">
        <v>1224</v>
      </c>
      <c r="AD271" s="7">
        <v>4</v>
      </c>
      <c r="AE271" s="7" t="s">
        <v>1386</v>
      </c>
    </row>
    <row r="272" spans="1:31">
      <c r="A272" s="6" t="str">
        <f>'Secondary cum Calculation'!A599</f>
        <v>Poland</v>
      </c>
      <c r="B272" s="119" t="str">
        <f>'Secondary cum Calculation'!B599</f>
        <v>Tourism Flows</v>
      </c>
      <c r="C272" s="119" t="str">
        <f>'Secondary cum Calculation'!C599</f>
        <v>International Arrivals by Purpose of Visit</v>
      </c>
      <c r="D272" s="6" t="str">
        <f>'Secondary cum Calculation'!D599</f>
        <v>Other Personal</v>
      </c>
      <c r="E272" s="6"/>
      <c r="F272" s="7" t="str">
        <f>'Secondary cum Calculation'!F599</f>
        <v>The number of international arrivals to a country who are engaging in travel &amp; tourism activities for non-business or non-leisure related personal reasons, including for the purpose of pilgrimage, health and medical, education and training, transit, volunteer work (not included elsewhere), investigative work and migration possibilities, and the undertaking any other temporary non-remunerated activities not included elsewhere.</v>
      </c>
      <c r="G272" s="7" t="str">
        <f>'Secondary cum Calculation'!G599</f>
        <v>Tourism Demand &amp; Flows Database</v>
      </c>
      <c r="H272" s="7" t="str">
        <f>'Secondary cum Calculation'!H599</f>
        <v>Exists</v>
      </c>
      <c r="I272" s="7" t="str">
        <f>'Secondary cum Calculation'!I599</f>
        <v>UNWTO</v>
      </c>
      <c r="J272" s="7" t="str">
        <f>'Secondary cum Calculation'!J599</f>
        <v>Thousand</v>
      </c>
      <c r="K272" s="8" t="e">
        <f>'Secondary cum Calculation'!K599</f>
        <v>#REF!</v>
      </c>
      <c r="L272" s="358">
        <f>'Secondary cum Calculation'!L599</f>
        <v>1657.3168533083151</v>
      </c>
      <c r="M272" s="358">
        <f>'Secondary cum Calculation'!M599</f>
        <v>1555.1820271561021</v>
      </c>
      <c r="N272" s="358">
        <f>'Secondary cum Calculation'!N599</f>
        <v>1664.6000000000001</v>
      </c>
      <c r="O272" s="358">
        <f>'Secondary cum Calculation'!O599</f>
        <v>1745.8000000000002</v>
      </c>
      <c r="P272" s="358">
        <f>'Secondary cum Calculation'!P599</f>
        <v>1868.9999999999986</v>
      </c>
      <c r="Q272" s="251">
        <f>Forecasting!Q645</f>
        <v>2058.566211295783</v>
      </c>
      <c r="R272" s="250">
        <f>Forecasting!R645</f>
        <v>2204.1271894911756</v>
      </c>
      <c r="S272" s="250">
        <f>Forecasting!S645</f>
        <v>2351.3830273175081</v>
      </c>
      <c r="T272" s="250">
        <f>Forecasting!T645</f>
        <v>2478.2019903394175</v>
      </c>
      <c r="U272" s="250">
        <f>Forecasting!U645</f>
        <v>2615.7456222175324</v>
      </c>
      <c r="V272" s="250">
        <f>Forecasting!V645</f>
        <v>2777.2203353509494</v>
      </c>
      <c r="W272" s="211">
        <f>'Secondary cum Calculation'!W599</f>
        <v>7.2620030516287182E-2</v>
      </c>
      <c r="X272" s="211">
        <f>'Secondary cum Calculation'!X599</f>
        <v>6.1717801969430441E-2</v>
      </c>
      <c r="Y272" s="13" t="s">
        <v>1223</v>
      </c>
      <c r="Z272" s="7" t="s">
        <v>1224</v>
      </c>
      <c r="AD272" s="7">
        <v>4</v>
      </c>
      <c r="AE272" s="7" t="s">
        <v>1386</v>
      </c>
    </row>
    <row r="273" spans="1:31">
      <c r="A273" s="69" t="str">
        <f>'Secondary cum Calculation'!A606</f>
        <v>Poland</v>
      </c>
      <c r="B273" s="222" t="str">
        <f>'Secondary cum Calculation'!B606</f>
        <v>Tourism Flows</v>
      </c>
      <c r="C273" s="69" t="str">
        <f>'Secondary cum Calculation'!C606</f>
        <v>International Departures by Destination</v>
      </c>
      <c r="D273" s="67"/>
      <c r="E273" s="67"/>
      <c r="F273" s="67" t="str">
        <f>'Secondary cum Calculation'!F606</f>
        <v>The number of international departures from a country, segmented by their destination region and/or country.</v>
      </c>
      <c r="G273" s="67" t="str">
        <f>'Secondary cum Calculation'!G606</f>
        <v>Tourism Demand &amp; Flows Database</v>
      </c>
      <c r="H273" s="67" t="str">
        <f>'Secondary cum Calculation'!H606</f>
        <v>N/A</v>
      </c>
      <c r="I273" s="67">
        <f>'Secondary cum Calculation'!I606</f>
        <v>0</v>
      </c>
      <c r="J273" s="67" t="str">
        <f>'Secondary cum Calculation'!J606</f>
        <v>Thousand</v>
      </c>
      <c r="K273" s="223">
        <f>'Secondary cum Calculation'!K606</f>
        <v>0</v>
      </c>
      <c r="L273" s="254">
        <f>'Secondary cum Calculation'!L606</f>
        <v>6917.0000000000009</v>
      </c>
      <c r="M273" s="254">
        <f>'Secondary cum Calculation'!M606</f>
        <v>7574</v>
      </c>
      <c r="N273" s="254">
        <f>'Secondary cum Calculation'!N606</f>
        <v>6318</v>
      </c>
      <c r="O273" s="254">
        <f>'Secondary cum Calculation'!O606</f>
        <v>7121.5</v>
      </c>
      <c r="P273" s="254">
        <f>'Secondary cum Calculation'!P606</f>
        <v>6326.5999999999995</v>
      </c>
      <c r="Q273" s="369">
        <f>Forecasting!Q652</f>
        <v>6195.141275822938</v>
      </c>
      <c r="R273" s="254">
        <f>Forecasting!R652</f>
        <v>6270.8569376655214</v>
      </c>
      <c r="S273" s="254">
        <f>Forecasting!S652</f>
        <v>6371.8975225233071</v>
      </c>
      <c r="T273" s="254">
        <f>Forecasting!T652</f>
        <v>6422.7908983747702</v>
      </c>
      <c r="U273" s="254">
        <f>Forecasting!U652</f>
        <v>6503.3045829005732</v>
      </c>
      <c r="V273" s="254">
        <f>Forecasting!V652</f>
        <v>6579.1028306528524</v>
      </c>
      <c r="W273" s="248">
        <f>'Secondary cum Calculation'!W606</f>
        <v>-4.8997894506850437E-2</v>
      </c>
      <c r="X273" s="248">
        <f>'Secondary cum Calculation'!X606</f>
        <v>1.209922420888665E-2</v>
      </c>
      <c r="Y273" s="371" t="s">
        <v>1126</v>
      </c>
      <c r="Z273" s="11"/>
      <c r="AA273" s="11"/>
      <c r="AB273" s="11"/>
      <c r="AC273" s="11"/>
      <c r="AD273" s="7">
        <v>4</v>
      </c>
      <c r="AE273" s="7" t="s">
        <v>1356</v>
      </c>
    </row>
    <row r="274" spans="1:31">
      <c r="A274" s="213" t="str">
        <f>'Secondary cum Calculation'!A608</f>
        <v>Poland</v>
      </c>
      <c r="B274" s="214" t="str">
        <f>'Secondary cum Calculation'!B608</f>
        <v>Tourism Flows</v>
      </c>
      <c r="C274" s="214" t="str">
        <f>'Secondary cum Calculation'!C608</f>
        <v>International Departures by Destination</v>
      </c>
      <c r="D274" s="213" t="str">
        <f>'Secondary cum Calculation'!D608</f>
        <v>Africa</v>
      </c>
      <c r="E274" s="215"/>
      <c r="F274" s="215" t="str">
        <f>'Secondary cum Calculation'!F608</f>
        <v>The number of international departures from a country to Africa</v>
      </c>
      <c r="G274" s="215" t="str">
        <f>'Secondary cum Calculation'!G608</f>
        <v>Tourism Demand &amp; Flows Database</v>
      </c>
      <c r="H274" s="215" t="str">
        <f>'Secondary cum Calculation'!H608</f>
        <v>New</v>
      </c>
      <c r="I274" s="215">
        <f>'Secondary cum Calculation'!I608</f>
        <v>0</v>
      </c>
      <c r="J274" s="215" t="str">
        <f>'Secondary cum Calculation'!J608</f>
        <v>Thousand</v>
      </c>
      <c r="K274" s="216">
        <f>'Secondary cum Calculation'!K608</f>
        <v>0</v>
      </c>
      <c r="L274" s="253">
        <f>'Secondary cum Calculation'!L608</f>
        <v>382.89155755482369</v>
      </c>
      <c r="M274" s="253">
        <f>'Secondary cum Calculation'!M608</f>
        <v>398.72415455056625</v>
      </c>
      <c r="N274" s="253">
        <f>'Secondary cum Calculation'!N608</f>
        <v>366.04683107076875</v>
      </c>
      <c r="O274" s="253">
        <f>'Secondary cum Calculation'!O608</f>
        <v>383</v>
      </c>
      <c r="P274" s="253">
        <f>'Secondary cum Calculation'!P608</f>
        <v>353</v>
      </c>
      <c r="Q274" s="364">
        <f>Forecasting!Q654</f>
        <v>345.89910164252427</v>
      </c>
      <c r="R274" s="253">
        <f>Forecasting!R654</f>
        <v>351.02611919350994</v>
      </c>
      <c r="S274" s="253">
        <f>Forecasting!S654</f>
        <v>354.91081683862433</v>
      </c>
      <c r="T274" s="253">
        <f>Forecasting!T654</f>
        <v>357.97148839283631</v>
      </c>
      <c r="U274" s="253">
        <f>Forecasting!U654</f>
        <v>362.49630884309539</v>
      </c>
      <c r="V274" s="253">
        <f>Forecasting!V654</f>
        <v>369.06629403248792</v>
      </c>
      <c r="W274" s="246">
        <f>'Secondary cum Calculation'!W608</f>
        <v>-3.490687456807684E-2</v>
      </c>
      <c r="X274" s="246">
        <f>'Secondary cum Calculation'!X608</f>
        <v>1.305025443728991E-2</v>
      </c>
      <c r="Y274" s="371" t="s">
        <v>1126</v>
      </c>
      <c r="Z274" s="11"/>
      <c r="AA274" s="11"/>
      <c r="AB274" s="11"/>
      <c r="AC274" s="11"/>
      <c r="AD274" s="7">
        <v>4</v>
      </c>
      <c r="AE274" s="7" t="s">
        <v>1384</v>
      </c>
    </row>
    <row r="275" spans="1:31">
      <c r="A275" s="6" t="str">
        <f>'Secondary cum Calculation'!A610</f>
        <v>Poland</v>
      </c>
      <c r="B275" s="119" t="str">
        <f>'Secondary cum Calculation'!B610</f>
        <v>Tourism Flows</v>
      </c>
      <c r="C275" s="119" t="str">
        <f>'Secondary cum Calculation'!C610</f>
        <v>International Departures by Destination</v>
      </c>
      <c r="D275" s="119" t="str">
        <f>'Secondary cum Calculation'!D610</f>
        <v>Africa</v>
      </c>
      <c r="E275" s="6" t="str">
        <f>'Secondary cum Calculation'!E610</f>
        <v>Algeria</v>
      </c>
      <c r="F275" s="7" t="str">
        <f>'Secondary cum Calculation'!F610</f>
        <v>The number of international departures from a country to Algeria</v>
      </c>
      <c r="G275" s="7" t="str">
        <f>'Secondary cum Calculation'!G610</f>
        <v>Tourism Demand &amp; Flows Database</v>
      </c>
      <c r="H275" s="7" t="str">
        <f>'Secondary cum Calculation'!H610</f>
        <v>New</v>
      </c>
      <c r="I275" s="7">
        <f>'Secondary cum Calculation'!I610</f>
        <v>0</v>
      </c>
      <c r="J275" s="7" t="str">
        <f>'Secondary cum Calculation'!J610</f>
        <v>Thousand</v>
      </c>
      <c r="K275" s="8">
        <f>'Secondary cum Calculation'!K610</f>
        <v>0</v>
      </c>
      <c r="L275" s="358">
        <f>'Secondary cum Calculation'!L610</f>
        <v>0</v>
      </c>
      <c r="M275" s="358">
        <f>'Secondary cum Calculation'!M610</f>
        <v>0</v>
      </c>
      <c r="N275" s="358">
        <f>'Secondary cum Calculation'!N610</f>
        <v>0</v>
      </c>
      <c r="O275" s="358">
        <f>'Secondary cum Calculation'!O610</f>
        <v>0</v>
      </c>
      <c r="P275" s="358">
        <f>'Secondary cum Calculation'!P610</f>
        <v>0</v>
      </c>
      <c r="Q275" s="358">
        <f>'Secondary cum Calculation'!Q610</f>
        <v>0</v>
      </c>
      <c r="R275" s="218"/>
      <c r="S275" s="218"/>
      <c r="T275" s="218"/>
      <c r="U275" s="218"/>
      <c r="V275" s="218"/>
      <c r="W275" s="211" t="e">
        <f>'Secondary cum Calculation'!W610</f>
        <v>#DIV/0!</v>
      </c>
      <c r="X275" s="211" t="e">
        <f>'Secondary cum Calculation'!X610</f>
        <v>#DIV/0!</v>
      </c>
      <c r="Y275" s="7" t="s">
        <v>1122</v>
      </c>
      <c r="Z275" s="371" t="s">
        <v>1344</v>
      </c>
      <c r="AA275" s="11"/>
      <c r="AB275" s="11"/>
      <c r="AC275" s="11"/>
      <c r="AD275" s="11"/>
    </row>
    <row r="276" spans="1:31" ht="14.25">
      <c r="A276" s="6" t="str">
        <f>'Secondary cum Calculation'!A612</f>
        <v>Poland</v>
      </c>
      <c r="B276" s="119" t="str">
        <f>'Secondary cum Calculation'!B612</f>
        <v>Tourism Flows</v>
      </c>
      <c r="C276" s="119" t="str">
        <f>'Secondary cum Calculation'!C612</f>
        <v>International Departures by Destination</v>
      </c>
      <c r="D276" s="119" t="str">
        <f>'Secondary cum Calculation'!D612</f>
        <v>Africa</v>
      </c>
      <c r="E276" s="6" t="str">
        <f>'Secondary cum Calculation'!E612</f>
        <v>Angola</v>
      </c>
      <c r="F276" s="7" t="str">
        <f>'Secondary cum Calculation'!F612</f>
        <v>The number of international departures from a country to Angola</v>
      </c>
      <c r="G276" s="7" t="str">
        <f>'Secondary cum Calculation'!G612</f>
        <v>Tourism Demand &amp; Flows Database</v>
      </c>
      <c r="H276" s="7" t="str">
        <f>'Secondary cum Calculation'!H612</f>
        <v>New</v>
      </c>
      <c r="I276" s="7">
        <f>'Secondary cum Calculation'!I612</f>
        <v>0</v>
      </c>
      <c r="J276" s="7" t="str">
        <f>'Secondary cum Calculation'!J612</f>
        <v>Thousand</v>
      </c>
      <c r="K276" s="8">
        <f>'Secondary cum Calculation'!K612</f>
        <v>0</v>
      </c>
      <c r="L276" s="358">
        <f>'Secondary cum Calculation'!L612</f>
        <v>0</v>
      </c>
      <c r="M276" s="358">
        <f>'Secondary cum Calculation'!M612</f>
        <v>0</v>
      </c>
      <c r="N276" s="358">
        <f>'Secondary cum Calculation'!N612</f>
        <v>0</v>
      </c>
      <c r="O276" s="358">
        <f>'Secondary cum Calculation'!O612</f>
        <v>0</v>
      </c>
      <c r="P276" s="358">
        <f>'Secondary cum Calculation'!P612</f>
        <v>0</v>
      </c>
      <c r="Q276" s="358">
        <f>'Secondary cum Calculation'!Q612</f>
        <v>0</v>
      </c>
      <c r="R276" s="218"/>
      <c r="S276" s="218"/>
      <c r="T276" s="218"/>
      <c r="U276" s="218"/>
      <c r="V276" s="218"/>
      <c r="W276" s="211" t="e">
        <f>'Secondary cum Calculation'!W612</f>
        <v>#DIV/0!</v>
      </c>
      <c r="X276" s="211" t="e">
        <f>'Secondary cum Calculation'!X612</f>
        <v>#DIV/0!</v>
      </c>
      <c r="Z276" s="11"/>
      <c r="AA276" s="11"/>
      <c r="AB276" s="11"/>
      <c r="AC276" s="11"/>
      <c r="AD276" s="11"/>
      <c r="AE276" s="169"/>
    </row>
    <row r="277" spans="1:31">
      <c r="A277" s="6" t="str">
        <f>'Secondary cum Calculation'!A614</f>
        <v>Poland</v>
      </c>
      <c r="B277" s="119" t="str">
        <f>'Secondary cum Calculation'!B614</f>
        <v>Tourism Flows</v>
      </c>
      <c r="C277" s="119" t="str">
        <f>'Secondary cum Calculation'!C614</f>
        <v>International Departures by Destination</v>
      </c>
      <c r="D277" s="119" t="str">
        <f>'Secondary cum Calculation'!D614</f>
        <v>Africa</v>
      </c>
      <c r="E277" s="6" t="str">
        <f>'Secondary cum Calculation'!E614</f>
        <v>Benin</v>
      </c>
      <c r="F277" s="7" t="str">
        <f>'Secondary cum Calculation'!F614</f>
        <v>The number of international departures from a country to Benin</v>
      </c>
      <c r="G277" s="7" t="str">
        <f>'Secondary cum Calculation'!G614</f>
        <v>Tourism Demand &amp; Flows Database</v>
      </c>
      <c r="H277" s="7" t="str">
        <f>'Secondary cum Calculation'!H614</f>
        <v>New</v>
      </c>
      <c r="I277" s="7">
        <f>'Secondary cum Calculation'!I614</f>
        <v>0</v>
      </c>
      <c r="J277" s="7" t="str">
        <f>'Secondary cum Calculation'!J614</f>
        <v>Thousand</v>
      </c>
      <c r="K277" s="8">
        <f>'Secondary cum Calculation'!K614</f>
        <v>0</v>
      </c>
      <c r="L277" s="358">
        <f>'Secondary cum Calculation'!L614</f>
        <v>0</v>
      </c>
      <c r="M277" s="358">
        <f>'Secondary cum Calculation'!M614</f>
        <v>0</v>
      </c>
      <c r="N277" s="358">
        <f>'Secondary cum Calculation'!N614</f>
        <v>0</v>
      </c>
      <c r="O277" s="358">
        <f>'Secondary cum Calculation'!O614</f>
        <v>0</v>
      </c>
      <c r="P277" s="358">
        <f>'Secondary cum Calculation'!P614</f>
        <v>0</v>
      </c>
      <c r="Q277" s="358">
        <f>'Secondary cum Calculation'!Q614</f>
        <v>0</v>
      </c>
      <c r="R277" s="218"/>
      <c r="S277" s="218"/>
      <c r="T277" s="218"/>
      <c r="U277" s="218"/>
      <c r="V277" s="218"/>
      <c r="W277" s="211" t="e">
        <f>'Secondary cum Calculation'!W614</f>
        <v>#DIV/0!</v>
      </c>
      <c r="X277" s="211" t="e">
        <f>'Secondary cum Calculation'!X614</f>
        <v>#DIV/0!</v>
      </c>
      <c r="Z277" s="11"/>
      <c r="AA277" s="11"/>
      <c r="AB277" s="11"/>
      <c r="AC277" s="11"/>
      <c r="AD277" s="11"/>
    </row>
    <row r="278" spans="1:31">
      <c r="A278" s="6" t="str">
        <f>'Secondary cum Calculation'!A616</f>
        <v>Poland</v>
      </c>
      <c r="B278" s="119" t="str">
        <f>'Secondary cum Calculation'!B616</f>
        <v>Tourism Flows</v>
      </c>
      <c r="C278" s="119" t="str">
        <f>'Secondary cum Calculation'!C616</f>
        <v>International Departures by Destination</v>
      </c>
      <c r="D278" s="119" t="str">
        <f>'Secondary cum Calculation'!D616</f>
        <v>Africa</v>
      </c>
      <c r="E278" s="6" t="str">
        <f>'Secondary cum Calculation'!E616</f>
        <v>Botswana</v>
      </c>
      <c r="F278" s="7" t="str">
        <f>'Secondary cum Calculation'!F616</f>
        <v>The number of international departures from a country to Botswana</v>
      </c>
      <c r="G278" s="7" t="str">
        <f>'Secondary cum Calculation'!G616</f>
        <v>Tourism Demand &amp; Flows Database</v>
      </c>
      <c r="H278" s="7" t="str">
        <f>'Secondary cum Calculation'!H616</f>
        <v>New</v>
      </c>
      <c r="I278" s="7">
        <f>'Secondary cum Calculation'!I616</f>
        <v>0</v>
      </c>
      <c r="J278" s="7" t="str">
        <f>'Secondary cum Calculation'!J616</f>
        <v>Thousand</v>
      </c>
      <c r="K278" s="8">
        <f>'Secondary cum Calculation'!K616</f>
        <v>0</v>
      </c>
      <c r="L278" s="358">
        <f>'Secondary cum Calculation'!L616</f>
        <v>0</v>
      </c>
      <c r="M278" s="358">
        <f>'Secondary cum Calculation'!M616</f>
        <v>0</v>
      </c>
      <c r="N278" s="358">
        <f>'Secondary cum Calculation'!N616</f>
        <v>0</v>
      </c>
      <c r="O278" s="358">
        <f>'Secondary cum Calculation'!O616</f>
        <v>0</v>
      </c>
      <c r="P278" s="358">
        <f>'Secondary cum Calculation'!P616</f>
        <v>0</v>
      </c>
      <c r="Q278" s="358">
        <f>'Secondary cum Calculation'!Q616</f>
        <v>0</v>
      </c>
      <c r="R278" s="218"/>
      <c r="S278" s="218"/>
      <c r="T278" s="218"/>
      <c r="U278" s="218"/>
      <c r="V278" s="218"/>
      <c r="W278" s="211" t="e">
        <f>'Secondary cum Calculation'!W616</f>
        <v>#DIV/0!</v>
      </c>
      <c r="X278" s="211" t="e">
        <f>'Secondary cum Calculation'!X616</f>
        <v>#DIV/0!</v>
      </c>
      <c r="Z278" s="11"/>
      <c r="AA278" s="11"/>
      <c r="AB278" s="11"/>
      <c r="AC278" s="11"/>
      <c r="AD278" s="11"/>
    </row>
    <row r="279" spans="1:31">
      <c r="A279" s="6" t="str">
        <f>'Secondary cum Calculation'!A618</f>
        <v>Poland</v>
      </c>
      <c r="B279" s="119" t="str">
        <f>'Secondary cum Calculation'!B618</f>
        <v>Tourism Flows</v>
      </c>
      <c r="C279" s="119" t="str">
        <f>'Secondary cum Calculation'!C618</f>
        <v>International Departures by Destination</v>
      </c>
      <c r="D279" s="119" t="str">
        <f>'Secondary cum Calculation'!D618</f>
        <v>Africa</v>
      </c>
      <c r="E279" s="6" t="str">
        <f>'Secondary cum Calculation'!E618</f>
        <v>Burkina Faso</v>
      </c>
      <c r="F279" s="7" t="str">
        <f>'Secondary cum Calculation'!F618</f>
        <v>The number of international departures from a country to Burkina Faso</v>
      </c>
      <c r="G279" s="7" t="str">
        <f>'Secondary cum Calculation'!G618</f>
        <v>Tourism Demand &amp; Flows Database</v>
      </c>
      <c r="H279" s="7" t="str">
        <f>'Secondary cum Calculation'!H618</f>
        <v>New</v>
      </c>
      <c r="I279" s="7">
        <f>'Secondary cum Calculation'!I618</f>
        <v>0</v>
      </c>
      <c r="J279" s="7" t="str">
        <f>'Secondary cum Calculation'!J618</f>
        <v>Thousand</v>
      </c>
      <c r="K279" s="8">
        <f>'Secondary cum Calculation'!K618</f>
        <v>0</v>
      </c>
      <c r="L279" s="358">
        <f>'Secondary cum Calculation'!L618</f>
        <v>0</v>
      </c>
      <c r="M279" s="358">
        <f>'Secondary cum Calculation'!M618</f>
        <v>0</v>
      </c>
      <c r="N279" s="358">
        <f>'Secondary cum Calculation'!N618</f>
        <v>0</v>
      </c>
      <c r="O279" s="358">
        <f>'Secondary cum Calculation'!O618</f>
        <v>0</v>
      </c>
      <c r="P279" s="358">
        <f>'Secondary cum Calculation'!P618</f>
        <v>0</v>
      </c>
      <c r="Q279" s="358">
        <f>'Secondary cum Calculation'!Q618</f>
        <v>0</v>
      </c>
      <c r="R279" s="218"/>
      <c r="S279" s="218"/>
      <c r="T279" s="218"/>
      <c r="U279" s="218"/>
      <c r="V279" s="218"/>
      <c r="W279" s="211" t="e">
        <f>'Secondary cum Calculation'!W618</f>
        <v>#DIV/0!</v>
      </c>
      <c r="X279" s="211" t="e">
        <f>'Secondary cum Calculation'!X618</f>
        <v>#DIV/0!</v>
      </c>
      <c r="Z279" s="11"/>
      <c r="AA279" s="11"/>
      <c r="AB279" s="11"/>
      <c r="AC279" s="11"/>
      <c r="AD279" s="11"/>
    </row>
    <row r="280" spans="1:31">
      <c r="A280" s="6" t="str">
        <f>'Secondary cum Calculation'!A620</f>
        <v>Poland</v>
      </c>
      <c r="B280" s="119" t="str">
        <f>'Secondary cum Calculation'!B620</f>
        <v>Tourism Flows</v>
      </c>
      <c r="C280" s="119" t="str">
        <f>'Secondary cum Calculation'!C620</f>
        <v>International Departures by Destination</v>
      </c>
      <c r="D280" s="119" t="str">
        <f>'Secondary cum Calculation'!D620</f>
        <v>Africa</v>
      </c>
      <c r="E280" s="6" t="str">
        <f>'Secondary cum Calculation'!E620</f>
        <v>Burundi</v>
      </c>
      <c r="F280" s="7" t="str">
        <f>'Secondary cum Calculation'!F620</f>
        <v>The number of international departures from a country to Burundi</v>
      </c>
      <c r="G280" s="7" t="str">
        <f>'Secondary cum Calculation'!G620</f>
        <v>Tourism Demand &amp; Flows Database</v>
      </c>
      <c r="H280" s="7" t="str">
        <f>'Secondary cum Calculation'!H620</f>
        <v>New</v>
      </c>
      <c r="I280" s="7">
        <f>'Secondary cum Calculation'!I620</f>
        <v>0</v>
      </c>
      <c r="J280" s="7" t="str">
        <f>'Secondary cum Calculation'!J620</f>
        <v>Thousand</v>
      </c>
      <c r="K280" s="8">
        <f>'Secondary cum Calculation'!K620</f>
        <v>0</v>
      </c>
      <c r="L280" s="358">
        <f>'Secondary cum Calculation'!L620</f>
        <v>0</v>
      </c>
      <c r="M280" s="358">
        <f>'Secondary cum Calculation'!M620</f>
        <v>0</v>
      </c>
      <c r="N280" s="358">
        <f>'Secondary cum Calculation'!N620</f>
        <v>0</v>
      </c>
      <c r="O280" s="358">
        <f>'Secondary cum Calculation'!O620</f>
        <v>0</v>
      </c>
      <c r="P280" s="358">
        <f>'Secondary cum Calculation'!P620</f>
        <v>0</v>
      </c>
      <c r="Q280" s="358">
        <f>'Secondary cum Calculation'!Q620</f>
        <v>0</v>
      </c>
      <c r="R280" s="218"/>
      <c r="S280" s="218"/>
      <c r="T280" s="218"/>
      <c r="U280" s="218"/>
      <c r="V280" s="218"/>
      <c r="W280" s="211" t="e">
        <f>'Secondary cum Calculation'!W620</f>
        <v>#DIV/0!</v>
      </c>
      <c r="X280" s="211" t="e">
        <f>'Secondary cum Calculation'!X620</f>
        <v>#DIV/0!</v>
      </c>
      <c r="Z280" s="11"/>
      <c r="AA280" s="11"/>
      <c r="AB280" s="11"/>
      <c r="AC280" s="11"/>
      <c r="AD280" s="11"/>
    </row>
    <row r="281" spans="1:31">
      <c r="A281" s="6" t="str">
        <f>'Secondary cum Calculation'!A622</f>
        <v>Poland</v>
      </c>
      <c r="B281" s="119" t="str">
        <f>'Secondary cum Calculation'!B622</f>
        <v>Tourism Flows</v>
      </c>
      <c r="C281" s="119" t="str">
        <f>'Secondary cum Calculation'!C622</f>
        <v>International Departures by Destination</v>
      </c>
      <c r="D281" s="119" t="str">
        <f>'Secondary cum Calculation'!D622</f>
        <v>Africa</v>
      </c>
      <c r="E281" s="6" t="str">
        <f>'Secondary cum Calculation'!E622</f>
        <v>Cameroon</v>
      </c>
      <c r="F281" s="7" t="str">
        <f>'Secondary cum Calculation'!F622</f>
        <v>The number of international departures from a country to Cameroon</v>
      </c>
      <c r="G281" s="7" t="str">
        <f>'Secondary cum Calculation'!G622</f>
        <v>Tourism Demand &amp; Flows Database</v>
      </c>
      <c r="H281" s="7" t="str">
        <f>'Secondary cum Calculation'!H622</f>
        <v>New</v>
      </c>
      <c r="I281" s="7">
        <f>'Secondary cum Calculation'!I622</f>
        <v>0</v>
      </c>
      <c r="J281" s="7" t="str">
        <f>'Secondary cum Calculation'!J622</f>
        <v>Thousand</v>
      </c>
      <c r="K281" s="8">
        <f>'Secondary cum Calculation'!K622</f>
        <v>0</v>
      </c>
      <c r="L281" s="358">
        <f>'Secondary cum Calculation'!L622</f>
        <v>0</v>
      </c>
      <c r="M281" s="358">
        <f>'Secondary cum Calculation'!M622</f>
        <v>0</v>
      </c>
      <c r="N281" s="358">
        <f>'Secondary cum Calculation'!N622</f>
        <v>0</v>
      </c>
      <c r="O281" s="358">
        <f>'Secondary cum Calculation'!O622</f>
        <v>0</v>
      </c>
      <c r="P281" s="358">
        <f>'Secondary cum Calculation'!P622</f>
        <v>0</v>
      </c>
      <c r="Q281" s="358">
        <f>'Secondary cum Calculation'!Q622</f>
        <v>0</v>
      </c>
      <c r="R281" s="218"/>
      <c r="S281" s="218"/>
      <c r="T281" s="218"/>
      <c r="U281" s="218"/>
      <c r="V281" s="218"/>
      <c r="W281" s="211" t="e">
        <f>'Secondary cum Calculation'!W622</f>
        <v>#DIV/0!</v>
      </c>
      <c r="X281" s="211" t="e">
        <f>'Secondary cum Calculation'!X622</f>
        <v>#DIV/0!</v>
      </c>
      <c r="Z281" s="11"/>
      <c r="AA281" s="11"/>
      <c r="AB281" s="11"/>
      <c r="AC281" s="11"/>
      <c r="AD281" s="11"/>
    </row>
    <row r="282" spans="1:31">
      <c r="A282" s="6" t="str">
        <f>'Secondary cum Calculation'!A624</f>
        <v>Poland</v>
      </c>
      <c r="B282" s="119" t="str">
        <f>'Secondary cum Calculation'!B624</f>
        <v>Tourism Flows</v>
      </c>
      <c r="C282" s="119" t="str">
        <f>'Secondary cum Calculation'!C624</f>
        <v>International Departures by Destination</v>
      </c>
      <c r="D282" s="119" t="str">
        <f>'Secondary cum Calculation'!D624</f>
        <v>Africa</v>
      </c>
      <c r="E282" s="6" t="str">
        <f>'Secondary cum Calculation'!E624</f>
        <v>Cape Verde</v>
      </c>
      <c r="F282" s="7" t="str">
        <f>'Secondary cum Calculation'!F624</f>
        <v>The number of international departures from a country to Cape Verde</v>
      </c>
      <c r="G282" s="7" t="str">
        <f>'Secondary cum Calculation'!G624</f>
        <v>Tourism Demand &amp; Flows Database</v>
      </c>
      <c r="H282" s="7" t="str">
        <f>'Secondary cum Calculation'!H624</f>
        <v>New</v>
      </c>
      <c r="I282" s="7">
        <f>'Secondary cum Calculation'!I624</f>
        <v>0</v>
      </c>
      <c r="J282" s="7" t="str">
        <f>'Secondary cum Calculation'!J624</f>
        <v>Thousand</v>
      </c>
      <c r="K282" s="8">
        <f>'Secondary cum Calculation'!K624</f>
        <v>0</v>
      </c>
      <c r="L282" s="358">
        <f>'Secondary cum Calculation'!L624</f>
        <v>0</v>
      </c>
      <c r="M282" s="358">
        <f>'Secondary cum Calculation'!M624</f>
        <v>0</v>
      </c>
      <c r="N282" s="358">
        <f>'Secondary cum Calculation'!N624</f>
        <v>0</v>
      </c>
      <c r="O282" s="358">
        <f>'Secondary cum Calculation'!O624</f>
        <v>0</v>
      </c>
      <c r="P282" s="358">
        <f>'Secondary cum Calculation'!P624</f>
        <v>0</v>
      </c>
      <c r="Q282" s="358">
        <f>'Secondary cum Calculation'!Q624</f>
        <v>0</v>
      </c>
      <c r="R282" s="218"/>
      <c r="S282" s="218"/>
      <c r="T282" s="218"/>
      <c r="U282" s="218"/>
      <c r="V282" s="218"/>
      <c r="W282" s="211" t="e">
        <f>'Secondary cum Calculation'!W624</f>
        <v>#DIV/0!</v>
      </c>
      <c r="X282" s="211" t="e">
        <f>'Secondary cum Calculation'!X624</f>
        <v>#DIV/0!</v>
      </c>
      <c r="Z282" s="11"/>
      <c r="AA282" s="11"/>
      <c r="AB282" s="11"/>
      <c r="AC282" s="11"/>
      <c r="AD282" s="11"/>
    </row>
    <row r="283" spans="1:31">
      <c r="A283" s="6" t="str">
        <f>'Secondary cum Calculation'!A626</f>
        <v>Poland</v>
      </c>
      <c r="B283" s="119" t="str">
        <f>'Secondary cum Calculation'!B626</f>
        <v>Tourism Flows</v>
      </c>
      <c r="C283" s="119" t="str">
        <f>'Secondary cum Calculation'!C626</f>
        <v>International Departures by Destination</v>
      </c>
      <c r="D283" s="119" t="str">
        <f>'Secondary cum Calculation'!D626</f>
        <v>Africa</v>
      </c>
      <c r="E283" s="6" t="str">
        <f>'Secondary cum Calculation'!E626</f>
        <v>Central African Republic</v>
      </c>
      <c r="F283" s="7" t="str">
        <f>'Secondary cum Calculation'!F626</f>
        <v>The number of international departures from a country to Central African Republic</v>
      </c>
      <c r="G283" s="7" t="str">
        <f>'Secondary cum Calculation'!G626</f>
        <v>Tourism Demand &amp; Flows Database</v>
      </c>
      <c r="H283" s="7" t="str">
        <f>'Secondary cum Calculation'!H626</f>
        <v>New</v>
      </c>
      <c r="I283" s="7">
        <f>'Secondary cum Calculation'!I626</f>
        <v>0</v>
      </c>
      <c r="J283" s="7" t="str">
        <f>'Secondary cum Calculation'!J626</f>
        <v>Thousand</v>
      </c>
      <c r="K283" s="8">
        <f>'Secondary cum Calculation'!K626</f>
        <v>0</v>
      </c>
      <c r="L283" s="358">
        <f>'Secondary cum Calculation'!L626</f>
        <v>0</v>
      </c>
      <c r="M283" s="358">
        <f>'Secondary cum Calculation'!M626</f>
        <v>0</v>
      </c>
      <c r="N283" s="358">
        <f>'Secondary cum Calculation'!N626</f>
        <v>0</v>
      </c>
      <c r="O283" s="358">
        <f>'Secondary cum Calculation'!O626</f>
        <v>0</v>
      </c>
      <c r="P283" s="358">
        <f>'Secondary cum Calculation'!P626</f>
        <v>0</v>
      </c>
      <c r="Q283" s="358">
        <f>'Secondary cum Calculation'!Q626</f>
        <v>0</v>
      </c>
      <c r="R283" s="218"/>
      <c r="S283" s="218"/>
      <c r="T283" s="218"/>
      <c r="U283" s="218"/>
      <c r="V283" s="218"/>
      <c r="W283" s="211" t="e">
        <f>'Secondary cum Calculation'!W626</f>
        <v>#DIV/0!</v>
      </c>
      <c r="X283" s="211" t="e">
        <f>'Secondary cum Calculation'!X626</f>
        <v>#DIV/0!</v>
      </c>
      <c r="Z283" s="11"/>
      <c r="AA283" s="11"/>
      <c r="AB283" s="11"/>
      <c r="AC283" s="11"/>
      <c r="AD283" s="11"/>
    </row>
    <row r="284" spans="1:31">
      <c r="A284" s="6" t="str">
        <f>'Secondary cum Calculation'!A628</f>
        <v>Poland</v>
      </c>
      <c r="B284" s="119" t="str">
        <f>'Secondary cum Calculation'!B628</f>
        <v>Tourism Flows</v>
      </c>
      <c r="C284" s="119" t="str">
        <f>'Secondary cum Calculation'!C628</f>
        <v>International Departures by Destination</v>
      </c>
      <c r="D284" s="119" t="str">
        <f>'Secondary cum Calculation'!D628</f>
        <v>Africa</v>
      </c>
      <c r="E284" s="6" t="str">
        <f>'Secondary cum Calculation'!E628</f>
        <v>Chad</v>
      </c>
      <c r="F284" s="7" t="str">
        <f>'Secondary cum Calculation'!F628</f>
        <v>The number of international departures from a country to Chad</v>
      </c>
      <c r="G284" s="7" t="str">
        <f>'Secondary cum Calculation'!G628</f>
        <v>Tourism Demand &amp; Flows Database</v>
      </c>
      <c r="H284" s="7" t="str">
        <f>'Secondary cum Calculation'!H628</f>
        <v>New</v>
      </c>
      <c r="I284" s="7">
        <f>'Secondary cum Calculation'!I628</f>
        <v>0</v>
      </c>
      <c r="J284" s="7" t="str">
        <f>'Secondary cum Calculation'!J628</f>
        <v>Thousand</v>
      </c>
      <c r="K284" s="8">
        <f>'Secondary cum Calculation'!K628</f>
        <v>0</v>
      </c>
      <c r="L284" s="358">
        <f>'Secondary cum Calculation'!L628</f>
        <v>0</v>
      </c>
      <c r="M284" s="358">
        <f>'Secondary cum Calculation'!M628</f>
        <v>0</v>
      </c>
      <c r="N284" s="358">
        <f>'Secondary cum Calculation'!N628</f>
        <v>0</v>
      </c>
      <c r="O284" s="358">
        <f>'Secondary cum Calculation'!O628</f>
        <v>0</v>
      </c>
      <c r="P284" s="358">
        <f>'Secondary cum Calculation'!P628</f>
        <v>0</v>
      </c>
      <c r="Q284" s="358">
        <f>'Secondary cum Calculation'!Q628</f>
        <v>0</v>
      </c>
      <c r="R284" s="218"/>
      <c r="S284" s="218"/>
      <c r="T284" s="218"/>
      <c r="U284" s="218"/>
      <c r="V284" s="218"/>
      <c r="W284" s="211" t="e">
        <f>'Secondary cum Calculation'!W628</f>
        <v>#DIV/0!</v>
      </c>
      <c r="X284" s="211" t="e">
        <f>'Secondary cum Calculation'!X628</f>
        <v>#DIV/0!</v>
      </c>
      <c r="Z284" s="11"/>
      <c r="AA284" s="11"/>
      <c r="AB284" s="11"/>
      <c r="AC284" s="11"/>
      <c r="AD284" s="11"/>
    </row>
    <row r="285" spans="1:31">
      <c r="A285" s="6" t="str">
        <f>'Secondary cum Calculation'!A630</f>
        <v>Poland</v>
      </c>
      <c r="B285" s="119" t="str">
        <f>'Secondary cum Calculation'!B630</f>
        <v>Tourism Flows</v>
      </c>
      <c r="C285" s="119" t="str">
        <f>'Secondary cum Calculation'!C630</f>
        <v>International Departures by Destination</v>
      </c>
      <c r="D285" s="119" t="str">
        <f>'Secondary cum Calculation'!D630</f>
        <v>Africa</v>
      </c>
      <c r="E285" s="6" t="str">
        <f>'Secondary cum Calculation'!E630</f>
        <v>Comoros</v>
      </c>
      <c r="F285" s="7" t="str">
        <f>'Secondary cum Calculation'!F630</f>
        <v>The number of international departures from a country to Comoros</v>
      </c>
      <c r="G285" s="7" t="str">
        <f>'Secondary cum Calculation'!G630</f>
        <v>Tourism Demand &amp; Flows Database</v>
      </c>
      <c r="H285" s="7" t="str">
        <f>'Secondary cum Calculation'!H630</f>
        <v>New</v>
      </c>
      <c r="I285" s="7">
        <f>'Secondary cum Calculation'!I630</f>
        <v>0</v>
      </c>
      <c r="J285" s="7" t="str">
        <f>'Secondary cum Calculation'!J630</f>
        <v>Thousand</v>
      </c>
      <c r="K285" s="8">
        <f>'Secondary cum Calculation'!K630</f>
        <v>0</v>
      </c>
      <c r="L285" s="358">
        <f>'Secondary cum Calculation'!L630</f>
        <v>0</v>
      </c>
      <c r="M285" s="358">
        <f>'Secondary cum Calculation'!M630</f>
        <v>0</v>
      </c>
      <c r="N285" s="358">
        <f>'Secondary cum Calculation'!N630</f>
        <v>0</v>
      </c>
      <c r="O285" s="358">
        <f>'Secondary cum Calculation'!O630</f>
        <v>0</v>
      </c>
      <c r="P285" s="358">
        <f>'Secondary cum Calculation'!P630</f>
        <v>0</v>
      </c>
      <c r="Q285" s="358">
        <f>'Secondary cum Calculation'!Q630</f>
        <v>0</v>
      </c>
      <c r="R285" s="218"/>
      <c r="S285" s="218"/>
      <c r="T285" s="218"/>
      <c r="U285" s="218"/>
      <c r="V285" s="218"/>
      <c r="W285" s="211" t="e">
        <f>'Secondary cum Calculation'!W630</f>
        <v>#DIV/0!</v>
      </c>
      <c r="X285" s="211" t="e">
        <f>'Secondary cum Calculation'!X630</f>
        <v>#DIV/0!</v>
      </c>
      <c r="Z285" s="11"/>
      <c r="AA285" s="11"/>
      <c r="AB285" s="11"/>
      <c r="AC285" s="11"/>
      <c r="AD285" s="11"/>
    </row>
    <row r="286" spans="1:31">
      <c r="A286" s="6" t="str">
        <f>'Secondary cum Calculation'!A632</f>
        <v>Poland</v>
      </c>
      <c r="B286" s="119" t="str">
        <f>'Secondary cum Calculation'!B632</f>
        <v>Tourism Flows</v>
      </c>
      <c r="C286" s="119" t="str">
        <f>'Secondary cum Calculation'!C632</f>
        <v>International Departures by Destination</v>
      </c>
      <c r="D286" s="119" t="str">
        <f>'Secondary cum Calculation'!D632</f>
        <v>Africa</v>
      </c>
      <c r="E286" s="6" t="str">
        <f>'Secondary cum Calculation'!E632</f>
        <v>Congo</v>
      </c>
      <c r="F286" s="7" t="str">
        <f>'Secondary cum Calculation'!F632</f>
        <v>The number of international departures from a country to Congo</v>
      </c>
      <c r="G286" s="7" t="str">
        <f>'Secondary cum Calculation'!G632</f>
        <v>Tourism Demand &amp; Flows Database</v>
      </c>
      <c r="H286" s="7" t="str">
        <f>'Secondary cum Calculation'!H632</f>
        <v>New</v>
      </c>
      <c r="I286" s="7">
        <f>'Secondary cum Calculation'!I632</f>
        <v>0</v>
      </c>
      <c r="J286" s="7" t="str">
        <f>'Secondary cum Calculation'!J632</f>
        <v>Thousand</v>
      </c>
      <c r="K286" s="8">
        <f>'Secondary cum Calculation'!K632</f>
        <v>0</v>
      </c>
      <c r="L286" s="358">
        <f>'Secondary cum Calculation'!L632</f>
        <v>0</v>
      </c>
      <c r="M286" s="358">
        <f>'Secondary cum Calculation'!M632</f>
        <v>0</v>
      </c>
      <c r="N286" s="358">
        <f>'Secondary cum Calculation'!N632</f>
        <v>0</v>
      </c>
      <c r="O286" s="358">
        <f>'Secondary cum Calculation'!O632</f>
        <v>0</v>
      </c>
      <c r="P286" s="358">
        <f>'Secondary cum Calculation'!P632</f>
        <v>0</v>
      </c>
      <c r="Q286" s="358">
        <f>'Secondary cum Calculation'!Q632</f>
        <v>0</v>
      </c>
      <c r="R286" s="218"/>
      <c r="S286" s="218"/>
      <c r="T286" s="218"/>
      <c r="U286" s="218"/>
      <c r="V286" s="218"/>
      <c r="W286" s="211" t="e">
        <f>'Secondary cum Calculation'!W632</f>
        <v>#DIV/0!</v>
      </c>
      <c r="X286" s="211" t="e">
        <f>'Secondary cum Calculation'!X632</f>
        <v>#DIV/0!</v>
      </c>
      <c r="Z286" s="11"/>
      <c r="AA286" s="11"/>
      <c r="AB286" s="11"/>
      <c r="AC286" s="11"/>
      <c r="AD286" s="11"/>
    </row>
    <row r="287" spans="1:31">
      <c r="A287" s="6" t="str">
        <f>'Secondary cum Calculation'!A634</f>
        <v>Poland</v>
      </c>
      <c r="B287" s="119" t="str">
        <f>'Secondary cum Calculation'!B634</f>
        <v>Tourism Flows</v>
      </c>
      <c r="C287" s="119" t="str">
        <f>'Secondary cum Calculation'!C634</f>
        <v>International Departures by Destination</v>
      </c>
      <c r="D287" s="119" t="str">
        <f>'Secondary cum Calculation'!D634</f>
        <v>Africa</v>
      </c>
      <c r="E287" s="6" t="str">
        <f>'Secondary cum Calculation'!E634</f>
        <v>Côte d'Ivoire</v>
      </c>
      <c r="F287" s="7" t="str">
        <f>'Secondary cum Calculation'!F634</f>
        <v>The number of international departures from a country to Côte d'Ivoire</v>
      </c>
      <c r="G287" s="7" t="str">
        <f>'Secondary cum Calculation'!G634</f>
        <v>Tourism Demand &amp; Flows Database</v>
      </c>
      <c r="H287" s="7" t="str">
        <f>'Secondary cum Calculation'!H634</f>
        <v>New</v>
      </c>
      <c r="I287" s="7">
        <f>'Secondary cum Calculation'!I634</f>
        <v>0</v>
      </c>
      <c r="J287" s="7" t="str">
        <f>'Secondary cum Calculation'!J634</f>
        <v>Thousand</v>
      </c>
      <c r="K287" s="8">
        <f>'Secondary cum Calculation'!K634</f>
        <v>0</v>
      </c>
      <c r="L287" s="358">
        <f>'Secondary cum Calculation'!L634</f>
        <v>0</v>
      </c>
      <c r="M287" s="358">
        <f>'Secondary cum Calculation'!M634</f>
        <v>0</v>
      </c>
      <c r="N287" s="358">
        <f>'Secondary cum Calculation'!N634</f>
        <v>0</v>
      </c>
      <c r="O287" s="358">
        <f>'Secondary cum Calculation'!O634</f>
        <v>0</v>
      </c>
      <c r="P287" s="358">
        <f>'Secondary cum Calculation'!P634</f>
        <v>0</v>
      </c>
      <c r="Q287" s="358">
        <f>'Secondary cum Calculation'!Q634</f>
        <v>0</v>
      </c>
      <c r="R287" s="218"/>
      <c r="S287" s="218"/>
      <c r="T287" s="218"/>
      <c r="U287" s="218"/>
      <c r="V287" s="218"/>
      <c r="W287" s="211" t="e">
        <f>'Secondary cum Calculation'!W634</f>
        <v>#DIV/0!</v>
      </c>
      <c r="X287" s="211" t="e">
        <f>'Secondary cum Calculation'!X634</f>
        <v>#DIV/0!</v>
      </c>
      <c r="Z287" s="11"/>
      <c r="AA287" s="11"/>
      <c r="AB287" s="11"/>
      <c r="AC287" s="11"/>
      <c r="AD287" s="11"/>
    </row>
    <row r="288" spans="1:31">
      <c r="A288" s="6" t="str">
        <f>'Secondary cum Calculation'!A636</f>
        <v>Poland</v>
      </c>
      <c r="B288" s="119" t="str">
        <f>'Secondary cum Calculation'!B636</f>
        <v>Tourism Flows</v>
      </c>
      <c r="C288" s="119" t="str">
        <f>'Secondary cum Calculation'!C636</f>
        <v>International Departures by Destination</v>
      </c>
      <c r="D288" s="119" t="str">
        <f>'Secondary cum Calculation'!D636</f>
        <v>Africa</v>
      </c>
      <c r="E288" s="6" t="str">
        <f>'Secondary cum Calculation'!E636</f>
        <v>Dem. Republic of the Congo</v>
      </c>
      <c r="F288" s="7" t="str">
        <f>'Secondary cum Calculation'!F636</f>
        <v>The number of international departures from a country to Dem. Republic of the Congo</v>
      </c>
      <c r="G288" s="7" t="str">
        <f>'Secondary cum Calculation'!G636</f>
        <v>Tourism Demand &amp; Flows Database</v>
      </c>
      <c r="H288" s="7" t="str">
        <f>'Secondary cum Calculation'!H636</f>
        <v>New</v>
      </c>
      <c r="I288" s="7">
        <f>'Secondary cum Calculation'!I636</f>
        <v>0</v>
      </c>
      <c r="J288" s="7" t="str">
        <f>'Secondary cum Calculation'!J636</f>
        <v>Thousand</v>
      </c>
      <c r="K288" s="8">
        <f>'Secondary cum Calculation'!K636</f>
        <v>0</v>
      </c>
      <c r="L288" s="358">
        <f>'Secondary cum Calculation'!L636</f>
        <v>0</v>
      </c>
      <c r="M288" s="358">
        <f>'Secondary cum Calculation'!M636</f>
        <v>0</v>
      </c>
      <c r="N288" s="358">
        <f>'Secondary cum Calculation'!N636</f>
        <v>0</v>
      </c>
      <c r="O288" s="358">
        <f>'Secondary cum Calculation'!O636</f>
        <v>0</v>
      </c>
      <c r="P288" s="358">
        <f>'Secondary cum Calculation'!P636</f>
        <v>0</v>
      </c>
      <c r="Q288" s="358">
        <f>'Secondary cum Calculation'!Q636</f>
        <v>0</v>
      </c>
      <c r="R288" s="218"/>
      <c r="S288" s="218"/>
      <c r="T288" s="218"/>
      <c r="U288" s="218"/>
      <c r="V288" s="218"/>
      <c r="W288" s="211" t="e">
        <f>'Secondary cum Calculation'!W636</f>
        <v>#DIV/0!</v>
      </c>
      <c r="X288" s="211" t="e">
        <f>'Secondary cum Calculation'!X636</f>
        <v>#DIV/0!</v>
      </c>
      <c r="Z288" s="11"/>
      <c r="AA288" s="11"/>
      <c r="AB288" s="11"/>
      <c r="AC288" s="11"/>
      <c r="AD288" s="11"/>
    </row>
    <row r="289" spans="1:30">
      <c r="A289" s="6" t="str">
        <f>'Secondary cum Calculation'!A638</f>
        <v>Poland</v>
      </c>
      <c r="B289" s="119" t="str">
        <f>'Secondary cum Calculation'!B638</f>
        <v>Tourism Flows</v>
      </c>
      <c r="C289" s="119" t="str">
        <f>'Secondary cum Calculation'!C638</f>
        <v>International Departures by Destination</v>
      </c>
      <c r="D289" s="119" t="str">
        <f>'Secondary cum Calculation'!D638</f>
        <v>Africa</v>
      </c>
      <c r="E289" s="6" t="str">
        <f>'Secondary cum Calculation'!E638</f>
        <v>Djibouti</v>
      </c>
      <c r="F289" s="7" t="str">
        <f>'Secondary cum Calculation'!F638</f>
        <v>The number of international departures from a country to Djibouti</v>
      </c>
      <c r="G289" s="7" t="str">
        <f>'Secondary cum Calculation'!G638</f>
        <v>Tourism Demand &amp; Flows Database</v>
      </c>
      <c r="H289" s="7" t="str">
        <f>'Secondary cum Calculation'!H638</f>
        <v>New</v>
      </c>
      <c r="I289" s="7">
        <f>'Secondary cum Calculation'!I638</f>
        <v>0</v>
      </c>
      <c r="J289" s="7" t="str">
        <f>'Secondary cum Calculation'!J638</f>
        <v>Thousand</v>
      </c>
      <c r="K289" s="8">
        <f>'Secondary cum Calculation'!K638</f>
        <v>0</v>
      </c>
      <c r="L289" s="358">
        <f>'Secondary cum Calculation'!L638</f>
        <v>0</v>
      </c>
      <c r="M289" s="358">
        <f>'Secondary cum Calculation'!M638</f>
        <v>0</v>
      </c>
      <c r="N289" s="358">
        <f>'Secondary cum Calculation'!N638</f>
        <v>0</v>
      </c>
      <c r="O289" s="358">
        <f>'Secondary cum Calculation'!O638</f>
        <v>0</v>
      </c>
      <c r="P289" s="358">
        <f>'Secondary cum Calculation'!P638</f>
        <v>0</v>
      </c>
      <c r="Q289" s="358">
        <f>'Secondary cum Calculation'!Q638</f>
        <v>0</v>
      </c>
      <c r="R289" s="218"/>
      <c r="S289" s="218"/>
      <c r="T289" s="218"/>
      <c r="U289" s="218"/>
      <c r="V289" s="218"/>
      <c r="W289" s="211" t="e">
        <f>'Secondary cum Calculation'!W638</f>
        <v>#DIV/0!</v>
      </c>
      <c r="X289" s="211" t="e">
        <f>'Secondary cum Calculation'!X638</f>
        <v>#DIV/0!</v>
      </c>
      <c r="Z289" s="11"/>
      <c r="AA289" s="11"/>
      <c r="AB289" s="11"/>
      <c r="AC289" s="11"/>
      <c r="AD289" s="11"/>
    </row>
    <row r="290" spans="1:30">
      <c r="A290" s="6" t="str">
        <f>'Secondary cum Calculation'!A640</f>
        <v>Poland</v>
      </c>
      <c r="B290" s="119" t="str">
        <f>'Secondary cum Calculation'!B640</f>
        <v>Tourism Flows</v>
      </c>
      <c r="C290" s="119" t="str">
        <f>'Secondary cum Calculation'!C640</f>
        <v>International Departures by Destination</v>
      </c>
      <c r="D290" s="119" t="str">
        <f>'Secondary cum Calculation'!D640</f>
        <v>Africa</v>
      </c>
      <c r="E290" s="6" t="str">
        <f>'Secondary cum Calculation'!E640</f>
        <v>Egypt</v>
      </c>
      <c r="F290" s="7" t="str">
        <f>'Secondary cum Calculation'!F640</f>
        <v>The number of international departures from a country to Egypt</v>
      </c>
      <c r="G290" s="7" t="str">
        <f>'Secondary cum Calculation'!G640</f>
        <v>Tourism Demand &amp; Flows Database</v>
      </c>
      <c r="H290" s="7" t="str">
        <f>'Secondary cum Calculation'!H640</f>
        <v>New</v>
      </c>
      <c r="I290" s="7">
        <f>'Secondary cum Calculation'!I640</f>
        <v>0</v>
      </c>
      <c r="J290" s="7" t="str">
        <f>'Secondary cum Calculation'!J640</f>
        <v>Thousand</v>
      </c>
      <c r="K290" s="8" t="str">
        <f>'Secondary cum Calculation'!K640</f>
        <v>**</v>
      </c>
      <c r="L290" s="358">
        <f>'Secondary cum Calculation'!L640</f>
        <v>0</v>
      </c>
      <c r="M290" s="358">
        <f>'Secondary cum Calculation'!M640</f>
        <v>0</v>
      </c>
      <c r="N290" s="358">
        <f>'Secondary cum Calculation'!N640</f>
        <v>0</v>
      </c>
      <c r="O290" s="358">
        <f>'Secondary cum Calculation'!O640</f>
        <v>0</v>
      </c>
      <c r="P290" s="358">
        <f>'Secondary cum Calculation'!P640</f>
        <v>0</v>
      </c>
      <c r="Q290" s="358">
        <f>'Secondary cum Calculation'!Q640</f>
        <v>0</v>
      </c>
      <c r="R290" s="218"/>
      <c r="S290" s="218"/>
      <c r="T290" s="218"/>
      <c r="U290" s="218"/>
      <c r="V290" s="218"/>
      <c r="W290" s="211" t="e">
        <f>'Secondary cum Calculation'!W640</f>
        <v>#DIV/0!</v>
      </c>
      <c r="X290" s="211" t="e">
        <f>'Secondary cum Calculation'!X640</f>
        <v>#DIV/0!</v>
      </c>
      <c r="Y290" s="371"/>
      <c r="Z290" s="11"/>
      <c r="AA290" s="11"/>
      <c r="AB290" s="11"/>
      <c r="AC290" s="11"/>
      <c r="AD290" s="11"/>
    </row>
    <row r="291" spans="1:30">
      <c r="A291" s="6" t="str">
        <f>'Secondary cum Calculation'!A642</f>
        <v>Poland</v>
      </c>
      <c r="B291" s="119" t="str">
        <f>'Secondary cum Calculation'!B642</f>
        <v>Tourism Flows</v>
      </c>
      <c r="C291" s="119" t="str">
        <f>'Secondary cum Calculation'!C642</f>
        <v>International Departures by Destination</v>
      </c>
      <c r="D291" s="119" t="str">
        <f>'Secondary cum Calculation'!D642</f>
        <v>Africa</v>
      </c>
      <c r="E291" s="6" t="str">
        <f>'Secondary cum Calculation'!E642</f>
        <v>Equatorial Guinea</v>
      </c>
      <c r="F291" s="7" t="str">
        <f>'Secondary cum Calculation'!F642</f>
        <v>The number of international departures from a country to Equatorial Guinea</v>
      </c>
      <c r="G291" s="7" t="str">
        <f>'Secondary cum Calculation'!G642</f>
        <v>Tourism Demand &amp; Flows Database</v>
      </c>
      <c r="H291" s="7" t="str">
        <f>'Secondary cum Calculation'!H642</f>
        <v>New</v>
      </c>
      <c r="I291" s="7">
        <f>'Secondary cum Calculation'!I642</f>
        <v>0</v>
      </c>
      <c r="J291" s="7" t="str">
        <f>'Secondary cum Calculation'!J642</f>
        <v>Thousand</v>
      </c>
      <c r="K291" s="8">
        <f>'Secondary cum Calculation'!K642</f>
        <v>0</v>
      </c>
      <c r="L291" s="358">
        <f>'Secondary cum Calculation'!L642</f>
        <v>0</v>
      </c>
      <c r="M291" s="358">
        <f>'Secondary cum Calculation'!M642</f>
        <v>0</v>
      </c>
      <c r="N291" s="358">
        <f>'Secondary cum Calculation'!N642</f>
        <v>0</v>
      </c>
      <c r="O291" s="358">
        <f>'Secondary cum Calculation'!O642</f>
        <v>0</v>
      </c>
      <c r="P291" s="358">
        <f>'Secondary cum Calculation'!P642</f>
        <v>0</v>
      </c>
      <c r="Q291" s="358">
        <f>'Secondary cum Calculation'!Q642</f>
        <v>0</v>
      </c>
      <c r="R291" s="218"/>
      <c r="S291" s="218"/>
      <c r="T291" s="218"/>
      <c r="U291" s="218"/>
      <c r="V291" s="218"/>
      <c r="W291" s="211" t="e">
        <f>'Secondary cum Calculation'!W642</f>
        <v>#DIV/0!</v>
      </c>
      <c r="X291" s="211" t="e">
        <f>'Secondary cum Calculation'!X642</f>
        <v>#DIV/0!</v>
      </c>
      <c r="Z291" s="11"/>
      <c r="AA291" s="11"/>
      <c r="AB291" s="11"/>
      <c r="AC291" s="11"/>
      <c r="AD291" s="11"/>
    </row>
    <row r="292" spans="1:30">
      <c r="A292" s="6" t="str">
        <f>'Secondary cum Calculation'!A644</f>
        <v>Poland</v>
      </c>
      <c r="B292" s="119" t="str">
        <f>'Secondary cum Calculation'!B644</f>
        <v>Tourism Flows</v>
      </c>
      <c r="C292" s="119" t="str">
        <f>'Secondary cum Calculation'!C644</f>
        <v>International Departures by Destination</v>
      </c>
      <c r="D292" s="119" t="str">
        <f>'Secondary cum Calculation'!D644</f>
        <v>Africa</v>
      </c>
      <c r="E292" s="6" t="str">
        <f>'Secondary cum Calculation'!E644</f>
        <v>Eritrea</v>
      </c>
      <c r="F292" s="7" t="str">
        <f>'Secondary cum Calculation'!F644</f>
        <v>The number of international departures from a country to Eritrea</v>
      </c>
      <c r="G292" s="7" t="str">
        <f>'Secondary cum Calculation'!G644</f>
        <v>Tourism Demand &amp; Flows Database</v>
      </c>
      <c r="H292" s="7" t="str">
        <f>'Secondary cum Calculation'!H644</f>
        <v>New</v>
      </c>
      <c r="I292" s="7">
        <f>'Secondary cum Calculation'!I644</f>
        <v>0</v>
      </c>
      <c r="J292" s="7" t="str">
        <f>'Secondary cum Calculation'!J644</f>
        <v>Thousand</v>
      </c>
      <c r="K292" s="8">
        <f>'Secondary cum Calculation'!K644</f>
        <v>0</v>
      </c>
      <c r="L292" s="358">
        <f>'Secondary cum Calculation'!L644</f>
        <v>0</v>
      </c>
      <c r="M292" s="358">
        <f>'Secondary cum Calculation'!M644</f>
        <v>0</v>
      </c>
      <c r="N292" s="358">
        <f>'Secondary cum Calculation'!N644</f>
        <v>0</v>
      </c>
      <c r="O292" s="358">
        <f>'Secondary cum Calculation'!O644</f>
        <v>0</v>
      </c>
      <c r="P292" s="358">
        <f>'Secondary cum Calculation'!P644</f>
        <v>0</v>
      </c>
      <c r="Q292" s="358">
        <f>'Secondary cum Calculation'!Q644</f>
        <v>0</v>
      </c>
      <c r="R292" s="218"/>
      <c r="S292" s="218"/>
      <c r="T292" s="218"/>
      <c r="U292" s="218"/>
      <c r="V292" s="218"/>
      <c r="W292" s="211" t="e">
        <f>'Secondary cum Calculation'!W644</f>
        <v>#DIV/0!</v>
      </c>
      <c r="X292" s="211" t="e">
        <f>'Secondary cum Calculation'!X644</f>
        <v>#DIV/0!</v>
      </c>
      <c r="Z292" s="11"/>
      <c r="AA292" s="11"/>
      <c r="AB292" s="11"/>
      <c r="AC292" s="11"/>
      <c r="AD292" s="11"/>
    </row>
    <row r="293" spans="1:30">
      <c r="A293" s="6" t="str">
        <f>'Secondary cum Calculation'!A646</f>
        <v>Poland</v>
      </c>
      <c r="B293" s="119" t="str">
        <f>'Secondary cum Calculation'!B646</f>
        <v>Tourism Flows</v>
      </c>
      <c r="C293" s="119" t="str">
        <f>'Secondary cum Calculation'!C646</f>
        <v>International Departures by Destination</v>
      </c>
      <c r="D293" s="119" t="str">
        <f>'Secondary cum Calculation'!D646</f>
        <v>Africa</v>
      </c>
      <c r="E293" s="6" t="str">
        <f>'Secondary cum Calculation'!E646</f>
        <v>Ethiopia</v>
      </c>
      <c r="F293" s="7" t="str">
        <f>'Secondary cum Calculation'!F646</f>
        <v>The number of international departures from a country to Ethiopia</v>
      </c>
      <c r="G293" s="7" t="str">
        <f>'Secondary cum Calculation'!G646</f>
        <v>Tourism Demand &amp; Flows Database</v>
      </c>
      <c r="H293" s="7" t="str">
        <f>'Secondary cum Calculation'!H646</f>
        <v>New</v>
      </c>
      <c r="I293" s="7">
        <f>'Secondary cum Calculation'!I646</f>
        <v>0</v>
      </c>
      <c r="J293" s="7" t="str">
        <f>'Secondary cum Calculation'!J646</f>
        <v>Thousand</v>
      </c>
      <c r="K293" s="8">
        <f>'Secondary cum Calculation'!K646</f>
        <v>0</v>
      </c>
      <c r="L293" s="358">
        <f>'Secondary cum Calculation'!L646</f>
        <v>0</v>
      </c>
      <c r="M293" s="358">
        <f>'Secondary cum Calculation'!M646</f>
        <v>0</v>
      </c>
      <c r="N293" s="358">
        <f>'Secondary cum Calculation'!N646</f>
        <v>0</v>
      </c>
      <c r="O293" s="358">
        <f>'Secondary cum Calculation'!O646</f>
        <v>0</v>
      </c>
      <c r="P293" s="358">
        <f>'Secondary cum Calculation'!P646</f>
        <v>0</v>
      </c>
      <c r="Q293" s="358">
        <f>'Secondary cum Calculation'!Q646</f>
        <v>0</v>
      </c>
      <c r="R293" s="218"/>
      <c r="S293" s="218"/>
      <c r="T293" s="218"/>
      <c r="U293" s="218"/>
      <c r="V293" s="218"/>
      <c r="W293" s="211" t="e">
        <f>'Secondary cum Calculation'!W646</f>
        <v>#DIV/0!</v>
      </c>
      <c r="X293" s="211" t="e">
        <f>'Secondary cum Calculation'!X646</f>
        <v>#DIV/0!</v>
      </c>
      <c r="Z293" s="11"/>
      <c r="AA293" s="11"/>
      <c r="AB293" s="11"/>
      <c r="AC293" s="11"/>
      <c r="AD293" s="11"/>
    </row>
    <row r="294" spans="1:30">
      <c r="A294" s="6" t="str">
        <f>'Secondary cum Calculation'!A648</f>
        <v>Poland</v>
      </c>
      <c r="B294" s="119" t="str">
        <f>'Secondary cum Calculation'!B648</f>
        <v>Tourism Flows</v>
      </c>
      <c r="C294" s="119" t="str">
        <f>'Secondary cum Calculation'!C648</f>
        <v>International Departures by Destination</v>
      </c>
      <c r="D294" s="119" t="str">
        <f>'Secondary cum Calculation'!D648</f>
        <v>Africa</v>
      </c>
      <c r="E294" s="6" t="str">
        <f>'Secondary cum Calculation'!E648</f>
        <v>Gabon</v>
      </c>
      <c r="F294" s="7" t="str">
        <f>'Secondary cum Calculation'!F648</f>
        <v>The number of international departures from a country to Gabon</v>
      </c>
      <c r="G294" s="7" t="str">
        <f>'Secondary cum Calculation'!G648</f>
        <v>Tourism Demand &amp; Flows Database</v>
      </c>
      <c r="H294" s="7" t="str">
        <f>'Secondary cum Calculation'!H648</f>
        <v>New</v>
      </c>
      <c r="I294" s="7">
        <f>'Secondary cum Calculation'!I648</f>
        <v>0</v>
      </c>
      <c r="J294" s="7" t="str">
        <f>'Secondary cum Calculation'!J648</f>
        <v>Thousand</v>
      </c>
      <c r="K294" s="8">
        <f>'Secondary cum Calculation'!K648</f>
        <v>0</v>
      </c>
      <c r="L294" s="358">
        <f>'Secondary cum Calculation'!L648</f>
        <v>0</v>
      </c>
      <c r="M294" s="358">
        <f>'Secondary cum Calculation'!M648</f>
        <v>0</v>
      </c>
      <c r="N294" s="358">
        <f>'Secondary cum Calculation'!N648</f>
        <v>0</v>
      </c>
      <c r="O294" s="358">
        <f>'Secondary cum Calculation'!O648</f>
        <v>0</v>
      </c>
      <c r="P294" s="358">
        <f>'Secondary cum Calculation'!P648</f>
        <v>0</v>
      </c>
      <c r="Q294" s="358">
        <f>'Secondary cum Calculation'!Q648</f>
        <v>0</v>
      </c>
      <c r="R294" s="218"/>
      <c r="S294" s="218"/>
      <c r="T294" s="218"/>
      <c r="U294" s="218"/>
      <c r="V294" s="218"/>
      <c r="W294" s="211" t="e">
        <f>'Secondary cum Calculation'!W648</f>
        <v>#DIV/0!</v>
      </c>
      <c r="X294" s="211" t="e">
        <f>'Secondary cum Calculation'!X648</f>
        <v>#DIV/0!</v>
      </c>
      <c r="Z294" s="11"/>
      <c r="AA294" s="11"/>
      <c r="AB294" s="11"/>
      <c r="AC294" s="11"/>
      <c r="AD294" s="11"/>
    </row>
    <row r="295" spans="1:30">
      <c r="A295" s="6" t="str">
        <f>'Secondary cum Calculation'!A650</f>
        <v>Poland</v>
      </c>
      <c r="B295" s="119" t="str">
        <f>'Secondary cum Calculation'!B650</f>
        <v>Tourism Flows</v>
      </c>
      <c r="C295" s="119" t="str">
        <f>'Secondary cum Calculation'!C650</f>
        <v>International Departures by Destination</v>
      </c>
      <c r="D295" s="119" t="str">
        <f>'Secondary cum Calculation'!D650</f>
        <v>Africa</v>
      </c>
      <c r="E295" s="6" t="str">
        <f>'Secondary cum Calculation'!E650</f>
        <v>Gambia</v>
      </c>
      <c r="F295" s="7" t="str">
        <f>'Secondary cum Calculation'!F650</f>
        <v>The number of international departures from a country to Gambia</v>
      </c>
      <c r="G295" s="7" t="str">
        <f>'Secondary cum Calculation'!G650</f>
        <v>Tourism Demand &amp; Flows Database</v>
      </c>
      <c r="H295" s="7" t="str">
        <f>'Secondary cum Calculation'!H650</f>
        <v>New</v>
      </c>
      <c r="I295" s="7">
        <f>'Secondary cum Calculation'!I650</f>
        <v>0</v>
      </c>
      <c r="J295" s="7" t="str">
        <f>'Secondary cum Calculation'!J650</f>
        <v>Thousand</v>
      </c>
      <c r="K295" s="8">
        <f>'Secondary cum Calculation'!K650</f>
        <v>0</v>
      </c>
      <c r="L295" s="358">
        <f>'Secondary cum Calculation'!L650</f>
        <v>0</v>
      </c>
      <c r="M295" s="358">
        <f>'Secondary cum Calculation'!M650</f>
        <v>0</v>
      </c>
      <c r="N295" s="358">
        <f>'Secondary cum Calculation'!N650</f>
        <v>0</v>
      </c>
      <c r="O295" s="358">
        <f>'Secondary cum Calculation'!O650</f>
        <v>0</v>
      </c>
      <c r="P295" s="358">
        <f>'Secondary cum Calculation'!P650</f>
        <v>0</v>
      </c>
      <c r="Q295" s="358">
        <f>'Secondary cum Calculation'!Q650</f>
        <v>0</v>
      </c>
      <c r="R295" s="218"/>
      <c r="S295" s="218"/>
      <c r="T295" s="218"/>
      <c r="U295" s="218"/>
      <c r="V295" s="218"/>
      <c r="W295" s="211" t="e">
        <f>'Secondary cum Calculation'!W650</f>
        <v>#DIV/0!</v>
      </c>
      <c r="X295" s="211" t="e">
        <f>'Secondary cum Calculation'!X650</f>
        <v>#DIV/0!</v>
      </c>
      <c r="Z295" s="11"/>
      <c r="AA295" s="11"/>
      <c r="AB295" s="11"/>
      <c r="AC295" s="11"/>
      <c r="AD295" s="11"/>
    </row>
    <row r="296" spans="1:30">
      <c r="A296" s="6" t="str">
        <f>'Secondary cum Calculation'!A652</f>
        <v>Poland</v>
      </c>
      <c r="B296" s="119" t="str">
        <f>'Secondary cum Calculation'!B652</f>
        <v>Tourism Flows</v>
      </c>
      <c r="C296" s="119" t="str">
        <f>'Secondary cum Calculation'!C652</f>
        <v>International Departures by Destination</v>
      </c>
      <c r="D296" s="119" t="str">
        <f>'Secondary cum Calculation'!D652</f>
        <v>Africa</v>
      </c>
      <c r="E296" s="6" t="str">
        <f>'Secondary cum Calculation'!E652</f>
        <v>Ghana</v>
      </c>
      <c r="F296" s="7" t="str">
        <f>'Secondary cum Calculation'!F652</f>
        <v>The number of international departures from a country to Ghana</v>
      </c>
      <c r="G296" s="7" t="str">
        <f>'Secondary cum Calculation'!G652</f>
        <v>Tourism Demand &amp; Flows Database</v>
      </c>
      <c r="H296" s="7" t="str">
        <f>'Secondary cum Calculation'!H652</f>
        <v>New</v>
      </c>
      <c r="I296" s="7">
        <f>'Secondary cum Calculation'!I652</f>
        <v>0</v>
      </c>
      <c r="J296" s="7" t="str">
        <f>'Secondary cum Calculation'!J652</f>
        <v>Thousand</v>
      </c>
      <c r="K296" s="8">
        <f>'Secondary cum Calculation'!K652</f>
        <v>0</v>
      </c>
      <c r="L296" s="358">
        <f>'Secondary cum Calculation'!L652</f>
        <v>0</v>
      </c>
      <c r="M296" s="358">
        <f>'Secondary cum Calculation'!M652</f>
        <v>0</v>
      </c>
      <c r="N296" s="358">
        <f>'Secondary cum Calculation'!N652</f>
        <v>0</v>
      </c>
      <c r="O296" s="358">
        <f>'Secondary cum Calculation'!O652</f>
        <v>0</v>
      </c>
      <c r="P296" s="358">
        <f>'Secondary cum Calculation'!P652</f>
        <v>0</v>
      </c>
      <c r="Q296" s="358">
        <f>'Secondary cum Calculation'!Q652</f>
        <v>0</v>
      </c>
      <c r="R296" s="218"/>
      <c r="S296" s="218"/>
      <c r="T296" s="218"/>
      <c r="U296" s="218"/>
      <c r="V296" s="218"/>
      <c r="W296" s="211" t="e">
        <f>'Secondary cum Calculation'!W652</f>
        <v>#DIV/0!</v>
      </c>
      <c r="X296" s="211" t="e">
        <f>'Secondary cum Calculation'!X652</f>
        <v>#DIV/0!</v>
      </c>
      <c r="Z296" s="11"/>
      <c r="AA296" s="11"/>
      <c r="AB296" s="11"/>
      <c r="AC296" s="11"/>
      <c r="AD296" s="11"/>
    </row>
    <row r="297" spans="1:30">
      <c r="A297" s="6" t="str">
        <f>'Secondary cum Calculation'!A654</f>
        <v>Poland</v>
      </c>
      <c r="B297" s="119" t="str">
        <f>'Secondary cum Calculation'!B654</f>
        <v>Tourism Flows</v>
      </c>
      <c r="C297" s="119" t="str">
        <f>'Secondary cum Calculation'!C654</f>
        <v>International Departures by Destination</v>
      </c>
      <c r="D297" s="119" t="str">
        <f>'Secondary cum Calculation'!D654</f>
        <v>Africa</v>
      </c>
      <c r="E297" s="6" t="str">
        <f>'Secondary cum Calculation'!E654</f>
        <v>Guinea</v>
      </c>
      <c r="F297" s="7" t="str">
        <f>'Secondary cum Calculation'!F654</f>
        <v>The number of international departures from a country to Guinea</v>
      </c>
      <c r="G297" s="7" t="str">
        <f>'Secondary cum Calculation'!G654</f>
        <v>Tourism Demand &amp; Flows Database</v>
      </c>
      <c r="H297" s="7" t="str">
        <f>'Secondary cum Calculation'!H654</f>
        <v>New</v>
      </c>
      <c r="I297" s="7">
        <f>'Secondary cum Calculation'!I654</f>
        <v>0</v>
      </c>
      <c r="J297" s="7" t="str">
        <f>'Secondary cum Calculation'!J654</f>
        <v>Thousand</v>
      </c>
      <c r="K297" s="8">
        <f>'Secondary cum Calculation'!K654</f>
        <v>0</v>
      </c>
      <c r="L297" s="358">
        <f>'Secondary cum Calculation'!L654</f>
        <v>0</v>
      </c>
      <c r="M297" s="358">
        <f>'Secondary cum Calculation'!M654</f>
        <v>0</v>
      </c>
      <c r="N297" s="358">
        <f>'Secondary cum Calculation'!N654</f>
        <v>0</v>
      </c>
      <c r="O297" s="358">
        <f>'Secondary cum Calculation'!O654</f>
        <v>0</v>
      </c>
      <c r="P297" s="358">
        <f>'Secondary cum Calculation'!P654</f>
        <v>0</v>
      </c>
      <c r="Q297" s="358">
        <f>'Secondary cum Calculation'!Q654</f>
        <v>0</v>
      </c>
      <c r="R297" s="218"/>
      <c r="S297" s="218"/>
      <c r="T297" s="218"/>
      <c r="U297" s="218"/>
      <c r="V297" s="218"/>
      <c r="W297" s="211" t="e">
        <f>'Secondary cum Calculation'!W654</f>
        <v>#DIV/0!</v>
      </c>
      <c r="X297" s="211" t="e">
        <f>'Secondary cum Calculation'!X654</f>
        <v>#DIV/0!</v>
      </c>
      <c r="Z297" s="11"/>
      <c r="AA297" s="11"/>
      <c r="AB297" s="11"/>
      <c r="AC297" s="11"/>
      <c r="AD297" s="11"/>
    </row>
    <row r="298" spans="1:30">
      <c r="A298" s="6" t="str">
        <f>'Secondary cum Calculation'!A656</f>
        <v>Poland</v>
      </c>
      <c r="B298" s="119" t="str">
        <f>'Secondary cum Calculation'!B656</f>
        <v>Tourism Flows</v>
      </c>
      <c r="C298" s="119" t="str">
        <f>'Secondary cum Calculation'!C656</f>
        <v>International Departures by Destination</v>
      </c>
      <c r="D298" s="119" t="str">
        <f>'Secondary cum Calculation'!D656</f>
        <v>Africa</v>
      </c>
      <c r="E298" s="6" t="str">
        <f>'Secondary cum Calculation'!E656</f>
        <v>Guinea-Bissau</v>
      </c>
      <c r="F298" s="7" t="str">
        <f>'Secondary cum Calculation'!F656</f>
        <v>The number of international departures from a country to Guinea-Bissau</v>
      </c>
      <c r="G298" s="7" t="str">
        <f>'Secondary cum Calculation'!G656</f>
        <v>Tourism Demand &amp; Flows Database</v>
      </c>
      <c r="H298" s="7" t="str">
        <f>'Secondary cum Calculation'!H656</f>
        <v>New</v>
      </c>
      <c r="I298" s="7">
        <f>'Secondary cum Calculation'!I656</f>
        <v>0</v>
      </c>
      <c r="J298" s="7" t="str">
        <f>'Secondary cum Calculation'!J656</f>
        <v>Thousand</v>
      </c>
      <c r="K298" s="8">
        <f>'Secondary cum Calculation'!K656</f>
        <v>0</v>
      </c>
      <c r="L298" s="358">
        <f>'Secondary cum Calculation'!L656</f>
        <v>0</v>
      </c>
      <c r="M298" s="358">
        <f>'Secondary cum Calculation'!M656</f>
        <v>0</v>
      </c>
      <c r="N298" s="358">
        <f>'Secondary cum Calculation'!N656</f>
        <v>0</v>
      </c>
      <c r="O298" s="358">
        <f>'Secondary cum Calculation'!O656</f>
        <v>0</v>
      </c>
      <c r="P298" s="358">
        <f>'Secondary cum Calculation'!P656</f>
        <v>0</v>
      </c>
      <c r="Q298" s="358">
        <f>'Secondary cum Calculation'!Q656</f>
        <v>0</v>
      </c>
      <c r="R298" s="218"/>
      <c r="S298" s="218"/>
      <c r="T298" s="218"/>
      <c r="U298" s="218"/>
      <c r="V298" s="218"/>
      <c r="W298" s="211" t="e">
        <f>'Secondary cum Calculation'!W656</f>
        <v>#DIV/0!</v>
      </c>
      <c r="X298" s="211" t="e">
        <f>'Secondary cum Calculation'!X656</f>
        <v>#DIV/0!</v>
      </c>
      <c r="Z298" s="11"/>
      <c r="AA298" s="11"/>
      <c r="AB298" s="11"/>
      <c r="AC298" s="11"/>
      <c r="AD298" s="11"/>
    </row>
    <row r="299" spans="1:30">
      <c r="A299" s="6" t="str">
        <f>'Secondary cum Calculation'!A658</f>
        <v>Poland</v>
      </c>
      <c r="B299" s="119" t="str">
        <f>'Secondary cum Calculation'!B658</f>
        <v>Tourism Flows</v>
      </c>
      <c r="C299" s="119" t="str">
        <f>'Secondary cum Calculation'!C658</f>
        <v>International Departures by Destination</v>
      </c>
      <c r="D299" s="119" t="str">
        <f>'Secondary cum Calculation'!D658</f>
        <v>Africa</v>
      </c>
      <c r="E299" s="6" t="str">
        <f>'Secondary cum Calculation'!E658</f>
        <v>Kenya</v>
      </c>
      <c r="F299" s="7" t="str">
        <f>'Secondary cum Calculation'!F658</f>
        <v>The number of international departures from a country to Kenya</v>
      </c>
      <c r="G299" s="7" t="str">
        <f>'Secondary cum Calculation'!G658</f>
        <v>Tourism Demand &amp; Flows Database</v>
      </c>
      <c r="H299" s="7" t="str">
        <f>'Secondary cum Calculation'!H658</f>
        <v>New</v>
      </c>
      <c r="I299" s="7">
        <f>'Secondary cum Calculation'!I658</f>
        <v>0</v>
      </c>
      <c r="J299" s="7" t="str">
        <f>'Secondary cum Calculation'!J658</f>
        <v>Thousand</v>
      </c>
      <c r="K299" s="8">
        <f>'Secondary cum Calculation'!K658</f>
        <v>0</v>
      </c>
      <c r="L299" s="358">
        <f>'Secondary cum Calculation'!L658</f>
        <v>0</v>
      </c>
      <c r="M299" s="358">
        <f>'Secondary cum Calculation'!M658</f>
        <v>0</v>
      </c>
      <c r="N299" s="358">
        <f>'Secondary cum Calculation'!N658</f>
        <v>0</v>
      </c>
      <c r="O299" s="358">
        <f>'Secondary cum Calculation'!O658</f>
        <v>0</v>
      </c>
      <c r="P299" s="358">
        <f>'Secondary cum Calculation'!P658</f>
        <v>0</v>
      </c>
      <c r="Q299" s="358">
        <f>'Secondary cum Calculation'!Q658</f>
        <v>0</v>
      </c>
      <c r="R299" s="218"/>
      <c r="S299" s="218"/>
      <c r="T299" s="218"/>
      <c r="U299" s="218"/>
      <c r="V299" s="218"/>
      <c r="W299" s="211" t="e">
        <f>'Secondary cum Calculation'!W658</f>
        <v>#DIV/0!</v>
      </c>
      <c r="X299" s="211" t="e">
        <f>'Secondary cum Calculation'!X658</f>
        <v>#DIV/0!</v>
      </c>
      <c r="Z299" s="11"/>
      <c r="AA299" s="11"/>
      <c r="AB299" s="11"/>
      <c r="AC299" s="11"/>
      <c r="AD299" s="11"/>
    </row>
    <row r="300" spans="1:30">
      <c r="A300" s="6" t="str">
        <f>'Secondary cum Calculation'!A660</f>
        <v>Poland</v>
      </c>
      <c r="B300" s="119" t="str">
        <f>'Secondary cum Calculation'!B660</f>
        <v>Tourism Flows</v>
      </c>
      <c r="C300" s="119" t="str">
        <f>'Secondary cum Calculation'!C660</f>
        <v>International Departures by Destination</v>
      </c>
      <c r="D300" s="119" t="str">
        <f>'Secondary cum Calculation'!D660</f>
        <v>Africa</v>
      </c>
      <c r="E300" s="6" t="str">
        <f>'Secondary cum Calculation'!E660</f>
        <v>Lesotho</v>
      </c>
      <c r="F300" s="7" t="str">
        <f>'Secondary cum Calculation'!F660</f>
        <v>The number of international departures from a country to Lesotho</v>
      </c>
      <c r="G300" s="7" t="str">
        <f>'Secondary cum Calculation'!G660</f>
        <v>Tourism Demand &amp; Flows Database</v>
      </c>
      <c r="H300" s="7" t="str">
        <f>'Secondary cum Calculation'!H660</f>
        <v>New</v>
      </c>
      <c r="I300" s="7">
        <f>'Secondary cum Calculation'!I660</f>
        <v>0</v>
      </c>
      <c r="J300" s="7" t="str">
        <f>'Secondary cum Calculation'!J660</f>
        <v>Thousand</v>
      </c>
      <c r="K300" s="8">
        <f>'Secondary cum Calculation'!K660</f>
        <v>0</v>
      </c>
      <c r="L300" s="358">
        <f>'Secondary cum Calculation'!L660</f>
        <v>0</v>
      </c>
      <c r="M300" s="358">
        <f>'Secondary cum Calculation'!M660</f>
        <v>0</v>
      </c>
      <c r="N300" s="358">
        <f>'Secondary cum Calculation'!N660</f>
        <v>0</v>
      </c>
      <c r="O300" s="358">
        <f>'Secondary cum Calculation'!O660</f>
        <v>0</v>
      </c>
      <c r="P300" s="358">
        <f>'Secondary cum Calculation'!P660</f>
        <v>0</v>
      </c>
      <c r="Q300" s="358">
        <f>'Secondary cum Calculation'!Q660</f>
        <v>0</v>
      </c>
      <c r="R300" s="218"/>
      <c r="S300" s="218"/>
      <c r="T300" s="218"/>
      <c r="U300" s="218"/>
      <c r="V300" s="218"/>
      <c r="W300" s="211" t="e">
        <f>'Secondary cum Calculation'!W660</f>
        <v>#DIV/0!</v>
      </c>
      <c r="X300" s="211" t="e">
        <f>'Secondary cum Calculation'!X660</f>
        <v>#DIV/0!</v>
      </c>
      <c r="Z300" s="11"/>
      <c r="AA300" s="11"/>
      <c r="AB300" s="11"/>
      <c r="AC300" s="11"/>
      <c r="AD300" s="11"/>
    </row>
    <row r="301" spans="1:30">
      <c r="A301" s="6" t="str">
        <f>'Secondary cum Calculation'!A662</f>
        <v>Poland</v>
      </c>
      <c r="B301" s="119" t="str">
        <f>'Secondary cum Calculation'!B662</f>
        <v>Tourism Flows</v>
      </c>
      <c r="C301" s="119" t="str">
        <f>'Secondary cum Calculation'!C662</f>
        <v>International Departures by Destination</v>
      </c>
      <c r="D301" s="119" t="str">
        <f>'Secondary cum Calculation'!D662</f>
        <v>Africa</v>
      </c>
      <c r="E301" s="6" t="str">
        <f>'Secondary cum Calculation'!E662</f>
        <v>Liberia</v>
      </c>
      <c r="F301" s="7" t="str">
        <f>'Secondary cum Calculation'!F662</f>
        <v>The number of international departures from a country to Liberia</v>
      </c>
      <c r="G301" s="7" t="str">
        <f>'Secondary cum Calculation'!G662</f>
        <v>Tourism Demand &amp; Flows Database</v>
      </c>
      <c r="H301" s="7" t="str">
        <f>'Secondary cum Calculation'!H662</f>
        <v>New</v>
      </c>
      <c r="I301" s="7">
        <f>'Secondary cum Calculation'!I662</f>
        <v>0</v>
      </c>
      <c r="J301" s="7" t="str">
        <f>'Secondary cum Calculation'!J662</f>
        <v>Thousand</v>
      </c>
      <c r="K301" s="8">
        <f>'Secondary cum Calculation'!K662</f>
        <v>0</v>
      </c>
      <c r="L301" s="358">
        <f>'Secondary cum Calculation'!L662</f>
        <v>0</v>
      </c>
      <c r="M301" s="358">
        <f>'Secondary cum Calculation'!M662</f>
        <v>0</v>
      </c>
      <c r="N301" s="358">
        <f>'Secondary cum Calculation'!N662</f>
        <v>0</v>
      </c>
      <c r="O301" s="358">
        <f>'Secondary cum Calculation'!O662</f>
        <v>0</v>
      </c>
      <c r="P301" s="358">
        <f>'Secondary cum Calculation'!P662</f>
        <v>0</v>
      </c>
      <c r="Q301" s="358">
        <f>'Secondary cum Calculation'!Q662</f>
        <v>0</v>
      </c>
      <c r="R301" s="218"/>
      <c r="S301" s="218"/>
      <c r="T301" s="218"/>
      <c r="U301" s="218"/>
      <c r="V301" s="218"/>
      <c r="W301" s="211" t="e">
        <f>'Secondary cum Calculation'!W662</f>
        <v>#DIV/0!</v>
      </c>
      <c r="X301" s="211" t="e">
        <f>'Secondary cum Calculation'!X662</f>
        <v>#DIV/0!</v>
      </c>
      <c r="Z301" s="11"/>
      <c r="AA301" s="11"/>
      <c r="AB301" s="11"/>
      <c r="AC301" s="11"/>
      <c r="AD301" s="11"/>
    </row>
    <row r="302" spans="1:30">
      <c r="A302" s="6" t="str">
        <f>'Secondary cum Calculation'!A664</f>
        <v>Poland</v>
      </c>
      <c r="B302" s="119" t="str">
        <f>'Secondary cum Calculation'!B664</f>
        <v>Tourism Flows</v>
      </c>
      <c r="C302" s="119" t="str">
        <f>'Secondary cum Calculation'!C664</f>
        <v>International Departures by Destination</v>
      </c>
      <c r="D302" s="119" t="str">
        <f>'Secondary cum Calculation'!D664</f>
        <v>Africa</v>
      </c>
      <c r="E302" s="6" t="str">
        <f>'Secondary cum Calculation'!E664</f>
        <v>Libyan Arab Jamahiriya</v>
      </c>
      <c r="F302" s="7" t="str">
        <f>'Secondary cum Calculation'!F664</f>
        <v>The number of international departures from a country to Libyan Arab Jamahiriya</v>
      </c>
      <c r="G302" s="7" t="str">
        <f>'Secondary cum Calculation'!G664</f>
        <v>Tourism Demand &amp; Flows Database</v>
      </c>
      <c r="H302" s="7" t="str">
        <f>'Secondary cum Calculation'!H664</f>
        <v>New</v>
      </c>
      <c r="I302" s="7">
        <f>'Secondary cum Calculation'!I664</f>
        <v>0</v>
      </c>
      <c r="J302" s="7" t="str">
        <f>'Secondary cum Calculation'!J664</f>
        <v>Thousand</v>
      </c>
      <c r="K302" s="8">
        <f>'Secondary cum Calculation'!K664</f>
        <v>0</v>
      </c>
      <c r="L302" s="358">
        <f>'Secondary cum Calculation'!L664</f>
        <v>0</v>
      </c>
      <c r="M302" s="358">
        <f>'Secondary cum Calculation'!M664</f>
        <v>0</v>
      </c>
      <c r="N302" s="358">
        <f>'Secondary cum Calculation'!N664</f>
        <v>0</v>
      </c>
      <c r="O302" s="358">
        <f>'Secondary cum Calculation'!O664</f>
        <v>0</v>
      </c>
      <c r="P302" s="358">
        <f>'Secondary cum Calculation'!P664</f>
        <v>0</v>
      </c>
      <c r="Q302" s="358">
        <f>'Secondary cum Calculation'!Q664</f>
        <v>0</v>
      </c>
      <c r="R302" s="218"/>
      <c r="S302" s="218"/>
      <c r="T302" s="218"/>
      <c r="U302" s="218"/>
      <c r="V302" s="218"/>
      <c r="W302" s="211" t="e">
        <f>'Secondary cum Calculation'!W664</f>
        <v>#DIV/0!</v>
      </c>
      <c r="X302" s="211" t="e">
        <f>'Secondary cum Calculation'!X664</f>
        <v>#DIV/0!</v>
      </c>
      <c r="Z302" s="11"/>
      <c r="AA302" s="11"/>
      <c r="AB302" s="11"/>
      <c r="AC302" s="11"/>
      <c r="AD302" s="11"/>
    </row>
    <row r="303" spans="1:30">
      <c r="A303" s="6" t="str">
        <f>'Secondary cum Calculation'!A666</f>
        <v>Poland</v>
      </c>
      <c r="B303" s="119" t="str">
        <f>'Secondary cum Calculation'!B666</f>
        <v>Tourism Flows</v>
      </c>
      <c r="C303" s="119" t="str">
        <f>'Secondary cum Calculation'!C666</f>
        <v>International Departures by Destination</v>
      </c>
      <c r="D303" s="119" t="str">
        <f>'Secondary cum Calculation'!D666</f>
        <v>Africa</v>
      </c>
      <c r="E303" s="6" t="str">
        <f>'Secondary cum Calculation'!E666</f>
        <v>Madagascar</v>
      </c>
      <c r="F303" s="7" t="str">
        <f>'Secondary cum Calculation'!F666</f>
        <v>The number of international departures from a country to Madagascar</v>
      </c>
      <c r="G303" s="7" t="str">
        <f>'Secondary cum Calculation'!G666</f>
        <v>Tourism Demand &amp; Flows Database</v>
      </c>
      <c r="H303" s="7" t="str">
        <f>'Secondary cum Calculation'!H666</f>
        <v>New</v>
      </c>
      <c r="I303" s="7">
        <f>'Secondary cum Calculation'!I666</f>
        <v>0</v>
      </c>
      <c r="J303" s="7" t="str">
        <f>'Secondary cum Calculation'!J666</f>
        <v>Thousand</v>
      </c>
      <c r="K303" s="8">
        <f>'Secondary cum Calculation'!K666</f>
        <v>0</v>
      </c>
      <c r="L303" s="358">
        <f>'Secondary cum Calculation'!L666</f>
        <v>0</v>
      </c>
      <c r="M303" s="358">
        <f>'Secondary cum Calculation'!M666</f>
        <v>0</v>
      </c>
      <c r="N303" s="358">
        <f>'Secondary cum Calculation'!N666</f>
        <v>0</v>
      </c>
      <c r="O303" s="358">
        <f>'Secondary cum Calculation'!O666</f>
        <v>0</v>
      </c>
      <c r="P303" s="358">
        <f>'Secondary cum Calculation'!P666</f>
        <v>0</v>
      </c>
      <c r="Q303" s="358">
        <f>'Secondary cum Calculation'!Q666</f>
        <v>0</v>
      </c>
      <c r="R303" s="218"/>
      <c r="S303" s="218"/>
      <c r="T303" s="218"/>
      <c r="U303" s="218"/>
      <c r="V303" s="218"/>
      <c r="W303" s="211" t="e">
        <f>'Secondary cum Calculation'!W666</f>
        <v>#DIV/0!</v>
      </c>
      <c r="X303" s="211" t="e">
        <f>'Secondary cum Calculation'!X666</f>
        <v>#DIV/0!</v>
      </c>
      <c r="Z303" s="11"/>
      <c r="AA303" s="11"/>
      <c r="AB303" s="11"/>
      <c r="AC303" s="11"/>
      <c r="AD303" s="11"/>
    </row>
    <row r="304" spans="1:30">
      <c r="A304" s="6" t="str">
        <f>'Secondary cum Calculation'!A668</f>
        <v>Poland</v>
      </c>
      <c r="B304" s="119" t="str">
        <f>'Secondary cum Calculation'!B668</f>
        <v>Tourism Flows</v>
      </c>
      <c r="C304" s="119" t="str">
        <f>'Secondary cum Calculation'!C668</f>
        <v>International Departures by Destination</v>
      </c>
      <c r="D304" s="119" t="str">
        <f>'Secondary cum Calculation'!D668</f>
        <v>Africa</v>
      </c>
      <c r="E304" s="6" t="str">
        <f>'Secondary cum Calculation'!E668</f>
        <v>Malawi</v>
      </c>
      <c r="F304" s="7" t="str">
        <f>'Secondary cum Calculation'!F668</f>
        <v>The number of international departures from a country to Malawi</v>
      </c>
      <c r="G304" s="7" t="str">
        <f>'Secondary cum Calculation'!G668</f>
        <v>Tourism Demand &amp; Flows Database</v>
      </c>
      <c r="H304" s="7" t="str">
        <f>'Secondary cum Calculation'!H668</f>
        <v>New</v>
      </c>
      <c r="I304" s="7">
        <f>'Secondary cum Calculation'!I668</f>
        <v>0</v>
      </c>
      <c r="J304" s="7" t="str">
        <f>'Secondary cum Calculation'!J668</f>
        <v>Thousand</v>
      </c>
      <c r="K304" s="8">
        <f>'Secondary cum Calculation'!K668</f>
        <v>0</v>
      </c>
      <c r="L304" s="358">
        <f>'Secondary cum Calculation'!L668</f>
        <v>0</v>
      </c>
      <c r="M304" s="358">
        <f>'Secondary cum Calculation'!M668</f>
        <v>0</v>
      </c>
      <c r="N304" s="358">
        <f>'Secondary cum Calculation'!N668</f>
        <v>0</v>
      </c>
      <c r="O304" s="358">
        <f>'Secondary cum Calculation'!O668</f>
        <v>0</v>
      </c>
      <c r="P304" s="358">
        <f>'Secondary cum Calculation'!P668</f>
        <v>0</v>
      </c>
      <c r="Q304" s="358">
        <f>'Secondary cum Calculation'!Q668</f>
        <v>0</v>
      </c>
      <c r="R304" s="218"/>
      <c r="S304" s="218"/>
      <c r="T304" s="218"/>
      <c r="U304" s="218"/>
      <c r="V304" s="218"/>
      <c r="W304" s="211" t="e">
        <f>'Secondary cum Calculation'!W668</f>
        <v>#DIV/0!</v>
      </c>
      <c r="X304" s="211" t="e">
        <f>'Secondary cum Calculation'!X668</f>
        <v>#DIV/0!</v>
      </c>
      <c r="Z304" s="11"/>
      <c r="AA304" s="11"/>
      <c r="AB304" s="11"/>
      <c r="AC304" s="11"/>
      <c r="AD304" s="11"/>
    </row>
    <row r="305" spans="1:30">
      <c r="A305" s="6" t="str">
        <f>'Secondary cum Calculation'!A670</f>
        <v>Poland</v>
      </c>
      <c r="B305" s="119" t="str">
        <f>'Secondary cum Calculation'!B670</f>
        <v>Tourism Flows</v>
      </c>
      <c r="C305" s="119" t="str">
        <f>'Secondary cum Calculation'!C670</f>
        <v>International Departures by Destination</v>
      </c>
      <c r="D305" s="119" t="str">
        <f>'Secondary cum Calculation'!D670</f>
        <v>Africa</v>
      </c>
      <c r="E305" s="6" t="str">
        <f>'Secondary cum Calculation'!E670</f>
        <v>Mali</v>
      </c>
      <c r="F305" s="7" t="str">
        <f>'Secondary cum Calculation'!F670</f>
        <v>The number of international departures from a country to Mali</v>
      </c>
      <c r="G305" s="7" t="str">
        <f>'Secondary cum Calculation'!G670</f>
        <v>Tourism Demand &amp; Flows Database</v>
      </c>
      <c r="H305" s="7" t="str">
        <f>'Secondary cum Calculation'!H670</f>
        <v>New</v>
      </c>
      <c r="I305" s="7">
        <f>'Secondary cum Calculation'!I670</f>
        <v>0</v>
      </c>
      <c r="J305" s="7" t="str">
        <f>'Secondary cum Calculation'!J670</f>
        <v>Thousand</v>
      </c>
      <c r="K305" s="8">
        <f>'Secondary cum Calculation'!K670</f>
        <v>0</v>
      </c>
      <c r="L305" s="358">
        <f>'Secondary cum Calculation'!L670</f>
        <v>0</v>
      </c>
      <c r="M305" s="358">
        <f>'Secondary cum Calculation'!M670</f>
        <v>0</v>
      </c>
      <c r="N305" s="358">
        <f>'Secondary cum Calculation'!N670</f>
        <v>0</v>
      </c>
      <c r="O305" s="358">
        <f>'Secondary cum Calculation'!O670</f>
        <v>0</v>
      </c>
      <c r="P305" s="358">
        <f>'Secondary cum Calculation'!P670</f>
        <v>0</v>
      </c>
      <c r="Q305" s="358">
        <f>'Secondary cum Calculation'!Q670</f>
        <v>0</v>
      </c>
      <c r="R305" s="218"/>
      <c r="S305" s="218"/>
      <c r="T305" s="218"/>
      <c r="U305" s="218"/>
      <c r="V305" s="218"/>
      <c r="W305" s="211" t="e">
        <f>'Secondary cum Calculation'!W670</f>
        <v>#DIV/0!</v>
      </c>
      <c r="X305" s="211" t="e">
        <f>'Secondary cum Calculation'!X670</f>
        <v>#DIV/0!</v>
      </c>
      <c r="Z305" s="11"/>
      <c r="AA305" s="11"/>
      <c r="AB305" s="11"/>
      <c r="AC305" s="11"/>
      <c r="AD305" s="11"/>
    </row>
    <row r="306" spans="1:30">
      <c r="A306" s="6" t="str">
        <f>'Secondary cum Calculation'!A672</f>
        <v>Poland</v>
      </c>
      <c r="B306" s="119" t="str">
        <f>'Secondary cum Calculation'!B672</f>
        <v>Tourism Flows</v>
      </c>
      <c r="C306" s="119" t="str">
        <f>'Secondary cum Calculation'!C672</f>
        <v>International Departures by Destination</v>
      </c>
      <c r="D306" s="119" t="str">
        <f>'Secondary cum Calculation'!D672</f>
        <v>Africa</v>
      </c>
      <c r="E306" s="6" t="str">
        <f>'Secondary cum Calculation'!E672</f>
        <v>Mauritania</v>
      </c>
      <c r="F306" s="7" t="str">
        <f>'Secondary cum Calculation'!F672</f>
        <v>The number of international departures from a country to Mauritania</v>
      </c>
      <c r="G306" s="7" t="str">
        <f>'Secondary cum Calculation'!G672</f>
        <v>Tourism Demand &amp; Flows Database</v>
      </c>
      <c r="H306" s="7" t="str">
        <f>'Secondary cum Calculation'!H672</f>
        <v>New</v>
      </c>
      <c r="I306" s="7">
        <f>'Secondary cum Calculation'!I672</f>
        <v>0</v>
      </c>
      <c r="J306" s="7" t="str">
        <f>'Secondary cum Calculation'!J672</f>
        <v>Thousand</v>
      </c>
      <c r="K306" s="8">
        <f>'Secondary cum Calculation'!K672</f>
        <v>0</v>
      </c>
      <c r="L306" s="358">
        <f>'Secondary cum Calculation'!L672</f>
        <v>0</v>
      </c>
      <c r="M306" s="358">
        <f>'Secondary cum Calculation'!M672</f>
        <v>0</v>
      </c>
      <c r="N306" s="358">
        <f>'Secondary cum Calculation'!N672</f>
        <v>0</v>
      </c>
      <c r="O306" s="358">
        <f>'Secondary cum Calculation'!O672</f>
        <v>0</v>
      </c>
      <c r="P306" s="358">
        <f>'Secondary cum Calculation'!P672</f>
        <v>0</v>
      </c>
      <c r="Q306" s="358">
        <f>'Secondary cum Calculation'!Q672</f>
        <v>0</v>
      </c>
      <c r="R306" s="218"/>
      <c r="S306" s="218"/>
      <c r="T306" s="218"/>
      <c r="U306" s="218"/>
      <c r="V306" s="218"/>
      <c r="W306" s="211" t="e">
        <f>'Secondary cum Calculation'!W672</f>
        <v>#DIV/0!</v>
      </c>
      <c r="X306" s="211" t="e">
        <f>'Secondary cum Calculation'!X672</f>
        <v>#DIV/0!</v>
      </c>
      <c r="Z306" s="11"/>
      <c r="AA306" s="11"/>
      <c r="AB306" s="11"/>
      <c r="AC306" s="11"/>
      <c r="AD306" s="11"/>
    </row>
    <row r="307" spans="1:30">
      <c r="A307" s="6" t="str">
        <f>'Secondary cum Calculation'!A674</f>
        <v>Poland</v>
      </c>
      <c r="B307" s="119" t="str">
        <f>'Secondary cum Calculation'!B674</f>
        <v>Tourism Flows</v>
      </c>
      <c r="C307" s="119" t="str">
        <f>'Secondary cum Calculation'!C674</f>
        <v>International Departures by Destination</v>
      </c>
      <c r="D307" s="119" t="str">
        <f>'Secondary cum Calculation'!D674</f>
        <v>Africa</v>
      </c>
      <c r="E307" s="6" t="str">
        <f>'Secondary cum Calculation'!E674</f>
        <v>Mayotte</v>
      </c>
      <c r="F307" s="7" t="str">
        <f>'Secondary cum Calculation'!F674</f>
        <v>The number of international departures from a country to Mayotte</v>
      </c>
      <c r="G307" s="7" t="str">
        <f>'Secondary cum Calculation'!G674</f>
        <v>Tourism Demand &amp; Flows Database</v>
      </c>
      <c r="H307" s="7" t="str">
        <f>'Secondary cum Calculation'!H674</f>
        <v>New</v>
      </c>
      <c r="I307" s="7">
        <f>'Secondary cum Calculation'!I674</f>
        <v>0</v>
      </c>
      <c r="J307" s="7" t="str">
        <f>'Secondary cum Calculation'!J674</f>
        <v>Thousand</v>
      </c>
      <c r="K307" s="8">
        <f>'Secondary cum Calculation'!K674</f>
        <v>0</v>
      </c>
      <c r="L307" s="358">
        <f>'Secondary cum Calculation'!L674</f>
        <v>0</v>
      </c>
      <c r="M307" s="358">
        <f>'Secondary cum Calculation'!M674</f>
        <v>0</v>
      </c>
      <c r="N307" s="358">
        <f>'Secondary cum Calculation'!N674</f>
        <v>0</v>
      </c>
      <c r="O307" s="358">
        <f>'Secondary cum Calculation'!O674</f>
        <v>0</v>
      </c>
      <c r="P307" s="358">
        <f>'Secondary cum Calculation'!P674</f>
        <v>0</v>
      </c>
      <c r="Q307" s="358">
        <f>'Secondary cum Calculation'!Q674</f>
        <v>0</v>
      </c>
      <c r="R307" s="218"/>
      <c r="S307" s="218"/>
      <c r="T307" s="218"/>
      <c r="U307" s="218"/>
      <c r="V307" s="218"/>
      <c r="W307" s="211" t="e">
        <f>'Secondary cum Calculation'!W674</f>
        <v>#DIV/0!</v>
      </c>
      <c r="X307" s="211" t="e">
        <f>'Secondary cum Calculation'!X674</f>
        <v>#DIV/0!</v>
      </c>
      <c r="Z307" s="11"/>
      <c r="AA307" s="11"/>
      <c r="AB307" s="11"/>
      <c r="AC307" s="11"/>
      <c r="AD307" s="11"/>
    </row>
    <row r="308" spans="1:30">
      <c r="A308" s="6" t="str">
        <f>'Secondary cum Calculation'!A676</f>
        <v>Poland</v>
      </c>
      <c r="B308" s="119" t="str">
        <f>'Secondary cum Calculation'!B676</f>
        <v>Tourism Flows</v>
      </c>
      <c r="C308" s="119" t="str">
        <f>'Secondary cum Calculation'!C676</f>
        <v>International Departures by Destination</v>
      </c>
      <c r="D308" s="119" t="str">
        <f>'Secondary cum Calculation'!D676</f>
        <v>Africa</v>
      </c>
      <c r="E308" s="6" t="str">
        <f>'Secondary cum Calculation'!E676</f>
        <v>Morocco</v>
      </c>
      <c r="F308" s="7" t="str">
        <f>'Secondary cum Calculation'!F676</f>
        <v>The number of international departures from a country to Morocco</v>
      </c>
      <c r="G308" s="7" t="str">
        <f>'Secondary cum Calculation'!G676</f>
        <v>Tourism Demand &amp; Flows Database</v>
      </c>
      <c r="H308" s="7" t="str">
        <f>'Secondary cum Calculation'!H676</f>
        <v>New</v>
      </c>
      <c r="I308" s="7">
        <f>'Secondary cum Calculation'!I676</f>
        <v>0</v>
      </c>
      <c r="J308" s="7" t="str">
        <f>'Secondary cum Calculation'!J676</f>
        <v>Thousand</v>
      </c>
      <c r="K308" s="8">
        <f>'Secondary cum Calculation'!K676</f>
        <v>0</v>
      </c>
      <c r="L308" s="358">
        <f>'Secondary cum Calculation'!L676</f>
        <v>0</v>
      </c>
      <c r="M308" s="358">
        <f>'Secondary cum Calculation'!M676</f>
        <v>0</v>
      </c>
      <c r="N308" s="358">
        <f>'Secondary cum Calculation'!N676</f>
        <v>0</v>
      </c>
      <c r="O308" s="358">
        <f>'Secondary cum Calculation'!O676</f>
        <v>0</v>
      </c>
      <c r="P308" s="358">
        <f>'Secondary cum Calculation'!P676</f>
        <v>0</v>
      </c>
      <c r="Q308" s="358">
        <f>'Secondary cum Calculation'!Q676</f>
        <v>0</v>
      </c>
      <c r="R308" s="218"/>
      <c r="S308" s="218"/>
      <c r="T308" s="218"/>
      <c r="U308" s="218"/>
      <c r="V308" s="218"/>
      <c r="W308" s="211" t="e">
        <f>'Secondary cum Calculation'!W676</f>
        <v>#DIV/0!</v>
      </c>
      <c r="X308" s="211" t="e">
        <f>'Secondary cum Calculation'!X676</f>
        <v>#DIV/0!</v>
      </c>
      <c r="Z308" s="11"/>
      <c r="AA308" s="11"/>
      <c r="AB308" s="11"/>
      <c r="AC308" s="11"/>
      <c r="AD308" s="11"/>
    </row>
    <row r="309" spans="1:30">
      <c r="A309" s="6" t="str">
        <f>'Secondary cum Calculation'!A678</f>
        <v>Poland</v>
      </c>
      <c r="B309" s="119" t="str">
        <f>'Secondary cum Calculation'!B678</f>
        <v>Tourism Flows</v>
      </c>
      <c r="C309" s="119" t="str">
        <f>'Secondary cum Calculation'!C678</f>
        <v>International Departures by Destination</v>
      </c>
      <c r="D309" s="119" t="str">
        <f>'Secondary cum Calculation'!D678</f>
        <v>Africa</v>
      </c>
      <c r="E309" s="6" t="str">
        <f>'Secondary cum Calculation'!E678</f>
        <v>Mozambique</v>
      </c>
      <c r="F309" s="7" t="str">
        <f>'Secondary cum Calculation'!F678</f>
        <v>The number of international departures from a country to Mozambique</v>
      </c>
      <c r="G309" s="7" t="str">
        <f>'Secondary cum Calculation'!G678</f>
        <v>Tourism Demand &amp; Flows Database</v>
      </c>
      <c r="H309" s="7" t="str">
        <f>'Secondary cum Calculation'!H678</f>
        <v>New</v>
      </c>
      <c r="I309" s="7">
        <f>'Secondary cum Calculation'!I678</f>
        <v>0</v>
      </c>
      <c r="J309" s="7" t="str">
        <f>'Secondary cum Calculation'!J678</f>
        <v>Thousand</v>
      </c>
      <c r="K309" s="8">
        <f>'Secondary cum Calculation'!K678</f>
        <v>0</v>
      </c>
      <c r="L309" s="358">
        <f>'Secondary cum Calculation'!L678</f>
        <v>0</v>
      </c>
      <c r="M309" s="358">
        <f>'Secondary cum Calculation'!M678</f>
        <v>0</v>
      </c>
      <c r="N309" s="358">
        <f>'Secondary cum Calculation'!N678</f>
        <v>0</v>
      </c>
      <c r="O309" s="358">
        <f>'Secondary cum Calculation'!O678</f>
        <v>0</v>
      </c>
      <c r="P309" s="358">
        <f>'Secondary cum Calculation'!P678</f>
        <v>0</v>
      </c>
      <c r="Q309" s="358">
        <f>'Secondary cum Calculation'!Q678</f>
        <v>0</v>
      </c>
      <c r="R309" s="218"/>
      <c r="S309" s="218"/>
      <c r="T309" s="218"/>
      <c r="U309" s="218"/>
      <c r="V309" s="218"/>
      <c r="W309" s="211" t="e">
        <f>'Secondary cum Calculation'!W678</f>
        <v>#DIV/0!</v>
      </c>
      <c r="X309" s="211" t="e">
        <f>'Secondary cum Calculation'!X678</f>
        <v>#DIV/0!</v>
      </c>
      <c r="Z309" s="11"/>
      <c r="AA309" s="11"/>
      <c r="AB309" s="11"/>
      <c r="AC309" s="11"/>
      <c r="AD309" s="11"/>
    </row>
    <row r="310" spans="1:30">
      <c r="A310" s="6" t="str">
        <f>'Secondary cum Calculation'!A680</f>
        <v>Poland</v>
      </c>
      <c r="B310" s="119" t="str">
        <f>'Secondary cum Calculation'!B680</f>
        <v>Tourism Flows</v>
      </c>
      <c r="C310" s="119" t="str">
        <f>'Secondary cum Calculation'!C680</f>
        <v>International Departures by Destination</v>
      </c>
      <c r="D310" s="119" t="str">
        <f>'Secondary cum Calculation'!D680</f>
        <v>Africa</v>
      </c>
      <c r="E310" s="6" t="str">
        <f>'Secondary cum Calculation'!E680</f>
        <v>Namibia</v>
      </c>
      <c r="F310" s="7" t="str">
        <f>'Secondary cum Calculation'!F680</f>
        <v>The number of international departures from a country to Namibia</v>
      </c>
      <c r="G310" s="7" t="str">
        <f>'Secondary cum Calculation'!G680</f>
        <v>Tourism Demand &amp; Flows Database</v>
      </c>
      <c r="H310" s="7" t="str">
        <f>'Secondary cum Calculation'!H680</f>
        <v>New</v>
      </c>
      <c r="I310" s="7">
        <f>'Secondary cum Calculation'!I680</f>
        <v>0</v>
      </c>
      <c r="J310" s="7" t="str">
        <f>'Secondary cum Calculation'!J680</f>
        <v>Thousand</v>
      </c>
      <c r="K310" s="8">
        <f>'Secondary cum Calculation'!K680</f>
        <v>0</v>
      </c>
      <c r="L310" s="358">
        <f>'Secondary cum Calculation'!L680</f>
        <v>0</v>
      </c>
      <c r="M310" s="358">
        <f>'Secondary cum Calculation'!M680</f>
        <v>0</v>
      </c>
      <c r="N310" s="358">
        <f>'Secondary cum Calculation'!N680</f>
        <v>0</v>
      </c>
      <c r="O310" s="358">
        <f>'Secondary cum Calculation'!O680</f>
        <v>0</v>
      </c>
      <c r="P310" s="358">
        <f>'Secondary cum Calculation'!P680</f>
        <v>0</v>
      </c>
      <c r="Q310" s="358">
        <f>'Secondary cum Calculation'!Q680</f>
        <v>0</v>
      </c>
      <c r="R310" s="218"/>
      <c r="S310" s="218"/>
      <c r="T310" s="218"/>
      <c r="U310" s="218"/>
      <c r="V310" s="218"/>
      <c r="W310" s="211" t="e">
        <f>'Secondary cum Calculation'!W680</f>
        <v>#DIV/0!</v>
      </c>
      <c r="X310" s="211" t="e">
        <f>'Secondary cum Calculation'!X680</f>
        <v>#DIV/0!</v>
      </c>
      <c r="Z310" s="11"/>
      <c r="AA310" s="11"/>
      <c r="AB310" s="11"/>
      <c r="AC310" s="11"/>
      <c r="AD310" s="11"/>
    </row>
    <row r="311" spans="1:30">
      <c r="A311" s="6" t="str">
        <f>'Secondary cum Calculation'!A682</f>
        <v>Poland</v>
      </c>
      <c r="B311" s="119" t="str">
        <f>'Secondary cum Calculation'!B682</f>
        <v>Tourism Flows</v>
      </c>
      <c r="C311" s="119" t="str">
        <f>'Secondary cum Calculation'!C682</f>
        <v>International Departures by Destination</v>
      </c>
      <c r="D311" s="119" t="str">
        <f>'Secondary cum Calculation'!D682</f>
        <v>Africa</v>
      </c>
      <c r="E311" s="6" t="str">
        <f>'Secondary cum Calculation'!E682</f>
        <v>Niger</v>
      </c>
      <c r="F311" s="7" t="str">
        <f>'Secondary cum Calculation'!F682</f>
        <v>The number of international departures from a country to Niger</v>
      </c>
      <c r="G311" s="7" t="str">
        <f>'Secondary cum Calculation'!G682</f>
        <v>Tourism Demand &amp; Flows Database</v>
      </c>
      <c r="H311" s="7" t="str">
        <f>'Secondary cum Calculation'!H682</f>
        <v>New</v>
      </c>
      <c r="I311" s="7">
        <f>'Secondary cum Calculation'!I682</f>
        <v>0</v>
      </c>
      <c r="J311" s="7" t="str">
        <f>'Secondary cum Calculation'!J682</f>
        <v>Thousand</v>
      </c>
      <c r="K311" s="8">
        <f>'Secondary cum Calculation'!K682</f>
        <v>0</v>
      </c>
      <c r="L311" s="358">
        <f>'Secondary cum Calculation'!L682</f>
        <v>0</v>
      </c>
      <c r="M311" s="358">
        <f>'Secondary cum Calculation'!M682</f>
        <v>0</v>
      </c>
      <c r="N311" s="358">
        <f>'Secondary cum Calculation'!N682</f>
        <v>0</v>
      </c>
      <c r="O311" s="358">
        <f>'Secondary cum Calculation'!O682</f>
        <v>0</v>
      </c>
      <c r="P311" s="358">
        <f>'Secondary cum Calculation'!P682</f>
        <v>0</v>
      </c>
      <c r="Q311" s="358">
        <f>'Secondary cum Calculation'!Q682</f>
        <v>0</v>
      </c>
      <c r="R311" s="218"/>
      <c r="S311" s="218"/>
      <c r="T311" s="218"/>
      <c r="U311" s="218"/>
      <c r="V311" s="218"/>
      <c r="W311" s="211" t="e">
        <f>'Secondary cum Calculation'!W682</f>
        <v>#DIV/0!</v>
      </c>
      <c r="X311" s="211" t="e">
        <f>'Secondary cum Calculation'!X682</f>
        <v>#DIV/0!</v>
      </c>
      <c r="Z311" s="11"/>
      <c r="AA311" s="11"/>
      <c r="AB311" s="11"/>
      <c r="AC311" s="11"/>
      <c r="AD311" s="11"/>
    </row>
    <row r="312" spans="1:30">
      <c r="A312" s="6" t="str">
        <f>'Secondary cum Calculation'!A684</f>
        <v>Poland</v>
      </c>
      <c r="B312" s="119" t="str">
        <f>'Secondary cum Calculation'!B684</f>
        <v>Tourism Flows</v>
      </c>
      <c r="C312" s="119" t="str">
        <f>'Secondary cum Calculation'!C684</f>
        <v>International Departures by Destination</v>
      </c>
      <c r="D312" s="119" t="str">
        <f>'Secondary cum Calculation'!D684</f>
        <v>Africa</v>
      </c>
      <c r="E312" s="6" t="str">
        <f>'Secondary cum Calculation'!E684</f>
        <v>Nigeria</v>
      </c>
      <c r="F312" s="7" t="str">
        <f>'Secondary cum Calculation'!F684</f>
        <v>The number of international departures from a country to Nigeria</v>
      </c>
      <c r="G312" s="7" t="str">
        <f>'Secondary cum Calculation'!G684</f>
        <v>Tourism Demand &amp; Flows Database</v>
      </c>
      <c r="H312" s="7" t="str">
        <f>'Secondary cum Calculation'!H684</f>
        <v>New</v>
      </c>
      <c r="I312" s="7">
        <f>'Secondary cum Calculation'!I684</f>
        <v>0</v>
      </c>
      <c r="J312" s="7" t="str">
        <f>'Secondary cum Calculation'!J684</f>
        <v>Thousand</v>
      </c>
      <c r="K312" s="8">
        <f>'Secondary cum Calculation'!K684</f>
        <v>0</v>
      </c>
      <c r="L312" s="358">
        <f>'Secondary cum Calculation'!L684</f>
        <v>0</v>
      </c>
      <c r="M312" s="358">
        <f>'Secondary cum Calculation'!M684</f>
        <v>0</v>
      </c>
      <c r="N312" s="358">
        <f>'Secondary cum Calculation'!N684</f>
        <v>0</v>
      </c>
      <c r="O312" s="358">
        <f>'Secondary cum Calculation'!O684</f>
        <v>0</v>
      </c>
      <c r="P312" s="358">
        <f>'Secondary cum Calculation'!P684</f>
        <v>0</v>
      </c>
      <c r="Q312" s="358">
        <f>'Secondary cum Calculation'!Q684</f>
        <v>0</v>
      </c>
      <c r="R312" s="218"/>
      <c r="S312" s="218"/>
      <c r="T312" s="218"/>
      <c r="U312" s="218"/>
      <c r="V312" s="218"/>
      <c r="W312" s="211" t="e">
        <f>'Secondary cum Calculation'!W684</f>
        <v>#DIV/0!</v>
      </c>
      <c r="X312" s="211" t="e">
        <f>'Secondary cum Calculation'!X684</f>
        <v>#DIV/0!</v>
      </c>
      <c r="Z312" s="11"/>
      <c r="AA312" s="11"/>
      <c r="AB312" s="11"/>
      <c r="AC312" s="11"/>
      <c r="AD312" s="11"/>
    </row>
    <row r="313" spans="1:30">
      <c r="A313" s="6" t="str">
        <f>'Secondary cum Calculation'!A686</f>
        <v>Poland</v>
      </c>
      <c r="B313" s="119" t="str">
        <f>'Secondary cum Calculation'!B686</f>
        <v>Tourism Flows</v>
      </c>
      <c r="C313" s="119" t="str">
        <f>'Secondary cum Calculation'!C686</f>
        <v>International Departures by Destination</v>
      </c>
      <c r="D313" s="119" t="str">
        <f>'Secondary cum Calculation'!D686</f>
        <v>Africa</v>
      </c>
      <c r="E313" s="6" t="str">
        <f>'Secondary cum Calculation'!E686</f>
        <v>Réunion</v>
      </c>
      <c r="F313" s="7" t="str">
        <f>'Secondary cum Calculation'!F686</f>
        <v>The number of international departures from a country to Réunion</v>
      </c>
      <c r="G313" s="7" t="str">
        <f>'Secondary cum Calculation'!G686</f>
        <v>Tourism Demand &amp; Flows Database</v>
      </c>
      <c r="H313" s="7" t="str">
        <f>'Secondary cum Calculation'!H686</f>
        <v>New</v>
      </c>
      <c r="I313" s="7">
        <f>'Secondary cum Calculation'!I686</f>
        <v>0</v>
      </c>
      <c r="J313" s="7" t="str">
        <f>'Secondary cum Calculation'!J686</f>
        <v>Thousand</v>
      </c>
      <c r="K313" s="8">
        <f>'Secondary cum Calculation'!K686</f>
        <v>0</v>
      </c>
      <c r="L313" s="358">
        <f>'Secondary cum Calculation'!L686</f>
        <v>0</v>
      </c>
      <c r="M313" s="358">
        <f>'Secondary cum Calculation'!M686</f>
        <v>0</v>
      </c>
      <c r="N313" s="358">
        <f>'Secondary cum Calculation'!N686</f>
        <v>0</v>
      </c>
      <c r="O313" s="358">
        <f>'Secondary cum Calculation'!O686</f>
        <v>0</v>
      </c>
      <c r="P313" s="358">
        <f>'Secondary cum Calculation'!P686</f>
        <v>0</v>
      </c>
      <c r="Q313" s="358">
        <f>'Secondary cum Calculation'!Q686</f>
        <v>0</v>
      </c>
      <c r="R313" s="218"/>
      <c r="S313" s="218"/>
      <c r="T313" s="218"/>
      <c r="U313" s="218"/>
      <c r="V313" s="218"/>
      <c r="W313" s="211" t="e">
        <f>'Secondary cum Calculation'!W686</f>
        <v>#DIV/0!</v>
      </c>
      <c r="X313" s="211" t="e">
        <f>'Secondary cum Calculation'!X686</f>
        <v>#DIV/0!</v>
      </c>
      <c r="Z313" s="11"/>
      <c r="AA313" s="11"/>
      <c r="AB313" s="11"/>
      <c r="AC313" s="11"/>
      <c r="AD313" s="11"/>
    </row>
    <row r="314" spans="1:30">
      <c r="A314" s="6" t="str">
        <f>'Secondary cum Calculation'!A688</f>
        <v>Poland</v>
      </c>
      <c r="B314" s="119" t="str">
        <f>'Secondary cum Calculation'!B688</f>
        <v>Tourism Flows</v>
      </c>
      <c r="C314" s="119" t="str">
        <f>'Secondary cum Calculation'!C688</f>
        <v>International Departures by Destination</v>
      </c>
      <c r="D314" s="119" t="str">
        <f>'Secondary cum Calculation'!D688</f>
        <v>Africa</v>
      </c>
      <c r="E314" s="6" t="str">
        <f>'Secondary cum Calculation'!E688</f>
        <v>Rwanda</v>
      </c>
      <c r="F314" s="7" t="str">
        <f>'Secondary cum Calculation'!F688</f>
        <v>The number of international departures from a country to Rwanda</v>
      </c>
      <c r="G314" s="7" t="str">
        <f>'Secondary cum Calculation'!G688</f>
        <v>Tourism Demand &amp; Flows Database</v>
      </c>
      <c r="H314" s="7" t="str">
        <f>'Secondary cum Calculation'!H688</f>
        <v>New</v>
      </c>
      <c r="I314" s="7">
        <f>'Secondary cum Calculation'!I688</f>
        <v>0</v>
      </c>
      <c r="J314" s="7" t="str">
        <f>'Secondary cum Calculation'!J688</f>
        <v>Thousand</v>
      </c>
      <c r="K314" s="8">
        <f>'Secondary cum Calculation'!K688</f>
        <v>0</v>
      </c>
      <c r="L314" s="358">
        <f>'Secondary cum Calculation'!L688</f>
        <v>0</v>
      </c>
      <c r="M314" s="358">
        <f>'Secondary cum Calculation'!M688</f>
        <v>0</v>
      </c>
      <c r="N314" s="358">
        <f>'Secondary cum Calculation'!N688</f>
        <v>0</v>
      </c>
      <c r="O314" s="358">
        <f>'Secondary cum Calculation'!O688</f>
        <v>0</v>
      </c>
      <c r="P314" s="358">
        <f>'Secondary cum Calculation'!P688</f>
        <v>0</v>
      </c>
      <c r="Q314" s="358">
        <f>'Secondary cum Calculation'!Q688</f>
        <v>0</v>
      </c>
      <c r="R314" s="218"/>
      <c r="S314" s="218"/>
      <c r="T314" s="218"/>
      <c r="U314" s="218"/>
      <c r="V314" s="218"/>
      <c r="W314" s="211" t="e">
        <f>'Secondary cum Calculation'!W688</f>
        <v>#DIV/0!</v>
      </c>
      <c r="X314" s="211" t="e">
        <f>'Secondary cum Calculation'!X688</f>
        <v>#DIV/0!</v>
      </c>
      <c r="Z314" s="11"/>
      <c r="AA314" s="11"/>
      <c r="AB314" s="11"/>
      <c r="AC314" s="11"/>
      <c r="AD314" s="11"/>
    </row>
    <row r="315" spans="1:30">
      <c r="A315" s="6" t="str">
        <f>'Secondary cum Calculation'!A690</f>
        <v>Poland</v>
      </c>
      <c r="B315" s="119" t="str">
        <f>'Secondary cum Calculation'!B690</f>
        <v>Tourism Flows</v>
      </c>
      <c r="C315" s="119" t="str">
        <f>'Secondary cum Calculation'!C690</f>
        <v>International Departures by Destination</v>
      </c>
      <c r="D315" s="119" t="str">
        <f>'Secondary cum Calculation'!D690</f>
        <v>Africa</v>
      </c>
      <c r="E315" s="6" t="str">
        <f>'Secondary cum Calculation'!E690</f>
        <v>Senegal</v>
      </c>
      <c r="F315" s="7" t="str">
        <f>'Secondary cum Calculation'!F690</f>
        <v>The number of international departures from a country to Senegal</v>
      </c>
      <c r="G315" s="7" t="str">
        <f>'Secondary cum Calculation'!G690</f>
        <v>Tourism Demand &amp; Flows Database</v>
      </c>
      <c r="H315" s="7" t="str">
        <f>'Secondary cum Calculation'!H690</f>
        <v>New</v>
      </c>
      <c r="I315" s="7">
        <f>'Secondary cum Calculation'!I690</f>
        <v>0</v>
      </c>
      <c r="J315" s="7" t="str">
        <f>'Secondary cum Calculation'!J690</f>
        <v>Thousand</v>
      </c>
      <c r="K315" s="8">
        <f>'Secondary cum Calculation'!K690</f>
        <v>0</v>
      </c>
      <c r="L315" s="358">
        <f>'Secondary cum Calculation'!L690</f>
        <v>0</v>
      </c>
      <c r="M315" s="358">
        <f>'Secondary cum Calculation'!M690</f>
        <v>0</v>
      </c>
      <c r="N315" s="358">
        <f>'Secondary cum Calculation'!N690</f>
        <v>0</v>
      </c>
      <c r="O315" s="358">
        <f>'Secondary cum Calculation'!O690</f>
        <v>0</v>
      </c>
      <c r="P315" s="358">
        <f>'Secondary cum Calculation'!P690</f>
        <v>0</v>
      </c>
      <c r="Q315" s="358">
        <f>'Secondary cum Calculation'!Q690</f>
        <v>0</v>
      </c>
      <c r="R315" s="218"/>
      <c r="S315" s="218"/>
      <c r="T315" s="218"/>
      <c r="U315" s="218"/>
      <c r="V315" s="218"/>
      <c r="W315" s="211" t="e">
        <f>'Secondary cum Calculation'!W690</f>
        <v>#DIV/0!</v>
      </c>
      <c r="X315" s="211" t="e">
        <f>'Secondary cum Calculation'!X690</f>
        <v>#DIV/0!</v>
      </c>
      <c r="Z315" s="11"/>
      <c r="AA315" s="11"/>
      <c r="AB315" s="11"/>
      <c r="AC315" s="11"/>
      <c r="AD315" s="11"/>
    </row>
    <row r="316" spans="1:30">
      <c r="A316" s="6" t="str">
        <f>'Secondary cum Calculation'!A692</f>
        <v>Poland</v>
      </c>
      <c r="B316" s="119" t="str">
        <f>'Secondary cum Calculation'!B692</f>
        <v>Tourism Flows</v>
      </c>
      <c r="C316" s="119" t="str">
        <f>'Secondary cum Calculation'!C692</f>
        <v>International Departures by Destination</v>
      </c>
      <c r="D316" s="119" t="str">
        <f>'Secondary cum Calculation'!D692</f>
        <v>Africa</v>
      </c>
      <c r="E316" s="6" t="str">
        <f>'Secondary cum Calculation'!E692</f>
        <v>Sierra Leone</v>
      </c>
      <c r="F316" s="7" t="str">
        <f>'Secondary cum Calculation'!F692</f>
        <v>The number of international departures from a country to Sierra Leone</v>
      </c>
      <c r="G316" s="7" t="str">
        <f>'Secondary cum Calculation'!G692</f>
        <v>Tourism Demand &amp; Flows Database</v>
      </c>
      <c r="H316" s="7" t="str">
        <f>'Secondary cum Calculation'!H692</f>
        <v>New</v>
      </c>
      <c r="I316" s="7">
        <f>'Secondary cum Calculation'!I692</f>
        <v>0</v>
      </c>
      <c r="J316" s="7" t="str">
        <f>'Secondary cum Calculation'!J692</f>
        <v>Thousand</v>
      </c>
      <c r="K316" s="8">
        <f>'Secondary cum Calculation'!K692</f>
        <v>0</v>
      </c>
      <c r="L316" s="358">
        <f>'Secondary cum Calculation'!L692</f>
        <v>0</v>
      </c>
      <c r="M316" s="358">
        <f>'Secondary cum Calculation'!M692</f>
        <v>0</v>
      </c>
      <c r="N316" s="358">
        <f>'Secondary cum Calculation'!N692</f>
        <v>0</v>
      </c>
      <c r="O316" s="358">
        <f>'Secondary cum Calculation'!O692</f>
        <v>0</v>
      </c>
      <c r="P316" s="358">
        <f>'Secondary cum Calculation'!P692</f>
        <v>0</v>
      </c>
      <c r="Q316" s="358">
        <f>'Secondary cum Calculation'!Q692</f>
        <v>0</v>
      </c>
      <c r="R316" s="218"/>
      <c r="S316" s="218"/>
      <c r="T316" s="218"/>
      <c r="U316" s="218"/>
      <c r="V316" s="218"/>
      <c r="W316" s="211" t="e">
        <f>'Secondary cum Calculation'!W692</f>
        <v>#DIV/0!</v>
      </c>
      <c r="X316" s="211" t="e">
        <f>'Secondary cum Calculation'!X692</f>
        <v>#DIV/0!</v>
      </c>
      <c r="Z316" s="11"/>
      <c r="AA316" s="11"/>
      <c r="AB316" s="11"/>
      <c r="AC316" s="11"/>
      <c r="AD316" s="11"/>
    </row>
    <row r="317" spans="1:30">
      <c r="A317" s="6" t="str">
        <f>'Secondary cum Calculation'!A694</f>
        <v>Poland</v>
      </c>
      <c r="B317" s="119" t="str">
        <f>'Secondary cum Calculation'!B694</f>
        <v>Tourism Flows</v>
      </c>
      <c r="C317" s="119" t="str">
        <f>'Secondary cum Calculation'!C694</f>
        <v>International Departures by Destination</v>
      </c>
      <c r="D317" s="119" t="str">
        <f>'Secondary cum Calculation'!D694</f>
        <v>Africa</v>
      </c>
      <c r="E317" s="6" t="str">
        <f>'Secondary cum Calculation'!E694</f>
        <v>Somalia</v>
      </c>
      <c r="F317" s="7" t="str">
        <f>'Secondary cum Calculation'!F694</f>
        <v>The number of international departures from a country to Somalia</v>
      </c>
      <c r="G317" s="7" t="str">
        <f>'Secondary cum Calculation'!G694</f>
        <v>Tourism Demand &amp; Flows Database</v>
      </c>
      <c r="H317" s="7" t="str">
        <f>'Secondary cum Calculation'!H694</f>
        <v>New</v>
      </c>
      <c r="I317" s="7">
        <f>'Secondary cum Calculation'!I694</f>
        <v>0</v>
      </c>
      <c r="J317" s="7" t="str">
        <f>'Secondary cum Calculation'!J694</f>
        <v>Thousand</v>
      </c>
      <c r="K317" s="8">
        <f>'Secondary cum Calculation'!K694</f>
        <v>0</v>
      </c>
      <c r="L317" s="358">
        <f>'Secondary cum Calculation'!L694</f>
        <v>0</v>
      </c>
      <c r="M317" s="358">
        <f>'Secondary cum Calculation'!M694</f>
        <v>0</v>
      </c>
      <c r="N317" s="358">
        <f>'Secondary cum Calculation'!N694</f>
        <v>0</v>
      </c>
      <c r="O317" s="358">
        <f>'Secondary cum Calculation'!O694</f>
        <v>0</v>
      </c>
      <c r="P317" s="358">
        <f>'Secondary cum Calculation'!P694</f>
        <v>0</v>
      </c>
      <c r="Q317" s="358">
        <f>'Secondary cum Calculation'!Q694</f>
        <v>0</v>
      </c>
      <c r="R317" s="218"/>
      <c r="S317" s="218"/>
      <c r="T317" s="218"/>
      <c r="U317" s="218"/>
      <c r="V317" s="218"/>
      <c r="W317" s="211" t="e">
        <f>'Secondary cum Calculation'!W694</f>
        <v>#DIV/0!</v>
      </c>
      <c r="X317" s="211" t="e">
        <f>'Secondary cum Calculation'!X694</f>
        <v>#DIV/0!</v>
      </c>
      <c r="Z317" s="11"/>
      <c r="AA317" s="11"/>
      <c r="AB317" s="11"/>
      <c r="AC317" s="11"/>
      <c r="AD317" s="11"/>
    </row>
    <row r="318" spans="1:30">
      <c r="A318" s="6" t="str">
        <f>'Secondary cum Calculation'!A696</f>
        <v>Poland</v>
      </c>
      <c r="B318" s="119" t="str">
        <f>'Secondary cum Calculation'!B696</f>
        <v>Tourism Flows</v>
      </c>
      <c r="C318" s="119" t="str">
        <f>'Secondary cum Calculation'!C696</f>
        <v>International Departures by Destination</v>
      </c>
      <c r="D318" s="119" t="str">
        <f>'Secondary cum Calculation'!D696</f>
        <v>Africa</v>
      </c>
      <c r="E318" s="6" t="str">
        <f>'Secondary cum Calculation'!E696</f>
        <v>South Africa</v>
      </c>
      <c r="F318" s="7" t="str">
        <f>'Secondary cum Calculation'!F696</f>
        <v>The number of international departures from a country to South Africa</v>
      </c>
      <c r="G318" s="7" t="str">
        <f>'Secondary cum Calculation'!G696</f>
        <v>Tourism Demand &amp; Flows Database</v>
      </c>
      <c r="H318" s="7" t="str">
        <f>'Secondary cum Calculation'!H696</f>
        <v>New</v>
      </c>
      <c r="I318" s="7">
        <f>'Secondary cum Calculation'!I696</f>
        <v>0</v>
      </c>
      <c r="J318" s="7" t="str">
        <f>'Secondary cum Calculation'!J696</f>
        <v>Thousand</v>
      </c>
      <c r="K318" s="8" t="str">
        <f>'Secondary cum Calculation'!K696</f>
        <v>**</v>
      </c>
      <c r="L318" s="358">
        <f>'Secondary cum Calculation'!L696</f>
        <v>0</v>
      </c>
      <c r="M318" s="358">
        <f>'Secondary cum Calculation'!M696</f>
        <v>0</v>
      </c>
      <c r="N318" s="358">
        <f>'Secondary cum Calculation'!N696</f>
        <v>0</v>
      </c>
      <c r="O318" s="358">
        <f>'Secondary cum Calculation'!O696</f>
        <v>0</v>
      </c>
      <c r="P318" s="358">
        <f>'Secondary cum Calculation'!P696</f>
        <v>0</v>
      </c>
      <c r="Q318" s="358">
        <f>'Secondary cum Calculation'!Q696</f>
        <v>0</v>
      </c>
      <c r="R318" s="218"/>
      <c r="S318" s="218"/>
      <c r="T318" s="218"/>
      <c r="U318" s="218"/>
      <c r="V318" s="218"/>
      <c r="W318" s="211" t="e">
        <f>'Secondary cum Calculation'!W696</f>
        <v>#DIV/0!</v>
      </c>
      <c r="X318" s="211" t="e">
        <f>'Secondary cum Calculation'!X696</f>
        <v>#DIV/0!</v>
      </c>
      <c r="Z318" s="11"/>
      <c r="AA318" s="11"/>
      <c r="AB318" s="11"/>
      <c r="AC318" s="11"/>
      <c r="AD318" s="11"/>
    </row>
    <row r="319" spans="1:30">
      <c r="A319" s="6" t="str">
        <f>'Secondary cum Calculation'!A698</f>
        <v>Poland</v>
      </c>
      <c r="B319" s="119" t="str">
        <f>'Secondary cum Calculation'!B698</f>
        <v>Tourism Flows</v>
      </c>
      <c r="C319" s="119" t="str">
        <f>'Secondary cum Calculation'!C698</f>
        <v>International Departures by Destination</v>
      </c>
      <c r="D319" s="119" t="str">
        <f>'Secondary cum Calculation'!D698</f>
        <v>Africa</v>
      </c>
      <c r="E319" s="6" t="str">
        <f>'Secondary cum Calculation'!E698</f>
        <v>Sudan</v>
      </c>
      <c r="F319" s="7" t="str">
        <f>'Secondary cum Calculation'!F698</f>
        <v>The number of international departures from a country to Sudan</v>
      </c>
      <c r="G319" s="7" t="str">
        <f>'Secondary cum Calculation'!G698</f>
        <v>Tourism Demand &amp; Flows Database</v>
      </c>
      <c r="H319" s="7" t="str">
        <f>'Secondary cum Calculation'!H698</f>
        <v>New</v>
      </c>
      <c r="I319" s="7">
        <f>'Secondary cum Calculation'!I698</f>
        <v>0</v>
      </c>
      <c r="J319" s="7" t="str">
        <f>'Secondary cum Calculation'!J698</f>
        <v>Thousand</v>
      </c>
      <c r="K319" s="8">
        <f>'Secondary cum Calculation'!K698</f>
        <v>0</v>
      </c>
      <c r="L319" s="358">
        <f>'Secondary cum Calculation'!L698</f>
        <v>0</v>
      </c>
      <c r="M319" s="358">
        <f>'Secondary cum Calculation'!M698</f>
        <v>0</v>
      </c>
      <c r="N319" s="358">
        <f>'Secondary cum Calculation'!N698</f>
        <v>0</v>
      </c>
      <c r="O319" s="358">
        <f>'Secondary cum Calculation'!O698</f>
        <v>0</v>
      </c>
      <c r="P319" s="358">
        <f>'Secondary cum Calculation'!P698</f>
        <v>0</v>
      </c>
      <c r="Q319" s="358">
        <f>'Secondary cum Calculation'!Q698</f>
        <v>0</v>
      </c>
      <c r="R319" s="218"/>
      <c r="S319" s="218"/>
      <c r="T319" s="218"/>
      <c r="U319" s="218"/>
      <c r="V319" s="218"/>
      <c r="W319" s="211" t="e">
        <f>'Secondary cum Calculation'!W698</f>
        <v>#DIV/0!</v>
      </c>
      <c r="X319" s="211" t="e">
        <f>'Secondary cum Calculation'!X698</f>
        <v>#DIV/0!</v>
      </c>
      <c r="Z319" s="11"/>
      <c r="AA319" s="11"/>
      <c r="AB319" s="11"/>
      <c r="AC319" s="11"/>
      <c r="AD319" s="11"/>
    </row>
    <row r="320" spans="1:30">
      <c r="A320" s="6" t="str">
        <f>'Secondary cum Calculation'!A700</f>
        <v>Poland</v>
      </c>
      <c r="B320" s="119" t="str">
        <f>'Secondary cum Calculation'!B700</f>
        <v>Tourism Flows</v>
      </c>
      <c r="C320" s="119" t="str">
        <f>'Secondary cum Calculation'!C700</f>
        <v>International Departures by Destination</v>
      </c>
      <c r="D320" s="119" t="str">
        <f>'Secondary cum Calculation'!D700</f>
        <v>Africa</v>
      </c>
      <c r="E320" s="6" t="str">
        <f>'Secondary cum Calculation'!E700</f>
        <v>Swaziland</v>
      </c>
      <c r="F320" s="7" t="str">
        <f>'Secondary cum Calculation'!F700</f>
        <v>The number of international departures from a country to Swaziland</v>
      </c>
      <c r="G320" s="7" t="str">
        <f>'Secondary cum Calculation'!G700</f>
        <v>Tourism Demand &amp; Flows Database</v>
      </c>
      <c r="H320" s="7" t="str">
        <f>'Secondary cum Calculation'!H700</f>
        <v>New</v>
      </c>
      <c r="I320" s="7">
        <f>'Secondary cum Calculation'!I700</f>
        <v>0</v>
      </c>
      <c r="J320" s="7" t="str">
        <f>'Secondary cum Calculation'!J700</f>
        <v>Thousand</v>
      </c>
      <c r="K320" s="8">
        <f>'Secondary cum Calculation'!K700</f>
        <v>0</v>
      </c>
      <c r="L320" s="358">
        <f>'Secondary cum Calculation'!L700</f>
        <v>0</v>
      </c>
      <c r="M320" s="358">
        <f>'Secondary cum Calculation'!M700</f>
        <v>0</v>
      </c>
      <c r="N320" s="358">
        <f>'Secondary cum Calculation'!N700</f>
        <v>0</v>
      </c>
      <c r="O320" s="358">
        <f>'Secondary cum Calculation'!O700</f>
        <v>0</v>
      </c>
      <c r="P320" s="358">
        <f>'Secondary cum Calculation'!P700</f>
        <v>0</v>
      </c>
      <c r="Q320" s="358">
        <f>'Secondary cum Calculation'!Q700</f>
        <v>0</v>
      </c>
      <c r="R320" s="218"/>
      <c r="S320" s="218"/>
      <c r="T320" s="218"/>
      <c r="U320" s="218"/>
      <c r="V320" s="218"/>
      <c r="W320" s="211" t="e">
        <f>'Secondary cum Calculation'!W700</f>
        <v>#DIV/0!</v>
      </c>
      <c r="X320" s="211" t="e">
        <f>'Secondary cum Calculation'!X700</f>
        <v>#DIV/0!</v>
      </c>
      <c r="Z320" s="11"/>
      <c r="AA320" s="11"/>
      <c r="AB320" s="11"/>
      <c r="AC320" s="11"/>
      <c r="AD320" s="11"/>
    </row>
    <row r="321" spans="1:30">
      <c r="A321" s="6" t="str">
        <f>'Secondary cum Calculation'!A702</f>
        <v>Poland</v>
      </c>
      <c r="B321" s="119" t="str">
        <f>'Secondary cum Calculation'!B702</f>
        <v>Tourism Flows</v>
      </c>
      <c r="C321" s="119" t="str">
        <f>'Secondary cum Calculation'!C702</f>
        <v>International Departures by Destination</v>
      </c>
      <c r="D321" s="119" t="str">
        <f>'Secondary cum Calculation'!D702</f>
        <v>Africa</v>
      </c>
      <c r="E321" s="6" t="str">
        <f>'Secondary cum Calculation'!E702</f>
        <v>Togo</v>
      </c>
      <c r="F321" s="7" t="str">
        <f>'Secondary cum Calculation'!F702</f>
        <v>The number of international departures from a country to Togo</v>
      </c>
      <c r="G321" s="7" t="str">
        <f>'Secondary cum Calculation'!G702</f>
        <v>Tourism Demand &amp; Flows Database</v>
      </c>
      <c r="H321" s="7" t="str">
        <f>'Secondary cum Calculation'!H702</f>
        <v>New</v>
      </c>
      <c r="I321" s="7">
        <f>'Secondary cum Calculation'!I702</f>
        <v>0</v>
      </c>
      <c r="J321" s="7" t="str">
        <f>'Secondary cum Calculation'!J702</f>
        <v>Thousand</v>
      </c>
      <c r="K321" s="8">
        <f>'Secondary cum Calculation'!K702</f>
        <v>0</v>
      </c>
      <c r="L321" s="358">
        <f>'Secondary cum Calculation'!L702</f>
        <v>0</v>
      </c>
      <c r="M321" s="358">
        <f>'Secondary cum Calculation'!M702</f>
        <v>0</v>
      </c>
      <c r="N321" s="358">
        <f>'Secondary cum Calculation'!N702</f>
        <v>0</v>
      </c>
      <c r="O321" s="358">
        <f>'Secondary cum Calculation'!O702</f>
        <v>0</v>
      </c>
      <c r="P321" s="358">
        <f>'Secondary cum Calculation'!P702</f>
        <v>0</v>
      </c>
      <c r="Q321" s="358">
        <f>'Secondary cum Calculation'!Q702</f>
        <v>0</v>
      </c>
      <c r="R321" s="218"/>
      <c r="S321" s="218"/>
      <c r="T321" s="218"/>
      <c r="U321" s="218"/>
      <c r="V321" s="218"/>
      <c r="W321" s="211" t="e">
        <f>'Secondary cum Calculation'!W702</f>
        <v>#DIV/0!</v>
      </c>
      <c r="X321" s="211" t="e">
        <f>'Secondary cum Calculation'!X702</f>
        <v>#DIV/0!</v>
      </c>
      <c r="Z321" s="11"/>
      <c r="AA321" s="11"/>
      <c r="AB321" s="11"/>
      <c r="AC321" s="11"/>
      <c r="AD321" s="11"/>
    </row>
    <row r="322" spans="1:30">
      <c r="A322" s="6" t="str">
        <f>'Secondary cum Calculation'!A704</f>
        <v>Poland</v>
      </c>
      <c r="B322" s="119" t="str">
        <f>'Secondary cum Calculation'!B704</f>
        <v>Tourism Flows</v>
      </c>
      <c r="C322" s="119" t="str">
        <f>'Secondary cum Calculation'!C704</f>
        <v>International Departures by Destination</v>
      </c>
      <c r="D322" s="119" t="str">
        <f>'Secondary cum Calculation'!D704</f>
        <v>Africa</v>
      </c>
      <c r="E322" s="6" t="str">
        <f>'Secondary cum Calculation'!E704</f>
        <v>Tonga</v>
      </c>
      <c r="F322" s="7" t="str">
        <f>'Secondary cum Calculation'!F704</f>
        <v>The number of international departures from a country to Tonga</v>
      </c>
      <c r="G322" s="7" t="str">
        <f>'Secondary cum Calculation'!G704</f>
        <v>Tourism Demand &amp; Flows Database</v>
      </c>
      <c r="H322" s="7" t="str">
        <f>'Secondary cum Calculation'!H704</f>
        <v>New</v>
      </c>
      <c r="I322" s="7">
        <f>'Secondary cum Calculation'!I704</f>
        <v>0</v>
      </c>
      <c r="J322" s="7" t="str">
        <f>'Secondary cum Calculation'!J704</f>
        <v>Thousand</v>
      </c>
      <c r="K322" s="8">
        <f>'Secondary cum Calculation'!K704</f>
        <v>0</v>
      </c>
      <c r="L322" s="358">
        <f>'Secondary cum Calculation'!L704</f>
        <v>0</v>
      </c>
      <c r="M322" s="358">
        <f>'Secondary cum Calculation'!M704</f>
        <v>0</v>
      </c>
      <c r="N322" s="358">
        <f>'Secondary cum Calculation'!N704</f>
        <v>0</v>
      </c>
      <c r="O322" s="358">
        <f>'Secondary cum Calculation'!O704</f>
        <v>0</v>
      </c>
      <c r="P322" s="358">
        <f>'Secondary cum Calculation'!P704</f>
        <v>0</v>
      </c>
      <c r="Q322" s="358">
        <f>'Secondary cum Calculation'!Q704</f>
        <v>0</v>
      </c>
      <c r="R322" s="218"/>
      <c r="S322" s="218"/>
      <c r="T322" s="218"/>
      <c r="U322" s="218"/>
      <c r="V322" s="218"/>
      <c r="W322" s="211" t="e">
        <f>'Secondary cum Calculation'!W704</f>
        <v>#DIV/0!</v>
      </c>
      <c r="X322" s="211" t="e">
        <f>'Secondary cum Calculation'!X704</f>
        <v>#DIV/0!</v>
      </c>
      <c r="Z322" s="11"/>
      <c r="AA322" s="11"/>
      <c r="AB322" s="11"/>
      <c r="AC322" s="11"/>
      <c r="AD322" s="11"/>
    </row>
    <row r="323" spans="1:30">
      <c r="A323" s="6" t="str">
        <f>'Secondary cum Calculation'!A706</f>
        <v>Poland</v>
      </c>
      <c r="B323" s="119" t="str">
        <f>'Secondary cum Calculation'!B706</f>
        <v>Tourism Flows</v>
      </c>
      <c r="C323" s="119" t="str">
        <f>'Secondary cum Calculation'!C706</f>
        <v>International Departures by Destination</v>
      </c>
      <c r="D323" s="119" t="str">
        <f>'Secondary cum Calculation'!D706</f>
        <v>Africa</v>
      </c>
      <c r="E323" s="6" t="str">
        <f>'Secondary cum Calculation'!E706</f>
        <v>Tunisia</v>
      </c>
      <c r="F323" s="7" t="str">
        <f>'Secondary cum Calculation'!F706</f>
        <v>The number of international departures from a country to Tunisia</v>
      </c>
      <c r="G323" s="7" t="str">
        <f>'Secondary cum Calculation'!G706</f>
        <v>Tourism Demand &amp; Flows Database</v>
      </c>
      <c r="H323" s="7" t="str">
        <f>'Secondary cum Calculation'!H706</f>
        <v>New</v>
      </c>
      <c r="I323" s="7">
        <f>'Secondary cum Calculation'!I706</f>
        <v>0</v>
      </c>
      <c r="J323" s="7" t="str">
        <f>'Secondary cum Calculation'!J706</f>
        <v>Thousand</v>
      </c>
      <c r="K323" s="8">
        <f>'Secondary cum Calculation'!K706</f>
        <v>0</v>
      </c>
      <c r="L323" s="358">
        <f>'Secondary cum Calculation'!L706</f>
        <v>0</v>
      </c>
      <c r="M323" s="358">
        <f>'Secondary cum Calculation'!M706</f>
        <v>0</v>
      </c>
      <c r="N323" s="358">
        <f>'Secondary cum Calculation'!N706</f>
        <v>0</v>
      </c>
      <c r="O323" s="358">
        <f>'Secondary cum Calculation'!O706</f>
        <v>0</v>
      </c>
      <c r="P323" s="358">
        <f>'Secondary cum Calculation'!P706</f>
        <v>0</v>
      </c>
      <c r="Q323" s="358">
        <f>'Secondary cum Calculation'!Q706</f>
        <v>0</v>
      </c>
      <c r="R323" s="218"/>
      <c r="S323" s="218"/>
      <c r="T323" s="218"/>
      <c r="U323" s="218"/>
      <c r="V323" s="218"/>
      <c r="W323" s="211" t="e">
        <f>'Secondary cum Calculation'!W706</f>
        <v>#DIV/0!</v>
      </c>
      <c r="X323" s="211" t="e">
        <f>'Secondary cum Calculation'!X706</f>
        <v>#DIV/0!</v>
      </c>
      <c r="Y323" s="371"/>
      <c r="Z323" s="11"/>
      <c r="AA323" s="11"/>
      <c r="AB323" s="11"/>
      <c r="AC323" s="11"/>
      <c r="AD323" s="11"/>
    </row>
    <row r="324" spans="1:30">
      <c r="A324" s="6" t="str">
        <f>'Secondary cum Calculation'!A708</f>
        <v>Poland</v>
      </c>
      <c r="B324" s="119" t="str">
        <f>'Secondary cum Calculation'!B708</f>
        <v>Tourism Flows</v>
      </c>
      <c r="C324" s="119" t="str">
        <f>'Secondary cum Calculation'!C708</f>
        <v>International Departures by Destination</v>
      </c>
      <c r="D324" s="119" t="str">
        <f>'Secondary cum Calculation'!D708</f>
        <v>Africa</v>
      </c>
      <c r="E324" s="6" t="str">
        <f>'Secondary cum Calculation'!E708</f>
        <v>Uganda</v>
      </c>
      <c r="F324" s="7" t="str">
        <f>'Secondary cum Calculation'!F708</f>
        <v>The number of international departures from a country to Uganda</v>
      </c>
      <c r="G324" s="7" t="str">
        <f>'Secondary cum Calculation'!G708</f>
        <v>Tourism Demand &amp; Flows Database</v>
      </c>
      <c r="H324" s="7" t="str">
        <f>'Secondary cum Calculation'!H708</f>
        <v>New</v>
      </c>
      <c r="I324" s="7">
        <f>'Secondary cum Calculation'!I708</f>
        <v>0</v>
      </c>
      <c r="J324" s="7" t="str">
        <f>'Secondary cum Calculation'!J708</f>
        <v>Thousand</v>
      </c>
      <c r="K324" s="8">
        <f>'Secondary cum Calculation'!K708</f>
        <v>0</v>
      </c>
      <c r="L324" s="358">
        <f>'Secondary cum Calculation'!L708</f>
        <v>0</v>
      </c>
      <c r="M324" s="358">
        <f>'Secondary cum Calculation'!M708</f>
        <v>0</v>
      </c>
      <c r="N324" s="358">
        <f>'Secondary cum Calculation'!N708</f>
        <v>0</v>
      </c>
      <c r="O324" s="358">
        <f>'Secondary cum Calculation'!O708</f>
        <v>0</v>
      </c>
      <c r="P324" s="358">
        <f>'Secondary cum Calculation'!P708</f>
        <v>0</v>
      </c>
      <c r="Q324" s="358">
        <f>'Secondary cum Calculation'!Q708</f>
        <v>0</v>
      </c>
      <c r="R324" s="218"/>
      <c r="S324" s="218"/>
      <c r="T324" s="218"/>
      <c r="U324" s="218"/>
      <c r="V324" s="218"/>
      <c r="W324" s="211" t="e">
        <f>'Secondary cum Calculation'!W708</f>
        <v>#DIV/0!</v>
      </c>
      <c r="X324" s="211" t="e">
        <f>'Secondary cum Calculation'!X708</f>
        <v>#DIV/0!</v>
      </c>
      <c r="Z324" s="11"/>
      <c r="AA324" s="11"/>
      <c r="AB324" s="11"/>
      <c r="AC324" s="11"/>
      <c r="AD324" s="11"/>
    </row>
    <row r="325" spans="1:30">
      <c r="A325" s="6" t="str">
        <f>'Secondary cum Calculation'!A710</f>
        <v>Poland</v>
      </c>
      <c r="B325" s="119" t="str">
        <f>'Secondary cum Calculation'!B710</f>
        <v>Tourism Flows</v>
      </c>
      <c r="C325" s="119" t="str">
        <f>'Secondary cum Calculation'!C710</f>
        <v>International Departures by Destination</v>
      </c>
      <c r="D325" s="119" t="str">
        <f>'Secondary cum Calculation'!D710</f>
        <v>Africa</v>
      </c>
      <c r="E325" s="6" t="str">
        <f>'Secondary cum Calculation'!E710</f>
        <v>United Republic of Tanzania</v>
      </c>
      <c r="F325" s="7" t="str">
        <f>'Secondary cum Calculation'!F710</f>
        <v>The number of international departures from a country to United Republic of Tanzania</v>
      </c>
      <c r="G325" s="7" t="str">
        <f>'Secondary cum Calculation'!G710</f>
        <v>Tourism Demand &amp; Flows Database</v>
      </c>
      <c r="H325" s="7" t="str">
        <f>'Secondary cum Calculation'!H710</f>
        <v>New</v>
      </c>
      <c r="I325" s="7">
        <f>'Secondary cum Calculation'!I710</f>
        <v>0</v>
      </c>
      <c r="J325" s="7" t="str">
        <f>'Secondary cum Calculation'!J710</f>
        <v>Thousand</v>
      </c>
      <c r="K325" s="8">
        <f>'Secondary cum Calculation'!K710</f>
        <v>0</v>
      </c>
      <c r="L325" s="358">
        <f>'Secondary cum Calculation'!L710</f>
        <v>0</v>
      </c>
      <c r="M325" s="358">
        <f>'Secondary cum Calculation'!M710</f>
        <v>0</v>
      </c>
      <c r="N325" s="358">
        <f>'Secondary cum Calculation'!N710</f>
        <v>0</v>
      </c>
      <c r="O325" s="358">
        <f>'Secondary cum Calculation'!O710</f>
        <v>0</v>
      </c>
      <c r="P325" s="358">
        <f>'Secondary cum Calculation'!P710</f>
        <v>0</v>
      </c>
      <c r="Q325" s="358">
        <f>'Secondary cum Calculation'!Q710</f>
        <v>0</v>
      </c>
      <c r="R325" s="218"/>
      <c r="S325" s="218"/>
      <c r="T325" s="218"/>
      <c r="U325" s="218"/>
      <c r="V325" s="218"/>
      <c r="W325" s="211" t="e">
        <f>'Secondary cum Calculation'!W710</f>
        <v>#DIV/0!</v>
      </c>
      <c r="X325" s="211" t="e">
        <f>'Secondary cum Calculation'!X710</f>
        <v>#DIV/0!</v>
      </c>
      <c r="Z325" s="11"/>
      <c r="AA325" s="11"/>
      <c r="AB325" s="11"/>
      <c r="AC325" s="11"/>
      <c r="AD325" s="11"/>
    </row>
    <row r="326" spans="1:30">
      <c r="A326" s="6" t="str">
        <f>'Secondary cum Calculation'!A712</f>
        <v>Poland</v>
      </c>
      <c r="B326" s="119" t="str">
        <f>'Secondary cum Calculation'!B712</f>
        <v>Tourism Flows</v>
      </c>
      <c r="C326" s="119" t="str">
        <f>'Secondary cum Calculation'!C712</f>
        <v>International Departures by Destination</v>
      </c>
      <c r="D326" s="119" t="str">
        <f>'Secondary cum Calculation'!D712</f>
        <v>Africa</v>
      </c>
      <c r="E326" s="6" t="str">
        <f>'Secondary cum Calculation'!E712</f>
        <v>Western Sahara</v>
      </c>
      <c r="F326" s="7" t="str">
        <f>'Secondary cum Calculation'!F712</f>
        <v>The number of international departures from a country to Western Sahara</v>
      </c>
      <c r="G326" s="7" t="str">
        <f>'Secondary cum Calculation'!G712</f>
        <v>Tourism Demand &amp; Flows Database</v>
      </c>
      <c r="H326" s="7" t="str">
        <f>'Secondary cum Calculation'!H712</f>
        <v>New</v>
      </c>
      <c r="I326" s="7">
        <f>'Secondary cum Calculation'!I712</f>
        <v>0</v>
      </c>
      <c r="J326" s="7" t="str">
        <f>'Secondary cum Calculation'!J712</f>
        <v>Thousand</v>
      </c>
      <c r="K326" s="8">
        <f>'Secondary cum Calculation'!K712</f>
        <v>0</v>
      </c>
      <c r="L326" s="358">
        <f>'Secondary cum Calculation'!L712</f>
        <v>0</v>
      </c>
      <c r="M326" s="358">
        <f>'Secondary cum Calculation'!M712</f>
        <v>0</v>
      </c>
      <c r="N326" s="358">
        <f>'Secondary cum Calculation'!N712</f>
        <v>0</v>
      </c>
      <c r="O326" s="358">
        <f>'Secondary cum Calculation'!O712</f>
        <v>0</v>
      </c>
      <c r="P326" s="358">
        <f>'Secondary cum Calculation'!P712</f>
        <v>0</v>
      </c>
      <c r="Q326" s="358">
        <f>'Secondary cum Calculation'!Q712</f>
        <v>0</v>
      </c>
      <c r="R326" s="218"/>
      <c r="S326" s="218"/>
      <c r="T326" s="218"/>
      <c r="U326" s="218"/>
      <c r="V326" s="218"/>
      <c r="W326" s="211" t="e">
        <f>'Secondary cum Calculation'!W712</f>
        <v>#DIV/0!</v>
      </c>
      <c r="X326" s="211" t="e">
        <f>'Secondary cum Calculation'!X712</f>
        <v>#DIV/0!</v>
      </c>
      <c r="Z326" s="11"/>
      <c r="AA326" s="11"/>
      <c r="AB326" s="11"/>
      <c r="AC326" s="11"/>
      <c r="AD326" s="11"/>
    </row>
    <row r="327" spans="1:30">
      <c r="A327" s="6" t="str">
        <f>'Secondary cum Calculation'!A714</f>
        <v>Poland</v>
      </c>
      <c r="B327" s="119" t="str">
        <f>'Secondary cum Calculation'!B714</f>
        <v>Tourism Flows</v>
      </c>
      <c r="C327" s="119" t="str">
        <f>'Secondary cum Calculation'!C714</f>
        <v>International Departures by Destination</v>
      </c>
      <c r="D327" s="119" t="str">
        <f>'Secondary cum Calculation'!D714</f>
        <v>Africa</v>
      </c>
      <c r="E327" s="6" t="str">
        <f>'Secondary cum Calculation'!E714</f>
        <v>Zambia</v>
      </c>
      <c r="F327" s="7" t="str">
        <f>'Secondary cum Calculation'!F714</f>
        <v>The number of international departures from a country to Zambia</v>
      </c>
      <c r="G327" s="7" t="str">
        <f>'Secondary cum Calculation'!G714</f>
        <v>Tourism Demand &amp; Flows Database</v>
      </c>
      <c r="H327" s="7" t="str">
        <f>'Secondary cum Calculation'!H714</f>
        <v>New</v>
      </c>
      <c r="I327" s="7">
        <f>'Secondary cum Calculation'!I714</f>
        <v>0</v>
      </c>
      <c r="J327" s="7" t="str">
        <f>'Secondary cum Calculation'!J714</f>
        <v>Thousand</v>
      </c>
      <c r="K327" s="8">
        <f>'Secondary cum Calculation'!K714</f>
        <v>0</v>
      </c>
      <c r="L327" s="358">
        <f>'Secondary cum Calculation'!L714</f>
        <v>0</v>
      </c>
      <c r="M327" s="358">
        <f>'Secondary cum Calculation'!M714</f>
        <v>0</v>
      </c>
      <c r="N327" s="358">
        <f>'Secondary cum Calculation'!N714</f>
        <v>0</v>
      </c>
      <c r="O327" s="358">
        <f>'Secondary cum Calculation'!O714</f>
        <v>0</v>
      </c>
      <c r="P327" s="358">
        <f>'Secondary cum Calculation'!P714</f>
        <v>0</v>
      </c>
      <c r="Q327" s="358">
        <f>'Secondary cum Calculation'!Q714</f>
        <v>0</v>
      </c>
      <c r="R327" s="218"/>
      <c r="S327" s="218"/>
      <c r="T327" s="218"/>
      <c r="U327" s="218"/>
      <c r="V327" s="218"/>
      <c r="W327" s="211" t="e">
        <f>'Secondary cum Calculation'!W714</f>
        <v>#DIV/0!</v>
      </c>
      <c r="X327" s="211" t="e">
        <f>'Secondary cum Calculation'!X714</f>
        <v>#DIV/0!</v>
      </c>
      <c r="Z327" s="11"/>
      <c r="AA327" s="11"/>
      <c r="AB327" s="11"/>
      <c r="AC327" s="11"/>
      <c r="AD327" s="11"/>
    </row>
    <row r="328" spans="1:30">
      <c r="A328" s="6" t="str">
        <f>'Secondary cum Calculation'!A716</f>
        <v>Poland</v>
      </c>
      <c r="B328" s="119" t="str">
        <f>'Secondary cum Calculation'!B716</f>
        <v>Tourism Flows</v>
      </c>
      <c r="C328" s="119" t="str">
        <f>'Secondary cum Calculation'!C716</f>
        <v>International Departures by Destination</v>
      </c>
      <c r="D328" s="119" t="str">
        <f>'Secondary cum Calculation'!D716</f>
        <v>Africa</v>
      </c>
      <c r="E328" s="6" t="str">
        <f>'Secondary cum Calculation'!E716</f>
        <v>Zimbabwe</v>
      </c>
      <c r="F328" s="7" t="str">
        <f>'Secondary cum Calculation'!F716</f>
        <v>The number of international departures from a country to Zimbabwe</v>
      </c>
      <c r="G328" s="7" t="str">
        <f>'Secondary cum Calculation'!G716</f>
        <v>Tourism Demand &amp; Flows Database</v>
      </c>
      <c r="H328" s="7" t="str">
        <f>'Secondary cum Calculation'!H716</f>
        <v>New</v>
      </c>
      <c r="I328" s="7">
        <f>'Secondary cum Calculation'!I716</f>
        <v>0</v>
      </c>
      <c r="J328" s="7" t="str">
        <f>'Secondary cum Calculation'!J716</f>
        <v>Thousand</v>
      </c>
      <c r="K328" s="8">
        <f>'Secondary cum Calculation'!K716</f>
        <v>0</v>
      </c>
      <c r="L328" s="358">
        <f>'Secondary cum Calculation'!L716</f>
        <v>0</v>
      </c>
      <c r="M328" s="358">
        <f>'Secondary cum Calculation'!M716</f>
        <v>0</v>
      </c>
      <c r="N328" s="358">
        <f>'Secondary cum Calculation'!N716</f>
        <v>0</v>
      </c>
      <c r="O328" s="358">
        <f>'Secondary cum Calculation'!O716</f>
        <v>0</v>
      </c>
      <c r="P328" s="358">
        <f>'Secondary cum Calculation'!P716</f>
        <v>0</v>
      </c>
      <c r="Q328" s="358">
        <f>'Secondary cum Calculation'!Q716</f>
        <v>0</v>
      </c>
      <c r="R328" s="218"/>
      <c r="S328" s="218"/>
      <c r="T328" s="218"/>
      <c r="U328" s="218"/>
      <c r="V328" s="218"/>
      <c r="W328" s="211" t="e">
        <f>'Secondary cum Calculation'!W716</f>
        <v>#DIV/0!</v>
      </c>
      <c r="X328" s="211" t="e">
        <f>'Secondary cum Calculation'!X716</f>
        <v>#DIV/0!</v>
      </c>
      <c r="Z328" s="11"/>
      <c r="AA328" s="11"/>
      <c r="AB328" s="11"/>
      <c r="AC328" s="11"/>
      <c r="AD328" s="11"/>
    </row>
    <row r="329" spans="1:30">
      <c r="A329" s="6" t="str">
        <f>'Secondary cum Calculation'!A718</f>
        <v>Poland</v>
      </c>
      <c r="B329" s="119" t="str">
        <f>'Secondary cum Calculation'!B718</f>
        <v>Tourism Flows</v>
      </c>
      <c r="C329" s="119" t="str">
        <f>'Secondary cum Calculation'!C718</f>
        <v>International Departures by Destination</v>
      </c>
      <c r="D329" s="119" t="str">
        <f>'Secondary cum Calculation'!D718</f>
        <v>Africa</v>
      </c>
      <c r="E329" s="6" t="str">
        <f>'Secondary cum Calculation'!E718</f>
        <v>Other African Countries</v>
      </c>
      <c r="F329" s="41" t="str">
        <f>'Secondary cum Calculation'!F718</f>
        <v>To be defined according to the gaps in the country data above</v>
      </c>
      <c r="G329" s="7">
        <f>'Secondary cum Calculation'!G718</f>
        <v>0</v>
      </c>
      <c r="H329" s="7">
        <f>'Secondary cum Calculation'!H718</f>
        <v>0</v>
      </c>
      <c r="I329" s="7">
        <f>'Secondary cum Calculation'!I718</f>
        <v>0</v>
      </c>
      <c r="J329" s="7" t="str">
        <f>'Secondary cum Calculation'!J718</f>
        <v>Thousand</v>
      </c>
      <c r="K329" s="8">
        <f>'Secondary cum Calculation'!K718</f>
        <v>0</v>
      </c>
      <c r="L329" s="164">
        <f>'Secondary cum Calculation'!L718</f>
        <v>382.89155755482369</v>
      </c>
      <c r="M329" s="164">
        <f>'Secondary cum Calculation'!M718</f>
        <v>398.72415455056625</v>
      </c>
      <c r="N329" s="164">
        <f>'Secondary cum Calculation'!N718</f>
        <v>366.04683107076875</v>
      </c>
      <c r="O329" s="164">
        <f>'Secondary cum Calculation'!O718</f>
        <v>383</v>
      </c>
      <c r="P329" s="164">
        <f>'Secondary cum Calculation'!P718</f>
        <v>353</v>
      </c>
      <c r="Q329" s="368">
        <f>'Secondary cum Calculation'!Q718</f>
        <v>345.89910164252427</v>
      </c>
      <c r="R329" s="144"/>
      <c r="S329" s="144"/>
      <c r="T329" s="144"/>
      <c r="U329" s="144"/>
      <c r="V329" s="144"/>
      <c r="W329" s="211">
        <f>'Secondary cum Calculation'!W718</f>
        <v>0</v>
      </c>
      <c r="X329" s="211">
        <f>'Secondary cum Calculation'!X718</f>
        <v>0</v>
      </c>
      <c r="Z329" s="11"/>
      <c r="AA329" s="11"/>
      <c r="AB329" s="11"/>
      <c r="AC329" s="11"/>
      <c r="AD329" s="370">
        <v>4</v>
      </c>
    </row>
    <row r="330" spans="1:30">
      <c r="A330" s="213" t="str">
        <f>'Secondary cum Calculation'!A720</f>
        <v>Poland</v>
      </c>
      <c r="B330" s="214" t="str">
        <f>'Secondary cum Calculation'!B720</f>
        <v>Tourism Flows</v>
      </c>
      <c r="C330" s="214" t="str">
        <f>'Secondary cum Calculation'!C720</f>
        <v>International Departures by Destination</v>
      </c>
      <c r="D330" s="213" t="str">
        <f>'Secondary cum Calculation'!D720</f>
        <v>Asia-Pacific</v>
      </c>
      <c r="E330" s="215"/>
      <c r="F330" s="215" t="str">
        <f>'Secondary cum Calculation'!F720</f>
        <v>The number of international departures from a country to Asia-Pacific</v>
      </c>
      <c r="G330" s="215" t="str">
        <f>'Secondary cum Calculation'!G720</f>
        <v>Tourism Demand &amp; Flows Database</v>
      </c>
      <c r="H330" s="215" t="str">
        <f>'Secondary cum Calculation'!H720</f>
        <v>New</v>
      </c>
      <c r="I330" s="215">
        <f>'Secondary cum Calculation'!I720</f>
        <v>0</v>
      </c>
      <c r="J330" s="215" t="str">
        <f>'Secondary cum Calculation'!J720</f>
        <v>Thousand</v>
      </c>
      <c r="K330" s="216">
        <f>'Secondary cum Calculation'!K720</f>
        <v>5397</v>
      </c>
      <c r="L330" s="367">
        <f>'Secondary cum Calculation'!L720</f>
        <v>179.31527492467055</v>
      </c>
      <c r="M330" s="367">
        <f>'Secondary cum Calculation'!M720</f>
        <v>184.34175232685487</v>
      </c>
      <c r="N330" s="367">
        <f>'Secondary cum Calculation'!N720</f>
        <v>183.32818381664458</v>
      </c>
      <c r="O330" s="367">
        <f>'Secondary cum Calculation'!O720</f>
        <v>193.54742824657512</v>
      </c>
      <c r="P330" s="367">
        <f>'Secondary cum Calculation'!P720</f>
        <v>218.65231902931407</v>
      </c>
      <c r="Q330" s="367">
        <f>Forecasting!Q778</f>
        <v>232.04683312166151</v>
      </c>
      <c r="R330" s="217">
        <f>Forecasting!R778</f>
        <v>247.8506025222151</v>
      </c>
      <c r="S330" s="217">
        <f>Forecasting!S778</f>
        <v>261.77326921717071</v>
      </c>
      <c r="T330" s="217">
        <f>Forecasting!T778</f>
        <v>278.62529314659599</v>
      </c>
      <c r="U330" s="217">
        <f>Forecasting!U778</f>
        <v>295.09851187979166</v>
      </c>
      <c r="V330" s="217">
        <f>Forecasting!V778</f>
        <v>314.99985550392302</v>
      </c>
      <c r="W330" s="246">
        <f>'Secondary cum Calculation'!W720</f>
        <v>5.9224417204696289E-2</v>
      </c>
      <c r="X330" s="246">
        <f>'Secondary cum Calculation'!X720</f>
        <v>6.303347760977851E-2</v>
      </c>
      <c r="Y330" s="371"/>
      <c r="Z330" s="11"/>
      <c r="AA330" s="11"/>
      <c r="AB330" s="11"/>
      <c r="AC330" s="11"/>
      <c r="AD330" s="370">
        <v>3</v>
      </c>
    </row>
    <row r="331" spans="1:30">
      <c r="A331" s="6" t="str">
        <f>'Secondary cum Calculation'!A722</f>
        <v>Poland</v>
      </c>
      <c r="B331" s="119" t="str">
        <f>'Secondary cum Calculation'!B722</f>
        <v>Tourism Flows</v>
      </c>
      <c r="C331" s="119" t="str">
        <f>'Secondary cum Calculation'!C722</f>
        <v>International Departures by Destination</v>
      </c>
      <c r="D331" s="119" t="str">
        <f>'Secondary cum Calculation'!D722</f>
        <v>Asia-Pacific</v>
      </c>
      <c r="E331" s="6" t="str">
        <f>'Secondary cum Calculation'!E722</f>
        <v>Afghanistan</v>
      </c>
      <c r="F331" s="7" t="str">
        <f>'Secondary cum Calculation'!F722</f>
        <v>The number of international departures from a country to Afghanistan</v>
      </c>
      <c r="G331" s="7" t="str">
        <f>'Secondary cum Calculation'!G722</f>
        <v>Tourism Demand &amp; Flows Database</v>
      </c>
      <c r="H331" s="7" t="str">
        <f>'Secondary cum Calculation'!H722</f>
        <v>New</v>
      </c>
      <c r="I331" s="7">
        <f>'Secondary cum Calculation'!I722</f>
        <v>0</v>
      </c>
      <c r="J331" s="7" t="str">
        <f>'Secondary cum Calculation'!J722</f>
        <v>Thousand</v>
      </c>
      <c r="K331" s="8">
        <f>'Secondary cum Calculation'!K722</f>
        <v>0</v>
      </c>
      <c r="L331" s="218">
        <f>'Secondary cum Calculation'!L722</f>
        <v>0</v>
      </c>
      <c r="M331" s="218">
        <f>'Secondary cum Calculation'!M722</f>
        <v>0</v>
      </c>
      <c r="N331" s="218">
        <f>'Secondary cum Calculation'!N722</f>
        <v>0</v>
      </c>
      <c r="O331" s="218">
        <f>'Secondary cum Calculation'!O722</f>
        <v>0</v>
      </c>
      <c r="P331" s="218">
        <f>'Secondary cum Calculation'!P722</f>
        <v>0</v>
      </c>
      <c r="Q331" s="218">
        <f>'Secondary cum Calculation'!Q722</f>
        <v>0</v>
      </c>
      <c r="W331" s="211" t="e">
        <f>'Secondary cum Calculation'!W722</f>
        <v>#DIV/0!</v>
      </c>
      <c r="X331" s="211" t="e">
        <f>'Secondary cum Calculation'!X722</f>
        <v>#DIV/0!</v>
      </c>
      <c r="Z331" s="11"/>
      <c r="AA331" s="11"/>
      <c r="AB331" s="11"/>
      <c r="AC331" s="11"/>
      <c r="AD331" s="11"/>
    </row>
    <row r="332" spans="1:30">
      <c r="A332" s="6" t="str">
        <f>'Secondary cum Calculation'!A724</f>
        <v>Poland</v>
      </c>
      <c r="B332" s="119" t="str">
        <f>'Secondary cum Calculation'!B724</f>
        <v>Tourism Flows</v>
      </c>
      <c r="C332" s="119" t="str">
        <f>'Secondary cum Calculation'!C724</f>
        <v>International Departures by Destination</v>
      </c>
      <c r="D332" s="119" t="str">
        <f>'Secondary cum Calculation'!D724</f>
        <v>Asia-Pacific</v>
      </c>
      <c r="E332" s="6" t="str">
        <f>'Secondary cum Calculation'!E724</f>
        <v>Australia</v>
      </c>
      <c r="F332" s="7" t="str">
        <f>'Secondary cum Calculation'!F724</f>
        <v>The number of international departures from a country to Australia</v>
      </c>
      <c r="G332" s="7" t="str">
        <f>'Secondary cum Calculation'!G724</f>
        <v>Tourism Demand &amp; Flows Database</v>
      </c>
      <c r="H332" s="7" t="str">
        <f>'Secondary cum Calculation'!H724</f>
        <v>New</v>
      </c>
      <c r="I332" s="7">
        <f>'Secondary cum Calculation'!I724</f>
        <v>0</v>
      </c>
      <c r="J332" s="7" t="str">
        <f>'Secondary cum Calculation'!J724</f>
        <v>Thousand</v>
      </c>
      <c r="K332" s="8">
        <f>'Secondary cum Calculation'!K724</f>
        <v>603</v>
      </c>
      <c r="L332" s="218">
        <f>'Secondary cum Calculation'!L724</f>
        <v>0</v>
      </c>
      <c r="M332" s="218">
        <f>'Secondary cum Calculation'!M724</f>
        <v>0</v>
      </c>
      <c r="N332" s="218">
        <f>'Secondary cum Calculation'!N724</f>
        <v>0</v>
      </c>
      <c r="O332" s="218">
        <f>'Secondary cum Calculation'!O724</f>
        <v>0</v>
      </c>
      <c r="P332" s="218">
        <f>'Secondary cum Calculation'!P724</f>
        <v>0</v>
      </c>
      <c r="Q332" s="218">
        <f>'Secondary cum Calculation'!Q724</f>
        <v>0</v>
      </c>
      <c r="W332" s="211" t="e">
        <f>'Secondary cum Calculation'!W724</f>
        <v>#DIV/0!</v>
      </c>
      <c r="X332" s="211" t="e">
        <f>'Secondary cum Calculation'!X724</f>
        <v>#DIV/0!</v>
      </c>
      <c r="Z332" s="11"/>
      <c r="AA332" s="11"/>
      <c r="AB332" s="11"/>
      <c r="AC332" s="11"/>
      <c r="AD332" s="11"/>
    </row>
    <row r="333" spans="1:30">
      <c r="A333" s="6" t="str">
        <f>'Secondary cum Calculation'!A726</f>
        <v>Poland</v>
      </c>
      <c r="B333" s="119" t="str">
        <f>'Secondary cum Calculation'!B726</f>
        <v>Tourism Flows</v>
      </c>
      <c r="C333" s="119" t="str">
        <f>'Secondary cum Calculation'!C726</f>
        <v>International Departures by Destination</v>
      </c>
      <c r="D333" s="119" t="str">
        <f>'Secondary cum Calculation'!D726</f>
        <v>Asia-Pacific</v>
      </c>
      <c r="E333" s="6" t="str">
        <f>'Secondary cum Calculation'!E726</f>
        <v>Azerbaijan</v>
      </c>
      <c r="F333" s="7" t="str">
        <f>'Secondary cum Calculation'!F726</f>
        <v>The number of international departures from a country to Azerbaijan</v>
      </c>
      <c r="G333" s="7" t="str">
        <f>'Secondary cum Calculation'!G726</f>
        <v>Tourism Demand &amp; Flows Database</v>
      </c>
      <c r="H333" s="7" t="str">
        <f>'Secondary cum Calculation'!H726</f>
        <v>New</v>
      </c>
      <c r="I333" s="7">
        <f>'Secondary cum Calculation'!I726</f>
        <v>0</v>
      </c>
      <c r="J333" s="7" t="str">
        <f>'Secondary cum Calculation'!J726</f>
        <v>Thousand</v>
      </c>
      <c r="K333" s="8">
        <f>'Secondary cum Calculation'!K726</f>
        <v>0</v>
      </c>
      <c r="L333" s="218">
        <f>'Secondary cum Calculation'!L726</f>
        <v>0</v>
      </c>
      <c r="M333" s="218">
        <f>'Secondary cum Calculation'!M726</f>
        <v>0</v>
      </c>
      <c r="N333" s="218">
        <f>'Secondary cum Calculation'!N726</f>
        <v>0</v>
      </c>
      <c r="O333" s="218">
        <f>'Secondary cum Calculation'!O726</f>
        <v>0</v>
      </c>
      <c r="P333" s="218">
        <f>'Secondary cum Calculation'!P726</f>
        <v>0</v>
      </c>
      <c r="Q333" s="218">
        <f>'Secondary cum Calculation'!Q726</f>
        <v>0</v>
      </c>
      <c r="R333" s="135"/>
      <c r="S333" s="135"/>
      <c r="T333" s="135"/>
      <c r="U333" s="135"/>
      <c r="V333" s="135"/>
      <c r="W333" s="211" t="e">
        <f>'Secondary cum Calculation'!W726</f>
        <v>#DIV/0!</v>
      </c>
      <c r="X333" s="211" t="e">
        <f>'Secondary cum Calculation'!X726</f>
        <v>#DIV/0!</v>
      </c>
      <c r="Z333" s="11"/>
      <c r="AA333" s="11"/>
      <c r="AB333" s="11"/>
      <c r="AC333" s="11"/>
      <c r="AD333" s="11"/>
    </row>
    <row r="334" spans="1:30">
      <c r="A334" s="6" t="str">
        <f>'Secondary cum Calculation'!A728</f>
        <v>Poland</v>
      </c>
      <c r="B334" s="119" t="str">
        <f>'Secondary cum Calculation'!B728</f>
        <v>Tourism Flows</v>
      </c>
      <c r="C334" s="119" t="str">
        <f>'Secondary cum Calculation'!C728</f>
        <v>International Departures by Destination</v>
      </c>
      <c r="D334" s="119" t="str">
        <f>'Secondary cum Calculation'!D728</f>
        <v>Asia-Pacific</v>
      </c>
      <c r="E334" s="6" t="str">
        <f>'Secondary cum Calculation'!E728</f>
        <v>Bangladesh</v>
      </c>
      <c r="F334" s="7" t="str">
        <f>'Secondary cum Calculation'!F728</f>
        <v>The number of international departures from a country to Bangladesh</v>
      </c>
      <c r="G334" s="7" t="str">
        <f>'Secondary cum Calculation'!G728</f>
        <v>Tourism Demand &amp; Flows Database</v>
      </c>
      <c r="H334" s="7" t="str">
        <f>'Secondary cum Calculation'!H728</f>
        <v>New</v>
      </c>
      <c r="I334" s="7">
        <f>'Secondary cum Calculation'!I728</f>
        <v>0</v>
      </c>
      <c r="J334" s="7" t="str">
        <f>'Secondary cum Calculation'!J728</f>
        <v>Thousand</v>
      </c>
      <c r="K334" s="8">
        <f>'Secondary cum Calculation'!K728</f>
        <v>0</v>
      </c>
      <c r="L334" s="218">
        <f>'Secondary cum Calculation'!L728</f>
        <v>0</v>
      </c>
      <c r="M334" s="218">
        <f>'Secondary cum Calculation'!M728</f>
        <v>0</v>
      </c>
      <c r="N334" s="218">
        <f>'Secondary cum Calculation'!N728</f>
        <v>0</v>
      </c>
      <c r="O334" s="218">
        <f>'Secondary cum Calculation'!O728</f>
        <v>0</v>
      </c>
      <c r="P334" s="218">
        <f>'Secondary cum Calculation'!P728</f>
        <v>0</v>
      </c>
      <c r="Q334" s="218">
        <f>'Secondary cum Calculation'!Q728</f>
        <v>0</v>
      </c>
      <c r="W334" s="211" t="e">
        <f>'Secondary cum Calculation'!W728</f>
        <v>#DIV/0!</v>
      </c>
      <c r="X334" s="211" t="e">
        <f>'Secondary cum Calculation'!X728</f>
        <v>#DIV/0!</v>
      </c>
      <c r="Z334" s="11"/>
      <c r="AA334" s="11"/>
      <c r="AB334" s="11"/>
      <c r="AC334" s="11"/>
      <c r="AD334" s="11"/>
    </row>
    <row r="335" spans="1:30">
      <c r="A335" s="6" t="str">
        <f>'Secondary cum Calculation'!A730</f>
        <v>Poland</v>
      </c>
      <c r="B335" s="119" t="str">
        <f>'Secondary cum Calculation'!B730</f>
        <v>Tourism Flows</v>
      </c>
      <c r="C335" s="119" t="str">
        <f>'Secondary cum Calculation'!C730</f>
        <v>International Departures by Destination</v>
      </c>
      <c r="D335" s="119" t="str">
        <f>'Secondary cum Calculation'!D730</f>
        <v>Asia-Pacific</v>
      </c>
      <c r="E335" s="6" t="str">
        <f>'Secondary cum Calculation'!E730</f>
        <v>Bhutan</v>
      </c>
      <c r="F335" s="7" t="str">
        <f>'Secondary cum Calculation'!F730</f>
        <v>The number of international departures from a country to Bhutan</v>
      </c>
      <c r="G335" s="7" t="str">
        <f>'Secondary cum Calculation'!G730</f>
        <v>Tourism Demand &amp; Flows Database</v>
      </c>
      <c r="H335" s="7" t="str">
        <f>'Secondary cum Calculation'!H730</f>
        <v>New</v>
      </c>
      <c r="I335" s="7">
        <f>'Secondary cum Calculation'!I730</f>
        <v>0</v>
      </c>
      <c r="J335" s="7" t="str">
        <f>'Secondary cum Calculation'!J730</f>
        <v>Thousand</v>
      </c>
      <c r="K335" s="8">
        <f>'Secondary cum Calculation'!K730</f>
        <v>0</v>
      </c>
      <c r="L335" s="218">
        <f>'Secondary cum Calculation'!L730</f>
        <v>0</v>
      </c>
      <c r="M335" s="218">
        <f>'Secondary cum Calculation'!M730</f>
        <v>0</v>
      </c>
      <c r="N335" s="218">
        <f>'Secondary cum Calculation'!N730</f>
        <v>0</v>
      </c>
      <c r="O335" s="218">
        <f>'Secondary cum Calculation'!O730</f>
        <v>0</v>
      </c>
      <c r="P335" s="218">
        <f>'Secondary cum Calculation'!P730</f>
        <v>0</v>
      </c>
      <c r="Q335" s="218">
        <f>'Secondary cum Calculation'!Q730</f>
        <v>0</v>
      </c>
      <c r="W335" s="211" t="e">
        <f>'Secondary cum Calculation'!W730</f>
        <v>#DIV/0!</v>
      </c>
      <c r="X335" s="211" t="e">
        <f>'Secondary cum Calculation'!X730</f>
        <v>#DIV/0!</v>
      </c>
      <c r="Z335" s="11"/>
      <c r="AA335" s="11"/>
      <c r="AB335" s="11"/>
      <c r="AC335" s="11"/>
      <c r="AD335" s="11"/>
    </row>
    <row r="336" spans="1:30">
      <c r="A336" s="6" t="str">
        <f>'Secondary cum Calculation'!A732</f>
        <v>Poland</v>
      </c>
      <c r="B336" s="119" t="str">
        <f>'Secondary cum Calculation'!B732</f>
        <v>Tourism Flows</v>
      </c>
      <c r="C336" s="119" t="str">
        <f>'Secondary cum Calculation'!C732</f>
        <v>International Departures by Destination</v>
      </c>
      <c r="D336" s="119" t="str">
        <f>'Secondary cum Calculation'!D732</f>
        <v>Asia-Pacific</v>
      </c>
      <c r="E336" s="6" t="str">
        <f>'Secondary cum Calculation'!E732</f>
        <v>Brunei Darussalam</v>
      </c>
      <c r="F336" s="7" t="str">
        <f>'Secondary cum Calculation'!F732</f>
        <v>The number of international departures from a country to Brunei Darussalam</v>
      </c>
      <c r="G336" s="7" t="str">
        <f>'Secondary cum Calculation'!G732</f>
        <v>Tourism Demand &amp; Flows Database</v>
      </c>
      <c r="H336" s="7" t="str">
        <f>'Secondary cum Calculation'!H732</f>
        <v>New</v>
      </c>
      <c r="I336" s="7">
        <f>'Secondary cum Calculation'!I732</f>
        <v>0</v>
      </c>
      <c r="J336" s="7" t="str">
        <f>'Secondary cum Calculation'!J732</f>
        <v>Thousand</v>
      </c>
      <c r="K336" s="8">
        <f>'Secondary cum Calculation'!K732</f>
        <v>0</v>
      </c>
      <c r="L336" s="218">
        <f>'Secondary cum Calculation'!L732</f>
        <v>0</v>
      </c>
      <c r="M336" s="218">
        <f>'Secondary cum Calculation'!M732</f>
        <v>0</v>
      </c>
      <c r="N336" s="218">
        <f>'Secondary cum Calculation'!N732</f>
        <v>0</v>
      </c>
      <c r="O336" s="218">
        <f>'Secondary cum Calculation'!O732</f>
        <v>0</v>
      </c>
      <c r="P336" s="218">
        <f>'Secondary cum Calculation'!P732</f>
        <v>0</v>
      </c>
      <c r="Q336" s="218">
        <f>'Secondary cum Calculation'!Q732</f>
        <v>0</v>
      </c>
      <c r="W336" s="211" t="e">
        <f>'Secondary cum Calculation'!W732</f>
        <v>#DIV/0!</v>
      </c>
      <c r="X336" s="211" t="e">
        <f>'Secondary cum Calculation'!X732</f>
        <v>#DIV/0!</v>
      </c>
      <c r="Z336" s="11"/>
      <c r="AA336" s="11"/>
      <c r="AB336" s="11"/>
      <c r="AC336" s="11"/>
      <c r="AD336" s="11"/>
    </row>
    <row r="337" spans="1:30">
      <c r="A337" s="6" t="str">
        <f>'Secondary cum Calculation'!A734</f>
        <v>Poland</v>
      </c>
      <c r="B337" s="119" t="str">
        <f>'Secondary cum Calculation'!B734</f>
        <v>Tourism Flows</v>
      </c>
      <c r="C337" s="119" t="str">
        <f>'Secondary cum Calculation'!C734</f>
        <v>International Departures by Destination</v>
      </c>
      <c r="D337" s="119" t="str">
        <f>'Secondary cum Calculation'!D734</f>
        <v>Asia-Pacific</v>
      </c>
      <c r="E337" s="6" t="str">
        <f>'Secondary cum Calculation'!E734</f>
        <v>Cambodia</v>
      </c>
      <c r="F337" s="7" t="str">
        <f>'Secondary cum Calculation'!F734</f>
        <v>The number of international departures from a country to Cambodia</v>
      </c>
      <c r="G337" s="7" t="str">
        <f>'Secondary cum Calculation'!G734</f>
        <v>Tourism Demand &amp; Flows Database</v>
      </c>
      <c r="H337" s="7" t="str">
        <f>'Secondary cum Calculation'!H734</f>
        <v>New</v>
      </c>
      <c r="I337" s="7">
        <f>'Secondary cum Calculation'!I734</f>
        <v>0</v>
      </c>
      <c r="J337" s="7" t="str">
        <f>'Secondary cum Calculation'!J734</f>
        <v>Thousand</v>
      </c>
      <c r="K337" s="8">
        <f>'Secondary cum Calculation'!K734</f>
        <v>0</v>
      </c>
      <c r="L337" s="218">
        <f>'Secondary cum Calculation'!L734</f>
        <v>0</v>
      </c>
      <c r="M337" s="218">
        <f>'Secondary cum Calculation'!M734</f>
        <v>0</v>
      </c>
      <c r="N337" s="218">
        <f>'Secondary cum Calculation'!N734</f>
        <v>0</v>
      </c>
      <c r="O337" s="218">
        <f>'Secondary cum Calculation'!O734</f>
        <v>0</v>
      </c>
      <c r="P337" s="218">
        <f>'Secondary cum Calculation'!P734</f>
        <v>0</v>
      </c>
      <c r="Q337" s="218">
        <f>'Secondary cum Calculation'!Q734</f>
        <v>0</v>
      </c>
      <c r="R337" s="224"/>
      <c r="S337" s="224"/>
      <c r="T337" s="224"/>
      <c r="U337" s="224"/>
      <c r="V337" s="224"/>
      <c r="W337" s="211" t="e">
        <f>'Secondary cum Calculation'!W734</f>
        <v>#DIV/0!</v>
      </c>
      <c r="X337" s="211" t="e">
        <f>'Secondary cum Calculation'!X734</f>
        <v>#DIV/0!</v>
      </c>
      <c r="Z337" s="11"/>
      <c r="AA337" s="11"/>
      <c r="AB337" s="11"/>
      <c r="AC337" s="11"/>
      <c r="AD337" s="11"/>
    </row>
    <row r="338" spans="1:30">
      <c r="A338" s="6" t="str">
        <f>'Secondary cum Calculation'!A736</f>
        <v>Poland</v>
      </c>
      <c r="B338" s="119" t="str">
        <f>'Secondary cum Calculation'!B736</f>
        <v>Tourism Flows</v>
      </c>
      <c r="C338" s="119" t="str">
        <f>'Secondary cum Calculation'!C736</f>
        <v>International Departures by Destination</v>
      </c>
      <c r="D338" s="119" t="str">
        <f>'Secondary cum Calculation'!D736</f>
        <v>Asia-Pacific</v>
      </c>
      <c r="E338" s="6" t="str">
        <f>'Secondary cum Calculation'!E736</f>
        <v>China</v>
      </c>
      <c r="F338" s="7" t="str">
        <f>'Secondary cum Calculation'!F736</f>
        <v>The number of international departures from a country to China</v>
      </c>
      <c r="G338" s="7" t="str">
        <f>'Secondary cum Calculation'!G736</f>
        <v>Tourism Demand &amp; Flows Database</v>
      </c>
      <c r="H338" s="7" t="str">
        <f>'Secondary cum Calculation'!H736</f>
        <v>New</v>
      </c>
      <c r="I338" s="7">
        <f>'Secondary cum Calculation'!I736</f>
        <v>0</v>
      </c>
      <c r="J338" s="7" t="str">
        <f>'Secondary cum Calculation'!J736</f>
        <v>Thousand</v>
      </c>
      <c r="K338" s="8">
        <f>'Secondary cum Calculation'!K736</f>
        <v>1327</v>
      </c>
      <c r="L338" s="218">
        <f>'Secondary cum Calculation'!L736</f>
        <v>0</v>
      </c>
      <c r="M338" s="218">
        <f>'Secondary cum Calculation'!M736</f>
        <v>0</v>
      </c>
      <c r="N338" s="218">
        <f>'Secondary cum Calculation'!N736</f>
        <v>0</v>
      </c>
      <c r="O338" s="218">
        <f>'Secondary cum Calculation'!O736</f>
        <v>0</v>
      </c>
      <c r="P338" s="218">
        <f>'Secondary cum Calculation'!P736</f>
        <v>0</v>
      </c>
      <c r="Q338" s="218">
        <f>'Secondary cum Calculation'!Q736</f>
        <v>0</v>
      </c>
      <c r="W338" s="211" t="e">
        <f>'Secondary cum Calculation'!W736</f>
        <v>#DIV/0!</v>
      </c>
      <c r="X338" s="211" t="e">
        <f>'Secondary cum Calculation'!X736</f>
        <v>#DIV/0!</v>
      </c>
      <c r="Z338" s="11"/>
      <c r="AA338" s="11"/>
      <c r="AB338" s="11"/>
      <c r="AC338" s="11"/>
      <c r="AD338" s="11"/>
    </row>
    <row r="339" spans="1:30">
      <c r="A339" s="6" t="str">
        <f>'Secondary cum Calculation'!A738</f>
        <v>Poland</v>
      </c>
      <c r="B339" s="119" t="str">
        <f>'Secondary cum Calculation'!B738</f>
        <v>Tourism Flows</v>
      </c>
      <c r="C339" s="119" t="str">
        <f>'Secondary cum Calculation'!C738</f>
        <v>International Departures by Destination</v>
      </c>
      <c r="D339" s="119" t="str">
        <f>'Secondary cum Calculation'!D738</f>
        <v>Asia-Pacific</v>
      </c>
      <c r="E339" s="6" t="str">
        <f>'Secondary cum Calculation'!E738</f>
        <v>China, Hong Kong SAR</v>
      </c>
      <c r="F339" s="7" t="str">
        <f>'Secondary cum Calculation'!F738</f>
        <v>The number of international departures from a country to China, Hong Kong SAR</v>
      </c>
      <c r="G339" s="7" t="str">
        <f>'Secondary cum Calculation'!G738</f>
        <v>Tourism Demand &amp; Flows Database</v>
      </c>
      <c r="H339" s="7" t="str">
        <f>'Secondary cum Calculation'!H738</f>
        <v>New</v>
      </c>
      <c r="I339" s="7">
        <f>'Secondary cum Calculation'!I738</f>
        <v>0</v>
      </c>
      <c r="J339" s="7" t="str">
        <f>'Secondary cum Calculation'!J738</f>
        <v>Thousand</v>
      </c>
      <c r="K339" s="8">
        <f>'Secondary cum Calculation'!K738</f>
        <v>904</v>
      </c>
      <c r="L339" s="218">
        <f>'Secondary cum Calculation'!L738</f>
        <v>0</v>
      </c>
      <c r="M339" s="218">
        <f>'Secondary cum Calculation'!M738</f>
        <v>0</v>
      </c>
      <c r="N339" s="218">
        <f>'Secondary cum Calculation'!N738</f>
        <v>0</v>
      </c>
      <c r="O339" s="218">
        <f>'Secondary cum Calculation'!O738</f>
        <v>0</v>
      </c>
      <c r="P339" s="218">
        <f>'Secondary cum Calculation'!P738</f>
        <v>0</v>
      </c>
      <c r="Q339" s="218">
        <f>'Secondary cum Calculation'!Q738</f>
        <v>0</v>
      </c>
      <c r="W339" s="211" t="e">
        <f>'Secondary cum Calculation'!W738</f>
        <v>#DIV/0!</v>
      </c>
      <c r="X339" s="211" t="e">
        <f>'Secondary cum Calculation'!X738</f>
        <v>#DIV/0!</v>
      </c>
      <c r="Z339" s="11"/>
      <c r="AA339" s="11"/>
      <c r="AB339" s="11"/>
      <c r="AC339" s="11"/>
      <c r="AD339" s="11"/>
    </row>
    <row r="340" spans="1:30">
      <c r="A340" s="6" t="str">
        <f>'Secondary cum Calculation'!A740</f>
        <v>Poland</v>
      </c>
      <c r="B340" s="119" t="str">
        <f>'Secondary cum Calculation'!B740</f>
        <v>Tourism Flows</v>
      </c>
      <c r="C340" s="119" t="str">
        <f>'Secondary cum Calculation'!C740</f>
        <v>International Departures by Destination</v>
      </c>
      <c r="D340" s="119" t="str">
        <f>'Secondary cum Calculation'!D740</f>
        <v>Asia-Pacific</v>
      </c>
      <c r="E340" s="6" t="str">
        <f>'Secondary cum Calculation'!E740</f>
        <v>China, Macao SAR</v>
      </c>
      <c r="F340" s="7" t="str">
        <f>'Secondary cum Calculation'!F740</f>
        <v>The number of international departures from a country to China, Macao SAR</v>
      </c>
      <c r="G340" s="7" t="str">
        <f>'Secondary cum Calculation'!G740</f>
        <v>Tourism Demand &amp; Flows Database</v>
      </c>
      <c r="H340" s="7" t="str">
        <f>'Secondary cum Calculation'!H740</f>
        <v>New</v>
      </c>
      <c r="I340" s="7">
        <f>'Secondary cum Calculation'!I740</f>
        <v>0</v>
      </c>
      <c r="J340" s="7" t="str">
        <f>'Secondary cum Calculation'!J740</f>
        <v>Thousand</v>
      </c>
      <c r="K340" s="8">
        <f>'Secondary cum Calculation'!K740</f>
        <v>0</v>
      </c>
      <c r="L340" s="218">
        <f>'Secondary cum Calculation'!L740</f>
        <v>0</v>
      </c>
      <c r="M340" s="218">
        <f>'Secondary cum Calculation'!M740</f>
        <v>0</v>
      </c>
      <c r="N340" s="218">
        <f>'Secondary cum Calculation'!N740</f>
        <v>0</v>
      </c>
      <c r="O340" s="218">
        <f>'Secondary cum Calculation'!O740</f>
        <v>0</v>
      </c>
      <c r="P340" s="218">
        <f>'Secondary cum Calculation'!P740</f>
        <v>0</v>
      </c>
      <c r="Q340" s="218">
        <f>'Secondary cum Calculation'!Q740</f>
        <v>0</v>
      </c>
      <c r="R340" s="135"/>
      <c r="S340" s="135"/>
      <c r="T340" s="135"/>
      <c r="U340" s="135"/>
      <c r="V340" s="135"/>
      <c r="W340" s="211" t="e">
        <f>'Secondary cum Calculation'!W740</f>
        <v>#DIV/0!</v>
      </c>
      <c r="X340" s="211" t="e">
        <f>'Secondary cum Calculation'!X740</f>
        <v>#DIV/0!</v>
      </c>
      <c r="Z340" s="11"/>
      <c r="AA340" s="11"/>
      <c r="AB340" s="11"/>
      <c r="AC340" s="11"/>
      <c r="AD340" s="11"/>
    </row>
    <row r="341" spans="1:30">
      <c r="A341" s="6" t="str">
        <f>'Secondary cum Calculation'!A742</f>
        <v>Poland</v>
      </c>
      <c r="B341" s="119" t="str">
        <f>'Secondary cum Calculation'!B742</f>
        <v>Tourism Flows</v>
      </c>
      <c r="C341" s="119" t="str">
        <f>'Secondary cum Calculation'!C742</f>
        <v>International Departures by Destination</v>
      </c>
      <c r="D341" s="119" t="str">
        <f>'Secondary cum Calculation'!D742</f>
        <v>Asia-Pacific</v>
      </c>
      <c r="E341" s="6" t="str">
        <f>'Secondary cum Calculation'!E742</f>
        <v>Dem. People's Rep. of Korea</v>
      </c>
      <c r="F341" s="7" t="str">
        <f>'Secondary cum Calculation'!F742</f>
        <v>The number of international departures from a country to Dem. People's Rep. of Korea</v>
      </c>
      <c r="G341" s="7" t="str">
        <f>'Secondary cum Calculation'!G742</f>
        <v>Tourism Demand &amp; Flows Database</v>
      </c>
      <c r="H341" s="7" t="str">
        <f>'Secondary cum Calculation'!H742</f>
        <v>New</v>
      </c>
      <c r="I341" s="7">
        <f>'Secondary cum Calculation'!I742</f>
        <v>0</v>
      </c>
      <c r="J341" s="7" t="str">
        <f>'Secondary cum Calculation'!J742</f>
        <v>Thousand</v>
      </c>
      <c r="K341" s="8">
        <f>'Secondary cum Calculation'!K742</f>
        <v>0</v>
      </c>
      <c r="L341" s="218">
        <f>'Secondary cum Calculation'!L742</f>
        <v>0</v>
      </c>
      <c r="M341" s="218">
        <f>'Secondary cum Calculation'!M742</f>
        <v>0</v>
      </c>
      <c r="N341" s="218">
        <f>'Secondary cum Calculation'!N742</f>
        <v>0</v>
      </c>
      <c r="O341" s="218">
        <f>'Secondary cum Calculation'!O742</f>
        <v>0</v>
      </c>
      <c r="P341" s="218">
        <f>'Secondary cum Calculation'!P742</f>
        <v>0</v>
      </c>
      <c r="Q341" s="218">
        <f>'Secondary cum Calculation'!Q742</f>
        <v>0</v>
      </c>
      <c r="W341" s="211" t="e">
        <f>'Secondary cum Calculation'!W742</f>
        <v>#DIV/0!</v>
      </c>
      <c r="X341" s="211" t="e">
        <f>'Secondary cum Calculation'!X742</f>
        <v>#DIV/0!</v>
      </c>
      <c r="Z341" s="11"/>
      <c r="AA341" s="11"/>
      <c r="AB341" s="11"/>
      <c r="AC341" s="11"/>
      <c r="AD341" s="11"/>
    </row>
    <row r="342" spans="1:30">
      <c r="A342" s="6" t="str">
        <f>'Secondary cum Calculation'!A744</f>
        <v>Poland</v>
      </c>
      <c r="B342" s="119" t="str">
        <f>'Secondary cum Calculation'!B744</f>
        <v>Tourism Flows</v>
      </c>
      <c r="C342" s="119" t="str">
        <f>'Secondary cum Calculation'!C744</f>
        <v>International Departures by Destination</v>
      </c>
      <c r="D342" s="119" t="str">
        <f>'Secondary cum Calculation'!D744</f>
        <v>Asia-Pacific</v>
      </c>
      <c r="E342" s="6" t="str">
        <f>'Secondary cum Calculation'!E744</f>
        <v>Fiji</v>
      </c>
      <c r="F342" s="7" t="str">
        <f>'Secondary cum Calculation'!F744</f>
        <v>The number of international departures from a country to Fiji</v>
      </c>
      <c r="G342" s="7" t="str">
        <f>'Secondary cum Calculation'!G744</f>
        <v>Tourism Demand &amp; Flows Database</v>
      </c>
      <c r="H342" s="7" t="str">
        <f>'Secondary cum Calculation'!H744</f>
        <v>New</v>
      </c>
      <c r="I342" s="7">
        <f>'Secondary cum Calculation'!I744</f>
        <v>0</v>
      </c>
      <c r="J342" s="7" t="str">
        <f>'Secondary cum Calculation'!J744</f>
        <v>Thousand</v>
      </c>
      <c r="K342" s="8">
        <f>'Secondary cum Calculation'!K744</f>
        <v>0</v>
      </c>
      <c r="L342" s="218">
        <f>'Secondary cum Calculation'!L744</f>
        <v>0</v>
      </c>
      <c r="M342" s="218">
        <f>'Secondary cum Calculation'!M744</f>
        <v>0</v>
      </c>
      <c r="N342" s="218">
        <f>'Secondary cum Calculation'!N744</f>
        <v>0</v>
      </c>
      <c r="O342" s="218">
        <f>'Secondary cum Calculation'!O744</f>
        <v>0</v>
      </c>
      <c r="P342" s="218">
        <f>'Secondary cum Calculation'!P744</f>
        <v>0</v>
      </c>
      <c r="Q342" s="218">
        <f>'Secondary cum Calculation'!Q744</f>
        <v>0</v>
      </c>
      <c r="W342" s="211" t="e">
        <f>'Secondary cum Calculation'!W744</f>
        <v>#DIV/0!</v>
      </c>
      <c r="X342" s="211" t="e">
        <f>'Secondary cum Calculation'!X744</f>
        <v>#DIV/0!</v>
      </c>
      <c r="Z342" s="11"/>
      <c r="AA342" s="11"/>
      <c r="AB342" s="11"/>
      <c r="AC342" s="11"/>
      <c r="AD342" s="11"/>
    </row>
    <row r="343" spans="1:30">
      <c r="A343" s="6" t="str">
        <f>'Secondary cum Calculation'!A746</f>
        <v>Poland</v>
      </c>
      <c r="B343" s="119" t="str">
        <f>'Secondary cum Calculation'!B746</f>
        <v>Tourism Flows</v>
      </c>
      <c r="C343" s="119" t="str">
        <f>'Secondary cum Calculation'!C746</f>
        <v>International Departures by Destination</v>
      </c>
      <c r="D343" s="119" t="str">
        <f>'Secondary cum Calculation'!D746</f>
        <v>Asia-Pacific</v>
      </c>
      <c r="E343" s="6" t="str">
        <f>'Secondary cum Calculation'!E746</f>
        <v>French Polynesia</v>
      </c>
      <c r="F343" s="7" t="str">
        <f>'Secondary cum Calculation'!F746</f>
        <v>The number of international departures from a country to French Polynesia</v>
      </c>
      <c r="G343" s="7" t="str">
        <f>'Secondary cum Calculation'!G746</f>
        <v>Tourism Demand &amp; Flows Database</v>
      </c>
      <c r="H343" s="7" t="str">
        <f>'Secondary cum Calculation'!H746</f>
        <v>New</v>
      </c>
      <c r="I343" s="7">
        <f>'Secondary cum Calculation'!I746</f>
        <v>0</v>
      </c>
      <c r="J343" s="7" t="str">
        <f>'Secondary cum Calculation'!J746</f>
        <v>Thousand</v>
      </c>
      <c r="K343" s="8">
        <f>'Secondary cum Calculation'!K746</f>
        <v>0</v>
      </c>
      <c r="L343" s="218">
        <f>'Secondary cum Calculation'!L746</f>
        <v>0</v>
      </c>
      <c r="M343" s="218">
        <f>'Secondary cum Calculation'!M746</f>
        <v>0</v>
      </c>
      <c r="N343" s="218">
        <f>'Secondary cum Calculation'!N746</f>
        <v>0</v>
      </c>
      <c r="O343" s="218">
        <f>'Secondary cum Calculation'!O746</f>
        <v>0</v>
      </c>
      <c r="P343" s="218">
        <f>'Secondary cum Calculation'!P746</f>
        <v>0</v>
      </c>
      <c r="Q343" s="218">
        <f>'Secondary cum Calculation'!Q746</f>
        <v>0</v>
      </c>
      <c r="W343" s="211" t="e">
        <f>'Secondary cum Calculation'!W746</f>
        <v>#DIV/0!</v>
      </c>
      <c r="X343" s="211" t="e">
        <f>'Secondary cum Calculation'!X746</f>
        <v>#DIV/0!</v>
      </c>
      <c r="Z343" s="11"/>
      <c r="AA343" s="11"/>
      <c r="AB343" s="11"/>
      <c r="AC343" s="11"/>
      <c r="AD343" s="11"/>
    </row>
    <row r="344" spans="1:30">
      <c r="A344" s="6" t="str">
        <f>'Secondary cum Calculation'!A748</f>
        <v>Poland</v>
      </c>
      <c r="B344" s="119" t="str">
        <f>'Secondary cum Calculation'!B748</f>
        <v>Tourism Flows</v>
      </c>
      <c r="C344" s="119" t="str">
        <f>'Secondary cum Calculation'!C748</f>
        <v>International Departures by Destination</v>
      </c>
      <c r="D344" s="119" t="str">
        <f>'Secondary cum Calculation'!D748</f>
        <v>Asia-Pacific</v>
      </c>
      <c r="E344" s="6" t="str">
        <f>'Secondary cum Calculation'!E748</f>
        <v>Guam</v>
      </c>
      <c r="F344" s="7" t="str">
        <f>'Secondary cum Calculation'!F748</f>
        <v>The number of international departures from a country to Guam</v>
      </c>
      <c r="G344" s="7" t="str">
        <f>'Secondary cum Calculation'!G748</f>
        <v>Tourism Demand &amp; Flows Database</v>
      </c>
      <c r="H344" s="7" t="str">
        <f>'Secondary cum Calculation'!H748</f>
        <v>New</v>
      </c>
      <c r="I344" s="7">
        <f>'Secondary cum Calculation'!I748</f>
        <v>0</v>
      </c>
      <c r="J344" s="7" t="str">
        <f>'Secondary cum Calculation'!J748</f>
        <v>Thousand</v>
      </c>
      <c r="K344" s="8">
        <f>'Secondary cum Calculation'!K748</f>
        <v>0</v>
      </c>
      <c r="L344" s="218">
        <f>'Secondary cum Calculation'!L748</f>
        <v>0</v>
      </c>
      <c r="M344" s="218">
        <f>'Secondary cum Calculation'!M748</f>
        <v>0</v>
      </c>
      <c r="N344" s="218">
        <f>'Secondary cum Calculation'!N748</f>
        <v>0</v>
      </c>
      <c r="O344" s="218">
        <f>'Secondary cum Calculation'!O748</f>
        <v>0</v>
      </c>
      <c r="P344" s="218">
        <f>'Secondary cum Calculation'!P748</f>
        <v>0</v>
      </c>
      <c r="Q344" s="218">
        <f>'Secondary cum Calculation'!Q748</f>
        <v>0</v>
      </c>
      <c r="R344" s="224"/>
      <c r="S344" s="224"/>
      <c r="T344" s="224"/>
      <c r="U344" s="224"/>
      <c r="V344" s="224"/>
      <c r="W344" s="211" t="e">
        <f>'Secondary cum Calculation'!W748</f>
        <v>#DIV/0!</v>
      </c>
      <c r="X344" s="211" t="e">
        <f>'Secondary cum Calculation'!X748</f>
        <v>#DIV/0!</v>
      </c>
      <c r="Z344" s="11"/>
      <c r="AA344" s="11"/>
      <c r="AB344" s="11"/>
      <c r="AC344" s="11"/>
      <c r="AD344" s="11"/>
    </row>
    <row r="345" spans="1:30">
      <c r="A345" s="6" t="str">
        <f>'Secondary cum Calculation'!A750</f>
        <v>Poland</v>
      </c>
      <c r="B345" s="119" t="str">
        <f>'Secondary cum Calculation'!B750</f>
        <v>Tourism Flows</v>
      </c>
      <c r="C345" s="119" t="str">
        <f>'Secondary cum Calculation'!C750</f>
        <v>International Departures by Destination</v>
      </c>
      <c r="D345" s="119" t="str">
        <f>'Secondary cum Calculation'!D750</f>
        <v>Asia-Pacific</v>
      </c>
      <c r="E345" s="6" t="str">
        <f>'Secondary cum Calculation'!E750</f>
        <v>India</v>
      </c>
      <c r="F345" s="7" t="str">
        <f>'Secondary cum Calculation'!F750</f>
        <v>The number of international departures from a country to India</v>
      </c>
      <c r="G345" s="7" t="str">
        <f>'Secondary cum Calculation'!G750</f>
        <v>Tourism Demand &amp; Flows Database</v>
      </c>
      <c r="H345" s="7" t="str">
        <f>'Secondary cum Calculation'!H750</f>
        <v>New</v>
      </c>
      <c r="I345" s="7">
        <f>'Secondary cum Calculation'!I750</f>
        <v>0</v>
      </c>
      <c r="J345" s="7" t="str">
        <f>'Secondary cum Calculation'!J750</f>
        <v>Thousand</v>
      </c>
      <c r="K345" s="8">
        <f>'Secondary cum Calculation'!K750</f>
        <v>904</v>
      </c>
      <c r="L345" s="218">
        <f>'Secondary cum Calculation'!L750</f>
        <v>0</v>
      </c>
      <c r="M345" s="218">
        <f>'Secondary cum Calculation'!M750</f>
        <v>0</v>
      </c>
      <c r="N345" s="218">
        <f>'Secondary cum Calculation'!N750</f>
        <v>0</v>
      </c>
      <c r="O345" s="218">
        <f>'Secondary cum Calculation'!O750</f>
        <v>0</v>
      </c>
      <c r="P345" s="218">
        <f>'Secondary cum Calculation'!P750</f>
        <v>0</v>
      </c>
      <c r="Q345" s="218">
        <f>'Secondary cum Calculation'!Q750</f>
        <v>0</v>
      </c>
      <c r="W345" s="211" t="e">
        <f>'Secondary cum Calculation'!W750</f>
        <v>#DIV/0!</v>
      </c>
      <c r="X345" s="211" t="e">
        <f>'Secondary cum Calculation'!X750</f>
        <v>#DIV/0!</v>
      </c>
      <c r="Z345" s="11"/>
      <c r="AA345" s="11"/>
      <c r="AB345" s="11"/>
      <c r="AC345" s="11"/>
      <c r="AD345" s="11"/>
    </row>
    <row r="346" spans="1:30">
      <c r="A346" s="6" t="str">
        <f>'Secondary cum Calculation'!A752</f>
        <v>Poland</v>
      </c>
      <c r="B346" s="119" t="str">
        <f>'Secondary cum Calculation'!B752</f>
        <v>Tourism Flows</v>
      </c>
      <c r="C346" s="119" t="str">
        <f>'Secondary cum Calculation'!C752</f>
        <v>International Departures by Destination</v>
      </c>
      <c r="D346" s="119" t="str">
        <f>'Secondary cum Calculation'!D752</f>
        <v>Asia-Pacific</v>
      </c>
      <c r="E346" s="6" t="str">
        <f>'Secondary cum Calculation'!E752</f>
        <v>Indonesia</v>
      </c>
      <c r="F346" s="7" t="str">
        <f>'Secondary cum Calculation'!F752</f>
        <v>The number of international departures from a country to Indonesia</v>
      </c>
      <c r="G346" s="7" t="str">
        <f>'Secondary cum Calculation'!G752</f>
        <v>Tourism Demand &amp; Flows Database</v>
      </c>
      <c r="H346" s="7" t="str">
        <f>'Secondary cum Calculation'!H752</f>
        <v>New</v>
      </c>
      <c r="I346" s="7">
        <f>'Secondary cum Calculation'!I752</f>
        <v>0</v>
      </c>
      <c r="J346" s="7" t="str">
        <f>'Secondary cum Calculation'!J752</f>
        <v>Thousand</v>
      </c>
      <c r="K346" s="8">
        <f>'Secondary cum Calculation'!K752</f>
        <v>0</v>
      </c>
      <c r="L346" s="218">
        <f>'Secondary cum Calculation'!L752</f>
        <v>0</v>
      </c>
      <c r="M346" s="218">
        <f>'Secondary cum Calculation'!M752</f>
        <v>0</v>
      </c>
      <c r="N346" s="218">
        <f>'Secondary cum Calculation'!N752</f>
        <v>0</v>
      </c>
      <c r="O346" s="218">
        <f>'Secondary cum Calculation'!O752</f>
        <v>0</v>
      </c>
      <c r="P346" s="218">
        <f>'Secondary cum Calculation'!P752</f>
        <v>0</v>
      </c>
      <c r="Q346" s="218">
        <f>'Secondary cum Calculation'!Q752</f>
        <v>0</v>
      </c>
      <c r="W346" s="211" t="e">
        <f>'Secondary cum Calculation'!W752</f>
        <v>#DIV/0!</v>
      </c>
      <c r="X346" s="211" t="e">
        <f>'Secondary cum Calculation'!X752</f>
        <v>#DIV/0!</v>
      </c>
      <c r="Z346" s="11"/>
      <c r="AA346" s="11"/>
      <c r="AB346" s="11"/>
      <c r="AC346" s="11"/>
      <c r="AD346" s="11"/>
    </row>
    <row r="347" spans="1:30">
      <c r="A347" s="6" t="str">
        <f>'Secondary cum Calculation'!A754</f>
        <v>Poland</v>
      </c>
      <c r="B347" s="119" t="str">
        <f>'Secondary cum Calculation'!B754</f>
        <v>Tourism Flows</v>
      </c>
      <c r="C347" s="119" t="str">
        <f>'Secondary cum Calculation'!C754</f>
        <v>International Departures by Destination</v>
      </c>
      <c r="D347" s="119" t="str">
        <f>'Secondary cum Calculation'!D754</f>
        <v>Asia-Pacific</v>
      </c>
      <c r="E347" s="6" t="str">
        <f>'Secondary cum Calculation'!E754</f>
        <v>Japan</v>
      </c>
      <c r="F347" s="7" t="str">
        <f>'Secondary cum Calculation'!F754</f>
        <v>The number of international departures from a country to Japan</v>
      </c>
      <c r="G347" s="7" t="str">
        <f>'Secondary cum Calculation'!G754</f>
        <v>Tourism Demand &amp; Flows Database</v>
      </c>
      <c r="H347" s="7" t="str">
        <f>'Secondary cum Calculation'!H754</f>
        <v>New</v>
      </c>
      <c r="I347" s="7">
        <f>'Secondary cum Calculation'!I754</f>
        <v>0</v>
      </c>
      <c r="J347" s="7" t="str">
        <f>'Secondary cum Calculation'!J754</f>
        <v>Thousand</v>
      </c>
      <c r="K347" s="8">
        <f>'Secondary cum Calculation'!K754</f>
        <v>1538</v>
      </c>
      <c r="L347" s="218">
        <f>'Secondary cum Calculation'!L754</f>
        <v>0</v>
      </c>
      <c r="M347" s="218">
        <f>'Secondary cum Calculation'!M754</f>
        <v>0</v>
      </c>
      <c r="N347" s="218">
        <f>'Secondary cum Calculation'!N754</f>
        <v>0</v>
      </c>
      <c r="O347" s="218">
        <f>'Secondary cum Calculation'!O754</f>
        <v>0</v>
      </c>
      <c r="P347" s="218">
        <f>'Secondary cum Calculation'!P754</f>
        <v>0</v>
      </c>
      <c r="Q347" s="218">
        <f>'Secondary cum Calculation'!Q754</f>
        <v>0</v>
      </c>
      <c r="W347" s="211" t="e">
        <f>'Secondary cum Calculation'!W754</f>
        <v>#DIV/0!</v>
      </c>
      <c r="X347" s="211" t="e">
        <f>'Secondary cum Calculation'!X754</f>
        <v>#DIV/0!</v>
      </c>
      <c r="Z347" s="11"/>
      <c r="AA347" s="11"/>
      <c r="AB347" s="11"/>
      <c r="AC347" s="11"/>
      <c r="AD347" s="11"/>
    </row>
    <row r="348" spans="1:30">
      <c r="A348" s="6" t="str">
        <f>'Secondary cum Calculation'!A756</f>
        <v>Poland</v>
      </c>
      <c r="B348" s="119" t="str">
        <f>'Secondary cum Calculation'!B756</f>
        <v>Tourism Flows</v>
      </c>
      <c r="C348" s="119" t="str">
        <f>'Secondary cum Calculation'!C756</f>
        <v>International Departures by Destination</v>
      </c>
      <c r="D348" s="119" t="str">
        <f>'Secondary cum Calculation'!D756</f>
        <v>Asia-Pacific</v>
      </c>
      <c r="E348" s="6" t="str">
        <f>'Secondary cum Calculation'!E756</f>
        <v>Kazakhstan</v>
      </c>
      <c r="F348" s="7" t="str">
        <f>'Secondary cum Calculation'!F756</f>
        <v>The number of international departures from a country to Kazakhstan</v>
      </c>
      <c r="G348" s="7" t="str">
        <f>'Secondary cum Calculation'!G756</f>
        <v>Tourism Demand &amp; Flows Database</v>
      </c>
      <c r="H348" s="7" t="str">
        <f>'Secondary cum Calculation'!H756</f>
        <v>New</v>
      </c>
      <c r="I348" s="7">
        <f>'Secondary cum Calculation'!I756</f>
        <v>0</v>
      </c>
      <c r="J348" s="7" t="str">
        <f>'Secondary cum Calculation'!J756</f>
        <v>Thousand</v>
      </c>
      <c r="K348" s="8">
        <f>'Secondary cum Calculation'!K756</f>
        <v>0</v>
      </c>
      <c r="L348" s="218">
        <f>'Secondary cum Calculation'!L756</f>
        <v>0</v>
      </c>
      <c r="M348" s="218">
        <f>'Secondary cum Calculation'!M756</f>
        <v>0</v>
      </c>
      <c r="N348" s="218">
        <f>'Secondary cum Calculation'!N756</f>
        <v>0</v>
      </c>
      <c r="O348" s="218">
        <f>'Secondary cum Calculation'!O756</f>
        <v>0</v>
      </c>
      <c r="P348" s="218">
        <f>'Secondary cum Calculation'!P756</f>
        <v>0</v>
      </c>
      <c r="Q348" s="218">
        <f>'Secondary cum Calculation'!Q756</f>
        <v>0</v>
      </c>
      <c r="R348" s="135"/>
      <c r="S348" s="135"/>
      <c r="T348" s="135"/>
      <c r="U348" s="135"/>
      <c r="V348" s="135"/>
      <c r="W348" s="211" t="e">
        <f>'Secondary cum Calculation'!W756</f>
        <v>#DIV/0!</v>
      </c>
      <c r="X348" s="211" t="e">
        <f>'Secondary cum Calculation'!X756</f>
        <v>#DIV/0!</v>
      </c>
      <c r="Z348" s="11"/>
      <c r="AA348" s="11"/>
      <c r="AB348" s="11"/>
      <c r="AC348" s="11"/>
      <c r="AD348" s="11"/>
    </row>
    <row r="349" spans="1:30">
      <c r="A349" s="6" t="str">
        <f>'Secondary cum Calculation'!A758</f>
        <v>Poland</v>
      </c>
      <c r="B349" s="119" t="str">
        <f>'Secondary cum Calculation'!B758</f>
        <v>Tourism Flows</v>
      </c>
      <c r="C349" s="119" t="str">
        <f>'Secondary cum Calculation'!C758</f>
        <v>International Departures by Destination</v>
      </c>
      <c r="D349" s="119" t="str">
        <f>'Secondary cum Calculation'!D758</f>
        <v>Asia-Pacific</v>
      </c>
      <c r="E349" s="6" t="str">
        <f>'Secondary cum Calculation'!E758</f>
        <v>Kyrgyzstan</v>
      </c>
      <c r="F349" s="7" t="str">
        <f>'Secondary cum Calculation'!F758</f>
        <v>The number of international departures from a country to Kyrgyzstan</v>
      </c>
      <c r="G349" s="7" t="str">
        <f>'Secondary cum Calculation'!G758</f>
        <v>Tourism Demand &amp; Flows Database</v>
      </c>
      <c r="H349" s="7" t="str">
        <f>'Secondary cum Calculation'!H758</f>
        <v>New</v>
      </c>
      <c r="I349" s="7">
        <f>'Secondary cum Calculation'!I758</f>
        <v>0</v>
      </c>
      <c r="J349" s="7" t="str">
        <f>'Secondary cum Calculation'!J758</f>
        <v>Thousand</v>
      </c>
      <c r="K349" s="8">
        <f>'Secondary cum Calculation'!K758</f>
        <v>0</v>
      </c>
      <c r="L349" s="218">
        <f>'Secondary cum Calculation'!L758</f>
        <v>0</v>
      </c>
      <c r="M349" s="218">
        <f>'Secondary cum Calculation'!M758</f>
        <v>0</v>
      </c>
      <c r="N349" s="218">
        <f>'Secondary cum Calculation'!N758</f>
        <v>0</v>
      </c>
      <c r="O349" s="218">
        <f>'Secondary cum Calculation'!O758</f>
        <v>0</v>
      </c>
      <c r="P349" s="218">
        <f>'Secondary cum Calculation'!P758</f>
        <v>0</v>
      </c>
      <c r="Q349" s="218">
        <f>'Secondary cum Calculation'!Q758</f>
        <v>0</v>
      </c>
      <c r="W349" s="211" t="e">
        <f>'Secondary cum Calculation'!W758</f>
        <v>#DIV/0!</v>
      </c>
      <c r="X349" s="211" t="e">
        <f>'Secondary cum Calculation'!X758</f>
        <v>#DIV/0!</v>
      </c>
      <c r="Z349" s="11"/>
      <c r="AA349" s="11"/>
      <c r="AB349" s="11"/>
      <c r="AC349" s="11"/>
      <c r="AD349" s="11"/>
    </row>
    <row r="350" spans="1:30">
      <c r="A350" s="6" t="str">
        <f>'Secondary cum Calculation'!A760</f>
        <v>Poland</v>
      </c>
      <c r="B350" s="119" t="str">
        <f>'Secondary cum Calculation'!B760</f>
        <v>Tourism Flows</v>
      </c>
      <c r="C350" s="119" t="str">
        <f>'Secondary cum Calculation'!C760</f>
        <v>International Departures by Destination</v>
      </c>
      <c r="D350" s="119" t="str">
        <f>'Secondary cum Calculation'!D760</f>
        <v>Asia-Pacific</v>
      </c>
      <c r="E350" s="6" t="str">
        <f>'Secondary cum Calculation'!E760</f>
        <v>Lao People's Dem. Republic</v>
      </c>
      <c r="F350" s="7" t="str">
        <f>'Secondary cum Calculation'!F760</f>
        <v>The number of international departures from a country to Lao People's Dem. Republic</v>
      </c>
      <c r="G350" s="7" t="str">
        <f>'Secondary cum Calculation'!G760</f>
        <v>Tourism Demand &amp; Flows Database</v>
      </c>
      <c r="H350" s="7" t="str">
        <f>'Secondary cum Calculation'!H760</f>
        <v>New</v>
      </c>
      <c r="I350" s="7">
        <f>'Secondary cum Calculation'!I760</f>
        <v>0</v>
      </c>
      <c r="J350" s="7" t="str">
        <f>'Secondary cum Calculation'!J760</f>
        <v>Thousand</v>
      </c>
      <c r="K350" s="8">
        <f>'Secondary cum Calculation'!K760</f>
        <v>0</v>
      </c>
      <c r="L350" s="218">
        <f>'Secondary cum Calculation'!L760</f>
        <v>0</v>
      </c>
      <c r="M350" s="218">
        <f>'Secondary cum Calculation'!M760</f>
        <v>0</v>
      </c>
      <c r="N350" s="218">
        <f>'Secondary cum Calculation'!N760</f>
        <v>0</v>
      </c>
      <c r="O350" s="218">
        <f>'Secondary cum Calculation'!O760</f>
        <v>0</v>
      </c>
      <c r="P350" s="218">
        <f>'Secondary cum Calculation'!P760</f>
        <v>0</v>
      </c>
      <c r="Q350" s="218">
        <f>'Secondary cum Calculation'!Q760</f>
        <v>0</v>
      </c>
      <c r="W350" s="211" t="e">
        <f>'Secondary cum Calculation'!W760</f>
        <v>#DIV/0!</v>
      </c>
      <c r="X350" s="211" t="e">
        <f>'Secondary cum Calculation'!X760</f>
        <v>#DIV/0!</v>
      </c>
      <c r="Z350" s="11"/>
      <c r="AA350" s="11"/>
      <c r="AB350" s="11"/>
      <c r="AC350" s="11"/>
      <c r="AD350" s="11"/>
    </row>
    <row r="351" spans="1:30">
      <c r="A351" s="6" t="str">
        <f>'Secondary cum Calculation'!A762</f>
        <v>Poland</v>
      </c>
      <c r="B351" s="119" t="str">
        <f>'Secondary cum Calculation'!B762</f>
        <v>Tourism Flows</v>
      </c>
      <c r="C351" s="119" t="str">
        <f>'Secondary cum Calculation'!C762</f>
        <v>International Departures by Destination</v>
      </c>
      <c r="D351" s="119" t="str">
        <f>'Secondary cum Calculation'!D762</f>
        <v>Asia-Pacific</v>
      </c>
      <c r="E351" s="6" t="str">
        <f>'Secondary cum Calculation'!E762</f>
        <v>Malaysia</v>
      </c>
      <c r="F351" s="7" t="str">
        <f>'Secondary cum Calculation'!F762</f>
        <v>The number of international departures from a country to Malaysia</v>
      </c>
      <c r="G351" s="7" t="str">
        <f>'Secondary cum Calculation'!G762</f>
        <v>Tourism Demand &amp; Flows Database</v>
      </c>
      <c r="H351" s="7" t="str">
        <f>'Secondary cum Calculation'!H762</f>
        <v>New</v>
      </c>
      <c r="I351" s="7">
        <f>'Secondary cum Calculation'!I762</f>
        <v>0</v>
      </c>
      <c r="J351" s="7" t="str">
        <f>'Secondary cum Calculation'!J762</f>
        <v>Thousand</v>
      </c>
      <c r="K351" s="8">
        <f>'Secondary cum Calculation'!K762</f>
        <v>121</v>
      </c>
      <c r="L351" s="218">
        <f>'Secondary cum Calculation'!L762</f>
        <v>0</v>
      </c>
      <c r="M351" s="218">
        <f>'Secondary cum Calculation'!M762</f>
        <v>0</v>
      </c>
      <c r="N351" s="218">
        <f>'Secondary cum Calculation'!N762</f>
        <v>0</v>
      </c>
      <c r="O351" s="218">
        <f>'Secondary cum Calculation'!O762</f>
        <v>0</v>
      </c>
      <c r="P351" s="218">
        <f>'Secondary cum Calculation'!P762</f>
        <v>0</v>
      </c>
      <c r="Q351" s="218">
        <f>'Secondary cum Calculation'!Q762</f>
        <v>0</v>
      </c>
      <c r="W351" s="211" t="e">
        <f>'Secondary cum Calculation'!W762</f>
        <v>#DIV/0!</v>
      </c>
      <c r="X351" s="211" t="e">
        <f>'Secondary cum Calculation'!X762</f>
        <v>#DIV/0!</v>
      </c>
      <c r="Z351" s="11"/>
      <c r="AA351" s="11"/>
      <c r="AB351" s="11"/>
      <c r="AC351" s="11"/>
      <c r="AD351" s="11"/>
    </row>
    <row r="352" spans="1:30">
      <c r="A352" s="6" t="str">
        <f>'Secondary cum Calculation'!A764</f>
        <v>Poland</v>
      </c>
      <c r="B352" s="119" t="str">
        <f>'Secondary cum Calculation'!B764</f>
        <v>Tourism Flows</v>
      </c>
      <c r="C352" s="119" t="str">
        <f>'Secondary cum Calculation'!C764</f>
        <v>International Departures by Destination</v>
      </c>
      <c r="D352" s="119" t="str">
        <f>'Secondary cum Calculation'!D764</f>
        <v>Asia-Pacific</v>
      </c>
      <c r="E352" s="6" t="str">
        <f>'Secondary cum Calculation'!E764</f>
        <v>Maldives</v>
      </c>
      <c r="F352" s="7" t="str">
        <f>'Secondary cum Calculation'!F764</f>
        <v>The number of international departures from a country to Maldives</v>
      </c>
      <c r="G352" s="7" t="str">
        <f>'Secondary cum Calculation'!G764</f>
        <v>Tourism Demand &amp; Flows Database</v>
      </c>
      <c r="H352" s="7" t="str">
        <f>'Secondary cum Calculation'!H764</f>
        <v>New</v>
      </c>
      <c r="I352" s="7">
        <f>'Secondary cum Calculation'!I764</f>
        <v>0</v>
      </c>
      <c r="J352" s="7" t="str">
        <f>'Secondary cum Calculation'!J764</f>
        <v>Thousand</v>
      </c>
      <c r="K352" s="8">
        <f>'Secondary cum Calculation'!K764</f>
        <v>0</v>
      </c>
      <c r="L352" s="218">
        <f>'Secondary cum Calculation'!L764</f>
        <v>0</v>
      </c>
      <c r="M352" s="218">
        <f>'Secondary cum Calculation'!M764</f>
        <v>0</v>
      </c>
      <c r="N352" s="218">
        <f>'Secondary cum Calculation'!N764</f>
        <v>0</v>
      </c>
      <c r="O352" s="218">
        <f>'Secondary cum Calculation'!O764</f>
        <v>0</v>
      </c>
      <c r="P352" s="218">
        <f>'Secondary cum Calculation'!P764</f>
        <v>0</v>
      </c>
      <c r="Q352" s="218">
        <f>'Secondary cum Calculation'!Q764</f>
        <v>0</v>
      </c>
      <c r="W352" s="211" t="e">
        <f>'Secondary cum Calculation'!W764</f>
        <v>#DIV/0!</v>
      </c>
      <c r="X352" s="211" t="e">
        <f>'Secondary cum Calculation'!X764</f>
        <v>#DIV/0!</v>
      </c>
      <c r="Z352" s="11"/>
      <c r="AA352" s="11"/>
      <c r="AB352" s="11"/>
      <c r="AC352" s="11"/>
      <c r="AD352" s="11"/>
    </row>
    <row r="353" spans="1:30">
      <c r="A353" s="6" t="str">
        <f>'Secondary cum Calculation'!A766</f>
        <v>Poland</v>
      </c>
      <c r="B353" s="119" t="str">
        <f>'Secondary cum Calculation'!B766</f>
        <v>Tourism Flows</v>
      </c>
      <c r="C353" s="119" t="str">
        <f>'Secondary cum Calculation'!C766</f>
        <v>International Departures by Destination</v>
      </c>
      <c r="D353" s="119" t="str">
        <f>'Secondary cum Calculation'!D766</f>
        <v>Asia-Pacific</v>
      </c>
      <c r="E353" s="6" t="str">
        <f>'Secondary cum Calculation'!E766</f>
        <v>Mauritius</v>
      </c>
      <c r="F353" s="7" t="str">
        <f>'Secondary cum Calculation'!F766</f>
        <v>The number of international departures from a country to Mauritius</v>
      </c>
      <c r="G353" s="7" t="str">
        <f>'Secondary cum Calculation'!G766</f>
        <v>Tourism Demand &amp; Flows Database</v>
      </c>
      <c r="H353" s="7" t="str">
        <f>'Secondary cum Calculation'!H766</f>
        <v>New</v>
      </c>
      <c r="I353" s="7">
        <f>'Secondary cum Calculation'!I766</f>
        <v>0</v>
      </c>
      <c r="J353" s="7" t="str">
        <f>'Secondary cum Calculation'!J766</f>
        <v>Thousand</v>
      </c>
      <c r="K353" s="8">
        <f>'Secondary cum Calculation'!K766</f>
        <v>0</v>
      </c>
      <c r="L353" s="218">
        <f>'Secondary cum Calculation'!L766</f>
        <v>0</v>
      </c>
      <c r="M353" s="218">
        <f>'Secondary cum Calculation'!M766</f>
        <v>0</v>
      </c>
      <c r="N353" s="218">
        <f>'Secondary cum Calculation'!N766</f>
        <v>0</v>
      </c>
      <c r="O353" s="218">
        <f>'Secondary cum Calculation'!O766</f>
        <v>0</v>
      </c>
      <c r="P353" s="218">
        <f>'Secondary cum Calculation'!P766</f>
        <v>0</v>
      </c>
      <c r="Q353" s="218">
        <f>'Secondary cum Calculation'!Q766</f>
        <v>0</v>
      </c>
      <c r="W353" s="211" t="e">
        <f>'Secondary cum Calculation'!W766</f>
        <v>#DIV/0!</v>
      </c>
      <c r="X353" s="211" t="e">
        <f>'Secondary cum Calculation'!X766</f>
        <v>#DIV/0!</v>
      </c>
      <c r="Z353" s="11"/>
      <c r="AA353" s="11"/>
      <c r="AB353" s="11"/>
      <c r="AC353" s="11"/>
      <c r="AD353" s="11"/>
    </row>
    <row r="354" spans="1:30">
      <c r="A354" s="6" t="str">
        <f>'Secondary cum Calculation'!A768</f>
        <v>Poland</v>
      </c>
      <c r="B354" s="119" t="str">
        <f>'Secondary cum Calculation'!B768</f>
        <v>Tourism Flows</v>
      </c>
      <c r="C354" s="119" t="str">
        <f>'Secondary cum Calculation'!C768</f>
        <v>International Departures by Destination</v>
      </c>
      <c r="D354" s="119" t="str">
        <f>'Secondary cum Calculation'!D768</f>
        <v>Asia-Pacific</v>
      </c>
      <c r="E354" s="6" t="str">
        <f>'Secondary cum Calculation'!E768</f>
        <v>Micronesia (Fed. States of)</v>
      </c>
      <c r="F354" s="7" t="str">
        <f>'Secondary cum Calculation'!F768</f>
        <v>The number of international departures from a country to Micronesia (Fed. States of)</v>
      </c>
      <c r="G354" s="7" t="str">
        <f>'Secondary cum Calculation'!G768</f>
        <v>Tourism Demand &amp; Flows Database</v>
      </c>
      <c r="H354" s="7" t="str">
        <f>'Secondary cum Calculation'!H768</f>
        <v>New</v>
      </c>
      <c r="I354" s="7">
        <f>'Secondary cum Calculation'!I768</f>
        <v>0</v>
      </c>
      <c r="J354" s="7" t="str">
        <f>'Secondary cum Calculation'!J768</f>
        <v>Thousand</v>
      </c>
      <c r="K354" s="8">
        <f>'Secondary cum Calculation'!K768</f>
        <v>0</v>
      </c>
      <c r="L354" s="218">
        <f>'Secondary cum Calculation'!L768</f>
        <v>0</v>
      </c>
      <c r="M354" s="218">
        <f>'Secondary cum Calculation'!M768</f>
        <v>0</v>
      </c>
      <c r="N354" s="218">
        <f>'Secondary cum Calculation'!N768</f>
        <v>0</v>
      </c>
      <c r="O354" s="218">
        <f>'Secondary cum Calculation'!O768</f>
        <v>0</v>
      </c>
      <c r="P354" s="218">
        <f>'Secondary cum Calculation'!P768</f>
        <v>0</v>
      </c>
      <c r="Q354" s="218">
        <f>'Secondary cum Calculation'!Q768</f>
        <v>0</v>
      </c>
      <c r="W354" s="211" t="e">
        <f>'Secondary cum Calculation'!W768</f>
        <v>#DIV/0!</v>
      </c>
      <c r="X354" s="211" t="e">
        <f>'Secondary cum Calculation'!X768</f>
        <v>#DIV/0!</v>
      </c>
      <c r="Z354" s="11"/>
      <c r="AA354" s="11"/>
      <c r="AB354" s="11"/>
      <c r="AC354" s="11"/>
      <c r="AD354" s="11"/>
    </row>
    <row r="355" spans="1:30">
      <c r="A355" s="6" t="str">
        <f>'Secondary cum Calculation'!A770</f>
        <v>Poland</v>
      </c>
      <c r="B355" s="119" t="str">
        <f>'Secondary cum Calculation'!B770</f>
        <v>Tourism Flows</v>
      </c>
      <c r="C355" s="119" t="str">
        <f>'Secondary cum Calculation'!C770</f>
        <v>International Departures by Destination</v>
      </c>
      <c r="D355" s="119" t="str">
        <f>'Secondary cum Calculation'!D770</f>
        <v>Asia-Pacific</v>
      </c>
      <c r="E355" s="6" t="str">
        <f>'Secondary cum Calculation'!E770</f>
        <v>Mongolia</v>
      </c>
      <c r="F355" s="7" t="str">
        <f>'Secondary cum Calculation'!F770</f>
        <v>The number of international departures from a country to Mongolia</v>
      </c>
      <c r="G355" s="7" t="str">
        <f>'Secondary cum Calculation'!G770</f>
        <v>Tourism Demand &amp; Flows Database</v>
      </c>
      <c r="H355" s="7" t="str">
        <f>'Secondary cum Calculation'!H770</f>
        <v>New</v>
      </c>
      <c r="I355" s="7">
        <f>'Secondary cum Calculation'!I770</f>
        <v>0</v>
      </c>
      <c r="J355" s="7" t="str">
        <f>'Secondary cum Calculation'!J770</f>
        <v>Thousand</v>
      </c>
      <c r="K355" s="8">
        <f>'Secondary cum Calculation'!K770</f>
        <v>0</v>
      </c>
      <c r="L355" s="218">
        <f>'Secondary cum Calculation'!L770</f>
        <v>0</v>
      </c>
      <c r="M355" s="218">
        <f>'Secondary cum Calculation'!M770</f>
        <v>0</v>
      </c>
      <c r="N355" s="218">
        <f>'Secondary cum Calculation'!N770</f>
        <v>0</v>
      </c>
      <c r="O355" s="218">
        <f>'Secondary cum Calculation'!O770</f>
        <v>0</v>
      </c>
      <c r="P355" s="218">
        <f>'Secondary cum Calculation'!P770</f>
        <v>0</v>
      </c>
      <c r="Q355" s="218">
        <f>'Secondary cum Calculation'!Q770</f>
        <v>0</v>
      </c>
      <c r="W355" s="211" t="e">
        <f>'Secondary cum Calculation'!W770</f>
        <v>#DIV/0!</v>
      </c>
      <c r="X355" s="211" t="e">
        <f>'Secondary cum Calculation'!X770</f>
        <v>#DIV/0!</v>
      </c>
      <c r="Z355" s="11"/>
      <c r="AA355" s="11"/>
      <c r="AB355" s="11"/>
      <c r="AC355" s="11"/>
      <c r="AD355" s="11"/>
    </row>
    <row r="356" spans="1:30">
      <c r="A356" s="6" t="str">
        <f>'Secondary cum Calculation'!A772</f>
        <v>Poland</v>
      </c>
      <c r="B356" s="119" t="str">
        <f>'Secondary cum Calculation'!B772</f>
        <v>Tourism Flows</v>
      </c>
      <c r="C356" s="119" t="str">
        <f>'Secondary cum Calculation'!C772</f>
        <v>International Departures by Destination</v>
      </c>
      <c r="D356" s="119" t="str">
        <f>'Secondary cum Calculation'!D772</f>
        <v>Asia-Pacific</v>
      </c>
      <c r="E356" s="6" t="str">
        <f>'Secondary cum Calculation'!E772</f>
        <v>Myanmar</v>
      </c>
      <c r="F356" s="7" t="str">
        <f>'Secondary cum Calculation'!F772</f>
        <v>The number of international departures from a country to Myanmar</v>
      </c>
      <c r="G356" s="7" t="str">
        <f>'Secondary cum Calculation'!G772</f>
        <v>Tourism Demand &amp; Flows Database</v>
      </c>
      <c r="H356" s="7" t="str">
        <f>'Secondary cum Calculation'!H772</f>
        <v>New</v>
      </c>
      <c r="I356" s="7">
        <f>'Secondary cum Calculation'!I772</f>
        <v>0</v>
      </c>
      <c r="J356" s="7" t="str">
        <f>'Secondary cum Calculation'!J772</f>
        <v>Thousand</v>
      </c>
      <c r="K356" s="8">
        <f>'Secondary cum Calculation'!K772</f>
        <v>0</v>
      </c>
      <c r="L356" s="218">
        <f>'Secondary cum Calculation'!L772</f>
        <v>0</v>
      </c>
      <c r="M356" s="218">
        <f>'Secondary cum Calculation'!M772</f>
        <v>0</v>
      </c>
      <c r="N356" s="218">
        <f>'Secondary cum Calculation'!N772</f>
        <v>0</v>
      </c>
      <c r="O356" s="218">
        <f>'Secondary cum Calculation'!O772</f>
        <v>0</v>
      </c>
      <c r="P356" s="218">
        <f>'Secondary cum Calculation'!P772</f>
        <v>0</v>
      </c>
      <c r="Q356" s="218">
        <f>'Secondary cum Calculation'!Q772</f>
        <v>0</v>
      </c>
      <c r="W356" s="211" t="e">
        <f>'Secondary cum Calculation'!W772</f>
        <v>#DIV/0!</v>
      </c>
      <c r="X356" s="211" t="e">
        <f>'Secondary cum Calculation'!X772</f>
        <v>#DIV/0!</v>
      </c>
      <c r="Z356" s="11"/>
      <c r="AA356" s="11"/>
      <c r="AB356" s="11"/>
      <c r="AC356" s="11"/>
      <c r="AD356" s="11"/>
    </row>
    <row r="357" spans="1:30">
      <c r="A357" s="6" t="str">
        <f>'Secondary cum Calculation'!A774</f>
        <v>Poland</v>
      </c>
      <c r="B357" s="119" t="str">
        <f>'Secondary cum Calculation'!B774</f>
        <v>Tourism Flows</v>
      </c>
      <c r="C357" s="119" t="str">
        <f>'Secondary cum Calculation'!C774</f>
        <v>International Departures by Destination</v>
      </c>
      <c r="D357" s="119" t="str">
        <f>'Secondary cum Calculation'!D774</f>
        <v>Asia-Pacific</v>
      </c>
      <c r="E357" s="6" t="str">
        <f>'Secondary cum Calculation'!E774</f>
        <v>Nepal</v>
      </c>
      <c r="F357" s="7" t="str">
        <f>'Secondary cum Calculation'!F774</f>
        <v>The number of international departures from a country to Nepal</v>
      </c>
      <c r="G357" s="7" t="str">
        <f>'Secondary cum Calculation'!G774</f>
        <v>Tourism Demand &amp; Flows Database</v>
      </c>
      <c r="H357" s="7" t="str">
        <f>'Secondary cum Calculation'!H774</f>
        <v>New</v>
      </c>
      <c r="I357" s="7">
        <f>'Secondary cum Calculation'!I774</f>
        <v>0</v>
      </c>
      <c r="J357" s="7" t="str">
        <f>'Secondary cum Calculation'!J774</f>
        <v>Thousand</v>
      </c>
      <c r="K357" s="8">
        <f>'Secondary cum Calculation'!K774</f>
        <v>0</v>
      </c>
      <c r="L357" s="218">
        <f>'Secondary cum Calculation'!L774</f>
        <v>0</v>
      </c>
      <c r="M357" s="218">
        <f>'Secondary cum Calculation'!M774</f>
        <v>0</v>
      </c>
      <c r="N357" s="218">
        <f>'Secondary cum Calculation'!N774</f>
        <v>0</v>
      </c>
      <c r="O357" s="218">
        <f>'Secondary cum Calculation'!O774</f>
        <v>0</v>
      </c>
      <c r="P357" s="218">
        <f>'Secondary cum Calculation'!P774</f>
        <v>0</v>
      </c>
      <c r="Q357" s="218">
        <f>'Secondary cum Calculation'!Q774</f>
        <v>0</v>
      </c>
      <c r="W357" s="211" t="e">
        <f>'Secondary cum Calculation'!W774</f>
        <v>#DIV/0!</v>
      </c>
      <c r="X357" s="211" t="e">
        <f>'Secondary cum Calculation'!X774</f>
        <v>#DIV/0!</v>
      </c>
      <c r="Z357" s="11"/>
      <c r="AA357" s="11"/>
      <c r="AB357" s="11"/>
      <c r="AC357" s="11"/>
      <c r="AD357" s="11"/>
    </row>
    <row r="358" spans="1:30">
      <c r="A358" s="6" t="str">
        <f>'Secondary cum Calculation'!A776</f>
        <v>Poland</v>
      </c>
      <c r="B358" s="119" t="str">
        <f>'Secondary cum Calculation'!B776</f>
        <v>Tourism Flows</v>
      </c>
      <c r="C358" s="119" t="str">
        <f>'Secondary cum Calculation'!C776</f>
        <v>International Departures by Destination</v>
      </c>
      <c r="D358" s="119" t="str">
        <f>'Secondary cum Calculation'!D776</f>
        <v>Asia-Pacific</v>
      </c>
      <c r="E358" s="6" t="str">
        <f>'Secondary cum Calculation'!E776</f>
        <v>New Caledonia</v>
      </c>
      <c r="F358" s="7" t="str">
        <f>'Secondary cum Calculation'!F776</f>
        <v>The number of international departures from a country to New Caledonia</v>
      </c>
      <c r="G358" s="7" t="str">
        <f>'Secondary cum Calculation'!G776</f>
        <v>Tourism Demand &amp; Flows Database</v>
      </c>
      <c r="H358" s="7" t="str">
        <f>'Secondary cum Calculation'!H776</f>
        <v>New</v>
      </c>
      <c r="I358" s="7">
        <f>'Secondary cum Calculation'!I776</f>
        <v>0</v>
      </c>
      <c r="J358" s="7" t="str">
        <f>'Secondary cum Calculation'!J776</f>
        <v>Thousand</v>
      </c>
      <c r="K358" s="8">
        <f>'Secondary cum Calculation'!K776</f>
        <v>0</v>
      </c>
      <c r="L358" s="218">
        <f>'Secondary cum Calculation'!L776</f>
        <v>0</v>
      </c>
      <c r="M358" s="218">
        <f>'Secondary cum Calculation'!M776</f>
        <v>0</v>
      </c>
      <c r="N358" s="218">
        <f>'Secondary cum Calculation'!N776</f>
        <v>0</v>
      </c>
      <c r="O358" s="218">
        <f>'Secondary cum Calculation'!O776</f>
        <v>0</v>
      </c>
      <c r="P358" s="218">
        <f>'Secondary cum Calculation'!P776</f>
        <v>0</v>
      </c>
      <c r="Q358" s="218">
        <f>'Secondary cum Calculation'!Q776</f>
        <v>0</v>
      </c>
      <c r="W358" s="211" t="e">
        <f>'Secondary cum Calculation'!W776</f>
        <v>#DIV/0!</v>
      </c>
      <c r="X358" s="211" t="e">
        <f>'Secondary cum Calculation'!X776</f>
        <v>#DIV/0!</v>
      </c>
      <c r="Z358" s="11"/>
      <c r="AA358" s="11"/>
      <c r="AB358" s="11"/>
      <c r="AC358" s="11"/>
      <c r="AD358" s="11"/>
    </row>
    <row r="359" spans="1:30">
      <c r="A359" s="6" t="str">
        <f>'Secondary cum Calculation'!A778</f>
        <v>Poland</v>
      </c>
      <c r="B359" s="119" t="str">
        <f>'Secondary cum Calculation'!B778</f>
        <v>Tourism Flows</v>
      </c>
      <c r="C359" s="119" t="str">
        <f>'Secondary cum Calculation'!C778</f>
        <v>International Departures by Destination</v>
      </c>
      <c r="D359" s="119" t="str">
        <f>'Secondary cum Calculation'!D778</f>
        <v>Asia-Pacific</v>
      </c>
      <c r="E359" s="6" t="str">
        <f>'Secondary cum Calculation'!E778</f>
        <v>New Zealand</v>
      </c>
      <c r="F359" s="7" t="str">
        <f>'Secondary cum Calculation'!F778</f>
        <v>The number of international departures from a country to New Zealand</v>
      </c>
      <c r="G359" s="7" t="str">
        <f>'Secondary cum Calculation'!G778</f>
        <v>Tourism Demand &amp; Flows Database</v>
      </c>
      <c r="H359" s="7" t="str">
        <f>'Secondary cum Calculation'!H778</f>
        <v>New</v>
      </c>
      <c r="I359" s="7">
        <f>'Secondary cum Calculation'!I778</f>
        <v>0</v>
      </c>
      <c r="J359" s="7" t="str">
        <f>'Secondary cum Calculation'!J778</f>
        <v>Thousand</v>
      </c>
      <c r="K359" s="8">
        <f>'Secondary cum Calculation'!K778</f>
        <v>301</v>
      </c>
      <c r="L359" s="218">
        <f>'Secondary cum Calculation'!L778</f>
        <v>0</v>
      </c>
      <c r="M359" s="218">
        <f>'Secondary cum Calculation'!M778</f>
        <v>0</v>
      </c>
      <c r="N359" s="218">
        <f>'Secondary cum Calculation'!N778</f>
        <v>0</v>
      </c>
      <c r="O359" s="218">
        <f>'Secondary cum Calculation'!O778</f>
        <v>0</v>
      </c>
      <c r="P359" s="218">
        <f>'Secondary cum Calculation'!P778</f>
        <v>0</v>
      </c>
      <c r="Q359" s="218">
        <f>'Secondary cum Calculation'!Q778</f>
        <v>0</v>
      </c>
      <c r="W359" s="211" t="e">
        <f>'Secondary cum Calculation'!W778</f>
        <v>#DIV/0!</v>
      </c>
      <c r="X359" s="211" t="e">
        <f>'Secondary cum Calculation'!X778</f>
        <v>#DIV/0!</v>
      </c>
      <c r="Z359" s="11"/>
      <c r="AA359" s="11"/>
      <c r="AB359" s="11"/>
      <c r="AC359" s="11"/>
      <c r="AD359" s="11"/>
    </row>
    <row r="360" spans="1:30">
      <c r="A360" s="6" t="str">
        <f>'Secondary cum Calculation'!A780</f>
        <v>Poland</v>
      </c>
      <c r="B360" s="119" t="str">
        <f>'Secondary cum Calculation'!B780</f>
        <v>Tourism Flows</v>
      </c>
      <c r="C360" s="119" t="str">
        <f>'Secondary cum Calculation'!C780</f>
        <v>International Departures by Destination</v>
      </c>
      <c r="D360" s="119" t="str">
        <f>'Secondary cum Calculation'!D780</f>
        <v>Asia-Pacific</v>
      </c>
      <c r="E360" s="6" t="str">
        <f>'Secondary cum Calculation'!E780</f>
        <v>Pakistan</v>
      </c>
      <c r="F360" s="7" t="str">
        <f>'Secondary cum Calculation'!F780</f>
        <v>The number of international departures from a country to Pakistan</v>
      </c>
      <c r="G360" s="7" t="str">
        <f>'Secondary cum Calculation'!G780</f>
        <v>Tourism Demand &amp; Flows Database</v>
      </c>
      <c r="H360" s="7" t="str">
        <f>'Secondary cum Calculation'!H780</f>
        <v>New</v>
      </c>
      <c r="I360" s="7">
        <f>'Secondary cum Calculation'!I780</f>
        <v>0</v>
      </c>
      <c r="J360" s="7" t="str">
        <f>'Secondary cum Calculation'!J780</f>
        <v>Thousand</v>
      </c>
      <c r="K360" s="8">
        <f>'Secondary cum Calculation'!K780</f>
        <v>0</v>
      </c>
      <c r="L360" s="218">
        <f>'Secondary cum Calculation'!L780</f>
        <v>0</v>
      </c>
      <c r="M360" s="218">
        <f>'Secondary cum Calculation'!M780</f>
        <v>0</v>
      </c>
      <c r="N360" s="218">
        <f>'Secondary cum Calculation'!N780</f>
        <v>0</v>
      </c>
      <c r="O360" s="218">
        <f>'Secondary cum Calculation'!O780</f>
        <v>0</v>
      </c>
      <c r="P360" s="218">
        <f>'Secondary cum Calculation'!P780</f>
        <v>0</v>
      </c>
      <c r="Q360" s="218">
        <f>'Secondary cum Calculation'!Q780</f>
        <v>0</v>
      </c>
      <c r="W360" s="211" t="e">
        <f>'Secondary cum Calculation'!W780</f>
        <v>#DIV/0!</v>
      </c>
      <c r="X360" s="211" t="e">
        <f>'Secondary cum Calculation'!X780</f>
        <v>#DIV/0!</v>
      </c>
      <c r="Z360" s="11"/>
      <c r="AA360" s="11"/>
      <c r="AB360" s="11"/>
      <c r="AC360" s="11"/>
      <c r="AD360" s="11"/>
    </row>
    <row r="361" spans="1:30">
      <c r="A361" s="6" t="str">
        <f>'Secondary cum Calculation'!A782</f>
        <v>Poland</v>
      </c>
      <c r="B361" s="119" t="str">
        <f>'Secondary cum Calculation'!B782</f>
        <v>Tourism Flows</v>
      </c>
      <c r="C361" s="119" t="str">
        <f>'Secondary cum Calculation'!C782</f>
        <v>International Departures by Destination</v>
      </c>
      <c r="D361" s="119" t="str">
        <f>'Secondary cum Calculation'!D782</f>
        <v>Asia-Pacific</v>
      </c>
      <c r="E361" s="6" t="str">
        <f>'Secondary cum Calculation'!E782</f>
        <v>Papua New Guinea</v>
      </c>
      <c r="F361" s="7" t="str">
        <f>'Secondary cum Calculation'!F782</f>
        <v>The number of international departures from a country to Papua New Guinea</v>
      </c>
      <c r="G361" s="7" t="str">
        <f>'Secondary cum Calculation'!G782</f>
        <v>Tourism Demand &amp; Flows Database</v>
      </c>
      <c r="H361" s="7" t="str">
        <f>'Secondary cum Calculation'!H782</f>
        <v>New</v>
      </c>
      <c r="I361" s="7">
        <f>'Secondary cum Calculation'!I782</f>
        <v>0</v>
      </c>
      <c r="J361" s="7" t="str">
        <f>'Secondary cum Calculation'!J782</f>
        <v>Thousand</v>
      </c>
      <c r="K361" s="8">
        <f>'Secondary cum Calculation'!K782</f>
        <v>0</v>
      </c>
      <c r="L361" s="218">
        <f>'Secondary cum Calculation'!L782</f>
        <v>0</v>
      </c>
      <c r="M361" s="218">
        <f>'Secondary cum Calculation'!M782</f>
        <v>0</v>
      </c>
      <c r="N361" s="218">
        <f>'Secondary cum Calculation'!N782</f>
        <v>0</v>
      </c>
      <c r="O361" s="218">
        <f>'Secondary cum Calculation'!O782</f>
        <v>0</v>
      </c>
      <c r="P361" s="218">
        <f>'Secondary cum Calculation'!P782</f>
        <v>0</v>
      </c>
      <c r="Q361" s="218">
        <f>'Secondary cum Calculation'!Q782</f>
        <v>0</v>
      </c>
      <c r="R361" s="224"/>
      <c r="S361" s="224"/>
      <c r="T361" s="224"/>
      <c r="U361" s="224"/>
      <c r="V361" s="224"/>
      <c r="W361" s="211" t="e">
        <f>'Secondary cum Calculation'!W782</f>
        <v>#DIV/0!</v>
      </c>
      <c r="X361" s="211" t="e">
        <f>'Secondary cum Calculation'!X782</f>
        <v>#DIV/0!</v>
      </c>
      <c r="Z361" s="11"/>
      <c r="AA361" s="11"/>
      <c r="AB361" s="11"/>
      <c r="AC361" s="11"/>
      <c r="AD361" s="11"/>
    </row>
    <row r="362" spans="1:30">
      <c r="A362" s="6" t="str">
        <f>'Secondary cum Calculation'!A784</f>
        <v>Poland</v>
      </c>
      <c r="B362" s="119" t="str">
        <f>'Secondary cum Calculation'!B784</f>
        <v>Tourism Flows</v>
      </c>
      <c r="C362" s="119" t="str">
        <f>'Secondary cum Calculation'!C784</f>
        <v>International Departures by Destination</v>
      </c>
      <c r="D362" s="119" t="str">
        <f>'Secondary cum Calculation'!D784</f>
        <v>Asia-Pacific</v>
      </c>
      <c r="E362" s="6" t="str">
        <f>'Secondary cum Calculation'!E784</f>
        <v>Philippines</v>
      </c>
      <c r="F362" s="7" t="str">
        <f>'Secondary cum Calculation'!F784</f>
        <v>The number of international departures from a country to Philippines</v>
      </c>
      <c r="G362" s="7" t="str">
        <f>'Secondary cum Calculation'!G784</f>
        <v>Tourism Demand &amp; Flows Database</v>
      </c>
      <c r="H362" s="7" t="str">
        <f>'Secondary cum Calculation'!H784</f>
        <v>New</v>
      </c>
      <c r="I362" s="7">
        <f>'Secondary cum Calculation'!I784</f>
        <v>0</v>
      </c>
      <c r="J362" s="7" t="str">
        <f>'Secondary cum Calculation'!J784</f>
        <v>Thousand</v>
      </c>
      <c r="K362" s="8">
        <f>'Secondary cum Calculation'!K784</f>
        <v>271</v>
      </c>
      <c r="L362" s="218">
        <f>'Secondary cum Calculation'!L784</f>
        <v>0</v>
      </c>
      <c r="M362" s="218">
        <f>'Secondary cum Calculation'!M784</f>
        <v>0</v>
      </c>
      <c r="N362" s="218">
        <f>'Secondary cum Calculation'!N784</f>
        <v>0</v>
      </c>
      <c r="O362" s="218">
        <f>'Secondary cum Calculation'!O784</f>
        <v>0</v>
      </c>
      <c r="P362" s="218">
        <f>'Secondary cum Calculation'!P784</f>
        <v>0</v>
      </c>
      <c r="Q362" s="218">
        <f>'Secondary cum Calculation'!Q784</f>
        <v>0</v>
      </c>
      <c r="W362" s="211" t="e">
        <f>'Secondary cum Calculation'!W784</f>
        <v>#DIV/0!</v>
      </c>
      <c r="X362" s="211" t="e">
        <f>'Secondary cum Calculation'!X784</f>
        <v>#DIV/0!</v>
      </c>
      <c r="Z362" s="11"/>
      <c r="AA362" s="11"/>
      <c r="AB362" s="11"/>
      <c r="AC362" s="11"/>
      <c r="AD362" s="11"/>
    </row>
    <row r="363" spans="1:30">
      <c r="A363" s="6" t="str">
        <f>'Secondary cum Calculation'!A786</f>
        <v>Poland</v>
      </c>
      <c r="B363" s="119" t="str">
        <f>'Secondary cum Calculation'!B786</f>
        <v>Tourism Flows</v>
      </c>
      <c r="C363" s="119" t="str">
        <f>'Secondary cum Calculation'!C786</f>
        <v>International Departures by Destination</v>
      </c>
      <c r="D363" s="119" t="str">
        <f>'Secondary cum Calculation'!D786</f>
        <v>Asia-Pacific</v>
      </c>
      <c r="E363" s="6" t="str">
        <f>'Secondary cum Calculation'!E786</f>
        <v>Republic of Korea</v>
      </c>
      <c r="F363" s="7" t="str">
        <f>'Secondary cum Calculation'!F786</f>
        <v>The number of international departures from a country to Republic of Korea</v>
      </c>
      <c r="G363" s="7" t="str">
        <f>'Secondary cum Calculation'!G786</f>
        <v>Tourism Demand &amp; Flows Database</v>
      </c>
      <c r="H363" s="7" t="str">
        <f>'Secondary cum Calculation'!H786</f>
        <v>New</v>
      </c>
      <c r="I363" s="7">
        <f>'Secondary cum Calculation'!I786</f>
        <v>0</v>
      </c>
      <c r="J363" s="7" t="str">
        <f>'Secondary cum Calculation'!J786</f>
        <v>Thousand</v>
      </c>
      <c r="K363" s="8">
        <f>'Secondary cum Calculation'!K786</f>
        <v>633</v>
      </c>
      <c r="L363" s="218">
        <f>'Secondary cum Calculation'!L786</f>
        <v>0</v>
      </c>
      <c r="M363" s="218">
        <f>'Secondary cum Calculation'!M786</f>
        <v>0</v>
      </c>
      <c r="N363" s="218">
        <f>'Secondary cum Calculation'!N786</f>
        <v>0</v>
      </c>
      <c r="O363" s="218">
        <f>'Secondary cum Calculation'!O786</f>
        <v>0</v>
      </c>
      <c r="P363" s="218">
        <f>'Secondary cum Calculation'!P786</f>
        <v>0</v>
      </c>
      <c r="Q363" s="218">
        <f>'Secondary cum Calculation'!Q786</f>
        <v>0</v>
      </c>
      <c r="W363" s="211" t="e">
        <f>'Secondary cum Calculation'!W786</f>
        <v>#DIV/0!</v>
      </c>
      <c r="X363" s="211" t="e">
        <f>'Secondary cum Calculation'!X786</f>
        <v>#DIV/0!</v>
      </c>
      <c r="Z363" s="11"/>
      <c r="AA363" s="11"/>
      <c r="AB363" s="11"/>
      <c r="AC363" s="11"/>
      <c r="AD363" s="11"/>
    </row>
    <row r="364" spans="1:30">
      <c r="A364" s="6" t="str">
        <f>'Secondary cum Calculation'!A788</f>
        <v>Poland</v>
      </c>
      <c r="B364" s="119" t="str">
        <f>'Secondary cum Calculation'!B788</f>
        <v>Tourism Flows</v>
      </c>
      <c r="C364" s="119" t="str">
        <f>'Secondary cum Calculation'!C788</f>
        <v>International Departures by Destination</v>
      </c>
      <c r="D364" s="119" t="str">
        <f>'Secondary cum Calculation'!D788</f>
        <v>Asia-Pacific</v>
      </c>
      <c r="E364" s="6" t="str">
        <f>'Secondary cum Calculation'!E788</f>
        <v>Samoa</v>
      </c>
      <c r="F364" s="7" t="str">
        <f>'Secondary cum Calculation'!F788</f>
        <v>The number of international departures from a country to Samoa</v>
      </c>
      <c r="G364" s="7" t="str">
        <f>'Secondary cum Calculation'!G788</f>
        <v>Tourism Demand &amp; Flows Database</v>
      </c>
      <c r="H364" s="7" t="str">
        <f>'Secondary cum Calculation'!H788</f>
        <v>New</v>
      </c>
      <c r="I364" s="7">
        <f>'Secondary cum Calculation'!I788</f>
        <v>0</v>
      </c>
      <c r="J364" s="7" t="str">
        <f>'Secondary cum Calculation'!J788</f>
        <v>Thousand</v>
      </c>
      <c r="K364" s="8">
        <f>'Secondary cum Calculation'!K788</f>
        <v>0</v>
      </c>
      <c r="L364" s="218">
        <f>'Secondary cum Calculation'!L788</f>
        <v>0</v>
      </c>
      <c r="M364" s="218">
        <f>'Secondary cum Calculation'!M788</f>
        <v>0</v>
      </c>
      <c r="N364" s="218">
        <f>'Secondary cum Calculation'!N788</f>
        <v>0</v>
      </c>
      <c r="O364" s="218">
        <f>'Secondary cum Calculation'!O788</f>
        <v>0</v>
      </c>
      <c r="P364" s="218">
        <f>'Secondary cum Calculation'!P788</f>
        <v>0</v>
      </c>
      <c r="Q364" s="218">
        <f>'Secondary cum Calculation'!Q788</f>
        <v>0</v>
      </c>
      <c r="R364" s="135"/>
      <c r="S364" s="135"/>
      <c r="T364" s="135"/>
      <c r="U364" s="135"/>
      <c r="V364" s="135"/>
      <c r="W364" s="211" t="e">
        <f>'Secondary cum Calculation'!W788</f>
        <v>#DIV/0!</v>
      </c>
      <c r="X364" s="211" t="e">
        <f>'Secondary cum Calculation'!X788</f>
        <v>#DIV/0!</v>
      </c>
      <c r="Z364" s="11"/>
      <c r="AA364" s="11"/>
      <c r="AB364" s="11"/>
      <c r="AC364" s="11"/>
      <c r="AD364" s="11"/>
    </row>
    <row r="365" spans="1:30">
      <c r="A365" s="6" t="str">
        <f>'Secondary cum Calculation'!A790</f>
        <v>Poland</v>
      </c>
      <c r="B365" s="119" t="str">
        <f>'Secondary cum Calculation'!B790</f>
        <v>Tourism Flows</v>
      </c>
      <c r="C365" s="119" t="str">
        <f>'Secondary cum Calculation'!C790</f>
        <v>International Departures by Destination</v>
      </c>
      <c r="D365" s="119" t="str">
        <f>'Secondary cum Calculation'!D790</f>
        <v>Asia-Pacific</v>
      </c>
      <c r="E365" s="6" t="str">
        <f>'Secondary cum Calculation'!E790</f>
        <v>Singapore</v>
      </c>
      <c r="F365" s="7" t="str">
        <f>'Secondary cum Calculation'!F790</f>
        <v>The number of international departures from a country to Singapore</v>
      </c>
      <c r="G365" s="7" t="str">
        <f>'Secondary cum Calculation'!G790</f>
        <v>Tourism Demand &amp; Flows Database</v>
      </c>
      <c r="H365" s="7" t="str">
        <f>'Secondary cum Calculation'!H790</f>
        <v>New</v>
      </c>
      <c r="I365" s="7">
        <f>'Secondary cum Calculation'!I790</f>
        <v>0</v>
      </c>
      <c r="J365" s="7" t="str">
        <f>'Secondary cum Calculation'!J790</f>
        <v>Thousand</v>
      </c>
      <c r="K365" s="8">
        <f>'Secondary cum Calculation'!K790</f>
        <v>422</v>
      </c>
      <c r="L365" s="218">
        <f>'Secondary cum Calculation'!L790</f>
        <v>0</v>
      </c>
      <c r="M365" s="218">
        <f>'Secondary cum Calculation'!M790</f>
        <v>0</v>
      </c>
      <c r="N365" s="218">
        <f>'Secondary cum Calculation'!N790</f>
        <v>0</v>
      </c>
      <c r="O365" s="218">
        <f>'Secondary cum Calculation'!O790</f>
        <v>0</v>
      </c>
      <c r="P365" s="218">
        <f>'Secondary cum Calculation'!P790</f>
        <v>0</v>
      </c>
      <c r="Q365" s="218">
        <f>'Secondary cum Calculation'!Q790</f>
        <v>0</v>
      </c>
      <c r="W365" s="211" t="e">
        <f>'Secondary cum Calculation'!W790</f>
        <v>#DIV/0!</v>
      </c>
      <c r="X365" s="211" t="e">
        <f>'Secondary cum Calculation'!X790</f>
        <v>#DIV/0!</v>
      </c>
      <c r="Z365" s="11"/>
      <c r="AA365" s="11"/>
      <c r="AB365" s="11"/>
      <c r="AC365" s="11"/>
      <c r="AD365" s="11"/>
    </row>
    <row r="366" spans="1:30">
      <c r="A366" s="6" t="str">
        <f>'Secondary cum Calculation'!A792</f>
        <v>Poland</v>
      </c>
      <c r="B366" s="119" t="str">
        <f>'Secondary cum Calculation'!B792</f>
        <v>Tourism Flows</v>
      </c>
      <c r="C366" s="119" t="str">
        <f>'Secondary cum Calculation'!C792</f>
        <v>International Departures by Destination</v>
      </c>
      <c r="D366" s="119" t="str">
        <f>'Secondary cum Calculation'!D792</f>
        <v>Asia-Pacific</v>
      </c>
      <c r="E366" s="6" t="str">
        <f>'Secondary cum Calculation'!E792</f>
        <v>Solomon Islands</v>
      </c>
      <c r="F366" s="7" t="str">
        <f>'Secondary cum Calculation'!F792</f>
        <v>The number of international departures from a country to Solomon Islands</v>
      </c>
      <c r="G366" s="7" t="str">
        <f>'Secondary cum Calculation'!G792</f>
        <v>Tourism Demand &amp; Flows Database</v>
      </c>
      <c r="H366" s="7" t="str">
        <f>'Secondary cum Calculation'!H792</f>
        <v>New</v>
      </c>
      <c r="I366" s="7">
        <f>'Secondary cum Calculation'!I792</f>
        <v>0</v>
      </c>
      <c r="J366" s="7" t="str">
        <f>'Secondary cum Calculation'!J792</f>
        <v>Thousand</v>
      </c>
      <c r="K366" s="8">
        <f>'Secondary cum Calculation'!K792</f>
        <v>0</v>
      </c>
      <c r="L366" s="218">
        <f>'Secondary cum Calculation'!L792</f>
        <v>0</v>
      </c>
      <c r="M366" s="218">
        <f>'Secondary cum Calculation'!M792</f>
        <v>0</v>
      </c>
      <c r="N366" s="218">
        <f>'Secondary cum Calculation'!N792</f>
        <v>0</v>
      </c>
      <c r="O366" s="218">
        <f>'Secondary cum Calculation'!O792</f>
        <v>0</v>
      </c>
      <c r="P366" s="218">
        <f>'Secondary cum Calculation'!P792</f>
        <v>0</v>
      </c>
      <c r="Q366" s="218">
        <f>'Secondary cum Calculation'!Q792</f>
        <v>0</v>
      </c>
      <c r="R366" s="135"/>
      <c r="S366" s="135"/>
      <c r="T366" s="135"/>
      <c r="U366" s="135"/>
      <c r="V366" s="135"/>
      <c r="W366" s="211" t="e">
        <f>'Secondary cum Calculation'!W792</f>
        <v>#DIV/0!</v>
      </c>
      <c r="X366" s="211" t="e">
        <f>'Secondary cum Calculation'!X792</f>
        <v>#DIV/0!</v>
      </c>
      <c r="Z366" s="11"/>
      <c r="AA366" s="11"/>
      <c r="AB366" s="11"/>
      <c r="AC366" s="11"/>
      <c r="AD366" s="11"/>
    </row>
    <row r="367" spans="1:30">
      <c r="A367" s="6" t="str">
        <f>'Secondary cum Calculation'!A794</f>
        <v>Poland</v>
      </c>
      <c r="B367" s="119" t="str">
        <f>'Secondary cum Calculation'!B794</f>
        <v>Tourism Flows</v>
      </c>
      <c r="C367" s="119" t="str">
        <f>'Secondary cum Calculation'!C794</f>
        <v>International Departures by Destination</v>
      </c>
      <c r="D367" s="119" t="str">
        <f>'Secondary cum Calculation'!D794</f>
        <v>Asia-Pacific</v>
      </c>
      <c r="E367" s="6" t="str">
        <f>'Secondary cum Calculation'!E794</f>
        <v>Sri Lanka</v>
      </c>
      <c r="F367" s="7" t="str">
        <f>'Secondary cum Calculation'!F794</f>
        <v>The number of international departures from a country to Sri Lanka</v>
      </c>
      <c r="G367" s="7" t="str">
        <f>'Secondary cum Calculation'!G794</f>
        <v>Tourism Demand &amp; Flows Database</v>
      </c>
      <c r="H367" s="7" t="str">
        <f>'Secondary cum Calculation'!H794</f>
        <v>New</v>
      </c>
      <c r="I367" s="7">
        <f>'Secondary cum Calculation'!I794</f>
        <v>0</v>
      </c>
      <c r="J367" s="7" t="str">
        <f>'Secondary cum Calculation'!J794</f>
        <v>Thousand</v>
      </c>
      <c r="K367" s="8">
        <f>'Secondary cum Calculation'!K794</f>
        <v>0</v>
      </c>
      <c r="L367" s="218">
        <f>'Secondary cum Calculation'!L794</f>
        <v>0</v>
      </c>
      <c r="M367" s="218">
        <f>'Secondary cum Calculation'!M794</f>
        <v>0</v>
      </c>
      <c r="N367" s="218">
        <f>'Secondary cum Calculation'!N794</f>
        <v>0</v>
      </c>
      <c r="O367" s="218">
        <f>'Secondary cum Calculation'!O794</f>
        <v>0</v>
      </c>
      <c r="P367" s="218">
        <f>'Secondary cum Calculation'!P794</f>
        <v>0</v>
      </c>
      <c r="Q367" s="218">
        <f>'Secondary cum Calculation'!Q794</f>
        <v>0</v>
      </c>
      <c r="W367" s="211" t="e">
        <f>'Secondary cum Calculation'!W794</f>
        <v>#DIV/0!</v>
      </c>
      <c r="X367" s="211" t="e">
        <f>'Secondary cum Calculation'!X794</f>
        <v>#DIV/0!</v>
      </c>
      <c r="Z367" s="11"/>
      <c r="AA367" s="11"/>
      <c r="AB367" s="11"/>
      <c r="AC367" s="11"/>
      <c r="AD367" s="11"/>
    </row>
    <row r="368" spans="1:30">
      <c r="A368" s="6" t="str">
        <f>'Secondary cum Calculation'!A796</f>
        <v>Poland</v>
      </c>
      <c r="B368" s="119" t="str">
        <f>'Secondary cum Calculation'!B796</f>
        <v>Tourism Flows</v>
      </c>
      <c r="C368" s="119" t="str">
        <f>'Secondary cum Calculation'!C796</f>
        <v>International Departures by Destination</v>
      </c>
      <c r="D368" s="119" t="str">
        <f>'Secondary cum Calculation'!D796</f>
        <v>Asia-Pacific</v>
      </c>
      <c r="E368" s="6" t="str">
        <f>'Secondary cum Calculation'!E796</f>
        <v>Tajikistan</v>
      </c>
      <c r="F368" s="7" t="str">
        <f>'Secondary cum Calculation'!F796</f>
        <v>The number of international departures from a country to Tajikistan</v>
      </c>
      <c r="G368" s="7" t="str">
        <f>'Secondary cum Calculation'!G796</f>
        <v>Tourism Demand &amp; Flows Database</v>
      </c>
      <c r="H368" s="7" t="str">
        <f>'Secondary cum Calculation'!H796</f>
        <v>New</v>
      </c>
      <c r="I368" s="7">
        <f>'Secondary cum Calculation'!I796</f>
        <v>0</v>
      </c>
      <c r="J368" s="7" t="str">
        <f>'Secondary cum Calculation'!J796</f>
        <v>Thousand</v>
      </c>
      <c r="K368" s="8">
        <f>'Secondary cum Calculation'!K796</f>
        <v>0</v>
      </c>
      <c r="L368" s="218">
        <f>'Secondary cum Calculation'!L796</f>
        <v>0</v>
      </c>
      <c r="M368" s="218">
        <f>'Secondary cum Calculation'!M796</f>
        <v>0</v>
      </c>
      <c r="N368" s="218">
        <f>'Secondary cum Calculation'!N796</f>
        <v>0</v>
      </c>
      <c r="O368" s="218">
        <f>'Secondary cum Calculation'!O796</f>
        <v>0</v>
      </c>
      <c r="P368" s="218">
        <f>'Secondary cum Calculation'!P796</f>
        <v>0</v>
      </c>
      <c r="Q368" s="218">
        <f>'Secondary cum Calculation'!Q796</f>
        <v>0</v>
      </c>
      <c r="W368" s="211" t="e">
        <f>'Secondary cum Calculation'!W796</f>
        <v>#DIV/0!</v>
      </c>
      <c r="X368" s="211" t="e">
        <f>'Secondary cum Calculation'!X796</f>
        <v>#DIV/0!</v>
      </c>
      <c r="Z368" s="11"/>
      <c r="AA368" s="11"/>
      <c r="AB368" s="11"/>
      <c r="AC368" s="11"/>
      <c r="AD368" s="11"/>
    </row>
    <row r="369" spans="1:30">
      <c r="A369" s="6" t="str">
        <f>'Secondary cum Calculation'!A798</f>
        <v>Poland</v>
      </c>
      <c r="B369" s="119" t="str">
        <f>'Secondary cum Calculation'!B798</f>
        <v>Tourism Flows</v>
      </c>
      <c r="C369" s="119" t="str">
        <f>'Secondary cum Calculation'!C798</f>
        <v>International Departures by Destination</v>
      </c>
      <c r="D369" s="119" t="str">
        <f>'Secondary cum Calculation'!D798</f>
        <v>Asia-Pacific</v>
      </c>
      <c r="E369" s="6" t="str">
        <f>'Secondary cum Calculation'!E798</f>
        <v>Thailand</v>
      </c>
      <c r="F369" s="7" t="str">
        <f>'Secondary cum Calculation'!F798</f>
        <v>The number of international departures from a country to Thailand</v>
      </c>
      <c r="G369" s="7" t="str">
        <f>'Secondary cum Calculation'!G798</f>
        <v>Tourism Demand &amp; Flows Database</v>
      </c>
      <c r="H369" s="7" t="str">
        <f>'Secondary cum Calculation'!H798</f>
        <v>New</v>
      </c>
      <c r="I369" s="7">
        <f>'Secondary cum Calculation'!I798</f>
        <v>0</v>
      </c>
      <c r="J369" s="7" t="str">
        <f>'Secondary cum Calculation'!J798</f>
        <v>Thousand</v>
      </c>
      <c r="K369" s="8">
        <f>'Secondary cum Calculation'!K798</f>
        <v>482</v>
      </c>
      <c r="L369" s="218">
        <f>'Secondary cum Calculation'!L798</f>
        <v>0</v>
      </c>
      <c r="M369" s="218">
        <f>'Secondary cum Calculation'!M798</f>
        <v>0</v>
      </c>
      <c r="N369" s="218">
        <f>'Secondary cum Calculation'!N798</f>
        <v>0</v>
      </c>
      <c r="O369" s="218">
        <f>'Secondary cum Calculation'!O798</f>
        <v>0</v>
      </c>
      <c r="P369" s="218">
        <f>'Secondary cum Calculation'!P798</f>
        <v>0</v>
      </c>
      <c r="Q369" s="218">
        <f>'Secondary cum Calculation'!Q798</f>
        <v>0</v>
      </c>
      <c r="W369" s="211" t="e">
        <f>'Secondary cum Calculation'!W798</f>
        <v>#DIV/0!</v>
      </c>
      <c r="X369" s="211" t="e">
        <f>'Secondary cum Calculation'!X798</f>
        <v>#DIV/0!</v>
      </c>
      <c r="Z369" s="11"/>
      <c r="AA369" s="11"/>
      <c r="AB369" s="11"/>
      <c r="AC369" s="11"/>
      <c r="AD369" s="11"/>
    </row>
    <row r="370" spans="1:30">
      <c r="A370" s="6" t="str">
        <f>'Secondary cum Calculation'!A800</f>
        <v>Poland</v>
      </c>
      <c r="B370" s="119" t="str">
        <f>'Secondary cum Calculation'!B800</f>
        <v>Tourism Flows</v>
      </c>
      <c r="C370" s="119" t="str">
        <f>'Secondary cum Calculation'!C800</f>
        <v>International Departures by Destination</v>
      </c>
      <c r="D370" s="119" t="str">
        <f>'Secondary cum Calculation'!D800</f>
        <v>Asia-Pacific</v>
      </c>
      <c r="E370" s="6" t="str">
        <f>'Secondary cum Calculation'!E800</f>
        <v>Timor-Leste</v>
      </c>
      <c r="F370" s="7" t="str">
        <f>'Secondary cum Calculation'!F800</f>
        <v>The number of international departures from a country to Timor-Leste</v>
      </c>
      <c r="G370" s="7" t="str">
        <f>'Secondary cum Calculation'!G800</f>
        <v>Tourism Demand &amp; Flows Database</v>
      </c>
      <c r="H370" s="7" t="str">
        <f>'Secondary cum Calculation'!H800</f>
        <v>New</v>
      </c>
      <c r="I370" s="7">
        <f>'Secondary cum Calculation'!I800</f>
        <v>0</v>
      </c>
      <c r="J370" s="7" t="str">
        <f>'Secondary cum Calculation'!J800</f>
        <v>Thousand</v>
      </c>
      <c r="K370" s="8">
        <f>'Secondary cum Calculation'!K800</f>
        <v>0</v>
      </c>
      <c r="L370" s="218">
        <f>'Secondary cum Calculation'!L800</f>
        <v>0</v>
      </c>
      <c r="M370" s="218">
        <f>'Secondary cum Calculation'!M800</f>
        <v>0</v>
      </c>
      <c r="N370" s="218">
        <f>'Secondary cum Calculation'!N800</f>
        <v>0</v>
      </c>
      <c r="O370" s="218">
        <f>'Secondary cum Calculation'!O800</f>
        <v>0</v>
      </c>
      <c r="P370" s="218">
        <f>'Secondary cum Calculation'!P800</f>
        <v>0</v>
      </c>
      <c r="Q370" s="218">
        <f>'Secondary cum Calculation'!Q800</f>
        <v>0</v>
      </c>
      <c r="R370" s="135"/>
      <c r="S370" s="135"/>
      <c r="T370" s="135"/>
      <c r="U370" s="135"/>
      <c r="V370" s="135"/>
      <c r="W370" s="211" t="e">
        <f>'Secondary cum Calculation'!W800</f>
        <v>#DIV/0!</v>
      </c>
      <c r="X370" s="211" t="e">
        <f>'Secondary cum Calculation'!X800</f>
        <v>#DIV/0!</v>
      </c>
      <c r="Z370" s="11"/>
      <c r="AA370" s="11"/>
      <c r="AB370" s="11"/>
      <c r="AC370" s="11"/>
      <c r="AD370" s="11"/>
    </row>
    <row r="371" spans="1:30">
      <c r="A371" s="6" t="str">
        <f>'Secondary cum Calculation'!A802</f>
        <v>Poland</v>
      </c>
      <c r="B371" s="119" t="str">
        <f>'Secondary cum Calculation'!B802</f>
        <v>Tourism Flows</v>
      </c>
      <c r="C371" s="119" t="str">
        <f>'Secondary cum Calculation'!C802</f>
        <v>International Departures by Destination</v>
      </c>
      <c r="D371" s="119" t="str">
        <f>'Secondary cum Calculation'!D802</f>
        <v>Asia-Pacific</v>
      </c>
      <c r="E371" s="6" t="str">
        <f>'Secondary cum Calculation'!E802</f>
        <v>Turkmenistan</v>
      </c>
      <c r="F371" s="7" t="str">
        <f>'Secondary cum Calculation'!F802</f>
        <v>The number of international departures from a country to Turkmenistan</v>
      </c>
      <c r="G371" s="7" t="str">
        <f>'Secondary cum Calculation'!G802</f>
        <v>Tourism Demand &amp; Flows Database</v>
      </c>
      <c r="H371" s="7" t="str">
        <f>'Secondary cum Calculation'!H802</f>
        <v>New</v>
      </c>
      <c r="I371" s="7">
        <f>'Secondary cum Calculation'!I802</f>
        <v>0</v>
      </c>
      <c r="J371" s="7" t="str">
        <f>'Secondary cum Calculation'!J802</f>
        <v>Thousand</v>
      </c>
      <c r="K371" s="8">
        <f>'Secondary cum Calculation'!K802</f>
        <v>0</v>
      </c>
      <c r="L371" s="218">
        <f>'Secondary cum Calculation'!L802</f>
        <v>0</v>
      </c>
      <c r="M371" s="218">
        <f>'Secondary cum Calculation'!M802</f>
        <v>0</v>
      </c>
      <c r="N371" s="218">
        <f>'Secondary cum Calculation'!N802</f>
        <v>0</v>
      </c>
      <c r="O371" s="218">
        <f>'Secondary cum Calculation'!O802</f>
        <v>0</v>
      </c>
      <c r="P371" s="218">
        <f>'Secondary cum Calculation'!P802</f>
        <v>0</v>
      </c>
      <c r="Q371" s="218">
        <f>'Secondary cum Calculation'!Q802</f>
        <v>0</v>
      </c>
      <c r="W371" s="211" t="e">
        <f>'Secondary cum Calculation'!W802</f>
        <v>#DIV/0!</v>
      </c>
      <c r="X371" s="211" t="e">
        <f>'Secondary cum Calculation'!X802</f>
        <v>#DIV/0!</v>
      </c>
      <c r="Z371" s="11"/>
      <c r="AA371" s="11"/>
      <c r="AB371" s="11"/>
      <c r="AC371" s="11"/>
      <c r="AD371" s="11"/>
    </row>
    <row r="372" spans="1:30">
      <c r="A372" s="6" t="str">
        <f>'Secondary cum Calculation'!A804</f>
        <v>Poland</v>
      </c>
      <c r="B372" s="119" t="str">
        <f>'Secondary cum Calculation'!B804</f>
        <v>Tourism Flows</v>
      </c>
      <c r="C372" s="119" t="str">
        <f>'Secondary cum Calculation'!C804</f>
        <v>International Departures by Destination</v>
      </c>
      <c r="D372" s="119" t="str">
        <f>'Secondary cum Calculation'!D804</f>
        <v>Asia-Pacific</v>
      </c>
      <c r="E372" s="6" t="str">
        <f>'Secondary cum Calculation'!E804</f>
        <v>Uzbekistan</v>
      </c>
      <c r="F372" s="7" t="str">
        <f>'Secondary cum Calculation'!F804</f>
        <v>The number of international departures from a country to Uzbekistan</v>
      </c>
      <c r="G372" s="7" t="str">
        <f>'Secondary cum Calculation'!G804</f>
        <v>Tourism Demand &amp; Flows Database</v>
      </c>
      <c r="H372" s="7" t="str">
        <f>'Secondary cum Calculation'!H804</f>
        <v>New</v>
      </c>
      <c r="I372" s="7">
        <f>'Secondary cum Calculation'!I804</f>
        <v>0</v>
      </c>
      <c r="J372" s="7" t="str">
        <f>'Secondary cum Calculation'!J804</f>
        <v>Thousand</v>
      </c>
      <c r="K372" s="8">
        <f>'Secondary cum Calculation'!K804</f>
        <v>0</v>
      </c>
      <c r="L372" s="218">
        <f>'Secondary cum Calculation'!L804</f>
        <v>0</v>
      </c>
      <c r="M372" s="218">
        <f>'Secondary cum Calculation'!M804</f>
        <v>0</v>
      </c>
      <c r="N372" s="218">
        <f>'Secondary cum Calculation'!N804</f>
        <v>0</v>
      </c>
      <c r="O372" s="218">
        <f>'Secondary cum Calculation'!O804</f>
        <v>0</v>
      </c>
      <c r="P372" s="218">
        <f>'Secondary cum Calculation'!P804</f>
        <v>0</v>
      </c>
      <c r="Q372" s="218">
        <f>'Secondary cum Calculation'!Q804</f>
        <v>0</v>
      </c>
      <c r="W372" s="211" t="e">
        <f>'Secondary cum Calculation'!W804</f>
        <v>#DIV/0!</v>
      </c>
      <c r="X372" s="211" t="e">
        <f>'Secondary cum Calculation'!X804</f>
        <v>#DIV/0!</v>
      </c>
      <c r="Z372" s="11"/>
      <c r="AA372" s="11"/>
      <c r="AB372" s="11"/>
      <c r="AC372" s="11"/>
      <c r="AD372" s="11"/>
    </row>
    <row r="373" spans="1:30">
      <c r="A373" s="6" t="str">
        <f>'Secondary cum Calculation'!A806</f>
        <v>Poland</v>
      </c>
      <c r="B373" s="119" t="str">
        <f>'Secondary cum Calculation'!B806</f>
        <v>Tourism Flows</v>
      </c>
      <c r="C373" s="119" t="str">
        <f>'Secondary cum Calculation'!C806</f>
        <v>International Departures by Destination</v>
      </c>
      <c r="D373" s="119" t="str">
        <f>'Secondary cum Calculation'!D806</f>
        <v>Asia-Pacific</v>
      </c>
      <c r="E373" s="6" t="str">
        <f>'Secondary cum Calculation'!E806</f>
        <v>Vanuatu</v>
      </c>
      <c r="F373" s="7" t="str">
        <f>'Secondary cum Calculation'!F806</f>
        <v>The number of international departures from a country to Vanuatu</v>
      </c>
      <c r="G373" s="7" t="str">
        <f>'Secondary cum Calculation'!G806</f>
        <v>Tourism Demand &amp; Flows Database</v>
      </c>
      <c r="H373" s="7" t="str">
        <f>'Secondary cum Calculation'!H806</f>
        <v>New</v>
      </c>
      <c r="I373" s="7">
        <f>'Secondary cum Calculation'!I806</f>
        <v>0</v>
      </c>
      <c r="J373" s="7" t="str">
        <f>'Secondary cum Calculation'!J806</f>
        <v>Thousand</v>
      </c>
      <c r="K373" s="8">
        <f>'Secondary cum Calculation'!K806</f>
        <v>0</v>
      </c>
      <c r="L373" s="218">
        <f>'Secondary cum Calculation'!L806</f>
        <v>0</v>
      </c>
      <c r="M373" s="218">
        <f>'Secondary cum Calculation'!M806</f>
        <v>0</v>
      </c>
      <c r="N373" s="218">
        <f>'Secondary cum Calculation'!N806</f>
        <v>0</v>
      </c>
      <c r="O373" s="218">
        <f>'Secondary cum Calculation'!O806</f>
        <v>0</v>
      </c>
      <c r="P373" s="218">
        <f>'Secondary cum Calculation'!P806</f>
        <v>0</v>
      </c>
      <c r="Q373" s="218">
        <f>'Secondary cum Calculation'!Q806</f>
        <v>0</v>
      </c>
      <c r="R373" s="224"/>
      <c r="S373" s="224"/>
      <c r="T373" s="224"/>
      <c r="U373" s="224"/>
      <c r="V373" s="224"/>
      <c r="W373" s="211" t="e">
        <f>'Secondary cum Calculation'!W806</f>
        <v>#DIV/0!</v>
      </c>
      <c r="X373" s="211" t="e">
        <f>'Secondary cum Calculation'!X806</f>
        <v>#DIV/0!</v>
      </c>
      <c r="Z373" s="11"/>
      <c r="AA373" s="11"/>
      <c r="AB373" s="11"/>
      <c r="AC373" s="11"/>
      <c r="AD373" s="11"/>
    </row>
    <row r="374" spans="1:30">
      <c r="A374" s="6" t="str">
        <f>'Secondary cum Calculation'!A808</f>
        <v>Poland</v>
      </c>
      <c r="B374" s="119" t="str">
        <f>'Secondary cum Calculation'!B808</f>
        <v>Tourism Flows</v>
      </c>
      <c r="C374" s="119" t="str">
        <f>'Secondary cum Calculation'!C808</f>
        <v>International Departures by Destination</v>
      </c>
      <c r="D374" s="119" t="str">
        <f>'Secondary cum Calculation'!D808</f>
        <v>Asia-Pacific</v>
      </c>
      <c r="E374" s="6" t="str">
        <f>'Secondary cum Calculation'!E808</f>
        <v>Vietnam</v>
      </c>
      <c r="F374" s="7" t="str">
        <f>'Secondary cum Calculation'!F808</f>
        <v>The number of international departures from a country to Vietnam</v>
      </c>
      <c r="G374" s="7" t="str">
        <f>'Secondary cum Calculation'!G808</f>
        <v>Tourism Demand &amp; Flows Database</v>
      </c>
      <c r="H374" s="7" t="str">
        <f>'Secondary cum Calculation'!H808</f>
        <v>New</v>
      </c>
      <c r="I374" s="7">
        <f>'Secondary cum Calculation'!I808</f>
        <v>0</v>
      </c>
      <c r="J374" s="7" t="str">
        <f>'Secondary cum Calculation'!J808</f>
        <v>Thousand</v>
      </c>
      <c r="K374" s="8">
        <f>'Secondary cum Calculation'!K808</f>
        <v>181</v>
      </c>
      <c r="L374" s="218">
        <f>'Secondary cum Calculation'!L808</f>
        <v>0</v>
      </c>
      <c r="M374" s="218">
        <f>'Secondary cum Calculation'!M808</f>
        <v>0</v>
      </c>
      <c r="N374" s="218">
        <f>'Secondary cum Calculation'!N808</f>
        <v>0</v>
      </c>
      <c r="O374" s="218">
        <f>'Secondary cum Calculation'!O808</f>
        <v>0</v>
      </c>
      <c r="P374" s="218">
        <f>'Secondary cum Calculation'!P808</f>
        <v>0</v>
      </c>
      <c r="Q374" s="218">
        <f>'Secondary cum Calculation'!Q808</f>
        <v>0</v>
      </c>
      <c r="W374" s="211" t="e">
        <f>'Secondary cum Calculation'!W808</f>
        <v>#DIV/0!</v>
      </c>
      <c r="X374" s="211" t="e">
        <f>'Secondary cum Calculation'!X808</f>
        <v>#DIV/0!</v>
      </c>
      <c r="Z374" s="11"/>
      <c r="AA374" s="11"/>
      <c r="AB374" s="11"/>
      <c r="AC374" s="11"/>
      <c r="AD374" s="11"/>
    </row>
    <row r="375" spans="1:30">
      <c r="A375" s="6" t="str">
        <f>'Secondary cum Calculation'!A810</f>
        <v>Poland</v>
      </c>
      <c r="B375" s="119" t="str">
        <f>'Secondary cum Calculation'!B810</f>
        <v>Tourism Flows</v>
      </c>
      <c r="C375" s="119" t="str">
        <f>'Secondary cum Calculation'!C810</f>
        <v>International Departures by Destination</v>
      </c>
      <c r="D375" s="119" t="str">
        <f>'Secondary cum Calculation'!D810</f>
        <v>Asia-Pacific</v>
      </c>
      <c r="E375" s="6" t="str">
        <f>'Secondary cum Calculation'!E810</f>
        <v>Other Asia-Pacific Countries</v>
      </c>
      <c r="F375" s="41" t="str">
        <f>'Secondary cum Calculation'!F810</f>
        <v>To be defined according to the gaps in the country data above</v>
      </c>
      <c r="G375" s="7">
        <f>'Secondary cum Calculation'!G810</f>
        <v>0</v>
      </c>
      <c r="H375" s="7">
        <f>'Secondary cum Calculation'!H810</f>
        <v>0</v>
      </c>
      <c r="I375" s="7">
        <f>'Secondary cum Calculation'!I810</f>
        <v>0</v>
      </c>
      <c r="J375" s="7" t="str">
        <f>'Secondary cum Calculation'!J810</f>
        <v>Thousand</v>
      </c>
      <c r="K375" s="8">
        <f>'Secondary cum Calculation'!K810</f>
        <v>0</v>
      </c>
      <c r="L375" s="365">
        <f>'Secondary cum Calculation'!L810</f>
        <v>179.31527492467055</v>
      </c>
      <c r="M375" s="365">
        <f>'Secondary cum Calculation'!M810</f>
        <v>184.34175232685487</v>
      </c>
      <c r="N375" s="365">
        <f>'Secondary cum Calculation'!N810</f>
        <v>183.32818381664458</v>
      </c>
      <c r="O375" s="365">
        <f>'Secondary cum Calculation'!O810</f>
        <v>193.54742824657512</v>
      </c>
      <c r="P375" s="365">
        <f>'Secondary cum Calculation'!P810</f>
        <v>218.65231902931407</v>
      </c>
      <c r="Q375" s="365">
        <f>'Secondary cum Calculation'!Q810</f>
        <v>232.04683312166151</v>
      </c>
      <c r="R375" s="126"/>
      <c r="S375" s="126"/>
      <c r="T375" s="126"/>
      <c r="U375" s="126"/>
      <c r="V375" s="126"/>
      <c r="W375" s="211">
        <f>'Secondary cum Calculation'!W810</f>
        <v>5.9224417204696289E-2</v>
      </c>
      <c r="X375" s="211">
        <f>'Secondary cum Calculation'!X810</f>
        <v>-1</v>
      </c>
      <c r="Y375" s="371" t="s">
        <v>1344</v>
      </c>
      <c r="Z375" s="11"/>
      <c r="AA375" s="11"/>
      <c r="AB375" s="11"/>
      <c r="AC375" s="11"/>
      <c r="AD375" s="370">
        <v>3</v>
      </c>
    </row>
    <row r="376" spans="1:30">
      <c r="A376" s="213" t="str">
        <f>'Secondary cum Calculation'!A812</f>
        <v>Poland</v>
      </c>
      <c r="B376" s="214" t="str">
        <f>'Secondary cum Calculation'!B812</f>
        <v>Tourism Flows</v>
      </c>
      <c r="C376" s="214" t="str">
        <f>'Secondary cum Calculation'!C812</f>
        <v>International Departures by Destination</v>
      </c>
      <c r="D376" s="213" t="str">
        <f>'Secondary cum Calculation'!D812</f>
        <v>Europe</v>
      </c>
      <c r="E376" s="215"/>
      <c r="F376" s="215" t="str">
        <f>'Secondary cum Calculation'!F812</f>
        <v>The number of international departures from a country to Europe</v>
      </c>
      <c r="G376" s="215" t="str">
        <f>'Secondary cum Calculation'!G812</f>
        <v>Tourism Demand &amp; Flows Database</v>
      </c>
      <c r="H376" s="215" t="str">
        <f>'Secondary cum Calculation'!H812</f>
        <v>New</v>
      </c>
      <c r="I376" s="215">
        <f>'Secondary cum Calculation'!I812</f>
        <v>0</v>
      </c>
      <c r="J376" s="215" t="str">
        <f>'Secondary cum Calculation'!J812</f>
        <v>Thousand</v>
      </c>
      <c r="K376" s="216">
        <f>'Secondary cum Calculation'!K812</f>
        <v>7446</v>
      </c>
      <c r="L376" s="253">
        <f>'Secondary cum Calculation'!L812</f>
        <v>6255.5250237928249</v>
      </c>
      <c r="M376" s="253">
        <f>'Secondary cum Calculation'!M812</f>
        <v>6877.2235533511548</v>
      </c>
      <c r="N376" s="253">
        <f>'Secondary cum Calculation'!N812</f>
        <v>5675.9934490327623</v>
      </c>
      <c r="O376" s="253">
        <f>'Secondary cum Calculation'!O812</f>
        <v>6451.7966470588235</v>
      </c>
      <c r="P376" s="253">
        <f>'Secondary cum Calculation'!P812</f>
        <v>5658.0534705882355</v>
      </c>
      <c r="Q376" s="253">
        <f>Forecasting!Q884</f>
        <v>5517.8243043497841</v>
      </c>
      <c r="R376" s="253">
        <f>Forecasting!R884</f>
        <v>5569.8824974001363</v>
      </c>
      <c r="S376" s="253">
        <f>Forecasting!S884</f>
        <v>5650.4481242506627</v>
      </c>
      <c r="T376" s="253">
        <f>Forecasting!T884</f>
        <v>5679.0749097099351</v>
      </c>
      <c r="U376" s="253">
        <f>Forecasting!U884</f>
        <v>5735.938886957827</v>
      </c>
      <c r="V376" s="253">
        <f>Forecasting!V884</f>
        <v>5782.5196955703004</v>
      </c>
      <c r="W376" s="246">
        <f>'Secondary cum Calculation'!W812</f>
        <v>-5.3569600458166833E-2</v>
      </c>
      <c r="X376" s="246">
        <f>'Secondary cum Calculation'!X812</f>
        <v>9.4152242354252902E-3</v>
      </c>
      <c r="Y376" s="371" t="s">
        <v>1344</v>
      </c>
      <c r="Z376" s="11"/>
      <c r="AA376" s="11"/>
      <c r="AB376" s="11"/>
      <c r="AC376" s="11"/>
      <c r="AD376" s="370">
        <v>4</v>
      </c>
    </row>
    <row r="377" spans="1:30">
      <c r="A377" s="6" t="str">
        <f>'Secondary cum Calculation'!A814</f>
        <v>Poland</v>
      </c>
      <c r="B377" s="119" t="str">
        <f>'Secondary cum Calculation'!B814</f>
        <v>Tourism Flows</v>
      </c>
      <c r="C377" s="119" t="str">
        <f>'Secondary cum Calculation'!C814</f>
        <v>International Departures by Destination</v>
      </c>
      <c r="D377" s="119" t="str">
        <f>'Secondary cum Calculation'!D814</f>
        <v>Europe</v>
      </c>
      <c r="E377" s="6" t="str">
        <f>'Secondary cum Calculation'!E814</f>
        <v>Albania</v>
      </c>
      <c r="F377" s="7" t="str">
        <f>'Secondary cum Calculation'!F814</f>
        <v>The number of international departures from a country to Albania</v>
      </c>
      <c r="G377" s="7" t="str">
        <f>'Secondary cum Calculation'!G814</f>
        <v>Tourism Demand &amp; Flows Database</v>
      </c>
      <c r="H377" s="7" t="str">
        <f>'Secondary cum Calculation'!H814</f>
        <v>New</v>
      </c>
      <c r="I377" s="7">
        <f>'Secondary cum Calculation'!I814</f>
        <v>0</v>
      </c>
      <c r="J377" s="7" t="str">
        <f>'Secondary cum Calculation'!J814</f>
        <v>Thousand</v>
      </c>
      <c r="K377" s="8">
        <f>'Secondary cum Calculation'!K814</f>
        <v>0</v>
      </c>
      <c r="L377" s="218">
        <f>'Secondary cum Calculation'!L814</f>
        <v>0</v>
      </c>
      <c r="M377" s="218">
        <f>'Secondary cum Calculation'!M814</f>
        <v>0</v>
      </c>
      <c r="N377" s="218">
        <f>'Secondary cum Calculation'!N814</f>
        <v>0</v>
      </c>
      <c r="O377" s="218">
        <f>'Secondary cum Calculation'!O814</f>
        <v>0</v>
      </c>
      <c r="P377" s="218">
        <f>'Secondary cum Calculation'!P814</f>
        <v>0</v>
      </c>
      <c r="Q377" s="218">
        <f>'Secondary cum Calculation'!Q814</f>
        <v>0</v>
      </c>
      <c r="W377" s="211" t="e">
        <f>'Secondary cum Calculation'!W814</f>
        <v>#DIV/0!</v>
      </c>
      <c r="X377" s="211" t="e">
        <f>'Secondary cum Calculation'!X814</f>
        <v>#DIV/0!</v>
      </c>
      <c r="Z377" s="11"/>
      <c r="AA377" s="11"/>
      <c r="AB377" s="11"/>
      <c r="AC377" s="11"/>
      <c r="AD377" s="11"/>
    </row>
    <row r="378" spans="1:30">
      <c r="A378" s="6" t="str">
        <f>'Secondary cum Calculation'!A816</f>
        <v>Poland</v>
      </c>
      <c r="B378" s="119" t="str">
        <f>'Secondary cum Calculation'!B816</f>
        <v>Tourism Flows</v>
      </c>
      <c r="C378" s="119" t="str">
        <f>'Secondary cum Calculation'!C816</f>
        <v>International Departures by Destination</v>
      </c>
      <c r="D378" s="119" t="str">
        <f>'Secondary cum Calculation'!D816</f>
        <v>Europe</v>
      </c>
      <c r="E378" s="6" t="str">
        <f>'Secondary cum Calculation'!E816</f>
        <v>Armenia</v>
      </c>
      <c r="F378" s="7" t="str">
        <f>'Secondary cum Calculation'!F816</f>
        <v>The number of international departures from a country to Armenia</v>
      </c>
      <c r="G378" s="7" t="str">
        <f>'Secondary cum Calculation'!G816</f>
        <v>Tourism Demand &amp; Flows Database</v>
      </c>
      <c r="H378" s="7" t="str">
        <f>'Secondary cum Calculation'!H816</f>
        <v>New</v>
      </c>
      <c r="I378" s="7">
        <f>'Secondary cum Calculation'!I816</f>
        <v>0</v>
      </c>
      <c r="J378" s="7" t="str">
        <f>'Secondary cum Calculation'!J816</f>
        <v>Thousand</v>
      </c>
      <c r="K378" s="8">
        <f>'Secondary cum Calculation'!K816</f>
        <v>0</v>
      </c>
      <c r="L378" s="218">
        <f>'Secondary cum Calculation'!L816</f>
        <v>0</v>
      </c>
      <c r="M378" s="218">
        <f>'Secondary cum Calculation'!M816</f>
        <v>0</v>
      </c>
      <c r="N378" s="218">
        <f>'Secondary cum Calculation'!N816</f>
        <v>0</v>
      </c>
      <c r="O378" s="218">
        <f>'Secondary cum Calculation'!O816</f>
        <v>0</v>
      </c>
      <c r="P378" s="218">
        <f>'Secondary cum Calculation'!P816</f>
        <v>0</v>
      </c>
      <c r="Q378" s="218">
        <f>'Secondary cum Calculation'!Q816</f>
        <v>0</v>
      </c>
      <c r="R378" s="135"/>
      <c r="S378" s="135"/>
      <c r="T378" s="135"/>
      <c r="U378" s="135"/>
      <c r="V378" s="135"/>
      <c r="W378" s="211" t="e">
        <f>'Secondary cum Calculation'!W816</f>
        <v>#DIV/0!</v>
      </c>
      <c r="X378" s="211" t="e">
        <f>'Secondary cum Calculation'!X816</f>
        <v>#DIV/0!</v>
      </c>
      <c r="Z378" s="11"/>
      <c r="AA378" s="11"/>
      <c r="AB378" s="11"/>
      <c r="AC378" s="11"/>
      <c r="AD378" s="11"/>
    </row>
    <row r="379" spans="1:30">
      <c r="A379" s="6" t="str">
        <f>'Secondary cum Calculation'!A818</f>
        <v>Poland</v>
      </c>
      <c r="B379" s="119" t="str">
        <f>'Secondary cum Calculation'!B818</f>
        <v>Tourism Flows</v>
      </c>
      <c r="C379" s="119" t="str">
        <f>'Secondary cum Calculation'!C818</f>
        <v>International Departures by Destination</v>
      </c>
      <c r="D379" s="119" t="str">
        <f>'Secondary cum Calculation'!D818</f>
        <v>Europe</v>
      </c>
      <c r="E379" s="6" t="str">
        <f>'Secondary cum Calculation'!E818</f>
        <v>Austria</v>
      </c>
      <c r="F379" s="7" t="str">
        <f>'Secondary cum Calculation'!F818</f>
        <v>The number of international departures from a country to Austria</v>
      </c>
      <c r="G379" s="7" t="str">
        <f>'Secondary cum Calculation'!G818</f>
        <v>Tourism Demand &amp; Flows Database</v>
      </c>
      <c r="H379" s="7" t="str">
        <f>'Secondary cum Calculation'!H818</f>
        <v>New</v>
      </c>
      <c r="I379" s="7">
        <f>'Secondary cum Calculation'!I818</f>
        <v>0</v>
      </c>
      <c r="J379" s="7" t="str">
        <f>'Secondary cum Calculation'!J818</f>
        <v>Thousand</v>
      </c>
      <c r="K379" s="8">
        <f>'Secondary cum Calculation'!K818</f>
        <v>0</v>
      </c>
      <c r="L379" s="218">
        <f>'Secondary cum Calculation'!L818</f>
        <v>265</v>
      </c>
      <c r="M379" s="218">
        <f>'Secondary cum Calculation'!M818</f>
        <v>250</v>
      </c>
      <c r="N379" s="218">
        <f>'Secondary cum Calculation'!N818</f>
        <v>329</v>
      </c>
      <c r="O379" s="218">
        <f>'Secondary cum Calculation'!O818</f>
        <v>180</v>
      </c>
      <c r="P379" s="218">
        <f>'Secondary cum Calculation'!P818</f>
        <v>146</v>
      </c>
      <c r="Q379" s="365">
        <f>'Secondary cum Calculation'!Q818</f>
        <v>125.91100161278838</v>
      </c>
      <c r="W379" s="211">
        <f>'Secondary cum Calculation'!W818</f>
        <v>-0.15757563833286015</v>
      </c>
      <c r="X379" s="211">
        <f>'Secondary cum Calculation'!X818</f>
        <v>-1</v>
      </c>
      <c r="Y379" s="371" t="s">
        <v>1344</v>
      </c>
      <c r="Z379" s="11"/>
      <c r="AA379" s="11"/>
      <c r="AB379" s="11"/>
      <c r="AC379" s="11"/>
      <c r="AD379" s="370">
        <v>4</v>
      </c>
    </row>
    <row r="380" spans="1:30">
      <c r="A380" s="6" t="str">
        <f>'Secondary cum Calculation'!A820</f>
        <v>Poland</v>
      </c>
      <c r="B380" s="119" t="str">
        <f>'Secondary cum Calculation'!B820</f>
        <v>Tourism Flows</v>
      </c>
      <c r="C380" s="119" t="str">
        <f>'Secondary cum Calculation'!C820</f>
        <v>International Departures by Destination</v>
      </c>
      <c r="D380" s="119" t="str">
        <f>'Secondary cum Calculation'!D820</f>
        <v>Europe</v>
      </c>
      <c r="E380" s="6" t="str">
        <f>'Secondary cum Calculation'!E820</f>
        <v>Belarus</v>
      </c>
      <c r="F380" s="7" t="str">
        <f>'Secondary cum Calculation'!F820</f>
        <v>The number of international departures from a country to Belarus</v>
      </c>
      <c r="G380" s="7" t="str">
        <f>'Secondary cum Calculation'!G820</f>
        <v>Tourism Demand &amp; Flows Database</v>
      </c>
      <c r="H380" s="7" t="str">
        <f>'Secondary cum Calculation'!H820</f>
        <v>New</v>
      </c>
      <c r="I380" s="7">
        <f>'Secondary cum Calculation'!I820</f>
        <v>0</v>
      </c>
      <c r="J380" s="7" t="str">
        <f>'Secondary cum Calculation'!J820</f>
        <v>Thousand</v>
      </c>
      <c r="K380" s="8">
        <f>'Secondary cum Calculation'!K820</f>
        <v>0</v>
      </c>
      <c r="L380" s="218">
        <f>'Secondary cum Calculation'!L820</f>
        <v>0</v>
      </c>
      <c r="M380" s="218">
        <f>'Secondary cum Calculation'!M820</f>
        <v>0</v>
      </c>
      <c r="N380" s="218">
        <f>'Secondary cum Calculation'!N820</f>
        <v>0</v>
      </c>
      <c r="O380" s="218">
        <f>'Secondary cum Calculation'!O820</f>
        <v>0</v>
      </c>
      <c r="P380" s="218">
        <f>'Secondary cum Calculation'!P820</f>
        <v>0</v>
      </c>
      <c r="Q380" s="218">
        <f>'Secondary cum Calculation'!Q820</f>
        <v>0</v>
      </c>
      <c r="W380" s="211" t="e">
        <f>'Secondary cum Calculation'!W820</f>
        <v>#DIV/0!</v>
      </c>
      <c r="X380" s="211" t="e">
        <f>'Secondary cum Calculation'!X820</f>
        <v>#DIV/0!</v>
      </c>
      <c r="Z380" s="11"/>
      <c r="AA380" s="11"/>
      <c r="AB380" s="11"/>
      <c r="AC380" s="11"/>
      <c r="AD380" s="11"/>
    </row>
    <row r="381" spans="1:30">
      <c r="A381" s="6" t="str">
        <f>'Secondary cum Calculation'!A822</f>
        <v>Poland</v>
      </c>
      <c r="B381" s="119" t="str">
        <f>'Secondary cum Calculation'!B822</f>
        <v>Tourism Flows</v>
      </c>
      <c r="C381" s="119" t="str">
        <f>'Secondary cum Calculation'!C822</f>
        <v>International Departures by Destination</v>
      </c>
      <c r="D381" s="119" t="str">
        <f>'Secondary cum Calculation'!D822</f>
        <v>Europe</v>
      </c>
      <c r="E381" s="6" t="str">
        <f>'Secondary cum Calculation'!E822</f>
        <v>Belgium</v>
      </c>
      <c r="F381" s="7" t="str">
        <f>'Secondary cum Calculation'!F822</f>
        <v>The number of international departures from a country to Belgium</v>
      </c>
      <c r="G381" s="7" t="str">
        <f>'Secondary cum Calculation'!G822</f>
        <v>Tourism Demand &amp; Flows Database</v>
      </c>
      <c r="H381" s="7" t="str">
        <f>'Secondary cum Calculation'!H822</f>
        <v>New</v>
      </c>
      <c r="I381" s="7">
        <f>'Secondary cum Calculation'!I822</f>
        <v>0</v>
      </c>
      <c r="J381" s="7" t="str">
        <f>'Secondary cum Calculation'!J822</f>
        <v>Thousand</v>
      </c>
      <c r="K381" s="8">
        <f>'Secondary cum Calculation'!K822</f>
        <v>0</v>
      </c>
      <c r="L381" s="218">
        <f>'Secondary cum Calculation'!L822</f>
        <v>250</v>
      </c>
      <c r="M381" s="218">
        <f>'Secondary cum Calculation'!M822</f>
        <v>113</v>
      </c>
      <c r="N381" s="218">
        <f>'Secondary cum Calculation'!N822</f>
        <v>274</v>
      </c>
      <c r="O381" s="218">
        <f>'Secondary cum Calculation'!O822</f>
        <v>91</v>
      </c>
      <c r="P381" s="218">
        <f>'Secondary cum Calculation'!P822</f>
        <v>86</v>
      </c>
      <c r="Q381" s="365">
        <f>'Secondary cum Calculation'!Q822</f>
        <v>88.914344352635624</v>
      </c>
      <c r="W381" s="211">
        <f>'Secondary cum Calculation'!W822</f>
        <v>-5.8168206819388502E-2</v>
      </c>
      <c r="X381" s="211">
        <f>'Secondary cum Calculation'!X822</f>
        <v>-1</v>
      </c>
      <c r="Y381" s="371" t="s">
        <v>1344</v>
      </c>
      <c r="Z381" s="11"/>
      <c r="AA381" s="11"/>
      <c r="AB381" s="11"/>
      <c r="AC381" s="11"/>
      <c r="AD381" s="370">
        <v>4</v>
      </c>
    </row>
    <row r="382" spans="1:30">
      <c r="A382" s="6" t="str">
        <f>'Secondary cum Calculation'!A824</f>
        <v>Poland</v>
      </c>
      <c r="B382" s="119" t="str">
        <f>'Secondary cum Calculation'!B824</f>
        <v>Tourism Flows</v>
      </c>
      <c r="C382" s="119" t="str">
        <f>'Secondary cum Calculation'!C824</f>
        <v>International Departures by Destination</v>
      </c>
      <c r="D382" s="119" t="str">
        <f>'Secondary cum Calculation'!D824</f>
        <v>Europe</v>
      </c>
      <c r="E382" s="6" t="str">
        <f>'Secondary cum Calculation'!E824</f>
        <v>Bosnia and Herzegovina</v>
      </c>
      <c r="F382" s="7" t="str">
        <f>'Secondary cum Calculation'!F824</f>
        <v>The number of international departures from a country to Bosnia and Herzegovina</v>
      </c>
      <c r="G382" s="7" t="str">
        <f>'Secondary cum Calculation'!G824</f>
        <v>Tourism Demand &amp; Flows Database</v>
      </c>
      <c r="H382" s="7" t="str">
        <f>'Secondary cum Calculation'!H824</f>
        <v>New</v>
      </c>
      <c r="I382" s="7">
        <f>'Secondary cum Calculation'!I824</f>
        <v>0</v>
      </c>
      <c r="J382" s="7" t="str">
        <f>'Secondary cum Calculation'!J824</f>
        <v>Thousand</v>
      </c>
      <c r="K382" s="8">
        <f>'Secondary cum Calculation'!K824</f>
        <v>0</v>
      </c>
      <c r="L382" s="218">
        <f>'Secondary cum Calculation'!L824</f>
        <v>0</v>
      </c>
      <c r="M382" s="218">
        <f>'Secondary cum Calculation'!M824</f>
        <v>0</v>
      </c>
      <c r="N382" s="218">
        <f>'Secondary cum Calculation'!N824</f>
        <v>0</v>
      </c>
      <c r="O382" s="218">
        <f>'Secondary cum Calculation'!O824</f>
        <v>0</v>
      </c>
      <c r="P382" s="218">
        <f>'Secondary cum Calculation'!P824</f>
        <v>0</v>
      </c>
      <c r="Q382" s="218">
        <f>'Secondary cum Calculation'!Q824</f>
        <v>0</v>
      </c>
      <c r="W382" s="211" t="e">
        <f>'Secondary cum Calculation'!W824</f>
        <v>#DIV/0!</v>
      </c>
      <c r="X382" s="211" t="e">
        <f>'Secondary cum Calculation'!X824</f>
        <v>#DIV/0!</v>
      </c>
      <c r="Z382" s="11"/>
      <c r="AA382" s="11"/>
      <c r="AB382" s="11"/>
      <c r="AC382" s="11"/>
      <c r="AD382" s="11"/>
    </row>
    <row r="383" spans="1:30">
      <c r="A383" s="6" t="str">
        <f>'Secondary cum Calculation'!A826</f>
        <v>Poland</v>
      </c>
      <c r="B383" s="119" t="str">
        <f>'Secondary cum Calculation'!B826</f>
        <v>Tourism Flows</v>
      </c>
      <c r="C383" s="119" t="str">
        <f>'Secondary cum Calculation'!C826</f>
        <v>International Departures by Destination</v>
      </c>
      <c r="D383" s="119" t="str">
        <f>'Secondary cum Calculation'!D826</f>
        <v>Europe</v>
      </c>
      <c r="E383" s="6" t="str">
        <f>'Secondary cum Calculation'!E826</f>
        <v>Bulgaria</v>
      </c>
      <c r="F383" s="7" t="str">
        <f>'Secondary cum Calculation'!F826</f>
        <v>The number of international departures from a country to Bulgaria</v>
      </c>
      <c r="G383" s="7" t="str">
        <f>'Secondary cum Calculation'!G826</f>
        <v>Tourism Demand &amp; Flows Database</v>
      </c>
      <c r="H383" s="7" t="str">
        <f>'Secondary cum Calculation'!H826</f>
        <v>New</v>
      </c>
      <c r="I383" s="7">
        <f>'Secondary cum Calculation'!I826</f>
        <v>0</v>
      </c>
      <c r="J383" s="7" t="str">
        <f>'Secondary cum Calculation'!J826</f>
        <v>Thousand</v>
      </c>
      <c r="K383" s="8">
        <f>'Secondary cum Calculation'!K826</f>
        <v>0</v>
      </c>
      <c r="L383" s="218">
        <f>'Secondary cum Calculation'!L826</f>
        <v>0</v>
      </c>
      <c r="M383" s="218">
        <f>'Secondary cum Calculation'!M826</f>
        <v>0</v>
      </c>
      <c r="N383" s="218">
        <f>'Secondary cum Calculation'!N826</f>
        <v>0</v>
      </c>
      <c r="O383" s="218">
        <f>'Secondary cum Calculation'!O826</f>
        <v>0</v>
      </c>
      <c r="P383" s="218">
        <f>'Secondary cum Calculation'!P826</f>
        <v>0</v>
      </c>
      <c r="Q383" s="218">
        <f>'Secondary cum Calculation'!Q826</f>
        <v>0</v>
      </c>
      <c r="W383" s="211" t="e">
        <f>'Secondary cum Calculation'!W826</f>
        <v>#DIV/0!</v>
      </c>
      <c r="X383" s="211" t="e">
        <f>'Secondary cum Calculation'!X826</f>
        <v>#DIV/0!</v>
      </c>
      <c r="Y383" s="371"/>
      <c r="Z383" s="11"/>
      <c r="AA383" s="11"/>
      <c r="AB383" s="11"/>
      <c r="AC383" s="11"/>
      <c r="AD383" s="11"/>
    </row>
    <row r="384" spans="1:30">
      <c r="A384" s="6" t="str">
        <f>'Secondary cum Calculation'!A828</f>
        <v>Poland</v>
      </c>
      <c r="B384" s="119" t="str">
        <f>'Secondary cum Calculation'!B828</f>
        <v>Tourism Flows</v>
      </c>
      <c r="C384" s="119" t="str">
        <f>'Secondary cum Calculation'!C828</f>
        <v>International Departures by Destination</v>
      </c>
      <c r="D384" s="119" t="str">
        <f>'Secondary cum Calculation'!D828</f>
        <v>Europe</v>
      </c>
      <c r="E384" s="6" t="str">
        <f>'Secondary cum Calculation'!E828</f>
        <v>Channel Islands</v>
      </c>
      <c r="F384" s="7" t="str">
        <f>'Secondary cum Calculation'!F828</f>
        <v>The number of international departures from a country to Channel Islands</v>
      </c>
      <c r="G384" s="7" t="str">
        <f>'Secondary cum Calculation'!G828</f>
        <v>Tourism Demand &amp; Flows Database</v>
      </c>
      <c r="H384" s="7" t="str">
        <f>'Secondary cum Calculation'!H828</f>
        <v>New</v>
      </c>
      <c r="I384" s="7">
        <f>'Secondary cum Calculation'!I828</f>
        <v>0</v>
      </c>
      <c r="J384" s="7" t="str">
        <f>'Secondary cum Calculation'!J828</f>
        <v>Thousand</v>
      </c>
      <c r="K384" s="8">
        <f>'Secondary cum Calculation'!K828</f>
        <v>0</v>
      </c>
      <c r="L384" s="218">
        <f>'Secondary cum Calculation'!L828</f>
        <v>0</v>
      </c>
      <c r="M384" s="218">
        <f>'Secondary cum Calculation'!M828</f>
        <v>0</v>
      </c>
      <c r="N384" s="218">
        <f>'Secondary cum Calculation'!N828</f>
        <v>0</v>
      </c>
      <c r="O384" s="218">
        <f>'Secondary cum Calculation'!O828</f>
        <v>0</v>
      </c>
      <c r="P384" s="218">
        <f>'Secondary cum Calculation'!P828</f>
        <v>0</v>
      </c>
      <c r="Q384" s="218">
        <f>'Secondary cum Calculation'!Q828</f>
        <v>0</v>
      </c>
      <c r="W384" s="211" t="e">
        <f>'Secondary cum Calculation'!W828</f>
        <v>#DIV/0!</v>
      </c>
      <c r="X384" s="211" t="e">
        <f>'Secondary cum Calculation'!X828</f>
        <v>#DIV/0!</v>
      </c>
      <c r="Z384" s="11"/>
      <c r="AA384" s="11"/>
      <c r="AB384" s="11"/>
      <c r="AC384" s="11"/>
      <c r="AD384" s="11"/>
    </row>
    <row r="385" spans="1:30">
      <c r="A385" s="6" t="str">
        <f>'Secondary cum Calculation'!A830</f>
        <v>Poland</v>
      </c>
      <c r="B385" s="119" t="str">
        <f>'Secondary cum Calculation'!B830</f>
        <v>Tourism Flows</v>
      </c>
      <c r="C385" s="119" t="str">
        <f>'Secondary cum Calculation'!C830</f>
        <v>International Departures by Destination</v>
      </c>
      <c r="D385" s="119" t="str">
        <f>'Secondary cum Calculation'!D830</f>
        <v>Europe</v>
      </c>
      <c r="E385" s="6" t="str">
        <f>'Secondary cum Calculation'!E830</f>
        <v>Croatia</v>
      </c>
      <c r="F385" s="7" t="str">
        <f>'Secondary cum Calculation'!F830</f>
        <v>The number of international departures from a country to Croatia</v>
      </c>
      <c r="G385" s="7" t="str">
        <f>'Secondary cum Calculation'!G830</f>
        <v>Tourism Demand &amp; Flows Database</v>
      </c>
      <c r="H385" s="7" t="str">
        <f>'Secondary cum Calculation'!H830</f>
        <v>New</v>
      </c>
      <c r="I385" s="7">
        <f>'Secondary cum Calculation'!I830</f>
        <v>0</v>
      </c>
      <c r="J385" s="7" t="str">
        <f>'Secondary cum Calculation'!J830</f>
        <v>Thousand</v>
      </c>
      <c r="K385" s="8">
        <f>'Secondary cum Calculation'!K830</f>
        <v>0</v>
      </c>
      <c r="L385" s="218">
        <f>'Secondary cum Calculation'!L830</f>
        <v>0</v>
      </c>
      <c r="M385" s="218">
        <f>'Secondary cum Calculation'!M830</f>
        <v>0</v>
      </c>
      <c r="N385" s="218">
        <f>'Secondary cum Calculation'!N830</f>
        <v>0</v>
      </c>
      <c r="O385" s="218">
        <f>'Secondary cum Calculation'!O830</f>
        <v>0</v>
      </c>
      <c r="P385" s="218">
        <f>'Secondary cum Calculation'!P830</f>
        <v>0</v>
      </c>
      <c r="Q385" s="218">
        <f>'Secondary cum Calculation'!Q830</f>
        <v>0</v>
      </c>
      <c r="W385" s="211" t="e">
        <f>'Secondary cum Calculation'!W830</f>
        <v>#DIV/0!</v>
      </c>
      <c r="X385" s="211" t="e">
        <f>'Secondary cum Calculation'!X830</f>
        <v>#DIV/0!</v>
      </c>
      <c r="Y385" s="371"/>
      <c r="Z385" s="11"/>
      <c r="AA385" s="11"/>
      <c r="AB385" s="11"/>
      <c r="AC385" s="11"/>
      <c r="AD385" s="11"/>
    </row>
    <row r="386" spans="1:30">
      <c r="A386" s="6" t="str">
        <f>'Secondary cum Calculation'!A832</f>
        <v>Poland</v>
      </c>
      <c r="B386" s="119" t="str">
        <f>'Secondary cum Calculation'!B832</f>
        <v>Tourism Flows</v>
      </c>
      <c r="C386" s="119" t="str">
        <f>'Secondary cum Calculation'!C832</f>
        <v>International Departures by Destination</v>
      </c>
      <c r="D386" s="119" t="str">
        <f>'Secondary cum Calculation'!D832</f>
        <v>Europe</v>
      </c>
      <c r="E386" s="6" t="str">
        <f>'Secondary cum Calculation'!E832</f>
        <v>Cyprus</v>
      </c>
      <c r="F386" s="7" t="str">
        <f>'Secondary cum Calculation'!F832</f>
        <v>The number of international departures from a country to Cyprus</v>
      </c>
      <c r="G386" s="7" t="str">
        <f>'Secondary cum Calculation'!G832</f>
        <v>Tourism Demand &amp; Flows Database</v>
      </c>
      <c r="H386" s="7" t="str">
        <f>'Secondary cum Calculation'!H832</f>
        <v>New</v>
      </c>
      <c r="I386" s="7">
        <f>'Secondary cum Calculation'!I832</f>
        <v>0</v>
      </c>
      <c r="J386" s="7" t="str">
        <f>'Secondary cum Calculation'!J832</f>
        <v>Thousand</v>
      </c>
      <c r="K386" s="8">
        <f>'Secondary cum Calculation'!K832</f>
        <v>0</v>
      </c>
      <c r="L386" s="218">
        <f>'Secondary cum Calculation'!L832</f>
        <v>0</v>
      </c>
      <c r="M386" s="218">
        <f>'Secondary cum Calculation'!M832</f>
        <v>0</v>
      </c>
      <c r="N386" s="218">
        <f>'Secondary cum Calculation'!N832</f>
        <v>0</v>
      </c>
      <c r="O386" s="218">
        <f>'Secondary cum Calculation'!O832</f>
        <v>0</v>
      </c>
      <c r="P386" s="218">
        <f>'Secondary cum Calculation'!P832</f>
        <v>0</v>
      </c>
      <c r="Q386" s="218">
        <f>'Secondary cum Calculation'!Q832</f>
        <v>0</v>
      </c>
      <c r="R386" s="135"/>
      <c r="S386" s="135"/>
      <c r="T386" s="135"/>
      <c r="U386" s="135"/>
      <c r="V386" s="135"/>
      <c r="W386" s="211" t="e">
        <f>'Secondary cum Calculation'!W832</f>
        <v>#DIV/0!</v>
      </c>
      <c r="X386" s="211" t="e">
        <f>'Secondary cum Calculation'!X832</f>
        <v>#DIV/0!</v>
      </c>
      <c r="Z386" s="11"/>
      <c r="AA386" s="11"/>
      <c r="AB386" s="11"/>
      <c r="AC386" s="11"/>
      <c r="AD386" s="11"/>
    </row>
    <row r="387" spans="1:30">
      <c r="A387" s="6" t="str">
        <f>'Secondary cum Calculation'!A834</f>
        <v>Poland</v>
      </c>
      <c r="B387" s="119" t="str">
        <f>'Secondary cum Calculation'!B834</f>
        <v>Tourism Flows</v>
      </c>
      <c r="C387" s="119" t="str">
        <f>'Secondary cum Calculation'!C834</f>
        <v>International Departures by Destination</v>
      </c>
      <c r="D387" s="119" t="str">
        <f>'Secondary cum Calculation'!D834</f>
        <v>Europe</v>
      </c>
      <c r="E387" s="6" t="str">
        <f>'Secondary cum Calculation'!E834</f>
        <v>Czech Republic</v>
      </c>
      <c r="F387" s="7" t="str">
        <f>'Secondary cum Calculation'!F834</f>
        <v>The number of international departures from a country to Czech Republic</v>
      </c>
      <c r="G387" s="7" t="str">
        <f>'Secondary cum Calculation'!G834</f>
        <v>Tourism Demand &amp; Flows Database</v>
      </c>
      <c r="H387" s="7" t="str">
        <f>'Secondary cum Calculation'!H834</f>
        <v>New</v>
      </c>
      <c r="I387" s="7">
        <f>'Secondary cum Calculation'!I834</f>
        <v>0</v>
      </c>
      <c r="J387" s="7" t="str">
        <f>'Secondary cum Calculation'!J834</f>
        <v>Thousand</v>
      </c>
      <c r="K387" s="8">
        <f>'Secondary cum Calculation'!K834</f>
        <v>0</v>
      </c>
      <c r="L387" s="218">
        <f>'Secondary cum Calculation'!L834</f>
        <v>268</v>
      </c>
      <c r="M387" s="218">
        <f>'Secondary cum Calculation'!M834</f>
        <v>599</v>
      </c>
      <c r="N387" s="218">
        <f>'Secondary cum Calculation'!N834</f>
        <v>324</v>
      </c>
      <c r="O387" s="218">
        <f>'Secondary cum Calculation'!O834</f>
        <v>360</v>
      </c>
      <c r="P387" s="218">
        <f>'Secondary cum Calculation'!P834</f>
        <v>204</v>
      </c>
      <c r="Q387" s="365">
        <f>'Secondary cum Calculation'!Q834</f>
        <v>171.49304837359898</v>
      </c>
      <c r="W387" s="211">
        <f>'Secondary cum Calculation'!W834</f>
        <v>-0.26851584274831708</v>
      </c>
      <c r="X387" s="211">
        <f>'Secondary cum Calculation'!X834</f>
        <v>-1</v>
      </c>
      <c r="Y387" s="371" t="s">
        <v>1344</v>
      </c>
      <c r="Z387" s="11"/>
      <c r="AA387" s="11"/>
      <c r="AB387" s="11"/>
      <c r="AC387" s="11"/>
      <c r="AD387" s="370">
        <v>4</v>
      </c>
    </row>
    <row r="388" spans="1:30">
      <c r="A388" s="6" t="str">
        <f>'Secondary cum Calculation'!A836</f>
        <v>Poland</v>
      </c>
      <c r="B388" s="119" t="str">
        <f>'Secondary cum Calculation'!B836</f>
        <v>Tourism Flows</v>
      </c>
      <c r="C388" s="119" t="str">
        <f>'Secondary cum Calculation'!C836</f>
        <v>International Departures by Destination</v>
      </c>
      <c r="D388" s="119" t="str">
        <f>'Secondary cum Calculation'!D836</f>
        <v>Europe</v>
      </c>
      <c r="E388" s="6" t="str">
        <f>'Secondary cum Calculation'!E836</f>
        <v>Denmark</v>
      </c>
      <c r="F388" s="7" t="str">
        <f>'Secondary cum Calculation'!F836</f>
        <v>The number of international departures from a country to Denmark</v>
      </c>
      <c r="G388" s="7" t="str">
        <f>'Secondary cum Calculation'!G836</f>
        <v>Tourism Demand &amp; Flows Database</v>
      </c>
      <c r="H388" s="7" t="str">
        <f>'Secondary cum Calculation'!H836</f>
        <v>New</v>
      </c>
      <c r="I388" s="7">
        <f>'Secondary cum Calculation'!I836</f>
        <v>0</v>
      </c>
      <c r="J388" s="7" t="str">
        <f>'Secondary cum Calculation'!J836</f>
        <v>Thousand</v>
      </c>
      <c r="K388" s="8">
        <f>'Secondary cum Calculation'!K836</f>
        <v>0</v>
      </c>
      <c r="L388" s="218">
        <f>'Secondary cum Calculation'!L836</f>
        <v>210</v>
      </c>
      <c r="M388" s="218">
        <f>'Secondary cum Calculation'!M836</f>
        <v>92</v>
      </c>
      <c r="N388" s="218">
        <f>'Secondary cum Calculation'!N836</f>
        <v>92</v>
      </c>
      <c r="O388" s="218">
        <f>'Secondary cum Calculation'!O836</f>
        <v>101</v>
      </c>
      <c r="P388" s="218">
        <f>'Secondary cum Calculation'!P836</f>
        <v>72</v>
      </c>
      <c r="Q388" s="365">
        <f>'Secondary cum Calculation'!Q836</f>
        <v>60.604305953850599</v>
      </c>
      <c r="W388" s="211">
        <f>'Secondary cum Calculation'!W836</f>
        <v>-9.9095173382672597E-2</v>
      </c>
      <c r="X388" s="211">
        <f>'Secondary cum Calculation'!X836</f>
        <v>-1</v>
      </c>
      <c r="Y388" s="371" t="s">
        <v>1344</v>
      </c>
      <c r="Z388" s="11"/>
      <c r="AA388" s="11"/>
      <c r="AB388" s="11"/>
      <c r="AC388" s="11"/>
      <c r="AD388" s="370">
        <v>4</v>
      </c>
    </row>
    <row r="389" spans="1:30">
      <c r="A389" s="6" t="str">
        <f>'Secondary cum Calculation'!A838</f>
        <v>Poland</v>
      </c>
      <c r="B389" s="119" t="str">
        <f>'Secondary cum Calculation'!B838</f>
        <v>Tourism Flows</v>
      </c>
      <c r="C389" s="119" t="str">
        <f>'Secondary cum Calculation'!C838</f>
        <v>International Departures by Destination</v>
      </c>
      <c r="D389" s="119" t="str">
        <f>'Secondary cum Calculation'!D838</f>
        <v>Europe</v>
      </c>
      <c r="E389" s="6" t="str">
        <f>'Secondary cum Calculation'!E838</f>
        <v>Estonia</v>
      </c>
      <c r="F389" s="7" t="str">
        <f>'Secondary cum Calculation'!F838</f>
        <v>The number of international departures from a country to Estonia</v>
      </c>
      <c r="G389" s="7" t="str">
        <f>'Secondary cum Calculation'!G838</f>
        <v>Tourism Demand &amp; Flows Database</v>
      </c>
      <c r="H389" s="7" t="str">
        <f>'Secondary cum Calculation'!H838</f>
        <v>New</v>
      </c>
      <c r="I389" s="7">
        <f>'Secondary cum Calculation'!I838</f>
        <v>0</v>
      </c>
      <c r="J389" s="7" t="str">
        <f>'Secondary cum Calculation'!J838</f>
        <v>Thousand</v>
      </c>
      <c r="K389" s="8">
        <f>'Secondary cum Calculation'!K838</f>
        <v>0</v>
      </c>
      <c r="L389" s="218">
        <f>'Secondary cum Calculation'!L838</f>
        <v>0</v>
      </c>
      <c r="M389" s="218">
        <f>'Secondary cum Calculation'!M838</f>
        <v>0</v>
      </c>
      <c r="N389" s="218">
        <f>'Secondary cum Calculation'!N838</f>
        <v>0</v>
      </c>
      <c r="O389" s="218">
        <f>'Secondary cum Calculation'!O838</f>
        <v>0</v>
      </c>
      <c r="P389" s="218">
        <f>'Secondary cum Calculation'!P838</f>
        <v>0</v>
      </c>
      <c r="Q389" s="218">
        <f>'Secondary cum Calculation'!Q838</f>
        <v>0</v>
      </c>
      <c r="W389" s="211" t="e">
        <f>'Secondary cum Calculation'!W838</f>
        <v>#DIV/0!</v>
      </c>
      <c r="X389" s="211" t="e">
        <f>'Secondary cum Calculation'!X838</f>
        <v>#DIV/0!</v>
      </c>
      <c r="Z389" s="11"/>
      <c r="AA389" s="11"/>
      <c r="AB389" s="11"/>
      <c r="AC389" s="11"/>
      <c r="AD389" s="11"/>
    </row>
    <row r="390" spans="1:30">
      <c r="A390" s="6" t="str">
        <f>'Secondary cum Calculation'!A840</f>
        <v>Poland</v>
      </c>
      <c r="B390" s="119" t="str">
        <f>'Secondary cum Calculation'!B840</f>
        <v>Tourism Flows</v>
      </c>
      <c r="C390" s="119" t="str">
        <f>'Secondary cum Calculation'!C840</f>
        <v>International Departures by Destination</v>
      </c>
      <c r="D390" s="119" t="str">
        <f>'Secondary cum Calculation'!D840</f>
        <v>Europe</v>
      </c>
      <c r="E390" s="6" t="str">
        <f>'Secondary cum Calculation'!E840</f>
        <v>Finland</v>
      </c>
      <c r="F390" s="7" t="str">
        <f>'Secondary cum Calculation'!F840</f>
        <v>The number of international departures from a country to Finland</v>
      </c>
      <c r="G390" s="7" t="str">
        <f>'Secondary cum Calculation'!G840</f>
        <v>Tourism Demand &amp; Flows Database</v>
      </c>
      <c r="H390" s="7" t="str">
        <f>'Secondary cum Calculation'!H840</f>
        <v>New</v>
      </c>
      <c r="I390" s="7">
        <f>'Secondary cum Calculation'!I840</f>
        <v>0</v>
      </c>
      <c r="J390" s="7" t="str">
        <f>'Secondary cum Calculation'!J840</f>
        <v>Thousand</v>
      </c>
      <c r="K390" s="8">
        <f>'Secondary cum Calculation'!K840</f>
        <v>0</v>
      </c>
      <c r="L390" s="218">
        <f>'Secondary cum Calculation'!L840</f>
        <v>0</v>
      </c>
      <c r="M390" s="218">
        <f>'Secondary cum Calculation'!M840</f>
        <v>0</v>
      </c>
      <c r="N390" s="218">
        <f>'Secondary cum Calculation'!N840</f>
        <v>0</v>
      </c>
      <c r="O390" s="218">
        <f>'Secondary cum Calculation'!O840</f>
        <v>0</v>
      </c>
      <c r="P390" s="218">
        <f>'Secondary cum Calculation'!P840</f>
        <v>0</v>
      </c>
      <c r="Q390" s="218">
        <f>'Secondary cum Calculation'!Q840</f>
        <v>0</v>
      </c>
      <c r="R390" s="135"/>
      <c r="S390" s="135"/>
      <c r="T390" s="135"/>
      <c r="U390" s="135"/>
      <c r="V390" s="135"/>
      <c r="W390" s="211" t="e">
        <f>'Secondary cum Calculation'!W840</f>
        <v>#DIV/0!</v>
      </c>
      <c r="X390" s="211" t="e">
        <f>'Secondary cum Calculation'!X840</f>
        <v>#DIV/0!</v>
      </c>
      <c r="Z390" s="11"/>
      <c r="AA390" s="11"/>
      <c r="AB390" s="11"/>
      <c r="AC390" s="11"/>
      <c r="AD390" s="11"/>
    </row>
    <row r="391" spans="1:30">
      <c r="A391" s="6" t="str">
        <f>'Secondary cum Calculation'!A842</f>
        <v>Poland</v>
      </c>
      <c r="B391" s="119" t="str">
        <f>'Secondary cum Calculation'!B842</f>
        <v>Tourism Flows</v>
      </c>
      <c r="C391" s="119" t="str">
        <f>'Secondary cum Calculation'!C842</f>
        <v>International Departures by Destination</v>
      </c>
      <c r="D391" s="119" t="str">
        <f>'Secondary cum Calculation'!D842</f>
        <v>Europe</v>
      </c>
      <c r="E391" s="6" t="str">
        <f>'Secondary cum Calculation'!E842</f>
        <v>France</v>
      </c>
      <c r="F391" s="7" t="str">
        <f>'Secondary cum Calculation'!F842</f>
        <v>The number of international departures from a country to France</v>
      </c>
      <c r="G391" s="7" t="str">
        <f>'Secondary cum Calculation'!G842</f>
        <v>Tourism Demand &amp; Flows Database</v>
      </c>
      <c r="H391" s="7" t="str">
        <f>'Secondary cum Calculation'!H842</f>
        <v>New</v>
      </c>
      <c r="I391" s="7">
        <f>'Secondary cum Calculation'!I842</f>
        <v>0</v>
      </c>
      <c r="J391" s="7" t="str">
        <f>'Secondary cum Calculation'!J842</f>
        <v>Thousand</v>
      </c>
      <c r="K391" s="8">
        <f>'Secondary cum Calculation'!K842</f>
        <v>2231</v>
      </c>
      <c r="L391" s="218">
        <f>'Secondary cum Calculation'!L842</f>
        <v>420</v>
      </c>
      <c r="M391" s="218">
        <f>'Secondary cum Calculation'!M842</f>
        <v>286</v>
      </c>
      <c r="N391" s="218">
        <f>'Secondary cum Calculation'!N842</f>
        <v>190</v>
      </c>
      <c r="O391" s="218">
        <f>'Secondary cum Calculation'!O842</f>
        <v>415</v>
      </c>
      <c r="P391" s="218">
        <f>'Secondary cum Calculation'!P842</f>
        <v>363</v>
      </c>
      <c r="Q391" s="365">
        <f>'Secondary cum Calculation'!Q842</f>
        <v>350.35235104146091</v>
      </c>
      <c r="W391" s="211">
        <f>'Secondary cum Calculation'!W842</f>
        <v>5.2046051588065412E-2</v>
      </c>
      <c r="X391" s="211">
        <f>'Secondary cum Calculation'!X842</f>
        <v>-1</v>
      </c>
      <c r="Y391" s="371" t="s">
        <v>1344</v>
      </c>
      <c r="Z391" s="11"/>
      <c r="AA391" s="11"/>
      <c r="AB391" s="11"/>
      <c r="AC391" s="11"/>
      <c r="AD391" s="370">
        <v>4</v>
      </c>
    </row>
    <row r="392" spans="1:30">
      <c r="A392" s="6" t="str">
        <f>'Secondary cum Calculation'!A844</f>
        <v>Poland</v>
      </c>
      <c r="B392" s="119" t="str">
        <f>'Secondary cum Calculation'!B844</f>
        <v>Tourism Flows</v>
      </c>
      <c r="C392" s="119" t="str">
        <f>'Secondary cum Calculation'!C844</f>
        <v>International Departures by Destination</v>
      </c>
      <c r="D392" s="119" t="str">
        <f>'Secondary cum Calculation'!D844</f>
        <v>Europe</v>
      </c>
      <c r="E392" s="6" t="str">
        <f>'Secondary cum Calculation'!E844</f>
        <v>Georgia</v>
      </c>
      <c r="F392" s="7" t="str">
        <f>'Secondary cum Calculation'!F844</f>
        <v>The number of international departures from a country to Georgia</v>
      </c>
      <c r="G392" s="7" t="str">
        <f>'Secondary cum Calculation'!G844</f>
        <v>Tourism Demand &amp; Flows Database</v>
      </c>
      <c r="H392" s="7" t="str">
        <f>'Secondary cum Calculation'!H844</f>
        <v>New</v>
      </c>
      <c r="I392" s="7">
        <f>'Secondary cum Calculation'!I844</f>
        <v>0</v>
      </c>
      <c r="J392" s="7" t="str">
        <f>'Secondary cum Calculation'!J844</f>
        <v>Thousand</v>
      </c>
      <c r="K392" s="8">
        <f>'Secondary cum Calculation'!K844</f>
        <v>0</v>
      </c>
      <c r="L392" s="218">
        <f>'Secondary cum Calculation'!L844</f>
        <v>0</v>
      </c>
      <c r="M392" s="218">
        <f>'Secondary cum Calculation'!M844</f>
        <v>0</v>
      </c>
      <c r="N392" s="218">
        <f>'Secondary cum Calculation'!N844</f>
        <v>0</v>
      </c>
      <c r="O392" s="218">
        <f>'Secondary cum Calculation'!O844</f>
        <v>0</v>
      </c>
      <c r="P392" s="218">
        <f>'Secondary cum Calculation'!P844</f>
        <v>0</v>
      </c>
      <c r="Q392" s="218">
        <f>'Secondary cum Calculation'!Q844</f>
        <v>0</v>
      </c>
      <c r="R392" s="135"/>
      <c r="S392" s="135"/>
      <c r="T392" s="135"/>
      <c r="U392" s="135"/>
      <c r="V392" s="135"/>
      <c r="W392" s="211" t="e">
        <f>'Secondary cum Calculation'!W844</f>
        <v>#DIV/0!</v>
      </c>
      <c r="X392" s="211" t="e">
        <f>'Secondary cum Calculation'!X844</f>
        <v>#DIV/0!</v>
      </c>
      <c r="Z392" s="11"/>
      <c r="AA392" s="11"/>
      <c r="AB392" s="11"/>
      <c r="AC392" s="11"/>
      <c r="AD392" s="11"/>
    </row>
    <row r="393" spans="1:30">
      <c r="A393" s="6" t="str">
        <f>'Secondary cum Calculation'!A846</f>
        <v>Poland</v>
      </c>
      <c r="B393" s="119" t="str">
        <f>'Secondary cum Calculation'!B846</f>
        <v>Tourism Flows</v>
      </c>
      <c r="C393" s="119" t="str">
        <f>'Secondary cum Calculation'!C846</f>
        <v>International Departures by Destination</v>
      </c>
      <c r="D393" s="119" t="str">
        <f>'Secondary cum Calculation'!D846</f>
        <v>Europe</v>
      </c>
      <c r="E393" s="6" t="str">
        <f>'Secondary cum Calculation'!E846</f>
        <v>Germany</v>
      </c>
      <c r="F393" s="7" t="str">
        <f>'Secondary cum Calculation'!F846</f>
        <v>The number of international departures from a country to Germany</v>
      </c>
      <c r="G393" s="7" t="str">
        <f>'Secondary cum Calculation'!G846</f>
        <v>Tourism Demand &amp; Flows Database</v>
      </c>
      <c r="H393" s="7" t="str">
        <f>'Secondary cum Calculation'!H846</f>
        <v>New</v>
      </c>
      <c r="I393" s="7">
        <f>'Secondary cum Calculation'!I846</f>
        <v>0</v>
      </c>
      <c r="J393" s="7" t="str">
        <f>'Secondary cum Calculation'!J846</f>
        <v>Thousand</v>
      </c>
      <c r="K393" s="8">
        <f>'Secondary cum Calculation'!K846</f>
        <v>1688</v>
      </c>
      <c r="L393" s="218">
        <f>'Secondary cum Calculation'!L846</f>
        <v>1432</v>
      </c>
      <c r="M393" s="218">
        <f>'Secondary cum Calculation'!M846</f>
        <v>1647</v>
      </c>
      <c r="N393" s="218">
        <f>'Secondary cum Calculation'!N846</f>
        <v>1203</v>
      </c>
      <c r="O393" s="218">
        <f>'Secondary cum Calculation'!O846</f>
        <v>1285</v>
      </c>
      <c r="P393" s="218">
        <f>'Secondary cum Calculation'!P846</f>
        <v>912</v>
      </c>
      <c r="Q393" s="365">
        <f>'Secondary cum Calculation'!Q846</f>
        <v>815.53362293020427</v>
      </c>
      <c r="W393" s="211">
        <f>'Secondary cum Calculation'!W846</f>
        <v>-0.16114467078346673</v>
      </c>
      <c r="X393" s="211">
        <f>'Secondary cum Calculation'!X846</f>
        <v>-1</v>
      </c>
      <c r="Y393" s="371" t="s">
        <v>1344</v>
      </c>
      <c r="Z393" s="11"/>
      <c r="AA393" s="11"/>
      <c r="AB393" s="11"/>
      <c r="AC393" s="11"/>
      <c r="AD393" s="370">
        <v>4</v>
      </c>
    </row>
    <row r="394" spans="1:30">
      <c r="A394" s="6" t="str">
        <f>'Secondary cum Calculation'!A848</f>
        <v>Poland</v>
      </c>
      <c r="B394" s="119" t="str">
        <f>'Secondary cum Calculation'!B848</f>
        <v>Tourism Flows</v>
      </c>
      <c r="C394" s="119" t="str">
        <f>'Secondary cum Calculation'!C848</f>
        <v>International Departures by Destination</v>
      </c>
      <c r="D394" s="119" t="str">
        <f>'Secondary cum Calculation'!D848</f>
        <v>Europe</v>
      </c>
      <c r="E394" s="6" t="str">
        <f>'Secondary cum Calculation'!E848</f>
        <v>Greece</v>
      </c>
      <c r="F394" s="7" t="str">
        <f>'Secondary cum Calculation'!F848</f>
        <v>The number of international departures from a country to Greece</v>
      </c>
      <c r="G394" s="7" t="str">
        <f>'Secondary cum Calculation'!G848</f>
        <v>Tourism Demand &amp; Flows Database</v>
      </c>
      <c r="H394" s="7" t="str">
        <f>'Secondary cum Calculation'!H848</f>
        <v>New</v>
      </c>
      <c r="I394" s="7">
        <f>'Secondary cum Calculation'!I848</f>
        <v>0</v>
      </c>
      <c r="J394" s="7" t="str">
        <f>'Secondary cum Calculation'!J848</f>
        <v>Thousand</v>
      </c>
      <c r="K394" s="8">
        <f>'Secondary cum Calculation'!K848</f>
        <v>482</v>
      </c>
      <c r="L394" s="218">
        <f>'Secondary cum Calculation'!L848</f>
        <v>0</v>
      </c>
      <c r="M394" s="218">
        <f>'Secondary cum Calculation'!M848</f>
        <v>0</v>
      </c>
      <c r="N394" s="218">
        <f>'Secondary cum Calculation'!N848</f>
        <v>0</v>
      </c>
      <c r="O394" s="218">
        <f>'Secondary cum Calculation'!O848</f>
        <v>0</v>
      </c>
      <c r="P394" s="218">
        <f>'Secondary cum Calculation'!P848</f>
        <v>0</v>
      </c>
      <c r="Q394" s="218">
        <f>'Secondary cum Calculation'!Q848</f>
        <v>0</v>
      </c>
      <c r="W394" s="211" t="e">
        <f>'Secondary cum Calculation'!W848</f>
        <v>#DIV/0!</v>
      </c>
      <c r="X394" s="211" t="e">
        <f>'Secondary cum Calculation'!X848</f>
        <v>#DIV/0!</v>
      </c>
      <c r="Y394" s="371"/>
      <c r="Z394" s="11"/>
      <c r="AA394" s="11"/>
      <c r="AB394" s="11"/>
      <c r="AC394" s="11"/>
      <c r="AD394" s="11"/>
    </row>
    <row r="395" spans="1:30">
      <c r="A395" s="6" t="str">
        <f>'Secondary cum Calculation'!A850</f>
        <v>Poland</v>
      </c>
      <c r="B395" s="119" t="str">
        <f>'Secondary cum Calculation'!B850</f>
        <v>Tourism Flows</v>
      </c>
      <c r="C395" s="119" t="str">
        <f>'Secondary cum Calculation'!C850</f>
        <v>International Departures by Destination</v>
      </c>
      <c r="D395" s="119" t="str">
        <f>'Secondary cum Calculation'!D850</f>
        <v>Europe</v>
      </c>
      <c r="E395" s="6" t="str">
        <f>'Secondary cum Calculation'!E850</f>
        <v>Hungary</v>
      </c>
      <c r="F395" s="7" t="str">
        <f>'Secondary cum Calculation'!F850</f>
        <v>The number of international departures from a country to Hungary</v>
      </c>
      <c r="G395" s="7" t="str">
        <f>'Secondary cum Calculation'!G850</f>
        <v>Tourism Demand &amp; Flows Database</v>
      </c>
      <c r="H395" s="7" t="str">
        <f>'Secondary cum Calculation'!H850</f>
        <v>New</v>
      </c>
      <c r="I395" s="7">
        <f>'Secondary cum Calculation'!I850</f>
        <v>0</v>
      </c>
      <c r="J395" s="7" t="str">
        <f>'Secondary cum Calculation'!J850</f>
        <v>Thousand</v>
      </c>
      <c r="K395" s="8">
        <f>'Secondary cum Calculation'!K850</f>
        <v>0</v>
      </c>
      <c r="L395" s="218">
        <f>'Secondary cum Calculation'!L850</f>
        <v>0</v>
      </c>
      <c r="M395" s="218">
        <f>'Secondary cum Calculation'!M850</f>
        <v>0</v>
      </c>
      <c r="N395" s="218">
        <f>'Secondary cum Calculation'!N850</f>
        <v>0</v>
      </c>
      <c r="O395" s="218">
        <f>'Secondary cum Calculation'!O850</f>
        <v>0</v>
      </c>
      <c r="P395" s="218">
        <f>'Secondary cum Calculation'!P850</f>
        <v>0</v>
      </c>
      <c r="Q395" s="218">
        <f>'Secondary cum Calculation'!Q850</f>
        <v>0</v>
      </c>
      <c r="R395" s="135"/>
      <c r="S395" s="135"/>
      <c r="T395" s="135"/>
      <c r="U395" s="135"/>
      <c r="V395" s="135"/>
      <c r="W395" s="211" t="e">
        <f>'Secondary cum Calculation'!W850</f>
        <v>#DIV/0!</v>
      </c>
      <c r="X395" s="211" t="e">
        <f>'Secondary cum Calculation'!X850</f>
        <v>#DIV/0!</v>
      </c>
      <c r="Y395" s="371"/>
      <c r="Z395" s="11"/>
      <c r="AA395" s="11"/>
      <c r="AB395" s="11"/>
      <c r="AC395" s="11"/>
      <c r="AD395" s="11"/>
    </row>
    <row r="396" spans="1:30">
      <c r="A396" s="6" t="str">
        <f>'Secondary cum Calculation'!A852</f>
        <v>Poland</v>
      </c>
      <c r="B396" s="119" t="str">
        <f>'Secondary cum Calculation'!B852</f>
        <v>Tourism Flows</v>
      </c>
      <c r="C396" s="119" t="str">
        <f>'Secondary cum Calculation'!C852</f>
        <v>International Departures by Destination</v>
      </c>
      <c r="D396" s="119" t="str">
        <f>'Secondary cum Calculation'!D852</f>
        <v>Europe</v>
      </c>
      <c r="E396" s="6" t="str">
        <f>'Secondary cum Calculation'!E852</f>
        <v>Iceland</v>
      </c>
      <c r="F396" s="7" t="str">
        <f>'Secondary cum Calculation'!F852</f>
        <v>The number of international departures from a country to Iceland</v>
      </c>
      <c r="G396" s="7" t="str">
        <f>'Secondary cum Calculation'!G852</f>
        <v>Tourism Demand &amp; Flows Database</v>
      </c>
      <c r="H396" s="7" t="str">
        <f>'Secondary cum Calculation'!H852</f>
        <v>New</v>
      </c>
      <c r="I396" s="7">
        <f>'Secondary cum Calculation'!I852</f>
        <v>0</v>
      </c>
      <c r="J396" s="7" t="str">
        <f>'Secondary cum Calculation'!J852</f>
        <v>Thousand</v>
      </c>
      <c r="K396" s="8">
        <f>'Secondary cum Calculation'!K852</f>
        <v>0</v>
      </c>
      <c r="L396" s="218">
        <f>'Secondary cum Calculation'!L852</f>
        <v>0</v>
      </c>
      <c r="M396" s="218">
        <f>'Secondary cum Calculation'!M852</f>
        <v>0</v>
      </c>
      <c r="N396" s="218">
        <f>'Secondary cum Calculation'!N852</f>
        <v>0</v>
      </c>
      <c r="O396" s="218">
        <f>'Secondary cum Calculation'!O852</f>
        <v>0</v>
      </c>
      <c r="P396" s="218">
        <f>'Secondary cum Calculation'!P852</f>
        <v>0</v>
      </c>
      <c r="Q396" s="218">
        <f>'Secondary cum Calculation'!Q852</f>
        <v>0</v>
      </c>
      <c r="R396" s="135"/>
      <c r="S396" s="135"/>
      <c r="T396" s="135"/>
      <c r="U396" s="135"/>
      <c r="V396" s="135"/>
      <c r="W396" s="211" t="e">
        <f>'Secondary cum Calculation'!W852</f>
        <v>#DIV/0!</v>
      </c>
      <c r="X396" s="211" t="e">
        <f>'Secondary cum Calculation'!X852</f>
        <v>#DIV/0!</v>
      </c>
      <c r="Z396" s="11"/>
      <c r="AA396" s="11"/>
      <c r="AB396" s="11"/>
      <c r="AC396" s="11"/>
      <c r="AD396" s="11"/>
    </row>
    <row r="397" spans="1:30">
      <c r="A397" s="6" t="str">
        <f>'Secondary cum Calculation'!A854</f>
        <v>Poland</v>
      </c>
      <c r="B397" s="119" t="str">
        <f>'Secondary cum Calculation'!B854</f>
        <v>Tourism Flows</v>
      </c>
      <c r="C397" s="119" t="str">
        <f>'Secondary cum Calculation'!C854</f>
        <v>International Departures by Destination</v>
      </c>
      <c r="D397" s="119" t="str">
        <f>'Secondary cum Calculation'!D854</f>
        <v>Europe</v>
      </c>
      <c r="E397" s="6" t="str">
        <f>'Secondary cum Calculation'!E854</f>
        <v>Ireland</v>
      </c>
      <c r="F397" s="7" t="str">
        <f>'Secondary cum Calculation'!F854</f>
        <v>The number of international departures from a country to Ireland</v>
      </c>
      <c r="G397" s="7" t="str">
        <f>'Secondary cum Calculation'!G854</f>
        <v>Tourism Demand &amp; Flows Database</v>
      </c>
      <c r="H397" s="7" t="str">
        <f>'Secondary cum Calculation'!H854</f>
        <v>New</v>
      </c>
      <c r="I397" s="7">
        <f>'Secondary cum Calculation'!I854</f>
        <v>0</v>
      </c>
      <c r="J397" s="7" t="str">
        <f>'Secondary cum Calculation'!J854</f>
        <v>Thousand</v>
      </c>
      <c r="K397" s="8">
        <f>'Secondary cum Calculation'!K854</f>
        <v>844</v>
      </c>
      <c r="L397" s="218">
        <f>'Secondary cum Calculation'!L854</f>
        <v>0</v>
      </c>
      <c r="M397" s="218">
        <f>'Secondary cum Calculation'!M854</f>
        <v>0</v>
      </c>
      <c r="N397" s="218">
        <f>'Secondary cum Calculation'!N854</f>
        <v>0</v>
      </c>
      <c r="O397" s="218">
        <f>'Secondary cum Calculation'!O854</f>
        <v>0</v>
      </c>
      <c r="P397" s="218">
        <f>'Secondary cum Calculation'!P854</f>
        <v>0</v>
      </c>
      <c r="Q397" s="218">
        <f>'Secondary cum Calculation'!Q854</f>
        <v>0</v>
      </c>
      <c r="W397" s="211" t="e">
        <f>'Secondary cum Calculation'!W854</f>
        <v>#DIV/0!</v>
      </c>
      <c r="X397" s="211" t="e">
        <f>'Secondary cum Calculation'!X854</f>
        <v>#DIV/0!</v>
      </c>
      <c r="Y397" s="371"/>
      <c r="Z397" s="11"/>
      <c r="AA397" s="11"/>
      <c r="AB397" s="11"/>
      <c r="AC397" s="11"/>
      <c r="AD397" s="11"/>
    </row>
    <row r="398" spans="1:30">
      <c r="A398" s="6" t="str">
        <f>'Secondary cum Calculation'!A856</f>
        <v>Poland</v>
      </c>
      <c r="B398" s="119" t="str">
        <f>'Secondary cum Calculation'!B856</f>
        <v>Tourism Flows</v>
      </c>
      <c r="C398" s="119" t="str">
        <f>'Secondary cum Calculation'!C856</f>
        <v>International Departures by Destination</v>
      </c>
      <c r="D398" s="119" t="str">
        <f>'Secondary cum Calculation'!D856</f>
        <v>Europe</v>
      </c>
      <c r="E398" s="6" t="str">
        <f>'Secondary cum Calculation'!E856</f>
        <v>Italy</v>
      </c>
      <c r="F398" s="7" t="str">
        <f>'Secondary cum Calculation'!F856</f>
        <v>The number of international departures from a country to Italy</v>
      </c>
      <c r="G398" s="7" t="str">
        <f>'Secondary cum Calculation'!G856</f>
        <v>Tourism Demand &amp; Flows Database</v>
      </c>
      <c r="H398" s="7" t="str">
        <f>'Secondary cum Calculation'!H856</f>
        <v>New</v>
      </c>
      <c r="I398" s="7">
        <f>'Secondary cum Calculation'!I856</f>
        <v>0</v>
      </c>
      <c r="J398" s="7" t="str">
        <f>'Secondary cum Calculation'!J856</f>
        <v>Thousand</v>
      </c>
      <c r="K398" s="8">
        <f>'Secondary cum Calculation'!K856</f>
        <v>2201</v>
      </c>
      <c r="L398" s="218">
        <f>'Secondary cum Calculation'!L856</f>
        <v>0</v>
      </c>
      <c r="M398" s="218">
        <f>'Secondary cum Calculation'!M856</f>
        <v>0</v>
      </c>
      <c r="N398" s="218">
        <f>'Secondary cum Calculation'!N856</f>
        <v>0</v>
      </c>
      <c r="O398" s="218">
        <f>'Secondary cum Calculation'!O856</f>
        <v>0</v>
      </c>
      <c r="P398" s="218">
        <f>'Secondary cum Calculation'!P856</f>
        <v>0</v>
      </c>
      <c r="Q398" s="218">
        <f>'Secondary cum Calculation'!Q856</f>
        <v>0</v>
      </c>
      <c r="W398" s="211" t="e">
        <f>'Secondary cum Calculation'!W856</f>
        <v>#DIV/0!</v>
      </c>
      <c r="X398" s="211" t="e">
        <f>'Secondary cum Calculation'!X856</f>
        <v>#DIV/0!</v>
      </c>
      <c r="Y398" s="371"/>
      <c r="Z398" s="11"/>
      <c r="AA398" s="11"/>
      <c r="AB398" s="11"/>
      <c r="AC398" s="11"/>
      <c r="AD398" s="11"/>
    </row>
    <row r="399" spans="1:30">
      <c r="A399" s="6" t="str">
        <f>'Secondary cum Calculation'!A858</f>
        <v>Poland</v>
      </c>
      <c r="B399" s="119" t="str">
        <f>'Secondary cum Calculation'!B858</f>
        <v>Tourism Flows</v>
      </c>
      <c r="C399" s="119" t="str">
        <f>'Secondary cum Calculation'!C858</f>
        <v>International Departures by Destination</v>
      </c>
      <c r="D399" s="119" t="str">
        <f>'Secondary cum Calculation'!D858</f>
        <v>Europe</v>
      </c>
      <c r="E399" s="6" t="str">
        <f>'Secondary cum Calculation'!E858</f>
        <v>Latvia</v>
      </c>
      <c r="F399" s="7" t="str">
        <f>'Secondary cum Calculation'!F858</f>
        <v>The number of international departures from a country to Latvia</v>
      </c>
      <c r="G399" s="7" t="str">
        <f>'Secondary cum Calculation'!G858</f>
        <v>Tourism Demand &amp; Flows Database</v>
      </c>
      <c r="H399" s="7" t="str">
        <f>'Secondary cum Calculation'!H858</f>
        <v>New</v>
      </c>
      <c r="I399" s="7">
        <f>'Secondary cum Calculation'!I858</f>
        <v>0</v>
      </c>
      <c r="J399" s="7" t="str">
        <f>'Secondary cum Calculation'!J858</f>
        <v>Thousand</v>
      </c>
      <c r="K399" s="8">
        <f>'Secondary cum Calculation'!K858</f>
        <v>0</v>
      </c>
      <c r="L399" s="218">
        <f>'Secondary cum Calculation'!L858</f>
        <v>0</v>
      </c>
      <c r="M399" s="218">
        <f>'Secondary cum Calculation'!M858</f>
        <v>0</v>
      </c>
      <c r="N399" s="218">
        <f>'Secondary cum Calculation'!N858</f>
        <v>0</v>
      </c>
      <c r="O399" s="218">
        <f>'Secondary cum Calculation'!O858</f>
        <v>0</v>
      </c>
      <c r="P399" s="218">
        <f>'Secondary cum Calculation'!P858</f>
        <v>0</v>
      </c>
      <c r="Q399" s="218">
        <f>'Secondary cum Calculation'!Q858</f>
        <v>0</v>
      </c>
      <c r="R399" s="135"/>
      <c r="S399" s="135"/>
      <c r="T399" s="135"/>
      <c r="U399" s="135"/>
      <c r="V399" s="135"/>
      <c r="W399" s="211" t="e">
        <f>'Secondary cum Calculation'!W858</f>
        <v>#DIV/0!</v>
      </c>
      <c r="X399" s="211" t="e">
        <f>'Secondary cum Calculation'!X858</f>
        <v>#DIV/0!</v>
      </c>
      <c r="Z399" s="11"/>
      <c r="AA399" s="11"/>
      <c r="AB399" s="11"/>
      <c r="AC399" s="11"/>
      <c r="AD399" s="11"/>
    </row>
    <row r="400" spans="1:30">
      <c r="A400" s="6" t="str">
        <f>'Secondary cum Calculation'!A860</f>
        <v>Poland</v>
      </c>
      <c r="B400" s="119" t="str">
        <f>'Secondary cum Calculation'!B860</f>
        <v>Tourism Flows</v>
      </c>
      <c r="C400" s="119" t="str">
        <f>'Secondary cum Calculation'!C860</f>
        <v>International Departures by Destination</v>
      </c>
      <c r="D400" s="119" t="str">
        <f>'Secondary cum Calculation'!D860</f>
        <v>Europe</v>
      </c>
      <c r="E400" s="6" t="str">
        <f>'Secondary cum Calculation'!E860</f>
        <v>Lithuania</v>
      </c>
      <c r="F400" s="7" t="str">
        <f>'Secondary cum Calculation'!F860</f>
        <v>The number of international departures from a country to Lithuania</v>
      </c>
      <c r="G400" s="7" t="str">
        <f>'Secondary cum Calculation'!G860</f>
        <v>Tourism Demand &amp; Flows Database</v>
      </c>
      <c r="H400" s="7" t="str">
        <f>'Secondary cum Calculation'!H860</f>
        <v>New</v>
      </c>
      <c r="I400" s="7">
        <f>'Secondary cum Calculation'!I860</f>
        <v>0</v>
      </c>
      <c r="J400" s="7" t="str">
        <f>'Secondary cum Calculation'!J860</f>
        <v>Thousand</v>
      </c>
      <c r="K400" s="8">
        <f>'Secondary cum Calculation'!K860</f>
        <v>0</v>
      </c>
      <c r="L400" s="218">
        <f>'Secondary cum Calculation'!L860</f>
        <v>0</v>
      </c>
      <c r="M400" s="218">
        <f>'Secondary cum Calculation'!M860</f>
        <v>0</v>
      </c>
      <c r="N400" s="218">
        <f>'Secondary cum Calculation'!N860</f>
        <v>0</v>
      </c>
      <c r="O400" s="218">
        <f>'Secondary cum Calculation'!O860</f>
        <v>0</v>
      </c>
      <c r="P400" s="218">
        <f>'Secondary cum Calculation'!P860</f>
        <v>0</v>
      </c>
      <c r="Q400" s="218">
        <f>'Secondary cum Calculation'!Q860</f>
        <v>0</v>
      </c>
      <c r="W400" s="211" t="e">
        <f>'Secondary cum Calculation'!W860</f>
        <v>#DIV/0!</v>
      </c>
      <c r="X400" s="211" t="e">
        <f>'Secondary cum Calculation'!X860</f>
        <v>#DIV/0!</v>
      </c>
      <c r="Y400" s="371"/>
      <c r="Z400" s="11"/>
      <c r="AA400" s="11"/>
      <c r="AB400" s="11"/>
      <c r="AC400" s="11"/>
      <c r="AD400" s="11"/>
    </row>
    <row r="401" spans="1:30">
      <c r="A401" s="6" t="str">
        <f>'Secondary cum Calculation'!A862</f>
        <v>Poland</v>
      </c>
      <c r="B401" s="119" t="str">
        <f>'Secondary cum Calculation'!B862</f>
        <v>Tourism Flows</v>
      </c>
      <c r="C401" s="119" t="str">
        <f>'Secondary cum Calculation'!C862</f>
        <v>International Departures by Destination</v>
      </c>
      <c r="D401" s="119" t="str">
        <f>'Secondary cum Calculation'!D862</f>
        <v>Europe</v>
      </c>
      <c r="E401" s="6" t="str">
        <f>'Secondary cum Calculation'!E862</f>
        <v>Luxembourg</v>
      </c>
      <c r="F401" s="7" t="str">
        <f>'Secondary cum Calculation'!F862</f>
        <v>The number of international departures from a country to Luxembourg</v>
      </c>
      <c r="G401" s="7" t="str">
        <f>'Secondary cum Calculation'!G862</f>
        <v>Tourism Demand &amp; Flows Database</v>
      </c>
      <c r="H401" s="7" t="str">
        <f>'Secondary cum Calculation'!H862</f>
        <v>New</v>
      </c>
      <c r="I401" s="7">
        <f>'Secondary cum Calculation'!I862</f>
        <v>0</v>
      </c>
      <c r="J401" s="7" t="str">
        <f>'Secondary cum Calculation'!J862</f>
        <v>Thousand</v>
      </c>
      <c r="K401" s="8">
        <f>'Secondary cum Calculation'!K862</f>
        <v>0</v>
      </c>
      <c r="L401" s="218">
        <f>'Secondary cum Calculation'!L862</f>
        <v>0</v>
      </c>
      <c r="M401" s="218">
        <f>'Secondary cum Calculation'!M862</f>
        <v>0</v>
      </c>
      <c r="N401" s="218">
        <f>'Secondary cum Calculation'!N862</f>
        <v>0</v>
      </c>
      <c r="O401" s="218">
        <f>'Secondary cum Calculation'!O862</f>
        <v>0</v>
      </c>
      <c r="P401" s="218">
        <f>'Secondary cum Calculation'!P862</f>
        <v>0</v>
      </c>
      <c r="Q401" s="218">
        <f>'Secondary cum Calculation'!Q862</f>
        <v>0</v>
      </c>
      <c r="W401" s="211" t="e">
        <f>'Secondary cum Calculation'!W862</f>
        <v>#DIV/0!</v>
      </c>
      <c r="X401" s="211" t="e">
        <f>'Secondary cum Calculation'!X862</f>
        <v>#DIV/0!</v>
      </c>
      <c r="Z401" s="11"/>
      <c r="AA401" s="11"/>
      <c r="AB401" s="11"/>
      <c r="AC401" s="11"/>
      <c r="AD401" s="11"/>
    </row>
    <row r="402" spans="1:30">
      <c r="A402" s="6" t="str">
        <f>'Secondary cum Calculation'!A864</f>
        <v>Poland</v>
      </c>
      <c r="B402" s="119" t="str">
        <f>'Secondary cum Calculation'!B864</f>
        <v>Tourism Flows</v>
      </c>
      <c r="C402" s="119" t="str">
        <f>'Secondary cum Calculation'!C864</f>
        <v>International Departures by Destination</v>
      </c>
      <c r="D402" s="119" t="str">
        <f>'Secondary cum Calculation'!D864</f>
        <v>Europe</v>
      </c>
      <c r="E402" s="6" t="str">
        <f>'Secondary cum Calculation'!E864</f>
        <v>Malta</v>
      </c>
      <c r="F402" s="7" t="str">
        <f>'Secondary cum Calculation'!F864</f>
        <v>The number of international departures from a country to Malta</v>
      </c>
      <c r="G402" s="7" t="str">
        <f>'Secondary cum Calculation'!G864</f>
        <v>Tourism Demand &amp; Flows Database</v>
      </c>
      <c r="H402" s="7" t="str">
        <f>'Secondary cum Calculation'!H864</f>
        <v>New</v>
      </c>
      <c r="I402" s="7">
        <f>'Secondary cum Calculation'!I864</f>
        <v>0</v>
      </c>
      <c r="J402" s="7" t="str">
        <f>'Secondary cum Calculation'!J864</f>
        <v>Thousand</v>
      </c>
      <c r="K402" s="8">
        <f>'Secondary cum Calculation'!K864</f>
        <v>0</v>
      </c>
      <c r="L402" s="218">
        <f>'Secondary cum Calculation'!L864</f>
        <v>0</v>
      </c>
      <c r="M402" s="218">
        <f>'Secondary cum Calculation'!M864</f>
        <v>0</v>
      </c>
      <c r="N402" s="218">
        <f>'Secondary cum Calculation'!N864</f>
        <v>0</v>
      </c>
      <c r="O402" s="218">
        <f>'Secondary cum Calculation'!O864</f>
        <v>0</v>
      </c>
      <c r="P402" s="218">
        <f>'Secondary cum Calculation'!P864</f>
        <v>0</v>
      </c>
      <c r="Q402" s="218">
        <f>'Secondary cum Calculation'!Q864</f>
        <v>0</v>
      </c>
      <c r="W402" s="211" t="e">
        <f>'Secondary cum Calculation'!W864</f>
        <v>#DIV/0!</v>
      </c>
      <c r="X402" s="211" t="e">
        <f>'Secondary cum Calculation'!X864</f>
        <v>#DIV/0!</v>
      </c>
      <c r="Z402" s="11"/>
      <c r="AA402" s="11"/>
      <c r="AB402" s="11"/>
      <c r="AC402" s="11"/>
      <c r="AD402" s="11"/>
    </row>
    <row r="403" spans="1:30">
      <c r="A403" s="6" t="str">
        <f>'Secondary cum Calculation'!A866</f>
        <v>Poland</v>
      </c>
      <c r="B403" s="119" t="str">
        <f>'Secondary cum Calculation'!B866</f>
        <v>Tourism Flows</v>
      </c>
      <c r="C403" s="119" t="str">
        <f>'Secondary cum Calculation'!C866</f>
        <v>International Departures by Destination</v>
      </c>
      <c r="D403" s="119" t="str">
        <f>'Secondary cum Calculation'!D866</f>
        <v>Europe</v>
      </c>
      <c r="E403" s="6" t="str">
        <f>'Secondary cum Calculation'!E866</f>
        <v>Montenegro</v>
      </c>
      <c r="F403" s="7" t="str">
        <f>'Secondary cum Calculation'!F866</f>
        <v>The number of international departures from a country to Montenegro</v>
      </c>
      <c r="G403" s="7" t="str">
        <f>'Secondary cum Calculation'!G866</f>
        <v>Tourism Demand &amp; Flows Database</v>
      </c>
      <c r="H403" s="7" t="str">
        <f>'Secondary cum Calculation'!H866</f>
        <v>New</v>
      </c>
      <c r="I403" s="7">
        <f>'Secondary cum Calculation'!I866</f>
        <v>0</v>
      </c>
      <c r="J403" s="7" t="str">
        <f>'Secondary cum Calculation'!J866</f>
        <v>Thousand</v>
      </c>
      <c r="K403" s="8">
        <f>'Secondary cum Calculation'!K866</f>
        <v>0</v>
      </c>
      <c r="L403" s="218">
        <f>'Secondary cum Calculation'!L866</f>
        <v>0</v>
      </c>
      <c r="M403" s="218">
        <f>'Secondary cum Calculation'!M866</f>
        <v>0</v>
      </c>
      <c r="N403" s="218">
        <f>'Secondary cum Calculation'!N866</f>
        <v>0</v>
      </c>
      <c r="O403" s="218">
        <f>'Secondary cum Calculation'!O866</f>
        <v>0</v>
      </c>
      <c r="P403" s="218">
        <f>'Secondary cum Calculation'!P866</f>
        <v>0</v>
      </c>
      <c r="Q403" s="218">
        <f>'Secondary cum Calculation'!Q866</f>
        <v>0</v>
      </c>
      <c r="W403" s="211" t="e">
        <f>'Secondary cum Calculation'!W866</f>
        <v>#DIV/0!</v>
      </c>
      <c r="X403" s="211" t="e">
        <f>'Secondary cum Calculation'!X866</f>
        <v>#DIV/0!</v>
      </c>
      <c r="Z403" s="11"/>
      <c r="AA403" s="11"/>
      <c r="AB403" s="11"/>
      <c r="AC403" s="11"/>
      <c r="AD403" s="11"/>
    </row>
    <row r="404" spans="1:30">
      <c r="A404" s="6" t="str">
        <f>'Secondary cum Calculation'!A868</f>
        <v>Poland</v>
      </c>
      <c r="B404" s="119" t="str">
        <f>'Secondary cum Calculation'!B868</f>
        <v>Tourism Flows</v>
      </c>
      <c r="C404" s="119" t="str">
        <f>'Secondary cum Calculation'!C868</f>
        <v>International Departures by Destination</v>
      </c>
      <c r="D404" s="119" t="str">
        <f>'Secondary cum Calculation'!D868</f>
        <v>Europe</v>
      </c>
      <c r="E404" s="6" t="str">
        <f>'Secondary cum Calculation'!E868</f>
        <v>Netherlands</v>
      </c>
      <c r="F404" s="7" t="str">
        <f>'Secondary cum Calculation'!F868</f>
        <v>The number of international departures from a country to Netherlands</v>
      </c>
      <c r="G404" s="7" t="str">
        <f>'Secondary cum Calculation'!G868</f>
        <v>Tourism Demand &amp; Flows Database</v>
      </c>
      <c r="H404" s="7" t="str">
        <f>'Secondary cum Calculation'!H868</f>
        <v>New</v>
      </c>
      <c r="I404" s="7">
        <f>'Secondary cum Calculation'!I868</f>
        <v>0</v>
      </c>
      <c r="J404" s="7" t="str">
        <f>'Secondary cum Calculation'!J868</f>
        <v>Thousand</v>
      </c>
      <c r="K404" s="8">
        <f>'Secondary cum Calculation'!K868</f>
        <v>904</v>
      </c>
      <c r="L404" s="218">
        <f>'Secondary cum Calculation'!L868</f>
        <v>257</v>
      </c>
      <c r="M404" s="218">
        <f>'Secondary cum Calculation'!M868</f>
        <v>313</v>
      </c>
      <c r="N404" s="218">
        <f>'Secondary cum Calculation'!N868</f>
        <v>318</v>
      </c>
      <c r="O404" s="218">
        <f>'Secondary cum Calculation'!O868</f>
        <v>143</v>
      </c>
      <c r="P404" s="218">
        <f>'Secondary cum Calculation'!P868</f>
        <v>129</v>
      </c>
      <c r="Q404" s="365">
        <f>'Secondary cum Calculation'!Q868</f>
        <v>108.68958599908647</v>
      </c>
      <c r="W404" s="211">
        <f>'Secondary cum Calculation'!W868</f>
        <v>-0.23235416266101239</v>
      </c>
      <c r="X404" s="211">
        <f>'Secondary cum Calculation'!X868</f>
        <v>-1</v>
      </c>
      <c r="Y404" s="371" t="s">
        <v>1344</v>
      </c>
      <c r="Z404" s="11"/>
      <c r="AA404" s="11"/>
      <c r="AB404" s="11"/>
      <c r="AC404" s="11"/>
      <c r="AD404" s="370">
        <v>4</v>
      </c>
    </row>
    <row r="405" spans="1:30">
      <c r="A405" s="6" t="str">
        <f>'Secondary cum Calculation'!A870</f>
        <v>Poland</v>
      </c>
      <c r="B405" s="119" t="str">
        <f>'Secondary cum Calculation'!B870</f>
        <v>Tourism Flows</v>
      </c>
      <c r="C405" s="119" t="str">
        <f>'Secondary cum Calculation'!C870</f>
        <v>International Departures by Destination</v>
      </c>
      <c r="D405" s="119" t="str">
        <f>'Secondary cum Calculation'!D870</f>
        <v>Europe</v>
      </c>
      <c r="E405" s="6" t="str">
        <f>'Secondary cum Calculation'!E870</f>
        <v>Norway</v>
      </c>
      <c r="F405" s="7" t="str">
        <f>'Secondary cum Calculation'!F870</f>
        <v>The number of international departures from a country to Norway</v>
      </c>
      <c r="G405" s="7" t="str">
        <f>'Secondary cum Calculation'!G870</f>
        <v>Tourism Demand &amp; Flows Database</v>
      </c>
      <c r="H405" s="7" t="str">
        <f>'Secondary cum Calculation'!H870</f>
        <v>New</v>
      </c>
      <c r="I405" s="7">
        <f>'Secondary cum Calculation'!I870</f>
        <v>0</v>
      </c>
      <c r="J405" s="7" t="str">
        <f>'Secondary cum Calculation'!J870</f>
        <v>Thousand</v>
      </c>
      <c r="K405" s="8">
        <f>'Secondary cum Calculation'!K870</f>
        <v>0</v>
      </c>
      <c r="L405" s="218">
        <f>'Secondary cum Calculation'!L870</f>
        <v>142</v>
      </c>
      <c r="M405" s="218">
        <f>'Secondary cum Calculation'!M870</f>
        <v>110</v>
      </c>
      <c r="N405" s="255">
        <f>'Secondary cum Calculation'!N870</f>
        <v>54</v>
      </c>
      <c r="O405" s="218">
        <f>'Secondary cum Calculation'!O870</f>
        <v>88</v>
      </c>
      <c r="P405" s="218">
        <f>'Secondary cum Calculation'!P870</f>
        <v>70</v>
      </c>
      <c r="Q405" s="365">
        <f>'Secondary cum Calculation'!Q870</f>
        <v>61.000557368168934</v>
      </c>
      <c r="R405" s="135"/>
      <c r="S405" s="135"/>
      <c r="T405" s="135"/>
      <c r="U405" s="135"/>
      <c r="V405" s="135"/>
      <c r="W405" s="211">
        <f>'Secondary cum Calculation'!W870</f>
        <v>-0.13705070254000562</v>
      </c>
      <c r="X405" s="211">
        <f>'Secondary cum Calculation'!X870</f>
        <v>-1</v>
      </c>
      <c r="Y405" s="371" t="s">
        <v>1344</v>
      </c>
      <c r="Z405" s="11"/>
      <c r="AA405" s="11"/>
      <c r="AB405" s="11"/>
      <c r="AC405" s="11"/>
      <c r="AD405" s="370">
        <v>4</v>
      </c>
    </row>
    <row r="406" spans="1:30">
      <c r="A406" s="6" t="str">
        <f>'Secondary cum Calculation'!A872</f>
        <v>Poland</v>
      </c>
      <c r="B406" s="119" t="str">
        <f>'Secondary cum Calculation'!B872</f>
        <v>Tourism Flows</v>
      </c>
      <c r="C406" s="119" t="str">
        <f>'Secondary cum Calculation'!C872</f>
        <v>International Departures by Destination</v>
      </c>
      <c r="D406" s="119" t="str">
        <f>'Secondary cum Calculation'!D872</f>
        <v>Europe</v>
      </c>
      <c r="E406" s="6" t="str">
        <f>'Secondary cum Calculation'!E872</f>
        <v>Poland</v>
      </c>
      <c r="F406" s="7" t="str">
        <f>'Secondary cum Calculation'!F872</f>
        <v>The number of international departures from a country to Poland</v>
      </c>
      <c r="G406" s="7" t="str">
        <f>'Secondary cum Calculation'!G872</f>
        <v>Tourism Demand &amp; Flows Database</v>
      </c>
      <c r="H406" s="7" t="str">
        <f>'Secondary cum Calculation'!H872</f>
        <v>New</v>
      </c>
      <c r="I406" s="7">
        <f>'Secondary cum Calculation'!I872</f>
        <v>0</v>
      </c>
      <c r="J406" s="7" t="str">
        <f>'Secondary cum Calculation'!J872</f>
        <v>Thousand</v>
      </c>
      <c r="K406" s="8">
        <f>'Secondary cum Calculation'!K872</f>
        <v>0</v>
      </c>
      <c r="L406" s="218">
        <f>'Secondary cum Calculation'!L872</f>
        <v>0</v>
      </c>
      <c r="M406" s="218">
        <f>'Secondary cum Calculation'!M872</f>
        <v>0</v>
      </c>
      <c r="N406" s="218">
        <f>'Secondary cum Calculation'!N872</f>
        <v>0</v>
      </c>
      <c r="O406" s="218">
        <f>'Secondary cum Calculation'!O872</f>
        <v>0</v>
      </c>
      <c r="P406" s="218">
        <f>'Secondary cum Calculation'!P872</f>
        <v>0</v>
      </c>
      <c r="Q406" s="218">
        <f>'Secondary cum Calculation'!Q872</f>
        <v>0</v>
      </c>
      <c r="W406" s="211" t="e">
        <f>'Secondary cum Calculation'!W872</f>
        <v>#DIV/0!</v>
      </c>
      <c r="X406" s="211" t="e">
        <f>'Secondary cum Calculation'!X872</f>
        <v>#DIV/0!</v>
      </c>
      <c r="Z406" s="11"/>
      <c r="AA406" s="11"/>
      <c r="AB406" s="11"/>
      <c r="AC406" s="11"/>
      <c r="AD406" s="11"/>
    </row>
    <row r="407" spans="1:30">
      <c r="A407" s="6" t="str">
        <f>'Secondary cum Calculation'!A874</f>
        <v>Poland</v>
      </c>
      <c r="B407" s="119" t="str">
        <f>'Secondary cum Calculation'!B874</f>
        <v>Tourism Flows</v>
      </c>
      <c r="C407" s="119" t="str">
        <f>'Secondary cum Calculation'!C874</f>
        <v>International Departures by Destination</v>
      </c>
      <c r="D407" s="119" t="str">
        <f>'Secondary cum Calculation'!D874</f>
        <v>Europe</v>
      </c>
      <c r="E407" s="6" t="str">
        <f>'Secondary cum Calculation'!E874</f>
        <v>Portugal</v>
      </c>
      <c r="F407" s="7" t="str">
        <f>'Secondary cum Calculation'!F874</f>
        <v>The number of international departures from a country to Portugal</v>
      </c>
      <c r="G407" s="7" t="str">
        <f>'Secondary cum Calculation'!G874</f>
        <v>Tourism Demand &amp; Flows Database</v>
      </c>
      <c r="H407" s="7" t="str">
        <f>'Secondary cum Calculation'!H874</f>
        <v>New</v>
      </c>
      <c r="I407" s="7">
        <f>'Secondary cum Calculation'!I874</f>
        <v>0</v>
      </c>
      <c r="J407" s="7" t="str">
        <f>'Secondary cum Calculation'!J874</f>
        <v>Thousand</v>
      </c>
      <c r="K407" s="8">
        <f>'Secondary cum Calculation'!K874</f>
        <v>0</v>
      </c>
      <c r="L407" s="218">
        <f>'Secondary cum Calculation'!L874</f>
        <v>0</v>
      </c>
      <c r="M407" s="218">
        <f>'Secondary cum Calculation'!M874</f>
        <v>0</v>
      </c>
      <c r="N407" s="218">
        <f>'Secondary cum Calculation'!N874</f>
        <v>0</v>
      </c>
      <c r="O407" s="218">
        <f>'Secondary cum Calculation'!O874</f>
        <v>0</v>
      </c>
      <c r="P407" s="218">
        <f>'Secondary cum Calculation'!P874</f>
        <v>0</v>
      </c>
      <c r="Q407" s="218">
        <f>'Secondary cum Calculation'!Q874</f>
        <v>0</v>
      </c>
      <c r="W407" s="211" t="e">
        <f>'Secondary cum Calculation'!W874</f>
        <v>#DIV/0!</v>
      </c>
      <c r="X407" s="211" t="e">
        <f>'Secondary cum Calculation'!X874</f>
        <v>#DIV/0!</v>
      </c>
      <c r="Z407" s="11"/>
      <c r="AA407" s="11"/>
      <c r="AB407" s="11"/>
      <c r="AC407" s="11"/>
      <c r="AD407" s="11"/>
    </row>
    <row r="408" spans="1:30">
      <c r="A408" s="6" t="str">
        <f>'Secondary cum Calculation'!A876</f>
        <v>Poland</v>
      </c>
      <c r="B408" s="119" t="str">
        <f>'Secondary cum Calculation'!B876</f>
        <v>Tourism Flows</v>
      </c>
      <c r="C408" s="119" t="str">
        <f>'Secondary cum Calculation'!C876</f>
        <v>International Departures by Destination</v>
      </c>
      <c r="D408" s="119" t="str">
        <f>'Secondary cum Calculation'!D876</f>
        <v>Europe</v>
      </c>
      <c r="E408" s="6" t="str">
        <f>'Secondary cum Calculation'!E876</f>
        <v>Republic of Moldova</v>
      </c>
      <c r="F408" s="7" t="str">
        <f>'Secondary cum Calculation'!F876</f>
        <v>The number of international departures from a country to Republic of Moldova</v>
      </c>
      <c r="G408" s="7" t="str">
        <f>'Secondary cum Calculation'!G876</f>
        <v>Tourism Demand &amp; Flows Database</v>
      </c>
      <c r="H408" s="7" t="str">
        <f>'Secondary cum Calculation'!H876</f>
        <v>New</v>
      </c>
      <c r="I408" s="7">
        <f>'Secondary cum Calculation'!I876</f>
        <v>0</v>
      </c>
      <c r="J408" s="7" t="str">
        <f>'Secondary cum Calculation'!J876</f>
        <v>Thousand</v>
      </c>
      <c r="K408" s="8">
        <f>'Secondary cum Calculation'!K876</f>
        <v>0</v>
      </c>
      <c r="L408" s="218">
        <f>'Secondary cum Calculation'!L876</f>
        <v>0</v>
      </c>
      <c r="M408" s="218">
        <f>'Secondary cum Calculation'!M876</f>
        <v>0</v>
      </c>
      <c r="N408" s="218">
        <f>'Secondary cum Calculation'!N876</f>
        <v>0</v>
      </c>
      <c r="O408" s="218">
        <f>'Secondary cum Calculation'!O876</f>
        <v>0</v>
      </c>
      <c r="P408" s="218">
        <f>'Secondary cum Calculation'!P876</f>
        <v>0</v>
      </c>
      <c r="Q408" s="218">
        <f>'Secondary cum Calculation'!Q876</f>
        <v>0</v>
      </c>
      <c r="W408" s="211" t="e">
        <f>'Secondary cum Calculation'!W876</f>
        <v>#DIV/0!</v>
      </c>
      <c r="X408" s="211" t="e">
        <f>'Secondary cum Calculation'!X876</f>
        <v>#DIV/0!</v>
      </c>
      <c r="Z408" s="11"/>
      <c r="AA408" s="11"/>
      <c r="AB408" s="11"/>
      <c r="AC408" s="11"/>
      <c r="AD408" s="11"/>
    </row>
    <row r="409" spans="1:30">
      <c r="A409" s="6" t="str">
        <f>'Secondary cum Calculation'!A878</f>
        <v>Poland</v>
      </c>
      <c r="B409" s="119" t="str">
        <f>'Secondary cum Calculation'!B878</f>
        <v>Tourism Flows</v>
      </c>
      <c r="C409" s="119" t="str">
        <f>'Secondary cum Calculation'!C878</f>
        <v>International Departures by Destination</v>
      </c>
      <c r="D409" s="119" t="str">
        <f>'Secondary cum Calculation'!D878</f>
        <v>Europe</v>
      </c>
      <c r="E409" s="6" t="str">
        <f>'Secondary cum Calculation'!E878</f>
        <v>Romania</v>
      </c>
      <c r="F409" s="7" t="str">
        <f>'Secondary cum Calculation'!F878</f>
        <v>The number of international departures from a country to Romania</v>
      </c>
      <c r="G409" s="7" t="str">
        <f>'Secondary cum Calculation'!G878</f>
        <v>Tourism Demand &amp; Flows Database</v>
      </c>
      <c r="H409" s="7" t="str">
        <f>'Secondary cum Calculation'!H878</f>
        <v>New</v>
      </c>
      <c r="I409" s="7">
        <f>'Secondary cum Calculation'!I878</f>
        <v>0</v>
      </c>
      <c r="J409" s="7" t="str">
        <f>'Secondary cum Calculation'!J878</f>
        <v>Thousand</v>
      </c>
      <c r="K409" s="8">
        <f>'Secondary cum Calculation'!K878</f>
        <v>0</v>
      </c>
      <c r="L409" s="218">
        <f>'Secondary cum Calculation'!L878</f>
        <v>0</v>
      </c>
      <c r="M409" s="218">
        <f>'Secondary cum Calculation'!M878</f>
        <v>0</v>
      </c>
      <c r="N409" s="218">
        <f>'Secondary cum Calculation'!N878</f>
        <v>0</v>
      </c>
      <c r="O409" s="218">
        <f>'Secondary cum Calculation'!O878</f>
        <v>0</v>
      </c>
      <c r="P409" s="218">
        <f>'Secondary cum Calculation'!P878</f>
        <v>0</v>
      </c>
      <c r="Q409" s="218">
        <f>'Secondary cum Calculation'!Q878</f>
        <v>0</v>
      </c>
      <c r="W409" s="211" t="e">
        <f>'Secondary cum Calculation'!W878</f>
        <v>#DIV/0!</v>
      </c>
      <c r="X409" s="211" t="e">
        <f>'Secondary cum Calculation'!X878</f>
        <v>#DIV/0!</v>
      </c>
      <c r="Z409" s="11"/>
      <c r="AA409" s="11"/>
      <c r="AB409" s="11"/>
      <c r="AC409" s="11"/>
      <c r="AD409" s="11"/>
    </row>
    <row r="410" spans="1:30">
      <c r="A410" s="6" t="str">
        <f>'Secondary cum Calculation'!A880</f>
        <v>Poland</v>
      </c>
      <c r="B410" s="119" t="str">
        <f>'Secondary cum Calculation'!B880</f>
        <v>Tourism Flows</v>
      </c>
      <c r="C410" s="119" t="str">
        <f>'Secondary cum Calculation'!C880</f>
        <v>International Departures by Destination</v>
      </c>
      <c r="D410" s="119" t="str">
        <f>'Secondary cum Calculation'!D880</f>
        <v>Europe</v>
      </c>
      <c r="E410" s="6" t="str">
        <f>'Secondary cum Calculation'!E880</f>
        <v>Russian Federation</v>
      </c>
      <c r="F410" s="7" t="str">
        <f>'Secondary cum Calculation'!F880</f>
        <v>The number of international departures from a country to Russian Federation</v>
      </c>
      <c r="G410" s="7" t="str">
        <f>'Secondary cum Calculation'!G880</f>
        <v>Tourism Demand &amp; Flows Database</v>
      </c>
      <c r="H410" s="7" t="str">
        <f>'Secondary cum Calculation'!H880</f>
        <v>New</v>
      </c>
      <c r="I410" s="7">
        <f>'Secondary cum Calculation'!I880</f>
        <v>0</v>
      </c>
      <c r="J410" s="7" t="str">
        <f>'Secondary cum Calculation'!J880</f>
        <v>Thousand</v>
      </c>
      <c r="K410" s="8">
        <f>'Secondary cum Calculation'!K880</f>
        <v>0</v>
      </c>
      <c r="L410" s="218">
        <f>'Secondary cum Calculation'!L880</f>
        <v>0</v>
      </c>
      <c r="M410" s="218">
        <f>'Secondary cum Calculation'!M880</f>
        <v>0</v>
      </c>
      <c r="N410" s="218">
        <f>'Secondary cum Calculation'!N880</f>
        <v>0</v>
      </c>
      <c r="O410" s="218">
        <f>'Secondary cum Calculation'!O880</f>
        <v>0</v>
      </c>
      <c r="P410" s="218">
        <f>'Secondary cum Calculation'!P880</f>
        <v>0</v>
      </c>
      <c r="Q410" s="218">
        <f>'Secondary cum Calculation'!Q880</f>
        <v>0</v>
      </c>
      <c r="W410" s="211" t="e">
        <f>'Secondary cum Calculation'!W880</f>
        <v>#DIV/0!</v>
      </c>
      <c r="X410" s="211" t="e">
        <f>'Secondary cum Calculation'!X880</f>
        <v>#DIV/0!</v>
      </c>
      <c r="Z410" s="11"/>
      <c r="AA410" s="11"/>
      <c r="AB410" s="11"/>
      <c r="AC410" s="11"/>
      <c r="AD410" s="11"/>
    </row>
    <row r="411" spans="1:30">
      <c r="A411" s="6" t="str">
        <f>'Secondary cum Calculation'!A882</f>
        <v>Poland</v>
      </c>
      <c r="B411" s="119" t="str">
        <f>'Secondary cum Calculation'!B882</f>
        <v>Tourism Flows</v>
      </c>
      <c r="C411" s="119" t="str">
        <f>'Secondary cum Calculation'!C882</f>
        <v>International Departures by Destination</v>
      </c>
      <c r="D411" s="119" t="str">
        <f>'Secondary cum Calculation'!D882</f>
        <v>Europe</v>
      </c>
      <c r="E411" s="6" t="str">
        <f>'Secondary cum Calculation'!E882</f>
        <v>Serbia</v>
      </c>
      <c r="F411" s="7" t="str">
        <f>'Secondary cum Calculation'!F882</f>
        <v>The number of international departures from a country to Serbia</v>
      </c>
      <c r="G411" s="7" t="str">
        <f>'Secondary cum Calculation'!G882</f>
        <v>Tourism Demand &amp; Flows Database</v>
      </c>
      <c r="H411" s="7" t="str">
        <f>'Secondary cum Calculation'!H882</f>
        <v>New</v>
      </c>
      <c r="I411" s="7">
        <f>'Secondary cum Calculation'!I882</f>
        <v>0</v>
      </c>
      <c r="J411" s="7" t="str">
        <f>'Secondary cum Calculation'!J882</f>
        <v>Thousand</v>
      </c>
      <c r="K411" s="8">
        <f>'Secondary cum Calculation'!K882</f>
        <v>0</v>
      </c>
      <c r="L411" s="218">
        <f>'Secondary cum Calculation'!L882</f>
        <v>0</v>
      </c>
      <c r="M411" s="218">
        <f>'Secondary cum Calculation'!M882</f>
        <v>0</v>
      </c>
      <c r="N411" s="218">
        <f>'Secondary cum Calculation'!N882</f>
        <v>0</v>
      </c>
      <c r="O411" s="218">
        <f>'Secondary cum Calculation'!O882</f>
        <v>0</v>
      </c>
      <c r="P411" s="218">
        <f>'Secondary cum Calculation'!P882</f>
        <v>0</v>
      </c>
      <c r="Q411" s="218">
        <f>'Secondary cum Calculation'!Q882</f>
        <v>0</v>
      </c>
      <c r="W411" s="211" t="e">
        <f>'Secondary cum Calculation'!W882</f>
        <v>#DIV/0!</v>
      </c>
      <c r="X411" s="211" t="e">
        <f>'Secondary cum Calculation'!X882</f>
        <v>#DIV/0!</v>
      </c>
      <c r="Z411" s="11"/>
      <c r="AA411" s="11"/>
      <c r="AB411" s="11"/>
      <c r="AC411" s="11"/>
      <c r="AD411" s="11"/>
    </row>
    <row r="412" spans="1:30">
      <c r="A412" s="6" t="str">
        <f>'Secondary cum Calculation'!A884</f>
        <v>Poland</v>
      </c>
      <c r="B412" s="119" t="str">
        <f>'Secondary cum Calculation'!B884</f>
        <v>Tourism Flows</v>
      </c>
      <c r="C412" s="119" t="str">
        <f>'Secondary cum Calculation'!C884</f>
        <v>International Departures by Destination</v>
      </c>
      <c r="D412" s="119" t="str">
        <f>'Secondary cum Calculation'!D884</f>
        <v>Europe</v>
      </c>
      <c r="E412" s="6" t="str">
        <f>'Secondary cum Calculation'!E884</f>
        <v>Slovakia</v>
      </c>
      <c r="F412" s="7" t="str">
        <f>'Secondary cum Calculation'!F884</f>
        <v>The number of international departures from a country to Slovakia</v>
      </c>
      <c r="G412" s="7" t="str">
        <f>'Secondary cum Calculation'!G884</f>
        <v>Tourism Demand &amp; Flows Database</v>
      </c>
      <c r="H412" s="7" t="str">
        <f>'Secondary cum Calculation'!H884</f>
        <v>New</v>
      </c>
      <c r="I412" s="7">
        <f>'Secondary cum Calculation'!I884</f>
        <v>0</v>
      </c>
      <c r="J412" s="7" t="str">
        <f>'Secondary cum Calculation'!J884</f>
        <v>Thousand</v>
      </c>
      <c r="K412" s="8">
        <f>'Secondary cum Calculation'!K884</f>
        <v>0</v>
      </c>
      <c r="L412" s="218">
        <f>'Secondary cum Calculation'!L884</f>
        <v>0</v>
      </c>
      <c r="M412" s="218">
        <f>'Secondary cum Calculation'!M884</f>
        <v>0</v>
      </c>
      <c r="N412" s="218">
        <f>'Secondary cum Calculation'!N884</f>
        <v>0</v>
      </c>
      <c r="O412" s="218">
        <f>'Secondary cum Calculation'!O884</f>
        <v>0</v>
      </c>
      <c r="P412" s="218">
        <f>'Secondary cum Calculation'!P884</f>
        <v>0</v>
      </c>
      <c r="Q412" s="218">
        <f>'Secondary cum Calculation'!Q884</f>
        <v>0</v>
      </c>
      <c r="W412" s="211" t="e">
        <f>'Secondary cum Calculation'!W884</f>
        <v>#DIV/0!</v>
      </c>
      <c r="X412" s="211" t="e">
        <f>'Secondary cum Calculation'!X884</f>
        <v>#DIV/0!</v>
      </c>
      <c r="Y412" s="371"/>
      <c r="Z412" s="11"/>
      <c r="AA412" s="11"/>
      <c r="AB412" s="11"/>
      <c r="AC412" s="11"/>
      <c r="AD412" s="11"/>
    </row>
    <row r="413" spans="1:30">
      <c r="A413" s="6" t="str">
        <f>'Secondary cum Calculation'!A886</f>
        <v>Poland</v>
      </c>
      <c r="B413" s="119" t="str">
        <f>'Secondary cum Calculation'!B886</f>
        <v>Tourism Flows</v>
      </c>
      <c r="C413" s="119" t="str">
        <f>'Secondary cum Calculation'!C886</f>
        <v>International Departures by Destination</v>
      </c>
      <c r="D413" s="119" t="str">
        <f>'Secondary cum Calculation'!D886</f>
        <v>Europe</v>
      </c>
      <c r="E413" s="6" t="str">
        <f>'Secondary cum Calculation'!E886</f>
        <v>Slovenia</v>
      </c>
      <c r="F413" s="7" t="str">
        <f>'Secondary cum Calculation'!F886</f>
        <v>The number of international departures from a country to Slovenia</v>
      </c>
      <c r="G413" s="7" t="str">
        <f>'Secondary cum Calculation'!G886</f>
        <v>Tourism Demand &amp; Flows Database</v>
      </c>
      <c r="H413" s="7" t="str">
        <f>'Secondary cum Calculation'!H886</f>
        <v>New</v>
      </c>
      <c r="I413" s="7">
        <f>'Secondary cum Calculation'!I886</f>
        <v>0</v>
      </c>
      <c r="J413" s="7" t="str">
        <f>'Secondary cum Calculation'!J886</f>
        <v>Thousand</v>
      </c>
      <c r="K413" s="8">
        <f>'Secondary cum Calculation'!K886</f>
        <v>0</v>
      </c>
      <c r="L413" s="218">
        <f>'Secondary cum Calculation'!L886</f>
        <v>0</v>
      </c>
      <c r="M413" s="218">
        <f>'Secondary cum Calculation'!M886</f>
        <v>0</v>
      </c>
      <c r="N413" s="218">
        <f>'Secondary cum Calculation'!N886</f>
        <v>0</v>
      </c>
      <c r="O413" s="218">
        <f>'Secondary cum Calculation'!O886</f>
        <v>0</v>
      </c>
      <c r="P413" s="218">
        <f>'Secondary cum Calculation'!P886</f>
        <v>0</v>
      </c>
      <c r="Q413" s="218">
        <f>'Secondary cum Calculation'!Q886</f>
        <v>0</v>
      </c>
      <c r="W413" s="211" t="e">
        <f>'Secondary cum Calculation'!W886</f>
        <v>#DIV/0!</v>
      </c>
      <c r="X413" s="211" t="e">
        <f>'Secondary cum Calculation'!X886</f>
        <v>#DIV/0!</v>
      </c>
      <c r="Z413" s="11"/>
      <c r="AA413" s="11"/>
      <c r="AB413" s="11"/>
      <c r="AC413" s="11"/>
      <c r="AD413" s="11"/>
    </row>
    <row r="414" spans="1:30">
      <c r="A414" s="6" t="str">
        <f>'Secondary cum Calculation'!A888</f>
        <v>Poland</v>
      </c>
      <c r="B414" s="119" t="str">
        <f>'Secondary cum Calculation'!B888</f>
        <v>Tourism Flows</v>
      </c>
      <c r="C414" s="119" t="str">
        <f>'Secondary cum Calculation'!C888</f>
        <v>International Departures by Destination</v>
      </c>
      <c r="D414" s="119" t="str">
        <f>'Secondary cum Calculation'!D888</f>
        <v>Europe</v>
      </c>
      <c r="E414" s="6" t="str">
        <f>'Secondary cum Calculation'!E888</f>
        <v>Spain</v>
      </c>
      <c r="F414" s="7" t="str">
        <f>'Secondary cum Calculation'!F888</f>
        <v>The number of international departures from a country to Spain</v>
      </c>
      <c r="G414" s="7" t="str">
        <f>'Secondary cum Calculation'!G888</f>
        <v>Tourism Demand &amp; Flows Database</v>
      </c>
      <c r="H414" s="7" t="str">
        <f>'Secondary cum Calculation'!H888</f>
        <v>New</v>
      </c>
      <c r="I414" s="7">
        <f>'Secondary cum Calculation'!I888</f>
        <v>0</v>
      </c>
      <c r="J414" s="7" t="str">
        <f>'Secondary cum Calculation'!J888</f>
        <v>Thousand</v>
      </c>
      <c r="K414" s="8">
        <f>'Secondary cum Calculation'!K888</f>
        <v>995</v>
      </c>
      <c r="L414" s="218">
        <f>'Secondary cum Calculation'!L888</f>
        <v>0</v>
      </c>
      <c r="M414" s="218">
        <f>'Secondary cum Calculation'!M888</f>
        <v>0</v>
      </c>
      <c r="N414" s="218">
        <f>'Secondary cum Calculation'!N888</f>
        <v>0</v>
      </c>
      <c r="O414" s="218">
        <f>'Secondary cum Calculation'!O888</f>
        <v>0</v>
      </c>
      <c r="P414" s="218">
        <f>'Secondary cum Calculation'!P888</f>
        <v>0</v>
      </c>
      <c r="Q414" s="218">
        <f>'Secondary cum Calculation'!Q888</f>
        <v>0</v>
      </c>
      <c r="W414" s="211" t="e">
        <f>'Secondary cum Calculation'!W888</f>
        <v>#DIV/0!</v>
      </c>
      <c r="X414" s="211" t="e">
        <f>'Secondary cum Calculation'!X888</f>
        <v>#DIV/0!</v>
      </c>
      <c r="Z414" s="11"/>
      <c r="AA414" s="11"/>
      <c r="AB414" s="11"/>
      <c r="AC414" s="11"/>
      <c r="AD414" s="11"/>
    </row>
    <row r="415" spans="1:30">
      <c r="A415" s="6" t="str">
        <f>'Secondary cum Calculation'!A890</f>
        <v>Poland</v>
      </c>
      <c r="B415" s="119" t="str">
        <f>'Secondary cum Calculation'!B890</f>
        <v>Tourism Flows</v>
      </c>
      <c r="C415" s="119" t="str">
        <f>'Secondary cum Calculation'!C890</f>
        <v>International Departures by Destination</v>
      </c>
      <c r="D415" s="119" t="str">
        <f>'Secondary cum Calculation'!D890</f>
        <v>Europe</v>
      </c>
      <c r="E415" s="6" t="str">
        <f>'Secondary cum Calculation'!E890</f>
        <v>Sweden</v>
      </c>
      <c r="F415" s="7" t="str">
        <f>'Secondary cum Calculation'!F890</f>
        <v>The number of international departures from a country to Sweden</v>
      </c>
      <c r="G415" s="7" t="str">
        <f>'Secondary cum Calculation'!G890</f>
        <v>Tourism Demand &amp; Flows Database</v>
      </c>
      <c r="H415" s="7" t="str">
        <f>'Secondary cum Calculation'!H890</f>
        <v>New</v>
      </c>
      <c r="I415" s="7">
        <f>'Secondary cum Calculation'!I890</f>
        <v>0</v>
      </c>
      <c r="J415" s="7" t="str">
        <f>'Secondary cum Calculation'!J890</f>
        <v>Thousand</v>
      </c>
      <c r="K415" s="8">
        <f>'Secondary cum Calculation'!K890</f>
        <v>0</v>
      </c>
      <c r="L415" s="218">
        <f>'Secondary cum Calculation'!L890</f>
        <v>123</v>
      </c>
      <c r="M415" s="218">
        <f>'Secondary cum Calculation'!M890</f>
        <v>114</v>
      </c>
      <c r="N415" s="218">
        <f>'Secondary cum Calculation'!N890</f>
        <v>153</v>
      </c>
      <c r="O415" s="218">
        <f>'Secondary cum Calculation'!O890</f>
        <v>118</v>
      </c>
      <c r="P415" s="218">
        <f>'Secondary cum Calculation'!P890</f>
        <v>88</v>
      </c>
      <c r="Q415" s="365">
        <f>'Secondary cum Calculation'!Q890</f>
        <v>82.875663613109424</v>
      </c>
      <c r="W415" s="211">
        <f>'Secondary cum Calculation'!W890</f>
        <v>-7.6619833700018014E-2</v>
      </c>
      <c r="X415" s="211">
        <f>'Secondary cum Calculation'!X890</f>
        <v>-1</v>
      </c>
      <c r="Y415" s="371" t="s">
        <v>1344</v>
      </c>
      <c r="Z415" s="11"/>
      <c r="AA415" s="11"/>
      <c r="AB415" s="11"/>
      <c r="AC415" s="11"/>
      <c r="AD415" s="370">
        <v>4</v>
      </c>
    </row>
    <row r="416" spans="1:30">
      <c r="A416" s="6" t="str">
        <f>'Secondary cum Calculation'!A892</f>
        <v>Poland</v>
      </c>
      <c r="B416" s="119" t="str">
        <f>'Secondary cum Calculation'!B892</f>
        <v>Tourism Flows</v>
      </c>
      <c r="C416" s="119" t="str">
        <f>'Secondary cum Calculation'!C892</f>
        <v>International Departures by Destination</v>
      </c>
      <c r="D416" s="119" t="str">
        <f>'Secondary cum Calculation'!D892</f>
        <v>Europe</v>
      </c>
      <c r="E416" s="6" t="str">
        <f>'Secondary cum Calculation'!E892</f>
        <v>Switzerland</v>
      </c>
      <c r="F416" s="7" t="str">
        <f>'Secondary cum Calculation'!F892</f>
        <v>The number of international departures from a country to Switzerland</v>
      </c>
      <c r="G416" s="7" t="str">
        <f>'Secondary cum Calculation'!G892</f>
        <v>Tourism Demand &amp; Flows Database</v>
      </c>
      <c r="H416" s="7" t="str">
        <f>'Secondary cum Calculation'!H892</f>
        <v>New</v>
      </c>
      <c r="I416" s="7">
        <f>'Secondary cum Calculation'!I892</f>
        <v>0</v>
      </c>
      <c r="J416" s="7" t="str">
        <f>'Secondary cum Calculation'!J892</f>
        <v>Thousand</v>
      </c>
      <c r="K416" s="8">
        <f>'Secondary cum Calculation'!K892</f>
        <v>633</v>
      </c>
      <c r="L416" s="255">
        <f>'Secondary cum Calculation'!L892</f>
        <v>64</v>
      </c>
      <c r="M416" s="255">
        <f>'Secondary cum Calculation'!M892</f>
        <v>36</v>
      </c>
      <c r="N416" s="255">
        <f>'Secondary cum Calculation'!N892</f>
        <v>40</v>
      </c>
      <c r="O416" s="218">
        <f>'Secondary cum Calculation'!O892</f>
        <v>123</v>
      </c>
      <c r="P416" s="218">
        <f>'Secondary cum Calculation'!P892</f>
        <v>120</v>
      </c>
      <c r="Q416" s="365">
        <f>'Secondary cum Calculation'!Q892</f>
        <v>132.55727216632536</v>
      </c>
      <c r="W416" s="211">
        <f>'Secondary cum Calculation'!W892</f>
        <v>0.38524076778404348</v>
      </c>
      <c r="X416" s="211">
        <f>'Secondary cum Calculation'!X892</f>
        <v>-1</v>
      </c>
      <c r="Y416" s="371" t="s">
        <v>1344</v>
      </c>
      <c r="Z416" s="11"/>
      <c r="AA416" s="11"/>
      <c r="AB416" s="11"/>
      <c r="AC416" s="11"/>
      <c r="AD416" s="370">
        <v>4</v>
      </c>
    </row>
    <row r="417" spans="1:30">
      <c r="A417" s="6" t="str">
        <f>'Secondary cum Calculation'!A894</f>
        <v>Poland</v>
      </c>
      <c r="B417" s="119" t="str">
        <f>'Secondary cum Calculation'!B894</f>
        <v>Tourism Flows</v>
      </c>
      <c r="C417" s="119" t="str">
        <f>'Secondary cum Calculation'!C894</f>
        <v>International Departures by Destination</v>
      </c>
      <c r="D417" s="119" t="str">
        <f>'Secondary cum Calculation'!D894</f>
        <v>Europe</v>
      </c>
      <c r="E417" s="6" t="str">
        <f>'Secondary cum Calculation'!E894</f>
        <v>TFYR Macedonia</v>
      </c>
      <c r="F417" s="7" t="str">
        <f>'Secondary cum Calculation'!F894</f>
        <v>The number of international departures from a country to TFYR Macedonia</v>
      </c>
      <c r="G417" s="7" t="str">
        <f>'Secondary cum Calculation'!G894</f>
        <v>Tourism Demand &amp; Flows Database</v>
      </c>
      <c r="H417" s="7" t="str">
        <f>'Secondary cum Calculation'!H894</f>
        <v>New</v>
      </c>
      <c r="I417" s="7">
        <f>'Secondary cum Calculation'!I894</f>
        <v>0</v>
      </c>
      <c r="J417" s="7" t="str">
        <f>'Secondary cum Calculation'!J894</f>
        <v>Thousand</v>
      </c>
      <c r="K417" s="8">
        <f>'Secondary cum Calculation'!K894</f>
        <v>0</v>
      </c>
      <c r="L417" s="218">
        <f>'Secondary cum Calculation'!L894</f>
        <v>0</v>
      </c>
      <c r="M417" s="218">
        <f>'Secondary cum Calculation'!M894</f>
        <v>0</v>
      </c>
      <c r="N417" s="218">
        <f>'Secondary cum Calculation'!N894</f>
        <v>0</v>
      </c>
      <c r="O417" s="218">
        <f>'Secondary cum Calculation'!O894</f>
        <v>0</v>
      </c>
      <c r="P417" s="218">
        <f>'Secondary cum Calculation'!P894</f>
        <v>0</v>
      </c>
      <c r="Q417" s="218">
        <f>'Secondary cum Calculation'!Q894</f>
        <v>0</v>
      </c>
      <c r="W417" s="211" t="e">
        <f>'Secondary cum Calculation'!W894</f>
        <v>#DIV/0!</v>
      </c>
      <c r="X417" s="211" t="e">
        <f>'Secondary cum Calculation'!X894</f>
        <v>#DIV/0!</v>
      </c>
      <c r="Z417" s="11"/>
      <c r="AA417" s="11"/>
      <c r="AB417" s="11"/>
      <c r="AC417" s="11"/>
      <c r="AD417" s="11"/>
    </row>
    <row r="418" spans="1:30">
      <c r="A418" s="6" t="str">
        <f>'Secondary cum Calculation'!A896</f>
        <v>Poland</v>
      </c>
      <c r="B418" s="119" t="str">
        <f>'Secondary cum Calculation'!B896</f>
        <v>Tourism Flows</v>
      </c>
      <c r="C418" s="119" t="str">
        <f>'Secondary cum Calculation'!C896</f>
        <v>International Departures by Destination</v>
      </c>
      <c r="D418" s="119" t="str">
        <f>'Secondary cum Calculation'!D896</f>
        <v>Europe</v>
      </c>
      <c r="E418" s="6" t="str">
        <f>'Secondary cum Calculation'!E896</f>
        <v>Turkey</v>
      </c>
      <c r="F418" s="7" t="str">
        <f>'Secondary cum Calculation'!F896</f>
        <v>The number of international departures from a country to Turkey</v>
      </c>
      <c r="G418" s="7" t="str">
        <f>'Secondary cum Calculation'!G896</f>
        <v>Tourism Demand &amp; Flows Database</v>
      </c>
      <c r="H418" s="7" t="str">
        <f>'Secondary cum Calculation'!H896</f>
        <v>New</v>
      </c>
      <c r="I418" s="7">
        <f>'Secondary cum Calculation'!I896</f>
        <v>0</v>
      </c>
      <c r="J418" s="7" t="str">
        <f>'Secondary cum Calculation'!J896</f>
        <v>Thousand</v>
      </c>
      <c r="K418" s="8" t="str">
        <f>'Secondary cum Calculation'!K896</f>
        <v>**</v>
      </c>
      <c r="L418" s="218">
        <f>'Secondary cum Calculation'!L896</f>
        <v>0</v>
      </c>
      <c r="M418" s="218">
        <f>'Secondary cum Calculation'!M896</f>
        <v>0</v>
      </c>
      <c r="N418" s="218">
        <f>'Secondary cum Calculation'!N896</f>
        <v>0</v>
      </c>
      <c r="O418" s="218">
        <f>'Secondary cum Calculation'!O896</f>
        <v>0</v>
      </c>
      <c r="P418" s="218">
        <f>'Secondary cum Calculation'!P896</f>
        <v>0</v>
      </c>
      <c r="Q418" s="218">
        <f>'Secondary cum Calculation'!Q896</f>
        <v>0</v>
      </c>
      <c r="W418" s="211" t="e">
        <f>'Secondary cum Calculation'!W896</f>
        <v>#DIV/0!</v>
      </c>
      <c r="X418" s="211" t="e">
        <f>'Secondary cum Calculation'!X896</f>
        <v>#DIV/0!</v>
      </c>
      <c r="Y418" s="371"/>
      <c r="Z418" s="11"/>
      <c r="AA418" s="11"/>
      <c r="AB418" s="11"/>
      <c r="AC418" s="11"/>
      <c r="AD418" s="11"/>
    </row>
    <row r="419" spans="1:30">
      <c r="A419" s="6" t="str">
        <f>'Secondary cum Calculation'!A898</f>
        <v>Poland</v>
      </c>
      <c r="B419" s="119" t="str">
        <f>'Secondary cum Calculation'!B898</f>
        <v>Tourism Flows</v>
      </c>
      <c r="C419" s="119" t="str">
        <f>'Secondary cum Calculation'!C898</f>
        <v>International Departures by Destination</v>
      </c>
      <c r="D419" s="119" t="str">
        <f>'Secondary cum Calculation'!D898</f>
        <v>Europe</v>
      </c>
      <c r="E419" s="6" t="str">
        <f>'Secondary cum Calculation'!E898</f>
        <v>Ukraine</v>
      </c>
      <c r="F419" s="7" t="str">
        <f>'Secondary cum Calculation'!F898</f>
        <v>The number of international departures from a country to Ukraine</v>
      </c>
      <c r="G419" s="7" t="str">
        <f>'Secondary cum Calculation'!G898</f>
        <v>Tourism Demand &amp; Flows Database</v>
      </c>
      <c r="H419" s="7" t="str">
        <f>'Secondary cum Calculation'!H898</f>
        <v>New</v>
      </c>
      <c r="I419" s="7">
        <f>'Secondary cum Calculation'!I898</f>
        <v>0</v>
      </c>
      <c r="J419" s="7" t="str">
        <f>'Secondary cum Calculation'!J898</f>
        <v>Thousand</v>
      </c>
      <c r="K419" s="8">
        <f>'Secondary cum Calculation'!K898</f>
        <v>0</v>
      </c>
      <c r="L419" s="218">
        <f>'Secondary cum Calculation'!L898</f>
        <v>0</v>
      </c>
      <c r="M419" s="218">
        <f>'Secondary cum Calculation'!M898</f>
        <v>0</v>
      </c>
      <c r="N419" s="218">
        <f>'Secondary cum Calculation'!N898</f>
        <v>0</v>
      </c>
      <c r="O419" s="218">
        <f>'Secondary cum Calculation'!O898</f>
        <v>0</v>
      </c>
      <c r="P419" s="218">
        <f>'Secondary cum Calculation'!P898</f>
        <v>0</v>
      </c>
      <c r="Q419" s="218">
        <f>'Secondary cum Calculation'!Q898</f>
        <v>0</v>
      </c>
      <c r="W419" s="211" t="e">
        <f>'Secondary cum Calculation'!W898</f>
        <v>#DIV/0!</v>
      </c>
      <c r="X419" s="211" t="e">
        <f>'Secondary cum Calculation'!X898</f>
        <v>#DIV/0!</v>
      </c>
      <c r="Z419" s="11"/>
      <c r="AA419" s="11"/>
      <c r="AB419" s="11"/>
      <c r="AC419" s="11"/>
      <c r="AD419" s="11"/>
    </row>
    <row r="420" spans="1:30">
      <c r="A420" s="6" t="str">
        <f>'Secondary cum Calculation'!A900</f>
        <v>Poland</v>
      </c>
      <c r="B420" s="119" t="str">
        <f>'Secondary cum Calculation'!B900</f>
        <v>Tourism Flows</v>
      </c>
      <c r="C420" s="119" t="str">
        <f>'Secondary cum Calculation'!C900</f>
        <v>International Departures by Destination</v>
      </c>
      <c r="D420" s="119" t="str">
        <f>'Secondary cum Calculation'!D900</f>
        <v>Europe</v>
      </c>
      <c r="E420" s="6" t="str">
        <f>'Secondary cum Calculation'!E900</f>
        <v>United Kingdom</v>
      </c>
      <c r="F420" s="7" t="str">
        <f>'Secondary cum Calculation'!F900</f>
        <v>The number of international departures from a country to United Kingdom</v>
      </c>
      <c r="G420" s="7" t="str">
        <f>'Secondary cum Calculation'!G900</f>
        <v>Tourism Demand &amp; Flows Database</v>
      </c>
      <c r="H420" s="7" t="str">
        <f>'Secondary cum Calculation'!H900</f>
        <v>New</v>
      </c>
      <c r="I420" s="7">
        <f>'Secondary cum Calculation'!I900</f>
        <v>0</v>
      </c>
      <c r="J420" s="7" t="str">
        <f>'Secondary cum Calculation'!J900</f>
        <v>Thousand</v>
      </c>
      <c r="K420" s="8">
        <f>'Secondary cum Calculation'!K900</f>
        <v>3286</v>
      </c>
      <c r="L420" s="218">
        <f>'Secondary cum Calculation'!L900</f>
        <v>763</v>
      </c>
      <c r="M420" s="218">
        <f>'Secondary cum Calculation'!M900</f>
        <v>409</v>
      </c>
      <c r="N420" s="218">
        <f>'Secondary cum Calculation'!N900</f>
        <v>463</v>
      </c>
      <c r="O420" s="218">
        <f>'Secondary cum Calculation'!O900</f>
        <v>570</v>
      </c>
      <c r="P420" s="218">
        <f>'Secondary cum Calculation'!P900</f>
        <v>492</v>
      </c>
      <c r="Q420" s="365">
        <f>'Secondary cum Calculation'!Q900</f>
        <v>462.92916543632549</v>
      </c>
      <c r="W420" s="211">
        <f>'Secondary cum Calculation'!W900</f>
        <v>3.1449117825271822E-2</v>
      </c>
      <c r="X420" s="211">
        <f>'Secondary cum Calculation'!X900</f>
        <v>-1</v>
      </c>
      <c r="Y420" s="371" t="s">
        <v>1344</v>
      </c>
      <c r="Z420" s="11"/>
      <c r="AA420" s="11"/>
      <c r="AB420" s="11"/>
      <c r="AC420" s="11"/>
      <c r="AD420" s="370">
        <v>4</v>
      </c>
    </row>
    <row r="421" spans="1:30">
      <c r="A421" s="6" t="str">
        <f>'Secondary cum Calculation'!A902</f>
        <v>Poland</v>
      </c>
      <c r="B421" s="119" t="str">
        <f>'Secondary cum Calculation'!B902</f>
        <v>Tourism Flows</v>
      </c>
      <c r="C421" s="119" t="str">
        <f>'Secondary cum Calculation'!C902</f>
        <v>International Departures by Destination</v>
      </c>
      <c r="D421" s="119" t="str">
        <f>'Secondary cum Calculation'!D902</f>
        <v>Europe</v>
      </c>
      <c r="E421" s="6" t="str">
        <f>'Secondary cum Calculation'!E902</f>
        <v>Other European Countries</v>
      </c>
      <c r="F421" s="41" t="str">
        <f>'Secondary cum Calculation'!F902</f>
        <v>To be defined according to the gaps in the country data above</v>
      </c>
      <c r="G421" s="7">
        <f>'Secondary cum Calculation'!G902</f>
        <v>0</v>
      </c>
      <c r="H421" s="7">
        <f>'Secondary cum Calculation'!H902</f>
        <v>0</v>
      </c>
      <c r="I421" s="7">
        <f>'Secondary cum Calculation'!I902</f>
        <v>0</v>
      </c>
      <c r="J421" s="7" t="str">
        <f>'Secondary cum Calculation'!J902</f>
        <v>Thousand</v>
      </c>
      <c r="K421" s="8">
        <f>'Secondary cum Calculation'!K902</f>
        <v>0</v>
      </c>
      <c r="L421" s="365">
        <f>'Secondary cum Calculation'!L902</f>
        <v>2061.5250237928249</v>
      </c>
      <c r="M421" s="365">
        <f>'Secondary cum Calculation'!M902</f>
        <v>2908.2235533511548</v>
      </c>
      <c r="N421" s="365">
        <f>'Secondary cum Calculation'!N902</f>
        <v>2235.9934490327623</v>
      </c>
      <c r="O421" s="365">
        <f>'Secondary cum Calculation'!O902</f>
        <v>2977.7966470588235</v>
      </c>
      <c r="P421" s="365">
        <f>'Secondary cum Calculation'!P902</f>
        <v>2976.0534705882355</v>
      </c>
      <c r="Q421" s="365">
        <f>'Secondary cum Calculation'!Q902</f>
        <v>3056.9633855022298</v>
      </c>
      <c r="R421" s="126"/>
      <c r="S421" s="126"/>
      <c r="T421" s="126"/>
      <c r="U421" s="126"/>
      <c r="V421" s="126"/>
      <c r="W421" s="211">
        <f>'Secondary cum Calculation'!W902</f>
        <v>1.2547981884027282E-2</v>
      </c>
      <c r="X421" s="211">
        <f>'Secondary cum Calculation'!X902</f>
        <v>-1</v>
      </c>
      <c r="Z421" s="11"/>
      <c r="AA421" s="11"/>
      <c r="AB421" s="11"/>
      <c r="AC421" s="11"/>
      <c r="AD421" s="370">
        <v>3</v>
      </c>
    </row>
    <row r="422" spans="1:30">
      <c r="A422" s="213" t="str">
        <f>'Secondary cum Calculation'!A904</f>
        <v>Poland</v>
      </c>
      <c r="B422" s="214" t="str">
        <f>'Secondary cum Calculation'!B904</f>
        <v>Tourism Flows</v>
      </c>
      <c r="C422" s="214" t="str">
        <f>'Secondary cum Calculation'!C904</f>
        <v>International Departures by Destination</v>
      </c>
      <c r="D422" s="213" t="str">
        <f>'Secondary cum Calculation'!D904</f>
        <v>Middle East</v>
      </c>
      <c r="E422" s="215"/>
      <c r="F422" s="215" t="str">
        <f>'Secondary cum Calculation'!F904</f>
        <v>The number of international departures from a country to the Middle East</v>
      </c>
      <c r="G422" s="215" t="str">
        <f>'Secondary cum Calculation'!G904</f>
        <v>Tourism Demand &amp; Flows Database</v>
      </c>
      <c r="H422" s="215" t="str">
        <f>'Secondary cum Calculation'!H904</f>
        <v>New</v>
      </c>
      <c r="I422" s="215">
        <f>'Secondary cum Calculation'!I904</f>
        <v>0</v>
      </c>
      <c r="J422" s="215" t="str">
        <f>'Secondary cum Calculation'!J904</f>
        <v>Thousand</v>
      </c>
      <c r="K422" s="216">
        <f>'Secondary cum Calculation'!K904</f>
        <v>0</v>
      </c>
      <c r="L422" s="367">
        <f>'Secondary cum Calculation'!L904</f>
        <v>30.684725075329453</v>
      </c>
      <c r="M422" s="367">
        <f>'Secondary cum Calculation'!M904</f>
        <v>42.164130026086298</v>
      </c>
      <c r="N422" s="367">
        <f>'Secondary cum Calculation'!N904</f>
        <v>36.156641710798738</v>
      </c>
      <c r="O422" s="367">
        <f>'Secondary cum Calculation'!O904</f>
        <v>41.070924694601359</v>
      </c>
      <c r="P422" s="367">
        <f>'Secondary cum Calculation'!P904</f>
        <v>46.363210382450632</v>
      </c>
      <c r="Q422" s="367">
        <f>Forecasting!Q990</f>
        <v>48.841907364934627</v>
      </c>
      <c r="R422" s="217">
        <f>Forecasting!R990</f>
        <v>51.158895135277753</v>
      </c>
      <c r="S422" s="217">
        <f>Forecasting!S990</f>
        <v>53.298234296365237</v>
      </c>
      <c r="T422" s="217">
        <f>Forecasting!T990</f>
        <v>55.059053556440809</v>
      </c>
      <c r="U422" s="217">
        <f>Forecasting!U990</f>
        <v>57.314803815954285</v>
      </c>
      <c r="V422" s="217">
        <f>Forecasting!V990</f>
        <v>59.53342329960784</v>
      </c>
      <c r="W422" s="246">
        <f>'Secondary cum Calculation'!W904</f>
        <v>3.7438516749683126E-2</v>
      </c>
      <c r="X422" s="246">
        <f>'Secondary cum Calculation'!X904</f>
        <v>4.0383960523816986E-2</v>
      </c>
      <c r="Z422" s="11"/>
      <c r="AA422" s="11"/>
      <c r="AB422" s="11"/>
      <c r="AC422" s="11"/>
      <c r="AD422" s="370">
        <v>3</v>
      </c>
    </row>
    <row r="423" spans="1:30">
      <c r="A423" s="6" t="str">
        <f>'Secondary cum Calculation'!A906</f>
        <v>Poland</v>
      </c>
      <c r="B423" s="119" t="str">
        <f>'Secondary cum Calculation'!B906</f>
        <v>Tourism Flows</v>
      </c>
      <c r="C423" s="119" t="str">
        <f>'Secondary cum Calculation'!C906</f>
        <v>International Departures by Destination</v>
      </c>
      <c r="D423" s="119" t="str">
        <f>'Secondary cum Calculation'!D906</f>
        <v>Middle East</v>
      </c>
      <c r="E423" s="6" t="str">
        <f>'Secondary cum Calculation'!E906</f>
        <v>Bahrain</v>
      </c>
      <c r="F423" s="7" t="str">
        <f>'Secondary cum Calculation'!F906</f>
        <v>The number of international departures from a country to Bahrain</v>
      </c>
      <c r="G423" s="7" t="str">
        <f>'Secondary cum Calculation'!G906</f>
        <v>Tourism Demand &amp; Flows Database</v>
      </c>
      <c r="H423" s="7" t="str">
        <f>'Secondary cum Calculation'!H906</f>
        <v>New</v>
      </c>
      <c r="I423" s="7">
        <f>'Secondary cum Calculation'!I906</f>
        <v>0</v>
      </c>
      <c r="J423" s="7" t="str">
        <f>'Secondary cum Calculation'!J906</f>
        <v>Thousand</v>
      </c>
      <c r="K423" s="8">
        <f>'Secondary cum Calculation'!K906</f>
        <v>0</v>
      </c>
      <c r="L423" s="358">
        <f>'Secondary cum Calculation'!L906</f>
        <v>0</v>
      </c>
      <c r="M423" s="358">
        <f>'Secondary cum Calculation'!M906</f>
        <v>0</v>
      </c>
      <c r="N423" s="358">
        <f>'Secondary cum Calculation'!N906</f>
        <v>0</v>
      </c>
      <c r="O423" s="358">
        <f>'Secondary cum Calculation'!O906</f>
        <v>0</v>
      </c>
      <c r="P423" s="358">
        <f>'Secondary cum Calculation'!P906</f>
        <v>0</v>
      </c>
      <c r="Q423" s="358">
        <f>'Secondary cum Calculation'!Q906</f>
        <v>0</v>
      </c>
      <c r="W423" s="211" t="e">
        <f>'Secondary cum Calculation'!W906</f>
        <v>#DIV/0!</v>
      </c>
      <c r="X423" s="211" t="e">
        <f>'Secondary cum Calculation'!X906</f>
        <v>#DIV/0!</v>
      </c>
      <c r="Z423" s="11"/>
      <c r="AA423" s="11"/>
      <c r="AB423" s="11"/>
      <c r="AC423" s="11"/>
      <c r="AD423" s="11"/>
    </row>
    <row r="424" spans="1:30">
      <c r="A424" s="6" t="str">
        <f>'Secondary cum Calculation'!A908</f>
        <v>Poland</v>
      </c>
      <c r="B424" s="119" t="str">
        <f>'Secondary cum Calculation'!B908</f>
        <v>Tourism Flows</v>
      </c>
      <c r="C424" s="119" t="str">
        <f>'Secondary cum Calculation'!C908</f>
        <v>International Departures by Destination</v>
      </c>
      <c r="D424" s="119" t="str">
        <f>'Secondary cum Calculation'!D908</f>
        <v>Middle East</v>
      </c>
      <c r="E424" s="6" t="str">
        <f>'Secondary cum Calculation'!E908</f>
        <v>Iran (Islamic Republic of)</v>
      </c>
      <c r="F424" s="7" t="str">
        <f>'Secondary cum Calculation'!F908</f>
        <v>The number of international departures from a country to Iran (Islamic Republic of)</v>
      </c>
      <c r="G424" s="7" t="str">
        <f>'Secondary cum Calculation'!G908</f>
        <v>Tourism Demand &amp; Flows Database</v>
      </c>
      <c r="H424" s="7" t="str">
        <f>'Secondary cum Calculation'!H908</f>
        <v>New</v>
      </c>
      <c r="I424" s="7">
        <f>'Secondary cum Calculation'!I908</f>
        <v>0</v>
      </c>
      <c r="J424" s="7" t="str">
        <f>'Secondary cum Calculation'!J908</f>
        <v>Thousand</v>
      </c>
      <c r="K424" s="8">
        <f>'Secondary cum Calculation'!K908</f>
        <v>0</v>
      </c>
      <c r="L424" s="358">
        <f>'Secondary cum Calculation'!L908</f>
        <v>0</v>
      </c>
      <c r="M424" s="358">
        <f>'Secondary cum Calculation'!M908</f>
        <v>0</v>
      </c>
      <c r="N424" s="358">
        <f>'Secondary cum Calculation'!N908</f>
        <v>0</v>
      </c>
      <c r="O424" s="358">
        <f>'Secondary cum Calculation'!O908</f>
        <v>0</v>
      </c>
      <c r="P424" s="358">
        <f>'Secondary cum Calculation'!P908</f>
        <v>0</v>
      </c>
      <c r="Q424" s="358">
        <f>'Secondary cum Calculation'!Q908</f>
        <v>0</v>
      </c>
      <c r="W424" s="211" t="e">
        <f>'Secondary cum Calculation'!W908</f>
        <v>#DIV/0!</v>
      </c>
      <c r="X424" s="211" t="e">
        <f>'Secondary cum Calculation'!X908</f>
        <v>#DIV/0!</v>
      </c>
      <c r="Z424" s="11"/>
      <c r="AA424" s="11"/>
      <c r="AB424" s="11"/>
      <c r="AC424" s="11"/>
      <c r="AD424" s="11"/>
    </row>
    <row r="425" spans="1:30">
      <c r="A425" s="6" t="str">
        <f>'Secondary cum Calculation'!A910</f>
        <v>Poland</v>
      </c>
      <c r="B425" s="119" t="str">
        <f>'Secondary cum Calculation'!B910</f>
        <v>Tourism Flows</v>
      </c>
      <c r="C425" s="119" t="str">
        <f>'Secondary cum Calculation'!C910</f>
        <v>International Departures by Destination</v>
      </c>
      <c r="D425" s="119" t="str">
        <f>'Secondary cum Calculation'!D910</f>
        <v>Middle East</v>
      </c>
      <c r="E425" s="6" t="str">
        <f>'Secondary cum Calculation'!E910</f>
        <v>Iraq</v>
      </c>
      <c r="F425" s="7" t="str">
        <f>'Secondary cum Calculation'!F910</f>
        <v>The number of international departures from a country to Iraq</v>
      </c>
      <c r="G425" s="7" t="str">
        <f>'Secondary cum Calculation'!G910</f>
        <v>Tourism Demand &amp; Flows Database</v>
      </c>
      <c r="H425" s="7" t="str">
        <f>'Secondary cum Calculation'!H910</f>
        <v>New</v>
      </c>
      <c r="I425" s="7">
        <f>'Secondary cum Calculation'!I910</f>
        <v>0</v>
      </c>
      <c r="J425" s="7" t="str">
        <f>'Secondary cum Calculation'!J910</f>
        <v>Thousand</v>
      </c>
      <c r="K425" s="8">
        <f>'Secondary cum Calculation'!K910</f>
        <v>0</v>
      </c>
      <c r="L425" s="358">
        <f>'Secondary cum Calculation'!L910</f>
        <v>0</v>
      </c>
      <c r="M425" s="358">
        <f>'Secondary cum Calculation'!M910</f>
        <v>0</v>
      </c>
      <c r="N425" s="358">
        <f>'Secondary cum Calculation'!N910</f>
        <v>0</v>
      </c>
      <c r="O425" s="358">
        <f>'Secondary cum Calculation'!O910</f>
        <v>0</v>
      </c>
      <c r="P425" s="358">
        <f>'Secondary cum Calculation'!P910</f>
        <v>0</v>
      </c>
      <c r="Q425" s="358">
        <f>'Secondary cum Calculation'!Q910</f>
        <v>0</v>
      </c>
      <c r="W425" s="211" t="e">
        <f>'Secondary cum Calculation'!W910</f>
        <v>#DIV/0!</v>
      </c>
      <c r="X425" s="211" t="e">
        <f>'Secondary cum Calculation'!X910</f>
        <v>#DIV/0!</v>
      </c>
      <c r="Z425" s="11"/>
      <c r="AA425" s="11"/>
      <c r="AB425" s="11"/>
      <c r="AC425" s="11"/>
      <c r="AD425" s="11"/>
    </row>
    <row r="426" spans="1:30">
      <c r="A426" s="6" t="str">
        <f>'Secondary cum Calculation'!A912</f>
        <v>Poland</v>
      </c>
      <c r="B426" s="119" t="str">
        <f>'Secondary cum Calculation'!B912</f>
        <v>Tourism Flows</v>
      </c>
      <c r="C426" s="119" t="str">
        <f>'Secondary cum Calculation'!C912</f>
        <v>International Departures by Destination</v>
      </c>
      <c r="D426" s="119" t="str">
        <f>'Secondary cum Calculation'!D912</f>
        <v>Middle East</v>
      </c>
      <c r="E426" s="6" t="str">
        <f>'Secondary cum Calculation'!E912</f>
        <v>Israel</v>
      </c>
      <c r="F426" s="7" t="str">
        <f>'Secondary cum Calculation'!F912</f>
        <v>The number of international departures from a country to Israel</v>
      </c>
      <c r="G426" s="7" t="str">
        <f>'Secondary cum Calculation'!G912</f>
        <v>Tourism Demand &amp; Flows Database</v>
      </c>
      <c r="H426" s="7" t="str">
        <f>'Secondary cum Calculation'!H912</f>
        <v>New</v>
      </c>
      <c r="I426" s="7">
        <f>'Secondary cum Calculation'!I912</f>
        <v>0</v>
      </c>
      <c r="J426" s="7" t="str">
        <f>'Secondary cum Calculation'!J912</f>
        <v>Thousand</v>
      </c>
      <c r="K426" s="8">
        <f>'Secondary cum Calculation'!K912</f>
        <v>0</v>
      </c>
      <c r="L426" s="358">
        <f>'Secondary cum Calculation'!L912</f>
        <v>0</v>
      </c>
      <c r="M426" s="358">
        <f>'Secondary cum Calculation'!M912</f>
        <v>0</v>
      </c>
      <c r="N426" s="358">
        <f>'Secondary cum Calculation'!N912</f>
        <v>0</v>
      </c>
      <c r="O426" s="358">
        <f>'Secondary cum Calculation'!O912</f>
        <v>0</v>
      </c>
      <c r="P426" s="358">
        <f>'Secondary cum Calculation'!P912</f>
        <v>0</v>
      </c>
      <c r="Q426" s="358">
        <f>'Secondary cum Calculation'!Q912</f>
        <v>0</v>
      </c>
      <c r="W426" s="211" t="e">
        <f>'Secondary cum Calculation'!W912</f>
        <v>#DIV/0!</v>
      </c>
      <c r="X426" s="211" t="e">
        <f>'Secondary cum Calculation'!X912</f>
        <v>#DIV/0!</v>
      </c>
      <c r="Z426" s="11"/>
      <c r="AA426" s="11"/>
      <c r="AB426" s="11"/>
      <c r="AC426" s="11"/>
      <c r="AD426" s="11"/>
    </row>
    <row r="427" spans="1:30">
      <c r="A427" s="6" t="str">
        <f>'Secondary cum Calculation'!A914</f>
        <v>Poland</v>
      </c>
      <c r="B427" s="119" t="str">
        <f>'Secondary cum Calculation'!B914</f>
        <v>Tourism Flows</v>
      </c>
      <c r="C427" s="119" t="str">
        <f>'Secondary cum Calculation'!C914</f>
        <v>International Departures by Destination</v>
      </c>
      <c r="D427" s="119" t="str">
        <f>'Secondary cum Calculation'!D914</f>
        <v>Middle East</v>
      </c>
      <c r="E427" s="6" t="str">
        <f>'Secondary cum Calculation'!E914</f>
        <v>Jordan</v>
      </c>
      <c r="F427" s="7" t="str">
        <f>'Secondary cum Calculation'!F914</f>
        <v>The number of international departures from a country to Jordan</v>
      </c>
      <c r="G427" s="7" t="str">
        <f>'Secondary cum Calculation'!G914</f>
        <v>Tourism Demand &amp; Flows Database</v>
      </c>
      <c r="H427" s="7" t="str">
        <f>'Secondary cum Calculation'!H914</f>
        <v>New</v>
      </c>
      <c r="I427" s="7">
        <f>'Secondary cum Calculation'!I914</f>
        <v>0</v>
      </c>
      <c r="J427" s="7" t="str">
        <f>'Secondary cum Calculation'!J914</f>
        <v>Thousand</v>
      </c>
      <c r="K427" s="8">
        <f>'Secondary cum Calculation'!K914</f>
        <v>0</v>
      </c>
      <c r="L427" s="358">
        <f>'Secondary cum Calculation'!L914</f>
        <v>0</v>
      </c>
      <c r="M427" s="358">
        <f>'Secondary cum Calculation'!M914</f>
        <v>0</v>
      </c>
      <c r="N427" s="358">
        <f>'Secondary cum Calculation'!N914</f>
        <v>0</v>
      </c>
      <c r="O427" s="358">
        <f>'Secondary cum Calculation'!O914</f>
        <v>0</v>
      </c>
      <c r="P427" s="358">
        <f>'Secondary cum Calculation'!P914</f>
        <v>0</v>
      </c>
      <c r="Q427" s="358">
        <f>'Secondary cum Calculation'!Q914</f>
        <v>0</v>
      </c>
      <c r="W427" s="211" t="e">
        <f>'Secondary cum Calculation'!W914</f>
        <v>#DIV/0!</v>
      </c>
      <c r="X427" s="211" t="e">
        <f>'Secondary cum Calculation'!X914</f>
        <v>#DIV/0!</v>
      </c>
      <c r="Z427" s="11"/>
      <c r="AA427" s="11"/>
      <c r="AB427" s="11"/>
      <c r="AC427" s="11"/>
      <c r="AD427" s="11"/>
    </row>
    <row r="428" spans="1:30">
      <c r="A428" s="6" t="str">
        <f>'Secondary cum Calculation'!A916</f>
        <v>Poland</v>
      </c>
      <c r="B428" s="119" t="str">
        <f>'Secondary cum Calculation'!B916</f>
        <v>Tourism Flows</v>
      </c>
      <c r="C428" s="119" t="str">
        <f>'Secondary cum Calculation'!C916</f>
        <v>International Departures by Destination</v>
      </c>
      <c r="D428" s="119" t="str">
        <f>'Secondary cum Calculation'!D916</f>
        <v>Middle East</v>
      </c>
      <c r="E428" s="6" t="str">
        <f>'Secondary cum Calculation'!E916</f>
        <v>Kuwait</v>
      </c>
      <c r="F428" s="7" t="str">
        <f>'Secondary cum Calculation'!F916</f>
        <v>The number of international departures from a country to Kuwait</v>
      </c>
      <c r="G428" s="7" t="str">
        <f>'Secondary cum Calculation'!G916</f>
        <v>Tourism Demand &amp; Flows Database</v>
      </c>
      <c r="H428" s="7" t="str">
        <f>'Secondary cum Calculation'!H916</f>
        <v>New</v>
      </c>
      <c r="I428" s="7">
        <f>'Secondary cum Calculation'!I916</f>
        <v>0</v>
      </c>
      <c r="J428" s="7" t="str">
        <f>'Secondary cum Calculation'!J916</f>
        <v>Thousand</v>
      </c>
      <c r="K428" s="8">
        <f>'Secondary cum Calculation'!K916</f>
        <v>0</v>
      </c>
      <c r="L428" s="358">
        <f>'Secondary cum Calculation'!L916</f>
        <v>0</v>
      </c>
      <c r="M428" s="358">
        <f>'Secondary cum Calculation'!M916</f>
        <v>0</v>
      </c>
      <c r="N428" s="358">
        <f>'Secondary cum Calculation'!N916</f>
        <v>0</v>
      </c>
      <c r="O428" s="358">
        <f>'Secondary cum Calculation'!O916</f>
        <v>0</v>
      </c>
      <c r="P428" s="358">
        <f>'Secondary cum Calculation'!P916</f>
        <v>0</v>
      </c>
      <c r="Q428" s="358">
        <f>'Secondary cum Calculation'!Q916</f>
        <v>0</v>
      </c>
      <c r="W428" s="211" t="e">
        <f>'Secondary cum Calculation'!W916</f>
        <v>#DIV/0!</v>
      </c>
      <c r="X428" s="211" t="e">
        <f>'Secondary cum Calculation'!X916</f>
        <v>#DIV/0!</v>
      </c>
      <c r="Z428" s="11"/>
      <c r="AA428" s="11"/>
      <c r="AB428" s="11"/>
      <c r="AC428" s="11"/>
      <c r="AD428" s="11"/>
    </row>
    <row r="429" spans="1:30">
      <c r="A429" s="6" t="str">
        <f>'Secondary cum Calculation'!A918</f>
        <v>Poland</v>
      </c>
      <c r="B429" s="119" t="str">
        <f>'Secondary cum Calculation'!B918</f>
        <v>Tourism Flows</v>
      </c>
      <c r="C429" s="119" t="str">
        <f>'Secondary cum Calculation'!C918</f>
        <v>International Departures by Destination</v>
      </c>
      <c r="D429" s="119" t="str">
        <f>'Secondary cum Calculation'!D918</f>
        <v>Middle East</v>
      </c>
      <c r="E429" s="6" t="str">
        <f>'Secondary cum Calculation'!E918</f>
        <v>Lebanon</v>
      </c>
      <c r="F429" s="7" t="str">
        <f>'Secondary cum Calculation'!F918</f>
        <v>The number of international departures from a country to Lebanon</v>
      </c>
      <c r="G429" s="7" t="str">
        <f>'Secondary cum Calculation'!G918</f>
        <v>Tourism Demand &amp; Flows Database</v>
      </c>
      <c r="H429" s="7" t="str">
        <f>'Secondary cum Calculation'!H918</f>
        <v>New</v>
      </c>
      <c r="I429" s="7">
        <f>'Secondary cum Calculation'!I918</f>
        <v>0</v>
      </c>
      <c r="J429" s="7" t="str">
        <f>'Secondary cum Calculation'!J918</f>
        <v>Thousand</v>
      </c>
      <c r="K429" s="8">
        <f>'Secondary cum Calculation'!K918</f>
        <v>0</v>
      </c>
      <c r="L429" s="358">
        <f>'Secondary cum Calculation'!L918</f>
        <v>0</v>
      </c>
      <c r="M429" s="358">
        <f>'Secondary cum Calculation'!M918</f>
        <v>0</v>
      </c>
      <c r="N429" s="358">
        <f>'Secondary cum Calculation'!N918</f>
        <v>0</v>
      </c>
      <c r="O429" s="358">
        <f>'Secondary cum Calculation'!O918</f>
        <v>0</v>
      </c>
      <c r="P429" s="358">
        <f>'Secondary cum Calculation'!P918</f>
        <v>0</v>
      </c>
      <c r="Q429" s="358">
        <f>'Secondary cum Calculation'!Q918</f>
        <v>0</v>
      </c>
      <c r="W429" s="211" t="e">
        <f>'Secondary cum Calculation'!W918</f>
        <v>#DIV/0!</v>
      </c>
      <c r="X429" s="211" t="e">
        <f>'Secondary cum Calculation'!X918</f>
        <v>#DIV/0!</v>
      </c>
      <c r="Z429" s="11"/>
      <c r="AA429" s="11"/>
      <c r="AB429" s="11"/>
      <c r="AC429" s="11"/>
      <c r="AD429" s="11"/>
    </row>
    <row r="430" spans="1:30">
      <c r="A430" s="6" t="str">
        <f>'Secondary cum Calculation'!A920</f>
        <v>Poland</v>
      </c>
      <c r="B430" s="119" t="str">
        <f>'Secondary cum Calculation'!B920</f>
        <v>Tourism Flows</v>
      </c>
      <c r="C430" s="119" t="str">
        <f>'Secondary cum Calculation'!C920</f>
        <v>International Departures by Destination</v>
      </c>
      <c r="D430" s="119" t="str">
        <f>'Secondary cum Calculation'!D920</f>
        <v>Middle East</v>
      </c>
      <c r="E430" s="6" t="str">
        <f>'Secondary cum Calculation'!E920</f>
        <v>Occupied Palestinian Territory</v>
      </c>
      <c r="F430" s="7" t="str">
        <f>'Secondary cum Calculation'!F920</f>
        <v>The number of international departures from a country to Occupied Palestinian Territory</v>
      </c>
      <c r="G430" s="7" t="str">
        <f>'Secondary cum Calculation'!G920</f>
        <v>Tourism Demand &amp; Flows Database</v>
      </c>
      <c r="H430" s="7" t="str">
        <f>'Secondary cum Calculation'!H920</f>
        <v>New</v>
      </c>
      <c r="I430" s="7">
        <f>'Secondary cum Calculation'!I920</f>
        <v>0</v>
      </c>
      <c r="J430" s="7" t="str">
        <f>'Secondary cum Calculation'!J920</f>
        <v>Thousand</v>
      </c>
      <c r="K430" s="8">
        <f>'Secondary cum Calculation'!K920</f>
        <v>0</v>
      </c>
      <c r="L430" s="358">
        <f>'Secondary cum Calculation'!L920</f>
        <v>0</v>
      </c>
      <c r="M430" s="358">
        <f>'Secondary cum Calculation'!M920</f>
        <v>0</v>
      </c>
      <c r="N430" s="358">
        <f>'Secondary cum Calculation'!N920</f>
        <v>0</v>
      </c>
      <c r="O430" s="358">
        <f>'Secondary cum Calculation'!O920</f>
        <v>0</v>
      </c>
      <c r="P430" s="358">
        <f>'Secondary cum Calculation'!P920</f>
        <v>0</v>
      </c>
      <c r="Q430" s="358">
        <f>'Secondary cum Calculation'!Q920</f>
        <v>0</v>
      </c>
      <c r="W430" s="211" t="e">
        <f>'Secondary cum Calculation'!W920</f>
        <v>#DIV/0!</v>
      </c>
      <c r="X430" s="211" t="e">
        <f>'Secondary cum Calculation'!X920</f>
        <v>#DIV/0!</v>
      </c>
      <c r="Z430" s="11"/>
      <c r="AA430" s="11"/>
      <c r="AB430" s="11"/>
      <c r="AC430" s="11"/>
      <c r="AD430" s="11"/>
    </row>
    <row r="431" spans="1:30">
      <c r="A431" s="6" t="str">
        <f>'Secondary cum Calculation'!A922</f>
        <v>Poland</v>
      </c>
      <c r="B431" s="119" t="str">
        <f>'Secondary cum Calculation'!B922</f>
        <v>Tourism Flows</v>
      </c>
      <c r="C431" s="119" t="str">
        <f>'Secondary cum Calculation'!C922</f>
        <v>International Departures by Destination</v>
      </c>
      <c r="D431" s="119" t="str">
        <f>'Secondary cum Calculation'!D922</f>
        <v>Middle East</v>
      </c>
      <c r="E431" s="6" t="str">
        <f>'Secondary cum Calculation'!E922</f>
        <v>Oman</v>
      </c>
      <c r="F431" s="7" t="str">
        <f>'Secondary cum Calculation'!F922</f>
        <v>The number of international departures from a country to Oman</v>
      </c>
      <c r="G431" s="7" t="str">
        <f>'Secondary cum Calculation'!G922</f>
        <v>Tourism Demand &amp; Flows Database</v>
      </c>
      <c r="H431" s="7" t="str">
        <f>'Secondary cum Calculation'!H922</f>
        <v>New</v>
      </c>
      <c r="I431" s="7">
        <f>'Secondary cum Calculation'!I922</f>
        <v>0</v>
      </c>
      <c r="J431" s="7" t="str">
        <f>'Secondary cum Calculation'!J922</f>
        <v>Thousand</v>
      </c>
      <c r="K431" s="8">
        <f>'Secondary cum Calculation'!K922</f>
        <v>0</v>
      </c>
      <c r="L431" s="358">
        <f>'Secondary cum Calculation'!L922</f>
        <v>0</v>
      </c>
      <c r="M431" s="358">
        <f>'Secondary cum Calculation'!M922</f>
        <v>0</v>
      </c>
      <c r="N431" s="358">
        <f>'Secondary cum Calculation'!N922</f>
        <v>0</v>
      </c>
      <c r="O431" s="358">
        <f>'Secondary cum Calculation'!O922</f>
        <v>0</v>
      </c>
      <c r="P431" s="358">
        <f>'Secondary cum Calculation'!P922</f>
        <v>0</v>
      </c>
      <c r="Q431" s="358">
        <f>'Secondary cum Calculation'!Q922</f>
        <v>0</v>
      </c>
      <c r="W431" s="211" t="e">
        <f>'Secondary cum Calculation'!W922</f>
        <v>#DIV/0!</v>
      </c>
      <c r="X431" s="211" t="e">
        <f>'Secondary cum Calculation'!X922</f>
        <v>#DIV/0!</v>
      </c>
      <c r="Z431" s="11"/>
      <c r="AA431" s="11"/>
      <c r="AB431" s="11"/>
      <c r="AC431" s="11"/>
      <c r="AD431" s="11"/>
    </row>
    <row r="432" spans="1:30">
      <c r="A432" s="6" t="str">
        <f>'Secondary cum Calculation'!A924</f>
        <v>Poland</v>
      </c>
      <c r="B432" s="119" t="str">
        <f>'Secondary cum Calculation'!B924</f>
        <v>Tourism Flows</v>
      </c>
      <c r="C432" s="119" t="str">
        <f>'Secondary cum Calculation'!C924</f>
        <v>International Departures by Destination</v>
      </c>
      <c r="D432" s="119" t="str">
        <f>'Secondary cum Calculation'!D924</f>
        <v>Middle East</v>
      </c>
      <c r="E432" s="6" t="str">
        <f>'Secondary cum Calculation'!E924</f>
        <v>Qatar</v>
      </c>
      <c r="F432" s="7" t="str">
        <f>'Secondary cum Calculation'!F924</f>
        <v>The number of international departures from a country to Qatar</v>
      </c>
      <c r="G432" s="7" t="str">
        <f>'Secondary cum Calculation'!G924</f>
        <v>Tourism Demand &amp; Flows Database</v>
      </c>
      <c r="H432" s="7" t="str">
        <f>'Secondary cum Calculation'!H924</f>
        <v>New</v>
      </c>
      <c r="I432" s="7">
        <f>'Secondary cum Calculation'!I924</f>
        <v>0</v>
      </c>
      <c r="J432" s="7" t="str">
        <f>'Secondary cum Calculation'!J924</f>
        <v>Thousand</v>
      </c>
      <c r="K432" s="8">
        <f>'Secondary cum Calculation'!K924</f>
        <v>0</v>
      </c>
      <c r="L432" s="358">
        <f>'Secondary cum Calculation'!L924</f>
        <v>0</v>
      </c>
      <c r="M432" s="358">
        <f>'Secondary cum Calculation'!M924</f>
        <v>0</v>
      </c>
      <c r="N432" s="358">
        <f>'Secondary cum Calculation'!N924</f>
        <v>0</v>
      </c>
      <c r="O432" s="358">
        <f>'Secondary cum Calculation'!O924</f>
        <v>0</v>
      </c>
      <c r="P432" s="358">
        <f>'Secondary cum Calculation'!P924</f>
        <v>0</v>
      </c>
      <c r="Q432" s="358">
        <f>'Secondary cum Calculation'!Q924</f>
        <v>0</v>
      </c>
      <c r="W432" s="211" t="e">
        <f>'Secondary cum Calculation'!W924</f>
        <v>#DIV/0!</v>
      </c>
      <c r="X432" s="211" t="e">
        <f>'Secondary cum Calculation'!X924</f>
        <v>#DIV/0!</v>
      </c>
      <c r="Z432" s="11"/>
      <c r="AA432" s="11"/>
      <c r="AB432" s="11"/>
      <c r="AC432" s="11"/>
      <c r="AD432" s="11"/>
    </row>
    <row r="433" spans="1:30">
      <c r="A433" s="6" t="str">
        <f>'Secondary cum Calculation'!A926</f>
        <v>Poland</v>
      </c>
      <c r="B433" s="119" t="str">
        <f>'Secondary cum Calculation'!B926</f>
        <v>Tourism Flows</v>
      </c>
      <c r="C433" s="119" t="str">
        <f>'Secondary cum Calculation'!C926</f>
        <v>International Departures by Destination</v>
      </c>
      <c r="D433" s="119" t="str">
        <f>'Secondary cum Calculation'!D926</f>
        <v>Middle East</v>
      </c>
      <c r="E433" s="6" t="str">
        <f>'Secondary cum Calculation'!E926</f>
        <v>Saudi Arabia</v>
      </c>
      <c r="F433" s="7" t="str">
        <f>'Secondary cum Calculation'!F926</f>
        <v>The number of international departures from a country to Saudi Arabia</v>
      </c>
      <c r="G433" s="7" t="str">
        <f>'Secondary cum Calculation'!G926</f>
        <v>Tourism Demand &amp; Flows Database</v>
      </c>
      <c r="H433" s="7" t="str">
        <f>'Secondary cum Calculation'!H926</f>
        <v>New</v>
      </c>
      <c r="I433" s="7">
        <f>'Secondary cum Calculation'!I926</f>
        <v>0</v>
      </c>
      <c r="J433" s="7" t="str">
        <f>'Secondary cum Calculation'!J926</f>
        <v>Thousand</v>
      </c>
      <c r="K433" s="8">
        <f>'Secondary cum Calculation'!K926</f>
        <v>0</v>
      </c>
      <c r="L433" s="358">
        <f>'Secondary cum Calculation'!L926</f>
        <v>0</v>
      </c>
      <c r="M433" s="358">
        <f>'Secondary cum Calculation'!M926</f>
        <v>0</v>
      </c>
      <c r="N433" s="358">
        <f>'Secondary cum Calculation'!N926</f>
        <v>0</v>
      </c>
      <c r="O433" s="358">
        <f>'Secondary cum Calculation'!O926</f>
        <v>0</v>
      </c>
      <c r="P433" s="358">
        <f>'Secondary cum Calculation'!P926</f>
        <v>0</v>
      </c>
      <c r="Q433" s="358">
        <f>'Secondary cum Calculation'!Q926</f>
        <v>0</v>
      </c>
      <c r="W433" s="211" t="e">
        <f>'Secondary cum Calculation'!W926</f>
        <v>#DIV/0!</v>
      </c>
      <c r="X433" s="211" t="e">
        <f>'Secondary cum Calculation'!X926</f>
        <v>#DIV/0!</v>
      </c>
      <c r="Z433" s="11"/>
      <c r="AA433" s="11"/>
      <c r="AB433" s="11"/>
      <c r="AC433" s="11"/>
      <c r="AD433" s="11"/>
    </row>
    <row r="434" spans="1:30">
      <c r="A434" s="6" t="str">
        <f>'Secondary cum Calculation'!A928</f>
        <v>Poland</v>
      </c>
      <c r="B434" s="119" t="str">
        <f>'Secondary cum Calculation'!B928</f>
        <v>Tourism Flows</v>
      </c>
      <c r="C434" s="119" t="str">
        <f>'Secondary cum Calculation'!C928</f>
        <v>International Departures by Destination</v>
      </c>
      <c r="D434" s="119" t="str">
        <f>'Secondary cum Calculation'!D928</f>
        <v>Middle East</v>
      </c>
      <c r="E434" s="6" t="str">
        <f>'Secondary cum Calculation'!E928</f>
        <v>Syrian Arab Republic</v>
      </c>
      <c r="F434" s="7" t="str">
        <f>'Secondary cum Calculation'!F928</f>
        <v>The number of international departures from a country to Syrian Arab Republic</v>
      </c>
      <c r="G434" s="7" t="str">
        <f>'Secondary cum Calculation'!G928</f>
        <v>Tourism Demand &amp; Flows Database</v>
      </c>
      <c r="H434" s="7" t="str">
        <f>'Secondary cum Calculation'!H928</f>
        <v>New</v>
      </c>
      <c r="I434" s="7">
        <f>'Secondary cum Calculation'!I928</f>
        <v>0</v>
      </c>
      <c r="J434" s="7" t="str">
        <f>'Secondary cum Calculation'!J928</f>
        <v>Thousand</v>
      </c>
      <c r="K434" s="8">
        <f>'Secondary cum Calculation'!K928</f>
        <v>0</v>
      </c>
      <c r="L434" s="358">
        <f>'Secondary cum Calculation'!L928</f>
        <v>0</v>
      </c>
      <c r="M434" s="358">
        <f>'Secondary cum Calculation'!M928</f>
        <v>0</v>
      </c>
      <c r="N434" s="358">
        <f>'Secondary cum Calculation'!N928</f>
        <v>0</v>
      </c>
      <c r="O434" s="358">
        <f>'Secondary cum Calculation'!O928</f>
        <v>0</v>
      </c>
      <c r="P434" s="358">
        <f>'Secondary cum Calculation'!P928</f>
        <v>0</v>
      </c>
      <c r="Q434" s="358">
        <f>'Secondary cum Calculation'!Q928</f>
        <v>0</v>
      </c>
      <c r="W434" s="211" t="e">
        <f>'Secondary cum Calculation'!W928</f>
        <v>#DIV/0!</v>
      </c>
      <c r="X434" s="211" t="e">
        <f>'Secondary cum Calculation'!X928</f>
        <v>#DIV/0!</v>
      </c>
      <c r="Z434" s="11"/>
      <c r="AA434" s="11"/>
      <c r="AB434" s="11"/>
      <c r="AC434" s="11"/>
      <c r="AD434" s="11"/>
    </row>
    <row r="435" spans="1:30">
      <c r="A435" s="6" t="str">
        <f>'Secondary cum Calculation'!A930</f>
        <v>Poland</v>
      </c>
      <c r="B435" s="119" t="str">
        <f>'Secondary cum Calculation'!B930</f>
        <v>Tourism Flows</v>
      </c>
      <c r="C435" s="119" t="str">
        <f>'Secondary cum Calculation'!C930</f>
        <v>International Departures by Destination</v>
      </c>
      <c r="D435" s="119" t="str">
        <f>'Secondary cum Calculation'!D930</f>
        <v>Middle East</v>
      </c>
      <c r="E435" s="6" t="str">
        <f>'Secondary cum Calculation'!E930</f>
        <v>United Arab Emirates</v>
      </c>
      <c r="F435" s="7" t="str">
        <f>'Secondary cum Calculation'!F930</f>
        <v>The number of international departures from a country to United Arab Emirates</v>
      </c>
      <c r="G435" s="7" t="str">
        <f>'Secondary cum Calculation'!G930</f>
        <v>Tourism Demand &amp; Flows Database</v>
      </c>
      <c r="H435" s="7" t="str">
        <f>'Secondary cum Calculation'!H930</f>
        <v>New</v>
      </c>
      <c r="I435" s="7">
        <f>'Secondary cum Calculation'!I930</f>
        <v>0</v>
      </c>
      <c r="J435" s="7" t="str">
        <f>'Secondary cum Calculation'!J930</f>
        <v>Thousand</v>
      </c>
      <c r="K435" s="8">
        <f>'Secondary cum Calculation'!K930</f>
        <v>0</v>
      </c>
      <c r="L435" s="358">
        <f>'Secondary cum Calculation'!L930</f>
        <v>0</v>
      </c>
      <c r="M435" s="358">
        <f>'Secondary cum Calculation'!M930</f>
        <v>0</v>
      </c>
      <c r="N435" s="358">
        <f>'Secondary cum Calculation'!N930</f>
        <v>0</v>
      </c>
      <c r="O435" s="358">
        <f>'Secondary cum Calculation'!O930</f>
        <v>0</v>
      </c>
      <c r="P435" s="358">
        <f>'Secondary cum Calculation'!P930</f>
        <v>0</v>
      </c>
      <c r="Q435" s="358">
        <f>'Secondary cum Calculation'!Q930</f>
        <v>0</v>
      </c>
      <c r="W435" s="211" t="e">
        <f>'Secondary cum Calculation'!W930</f>
        <v>#DIV/0!</v>
      </c>
      <c r="X435" s="211" t="e">
        <f>'Secondary cum Calculation'!X930</f>
        <v>#DIV/0!</v>
      </c>
      <c r="Z435" s="11"/>
      <c r="AA435" s="11"/>
      <c r="AB435" s="11"/>
      <c r="AC435" s="11"/>
      <c r="AD435" s="11"/>
    </row>
    <row r="436" spans="1:30">
      <c r="A436" s="6" t="str">
        <f>'Secondary cum Calculation'!A932</f>
        <v>Poland</v>
      </c>
      <c r="B436" s="119" t="str">
        <f>'Secondary cum Calculation'!B932</f>
        <v>Tourism Flows</v>
      </c>
      <c r="C436" s="119" t="str">
        <f>'Secondary cum Calculation'!C932</f>
        <v>International Departures by Destination</v>
      </c>
      <c r="D436" s="119" t="str">
        <f>'Secondary cum Calculation'!D932</f>
        <v>Middle East</v>
      </c>
      <c r="E436" s="6" t="str">
        <f>'Secondary cum Calculation'!E932</f>
        <v>Yemen</v>
      </c>
      <c r="F436" s="7" t="str">
        <f>'Secondary cum Calculation'!F932</f>
        <v>The number of international departures from a country to Yemen</v>
      </c>
      <c r="G436" s="7" t="str">
        <f>'Secondary cum Calculation'!G932</f>
        <v>Tourism Demand &amp; Flows Database</v>
      </c>
      <c r="H436" s="7" t="str">
        <f>'Secondary cum Calculation'!H932</f>
        <v>New</v>
      </c>
      <c r="I436" s="7">
        <f>'Secondary cum Calculation'!I932</f>
        <v>0</v>
      </c>
      <c r="J436" s="7" t="str">
        <f>'Secondary cum Calculation'!J932</f>
        <v>Thousand</v>
      </c>
      <c r="K436" s="8">
        <f>'Secondary cum Calculation'!K932</f>
        <v>0</v>
      </c>
      <c r="L436" s="358">
        <f>'Secondary cum Calculation'!L932</f>
        <v>0</v>
      </c>
      <c r="M436" s="358">
        <f>'Secondary cum Calculation'!M932</f>
        <v>0</v>
      </c>
      <c r="N436" s="358">
        <f>'Secondary cum Calculation'!N932</f>
        <v>0</v>
      </c>
      <c r="O436" s="358">
        <f>'Secondary cum Calculation'!O932</f>
        <v>0</v>
      </c>
      <c r="P436" s="358">
        <f>'Secondary cum Calculation'!P932</f>
        <v>0</v>
      </c>
      <c r="Q436" s="358">
        <f>'Secondary cum Calculation'!Q932</f>
        <v>0</v>
      </c>
      <c r="R436" s="135"/>
      <c r="S436" s="135"/>
      <c r="T436" s="135"/>
      <c r="U436" s="135"/>
      <c r="V436" s="135"/>
      <c r="W436" s="211" t="e">
        <f>'Secondary cum Calculation'!W932</f>
        <v>#DIV/0!</v>
      </c>
      <c r="X436" s="211" t="e">
        <f>'Secondary cum Calculation'!X932</f>
        <v>#DIV/0!</v>
      </c>
      <c r="Z436" s="11"/>
      <c r="AA436" s="11"/>
      <c r="AB436" s="11"/>
      <c r="AC436" s="11"/>
      <c r="AD436" s="11"/>
    </row>
    <row r="437" spans="1:30">
      <c r="A437" s="6" t="str">
        <f>'Secondary cum Calculation'!A934</f>
        <v>Poland</v>
      </c>
      <c r="B437" s="119" t="str">
        <f>'Secondary cum Calculation'!B934</f>
        <v>Tourism Flows</v>
      </c>
      <c r="C437" s="119" t="str">
        <f>'Secondary cum Calculation'!C934</f>
        <v>International Departures by Destination</v>
      </c>
      <c r="D437" s="119" t="str">
        <f>'Secondary cum Calculation'!D934</f>
        <v>Middle East</v>
      </c>
      <c r="E437" s="6" t="str">
        <f>'Secondary cum Calculation'!E934</f>
        <v>Other Middle Eastern Countries</v>
      </c>
      <c r="F437" s="41" t="str">
        <f>'Secondary cum Calculation'!F934</f>
        <v>To be defined according to the gaps in the country data above</v>
      </c>
      <c r="G437" s="7">
        <f>'Secondary cum Calculation'!G934</f>
        <v>0</v>
      </c>
      <c r="H437" s="7">
        <f>'Secondary cum Calculation'!H934</f>
        <v>0</v>
      </c>
      <c r="I437" s="7">
        <f>'Secondary cum Calculation'!I934</f>
        <v>0</v>
      </c>
      <c r="J437" s="7" t="str">
        <f>'Secondary cum Calculation'!J934</f>
        <v>Thousand</v>
      </c>
      <c r="K437" s="8">
        <f>'Secondary cum Calculation'!K934</f>
        <v>0</v>
      </c>
      <c r="L437" s="251">
        <f>'Secondary cum Calculation'!L934</f>
        <v>30.684725075329453</v>
      </c>
      <c r="M437" s="251">
        <f>'Secondary cum Calculation'!M934</f>
        <v>42.164130026086298</v>
      </c>
      <c r="N437" s="251">
        <f>'Secondary cum Calculation'!N934</f>
        <v>36.156641710798738</v>
      </c>
      <c r="O437" s="251">
        <f>'Secondary cum Calculation'!O934</f>
        <v>41.070924694601359</v>
      </c>
      <c r="P437" s="251">
        <f>'Secondary cum Calculation'!P934</f>
        <v>46.363210382450632</v>
      </c>
      <c r="Q437" s="251">
        <f>'Secondary cum Calculation'!Q934</f>
        <v>48.841907364934627</v>
      </c>
      <c r="R437" s="252"/>
      <c r="S437" s="252"/>
      <c r="T437" s="252"/>
      <c r="U437" s="252"/>
      <c r="V437" s="252"/>
      <c r="W437" s="211">
        <f>'Secondary cum Calculation'!W934</f>
        <v>3.7438516749683126E-2</v>
      </c>
      <c r="X437" s="211">
        <f>'Secondary cum Calculation'!X934</f>
        <v>-1</v>
      </c>
      <c r="Z437" s="11"/>
      <c r="AA437" s="11"/>
      <c r="AB437" s="11"/>
      <c r="AC437" s="11"/>
      <c r="AD437" s="370">
        <v>3</v>
      </c>
    </row>
    <row r="438" spans="1:30">
      <c r="A438" s="213" t="str">
        <f>'Secondary cum Calculation'!A936</f>
        <v>Poland</v>
      </c>
      <c r="B438" s="214" t="str">
        <f>'Secondary cum Calculation'!B936</f>
        <v>Tourism Flows</v>
      </c>
      <c r="C438" s="214" t="str">
        <f>'Secondary cum Calculation'!C936</f>
        <v>International Departures by Destination</v>
      </c>
      <c r="D438" s="213" t="str">
        <f>'Secondary cum Calculation'!D936</f>
        <v>North America</v>
      </c>
      <c r="E438" s="215"/>
      <c r="F438" s="215" t="str">
        <f>'Secondary cum Calculation'!F936</f>
        <v>The number of international departures from a country to North America</v>
      </c>
      <c r="G438" s="215" t="str">
        <f>'Secondary cum Calculation'!G936</f>
        <v>Tourism Demand &amp; Flows Database</v>
      </c>
      <c r="H438" s="215" t="str">
        <f>'Secondary cum Calculation'!H936</f>
        <v>New</v>
      </c>
      <c r="I438" s="215">
        <f>'Secondary cum Calculation'!I936</f>
        <v>0</v>
      </c>
      <c r="J438" s="215" t="str">
        <f>'Secondary cum Calculation'!J936</f>
        <v>Thousand</v>
      </c>
      <c r="K438" s="216">
        <f>'Secondary cum Calculation'!K936</f>
        <v>13855</v>
      </c>
      <c r="L438" s="364">
        <f>'Secondary cum Calculation'!L936</f>
        <v>56.587033400524213</v>
      </c>
      <c r="M438" s="364">
        <f>'Secondary cum Calculation'!M936</f>
        <v>59.022271260319201</v>
      </c>
      <c r="N438" s="364">
        <f>'Secondary cum Calculation'!N936</f>
        <v>45.04</v>
      </c>
      <c r="O438" s="253">
        <f>'Secondary cum Calculation'!O936</f>
        <v>40</v>
      </c>
      <c r="P438" s="253">
        <f>'Secondary cum Calculation'!P936</f>
        <v>39.4</v>
      </c>
      <c r="Q438" s="364">
        <f>Forecasting!Q1036</f>
        <v>39.604539834363905</v>
      </c>
      <c r="R438" s="253">
        <f>Forecasting!R1036</f>
        <v>39.885853262982963</v>
      </c>
      <c r="S438" s="253">
        <f>Forecasting!S1036</f>
        <v>40.315709744022293</v>
      </c>
      <c r="T438" s="253">
        <f>Forecasting!T1036</f>
        <v>40.691271984525287</v>
      </c>
      <c r="U438" s="253">
        <f>Forecasting!U1036</f>
        <v>40.920801606198253</v>
      </c>
      <c r="V438" s="253">
        <f>Forecasting!V1036</f>
        <v>41.239538929483615</v>
      </c>
      <c r="W438" s="246">
        <f>'Secondary cum Calculation'!W936</f>
        <v>-9.4929804701033627E-2</v>
      </c>
      <c r="X438" s="246">
        <f>'Secondary cum Calculation'!X936</f>
        <v>8.1235635137792972E-3</v>
      </c>
      <c r="Z438" s="11"/>
      <c r="AA438" s="11"/>
      <c r="AB438" s="11"/>
      <c r="AC438" s="11"/>
      <c r="AD438" s="370">
        <v>3</v>
      </c>
    </row>
    <row r="439" spans="1:30">
      <c r="A439" s="6" t="str">
        <f>'Secondary cum Calculation'!A938</f>
        <v>Poland</v>
      </c>
      <c r="B439" s="119" t="str">
        <f>'Secondary cum Calculation'!B938</f>
        <v>Tourism Flows</v>
      </c>
      <c r="C439" s="119" t="str">
        <f>'Secondary cum Calculation'!C938</f>
        <v>International Departures by Destination</v>
      </c>
      <c r="D439" s="119" t="str">
        <f>'Secondary cum Calculation'!D938</f>
        <v>North America</v>
      </c>
      <c r="E439" s="6" t="str">
        <f>'Secondary cum Calculation'!E938</f>
        <v>Canada</v>
      </c>
      <c r="F439" s="7" t="str">
        <f>'Secondary cum Calculation'!F938</f>
        <v>The number of international departures from a country to Canada</v>
      </c>
      <c r="G439" s="7" t="str">
        <f>'Secondary cum Calculation'!G938</f>
        <v>Tourism Demand &amp; Flows Database</v>
      </c>
      <c r="H439" s="7" t="str">
        <f>'Secondary cum Calculation'!H938</f>
        <v>New</v>
      </c>
      <c r="I439" s="7">
        <f>'Secondary cum Calculation'!I938</f>
        <v>0</v>
      </c>
      <c r="J439" s="7" t="str">
        <f>'Secondary cum Calculation'!J938</f>
        <v>Thousand</v>
      </c>
      <c r="K439" s="8">
        <f>'Secondary cum Calculation'!K938</f>
        <v>13855</v>
      </c>
      <c r="L439" s="365">
        <f>'Secondary cum Calculation'!L938</f>
        <v>8.7513124384669929</v>
      </c>
      <c r="M439" s="365">
        <f>'Secondary cum Calculation'!M938</f>
        <v>8.3530592966432398</v>
      </c>
      <c r="N439" s="365">
        <f>'Secondary cum Calculation'!N938</f>
        <v>6.5904557353732818</v>
      </c>
      <c r="O439" s="365">
        <f>'Secondary cum Calculation'!O938</f>
        <v>5.8582572588574857</v>
      </c>
      <c r="P439" s="365">
        <f>'Secondary cum Calculation'!P938</f>
        <v>5.5844095041901021</v>
      </c>
      <c r="Q439" s="365">
        <f>'Secondary cum Calculation'!Q938</f>
        <v>5.4403867292659402</v>
      </c>
      <c r="W439" s="211">
        <f>'Secondary cum Calculation'!W938</f>
        <v>-0.10164900729992665</v>
      </c>
      <c r="X439" s="211">
        <f>'Secondary cum Calculation'!X938</f>
        <v>-1</v>
      </c>
      <c r="Z439" s="11"/>
      <c r="AA439" s="11"/>
      <c r="AB439" s="11"/>
      <c r="AC439" s="11"/>
      <c r="AD439" s="370">
        <v>2</v>
      </c>
    </row>
    <row r="440" spans="1:30">
      <c r="A440" s="6" t="str">
        <f>'Secondary cum Calculation'!A940</f>
        <v>Poland</v>
      </c>
      <c r="B440" s="119" t="str">
        <f>'Secondary cum Calculation'!B940</f>
        <v>Tourism Flows</v>
      </c>
      <c r="C440" s="119" t="str">
        <f>'Secondary cum Calculation'!C940</f>
        <v>International Departures by Destination</v>
      </c>
      <c r="D440" s="119" t="str">
        <f>'Secondary cum Calculation'!D940</f>
        <v>North America</v>
      </c>
      <c r="E440" s="6" t="str">
        <f>'Secondary cum Calculation'!E940</f>
        <v>Mexico</v>
      </c>
      <c r="F440" s="7" t="str">
        <f>'Secondary cum Calculation'!F940</f>
        <v>The number of international departures from a country to Mexico</v>
      </c>
      <c r="G440" s="7" t="str">
        <f>'Secondary cum Calculation'!G940</f>
        <v>Tourism Demand &amp; Flows Database</v>
      </c>
      <c r="H440" s="7" t="str">
        <f>'Secondary cum Calculation'!H940</f>
        <v>New</v>
      </c>
      <c r="I440" s="7">
        <f>'Secondary cum Calculation'!I940</f>
        <v>0</v>
      </c>
      <c r="J440" s="7" t="str">
        <f>'Secondary cum Calculation'!J940</f>
        <v>Thousand</v>
      </c>
      <c r="K440" s="8">
        <f>'Secondary cum Calculation'!K940</f>
        <v>19659</v>
      </c>
      <c r="L440" s="365">
        <f>'Secondary cum Calculation'!L940</f>
        <v>4.3371278183440767</v>
      </c>
      <c r="M440" s="365">
        <f>'Secondary cum Calculation'!M940</f>
        <v>4.1300374490760143</v>
      </c>
      <c r="N440" s="365">
        <f>'Secondary cum Calculation'!N940</f>
        <v>2.9623616395422023</v>
      </c>
      <c r="O440" s="365">
        <f>'Secondary cum Calculation'!O940</f>
        <v>2.725927234876417</v>
      </c>
      <c r="P440" s="365">
        <f>'Secondary cum Calculation'!P940</f>
        <v>2.6643220250942408</v>
      </c>
      <c r="Q440" s="365">
        <f>'Secondary cum Calculation'!Q940</f>
        <v>2.6418056280252729</v>
      </c>
      <c r="W440" s="211">
        <f>'Secondary cum Calculation'!W940</f>
        <v>-0.10569281932438956</v>
      </c>
      <c r="X440" s="211">
        <f>'Secondary cum Calculation'!X940</f>
        <v>-1</v>
      </c>
      <c r="Z440" s="11"/>
      <c r="AA440" s="11"/>
      <c r="AB440" s="11"/>
      <c r="AC440" s="11"/>
      <c r="AD440" s="370">
        <v>2</v>
      </c>
    </row>
    <row r="441" spans="1:30">
      <c r="A441" s="6" t="str">
        <f>'Secondary cum Calculation'!A942</f>
        <v>Poland</v>
      </c>
      <c r="B441" s="119" t="str">
        <f>'Secondary cum Calculation'!B942</f>
        <v>Tourism Flows</v>
      </c>
      <c r="C441" s="119" t="str">
        <f>'Secondary cum Calculation'!C942</f>
        <v>International Departures by Destination</v>
      </c>
      <c r="D441" s="119" t="str">
        <f>'Secondary cum Calculation'!D942</f>
        <v>North America</v>
      </c>
      <c r="E441" s="6" t="str">
        <f>'Secondary cum Calculation'!E942</f>
        <v>United States of America</v>
      </c>
      <c r="F441" s="7" t="str">
        <f>'Secondary cum Calculation'!F942</f>
        <v>The number of international departures from a country to United States of America</v>
      </c>
      <c r="G441" s="7" t="str">
        <f>'Secondary cum Calculation'!G942</f>
        <v>Tourism Demand &amp; Flows Database</v>
      </c>
      <c r="H441" s="7" t="str">
        <f>'Secondary cum Calculation'!H942</f>
        <v>New</v>
      </c>
      <c r="I441" s="7">
        <f>'Secondary cum Calculation'!I942</f>
        <v>0</v>
      </c>
      <c r="J441" s="7" t="str">
        <f>'Secondary cum Calculation'!J942</f>
        <v>Thousand</v>
      </c>
      <c r="K441" s="8">
        <f>'Secondary cum Calculation'!K942</f>
        <v>0</v>
      </c>
      <c r="L441" s="251">
        <f>'Secondary cum Calculation'!L942</f>
        <v>43.498593143713144</v>
      </c>
      <c r="M441" s="251">
        <f>'Secondary cum Calculation'!M942</f>
        <v>46.539174514599949</v>
      </c>
      <c r="N441" s="251">
        <f>'Secondary cum Calculation'!N942</f>
        <v>35.487182625084515</v>
      </c>
      <c r="O441" s="251">
        <f>'Secondary cum Calculation'!O942</f>
        <v>31.415815506266096</v>
      </c>
      <c r="P441" s="251">
        <f>'Secondary cum Calculation'!P942</f>
        <v>31.151268470715657</v>
      </c>
      <c r="Q441" s="251">
        <f>'Secondary cum Calculation'!Q942</f>
        <v>31.522347477072689</v>
      </c>
      <c r="R441" s="164"/>
      <c r="S441" s="164"/>
      <c r="T441" s="164"/>
      <c r="U441" s="164"/>
      <c r="V441" s="164"/>
      <c r="W441" s="211">
        <f>'Secondary cum Calculation'!W942</f>
        <v>-9.280641808930723E-2</v>
      </c>
      <c r="X441" s="211">
        <f>'Secondary cum Calculation'!X942</f>
        <v>-1</v>
      </c>
      <c r="Z441" s="11"/>
      <c r="AA441" s="11"/>
      <c r="AB441" s="11"/>
      <c r="AC441" s="11"/>
      <c r="AD441" s="370">
        <v>2</v>
      </c>
    </row>
    <row r="442" spans="1:30">
      <c r="A442" s="213" t="str">
        <f>'Secondary cum Calculation'!A944</f>
        <v>Poland</v>
      </c>
      <c r="B442" s="214" t="str">
        <f>'Secondary cum Calculation'!B944</f>
        <v>Tourism Flows</v>
      </c>
      <c r="C442" s="214" t="str">
        <f>'Secondary cum Calculation'!C944</f>
        <v>International Departures by Destination</v>
      </c>
      <c r="D442" s="213" t="str">
        <f>'Secondary cum Calculation'!D944</f>
        <v>South &amp; Central America</v>
      </c>
      <c r="E442" s="215"/>
      <c r="F442" s="215" t="str">
        <f>'Secondary cum Calculation'!F944</f>
        <v>The number of international departures from a country to South &amp; Central America</v>
      </c>
      <c r="G442" s="215" t="str">
        <f>'Secondary cum Calculation'!G944</f>
        <v>Tourism Demand &amp; Flows Database</v>
      </c>
      <c r="H442" s="215" t="str">
        <f>'Secondary cum Calculation'!H944</f>
        <v>New</v>
      </c>
      <c r="I442" s="215">
        <f>'Secondary cum Calculation'!I944</f>
        <v>0</v>
      </c>
      <c r="J442" s="215" t="str">
        <f>'Secondary cum Calculation'!J944</f>
        <v>Thousand</v>
      </c>
      <c r="K442" s="216">
        <f>'Secondary cum Calculation'!K944</f>
        <v>0</v>
      </c>
      <c r="L442" s="364">
        <f>'Secondary cum Calculation'!L944</f>
        <v>11.996385251827457</v>
      </c>
      <c r="M442" s="364">
        <f>'Secondary cum Calculation'!M944</f>
        <v>12.524138485018877</v>
      </c>
      <c r="N442" s="364">
        <f>'Secondary cum Calculation'!N944</f>
        <v>11.434894369025624</v>
      </c>
      <c r="O442" s="253">
        <f>'Secondary cum Calculation'!O944</f>
        <v>12.085000000000001</v>
      </c>
      <c r="P442" s="253">
        <f>'Secondary cum Calculation'!P944</f>
        <v>11.131</v>
      </c>
      <c r="Q442" s="364">
        <f>Forecasting!Q1058</f>
        <v>10.924589509669229</v>
      </c>
      <c r="R442" s="253">
        <f>Forecasting!R1058</f>
        <v>11.052970151400105</v>
      </c>
      <c r="S442" s="253">
        <f>Forecasting!S1058</f>
        <v>11.15136817646154</v>
      </c>
      <c r="T442" s="253">
        <f>Forecasting!T1058</f>
        <v>11.368881584437096</v>
      </c>
      <c r="U442" s="253">
        <f>Forecasting!U1058</f>
        <v>11.535269797706436</v>
      </c>
      <c r="V442" s="253">
        <f>Forecasting!V1058</f>
        <v>11.744023317050152</v>
      </c>
      <c r="W442" s="246">
        <f>'Secondary cum Calculation'!W944</f>
        <v>-3.3583543753666789E-2</v>
      </c>
      <c r="X442" s="246">
        <f>'Secondary cum Calculation'!X944</f>
        <v>1.4570792069248606E-2</v>
      </c>
      <c r="Z442" s="11"/>
      <c r="AA442" s="11"/>
      <c r="AB442" s="11"/>
      <c r="AC442" s="11"/>
      <c r="AD442" s="370">
        <v>3</v>
      </c>
    </row>
    <row r="443" spans="1:30">
      <c r="A443" s="6" t="str">
        <f>'Secondary cum Calculation'!A946</f>
        <v>Poland</v>
      </c>
      <c r="B443" s="119" t="str">
        <f>'Secondary cum Calculation'!B946</f>
        <v>Tourism Flows</v>
      </c>
      <c r="C443" s="119" t="str">
        <f>'Secondary cum Calculation'!C946</f>
        <v>International Departures by Destination</v>
      </c>
      <c r="D443" s="119" t="str">
        <f>'Secondary cum Calculation'!D946</f>
        <v>South &amp; Central America</v>
      </c>
      <c r="E443" s="6" t="str">
        <f>'Secondary cum Calculation'!E946</f>
        <v>Argentina</v>
      </c>
      <c r="F443" s="7" t="str">
        <f>'Secondary cum Calculation'!F946</f>
        <v>The number of international departures from a country to Argentina</v>
      </c>
      <c r="G443" s="7" t="str">
        <f>'Secondary cum Calculation'!G946</f>
        <v>Tourism Demand &amp; Flows Database</v>
      </c>
      <c r="H443" s="7" t="str">
        <f>'Secondary cum Calculation'!H946</f>
        <v>New</v>
      </c>
      <c r="I443" s="7">
        <f>'Secondary cum Calculation'!I946</f>
        <v>0</v>
      </c>
      <c r="J443" s="7" t="str">
        <f>'Secondary cum Calculation'!J946</f>
        <v>Thousand</v>
      </c>
      <c r="K443" s="8">
        <f>'Secondary cum Calculation'!K946</f>
        <v>0</v>
      </c>
      <c r="L443" s="358">
        <f>'Secondary cum Calculation'!L946</f>
        <v>0</v>
      </c>
      <c r="M443" s="164"/>
      <c r="N443" s="164"/>
      <c r="O443" s="218"/>
      <c r="P443" s="218"/>
      <c r="W443" s="211" t="e">
        <f>'Secondary cum Calculation'!W946</f>
        <v>#DIV/0!</v>
      </c>
      <c r="X443" s="211" t="e">
        <f>'Secondary cum Calculation'!X946</f>
        <v>#DIV/0!</v>
      </c>
      <c r="Z443" s="11"/>
      <c r="AA443" s="11"/>
      <c r="AB443" s="11"/>
      <c r="AC443" s="11"/>
      <c r="AD443" s="11"/>
    </row>
    <row r="444" spans="1:30">
      <c r="A444" s="6" t="str">
        <f>'Secondary cum Calculation'!A948</f>
        <v>Poland</v>
      </c>
      <c r="B444" s="119" t="str">
        <f>'Secondary cum Calculation'!B948</f>
        <v>Tourism Flows</v>
      </c>
      <c r="C444" s="119" t="str">
        <f>'Secondary cum Calculation'!C948</f>
        <v>International Departures by Destination</v>
      </c>
      <c r="D444" s="119" t="str">
        <f>'Secondary cum Calculation'!D948</f>
        <v>South &amp; Central America</v>
      </c>
      <c r="E444" s="6" t="str">
        <f>'Secondary cum Calculation'!E948</f>
        <v>Aruba</v>
      </c>
      <c r="F444" s="7" t="str">
        <f>'Secondary cum Calculation'!F948</f>
        <v>The number of international departures from a country to Aruba</v>
      </c>
      <c r="G444" s="7" t="str">
        <f>'Secondary cum Calculation'!G948</f>
        <v>Tourism Demand &amp; Flows Database</v>
      </c>
      <c r="H444" s="7" t="str">
        <f>'Secondary cum Calculation'!H948</f>
        <v>New</v>
      </c>
      <c r="I444" s="7">
        <f>'Secondary cum Calculation'!I948</f>
        <v>0</v>
      </c>
      <c r="J444" s="7" t="str">
        <f>'Secondary cum Calculation'!J948</f>
        <v>Thousand</v>
      </c>
      <c r="K444" s="8">
        <f>'Secondary cum Calculation'!K948</f>
        <v>0</v>
      </c>
      <c r="O444" s="218"/>
      <c r="P444" s="218"/>
      <c r="W444" s="211" t="e">
        <f>'Secondary cum Calculation'!W948</f>
        <v>#DIV/0!</v>
      </c>
      <c r="X444" s="211" t="e">
        <f>'Secondary cum Calculation'!X948</f>
        <v>#DIV/0!</v>
      </c>
      <c r="Z444" s="11"/>
      <c r="AA444" s="11"/>
      <c r="AB444" s="11"/>
      <c r="AC444" s="11"/>
      <c r="AD444" s="11"/>
    </row>
    <row r="445" spans="1:30">
      <c r="A445" s="6" t="str">
        <f>'Secondary cum Calculation'!A950</f>
        <v>Poland</v>
      </c>
      <c r="B445" s="119" t="str">
        <f>'Secondary cum Calculation'!B950</f>
        <v>Tourism Flows</v>
      </c>
      <c r="C445" s="119" t="str">
        <f>'Secondary cum Calculation'!C950</f>
        <v>International Departures by Destination</v>
      </c>
      <c r="D445" s="119" t="str">
        <f>'Secondary cum Calculation'!D950</f>
        <v>South &amp; Central America</v>
      </c>
      <c r="E445" s="6" t="str">
        <f>'Secondary cum Calculation'!E950</f>
        <v>Bahamas</v>
      </c>
      <c r="F445" s="7" t="str">
        <f>'Secondary cum Calculation'!F950</f>
        <v>The number of international departures from a country to Bahamas</v>
      </c>
      <c r="G445" s="7" t="str">
        <f>'Secondary cum Calculation'!G950</f>
        <v>Tourism Demand &amp; Flows Database</v>
      </c>
      <c r="H445" s="7" t="str">
        <f>'Secondary cum Calculation'!H950</f>
        <v>New</v>
      </c>
      <c r="I445" s="7">
        <f>'Secondary cum Calculation'!I950</f>
        <v>0</v>
      </c>
      <c r="J445" s="7" t="str">
        <f>'Secondary cum Calculation'!J950</f>
        <v>Thousand</v>
      </c>
      <c r="K445" s="8">
        <f>'Secondary cum Calculation'!K950</f>
        <v>0</v>
      </c>
      <c r="L445" s="164"/>
      <c r="M445" s="164"/>
      <c r="N445" s="164"/>
      <c r="O445" s="218"/>
      <c r="P445" s="218"/>
      <c r="W445" s="211" t="e">
        <f>'Secondary cum Calculation'!W950</f>
        <v>#DIV/0!</v>
      </c>
      <c r="X445" s="211" t="e">
        <f>'Secondary cum Calculation'!X950</f>
        <v>#DIV/0!</v>
      </c>
      <c r="Z445" s="11"/>
      <c r="AA445" s="11"/>
      <c r="AB445" s="11"/>
      <c r="AC445" s="11"/>
      <c r="AD445" s="11"/>
    </row>
    <row r="446" spans="1:30">
      <c r="A446" s="6" t="str">
        <f>'Secondary cum Calculation'!A952</f>
        <v>Poland</v>
      </c>
      <c r="B446" s="119" t="str">
        <f>'Secondary cum Calculation'!B952</f>
        <v>Tourism Flows</v>
      </c>
      <c r="C446" s="119" t="str">
        <f>'Secondary cum Calculation'!C952</f>
        <v>International Departures by Destination</v>
      </c>
      <c r="D446" s="119" t="str">
        <f>'Secondary cum Calculation'!D952</f>
        <v>South &amp; Central America</v>
      </c>
      <c r="E446" s="6" t="str">
        <f>'Secondary cum Calculation'!E952</f>
        <v>Barbados</v>
      </c>
      <c r="F446" s="7" t="str">
        <f>'Secondary cum Calculation'!F952</f>
        <v>The number of international departures from a country to Barbados</v>
      </c>
      <c r="G446" s="7" t="str">
        <f>'Secondary cum Calculation'!G952</f>
        <v>Tourism Demand &amp; Flows Database</v>
      </c>
      <c r="H446" s="7" t="str">
        <f>'Secondary cum Calculation'!H952</f>
        <v>New</v>
      </c>
      <c r="I446" s="7">
        <f>'Secondary cum Calculation'!I952</f>
        <v>0</v>
      </c>
      <c r="J446" s="7" t="str">
        <f>'Secondary cum Calculation'!J952</f>
        <v>Thousand</v>
      </c>
      <c r="K446" s="8">
        <f>'Secondary cum Calculation'!K952</f>
        <v>0</v>
      </c>
      <c r="L446" s="164"/>
      <c r="M446" s="164"/>
      <c r="N446" s="164"/>
      <c r="O446" s="218"/>
      <c r="P446" s="218"/>
      <c r="W446" s="211" t="e">
        <f>'Secondary cum Calculation'!W952</f>
        <v>#DIV/0!</v>
      </c>
      <c r="X446" s="211" t="e">
        <f>'Secondary cum Calculation'!X952</f>
        <v>#DIV/0!</v>
      </c>
      <c r="Z446" s="11"/>
      <c r="AA446" s="11"/>
      <c r="AB446" s="11"/>
      <c r="AC446" s="11"/>
      <c r="AD446" s="11"/>
    </row>
    <row r="447" spans="1:30">
      <c r="A447" s="6" t="str">
        <f>'Secondary cum Calculation'!A954</f>
        <v>Poland</v>
      </c>
      <c r="B447" s="119" t="str">
        <f>'Secondary cum Calculation'!B954</f>
        <v>Tourism Flows</v>
      </c>
      <c r="C447" s="119" t="str">
        <f>'Secondary cum Calculation'!C954</f>
        <v>International Departures by Destination</v>
      </c>
      <c r="D447" s="119" t="str">
        <f>'Secondary cum Calculation'!D954</f>
        <v>South &amp; Central America</v>
      </c>
      <c r="E447" s="6" t="str">
        <f>'Secondary cum Calculation'!E954</f>
        <v>Belize</v>
      </c>
      <c r="F447" s="7" t="str">
        <f>'Secondary cum Calculation'!F954</f>
        <v>The number of international departures from a country to Belize</v>
      </c>
      <c r="G447" s="7" t="str">
        <f>'Secondary cum Calculation'!G954</f>
        <v>Tourism Demand &amp; Flows Database</v>
      </c>
      <c r="H447" s="7" t="str">
        <f>'Secondary cum Calculation'!H954</f>
        <v>New</v>
      </c>
      <c r="I447" s="7">
        <f>'Secondary cum Calculation'!I954</f>
        <v>0</v>
      </c>
      <c r="J447" s="7" t="str">
        <f>'Secondary cum Calculation'!J954</f>
        <v>Thousand</v>
      </c>
      <c r="K447" s="8">
        <f>'Secondary cum Calculation'!K954</f>
        <v>0</v>
      </c>
      <c r="L447" s="164"/>
      <c r="M447" s="164"/>
      <c r="N447" s="164"/>
      <c r="O447" s="218"/>
      <c r="P447" s="218"/>
      <c r="W447" s="211" t="e">
        <f>'Secondary cum Calculation'!W954</f>
        <v>#DIV/0!</v>
      </c>
      <c r="X447" s="211" t="e">
        <f>'Secondary cum Calculation'!X954</f>
        <v>#DIV/0!</v>
      </c>
      <c r="Z447" s="11"/>
      <c r="AA447" s="11"/>
      <c r="AB447" s="11"/>
      <c r="AC447" s="11"/>
      <c r="AD447" s="11"/>
    </row>
    <row r="448" spans="1:30">
      <c r="A448" s="6" t="str">
        <f>'Secondary cum Calculation'!A956</f>
        <v>Poland</v>
      </c>
      <c r="B448" s="119" t="str">
        <f>'Secondary cum Calculation'!B956</f>
        <v>Tourism Flows</v>
      </c>
      <c r="C448" s="119" t="str">
        <f>'Secondary cum Calculation'!C956</f>
        <v>International Departures by Destination</v>
      </c>
      <c r="D448" s="119" t="str">
        <f>'Secondary cum Calculation'!D956</f>
        <v>South &amp; Central America</v>
      </c>
      <c r="E448" s="6" t="str">
        <f>'Secondary cum Calculation'!E956</f>
        <v>Bolivia (Plurinational State of)</v>
      </c>
      <c r="F448" s="7" t="str">
        <f>'Secondary cum Calculation'!F956</f>
        <v>The number of international departures from a country to Bolivia (Plurinational State of)</v>
      </c>
      <c r="G448" s="7" t="str">
        <f>'Secondary cum Calculation'!G956</f>
        <v>Tourism Demand &amp; Flows Database</v>
      </c>
      <c r="H448" s="7" t="str">
        <f>'Secondary cum Calculation'!H956</f>
        <v>New</v>
      </c>
      <c r="I448" s="7">
        <f>'Secondary cum Calculation'!I956</f>
        <v>0</v>
      </c>
      <c r="J448" s="7" t="str">
        <f>'Secondary cum Calculation'!J956</f>
        <v>Thousand</v>
      </c>
      <c r="K448" s="8">
        <f>'Secondary cum Calculation'!K956</f>
        <v>0</v>
      </c>
      <c r="L448" s="164"/>
      <c r="M448" s="164"/>
      <c r="N448" s="164"/>
      <c r="O448" s="218"/>
      <c r="P448" s="218"/>
      <c r="W448" s="211" t="e">
        <f>'Secondary cum Calculation'!W956</f>
        <v>#DIV/0!</v>
      </c>
      <c r="X448" s="211" t="e">
        <f>'Secondary cum Calculation'!X956</f>
        <v>#DIV/0!</v>
      </c>
      <c r="Z448" s="11"/>
      <c r="AA448" s="11"/>
      <c r="AB448" s="11"/>
      <c r="AC448" s="11"/>
      <c r="AD448" s="11"/>
    </row>
    <row r="449" spans="1:30">
      <c r="A449" s="6" t="str">
        <f>'Secondary cum Calculation'!A958</f>
        <v>Poland</v>
      </c>
      <c r="B449" s="119" t="str">
        <f>'Secondary cum Calculation'!B958</f>
        <v>Tourism Flows</v>
      </c>
      <c r="C449" s="119" t="str">
        <f>'Secondary cum Calculation'!C958</f>
        <v>International Departures by Destination</v>
      </c>
      <c r="D449" s="119" t="str">
        <f>'Secondary cum Calculation'!D958</f>
        <v>South &amp; Central America</v>
      </c>
      <c r="E449" s="6" t="str">
        <f>'Secondary cum Calculation'!E958</f>
        <v>Brazil</v>
      </c>
      <c r="F449" s="7" t="str">
        <f>'Secondary cum Calculation'!F958</f>
        <v>The number of international departures from a country to Brazil</v>
      </c>
      <c r="G449" s="7" t="str">
        <f>'Secondary cum Calculation'!G958</f>
        <v>Tourism Demand &amp; Flows Database</v>
      </c>
      <c r="H449" s="7" t="str">
        <f>'Secondary cum Calculation'!H958</f>
        <v>New</v>
      </c>
      <c r="I449" s="7">
        <f>'Secondary cum Calculation'!I958</f>
        <v>0</v>
      </c>
      <c r="J449" s="7" t="str">
        <f>'Secondary cum Calculation'!J958</f>
        <v>Thousand</v>
      </c>
      <c r="K449" s="8">
        <f>'Secondary cum Calculation'!K958</f>
        <v>0</v>
      </c>
      <c r="O449" s="218"/>
      <c r="P449" s="218"/>
      <c r="W449" s="211" t="e">
        <f>'Secondary cum Calculation'!W958</f>
        <v>#DIV/0!</v>
      </c>
      <c r="X449" s="211" t="e">
        <f>'Secondary cum Calculation'!X958</f>
        <v>#DIV/0!</v>
      </c>
      <c r="Z449" s="11"/>
      <c r="AA449" s="11"/>
      <c r="AB449" s="11"/>
      <c r="AC449" s="11"/>
      <c r="AD449" s="11"/>
    </row>
    <row r="450" spans="1:30">
      <c r="A450" s="6" t="str">
        <f>'Secondary cum Calculation'!A960</f>
        <v>Poland</v>
      </c>
      <c r="B450" s="119" t="str">
        <f>'Secondary cum Calculation'!B960</f>
        <v>Tourism Flows</v>
      </c>
      <c r="C450" s="119" t="str">
        <f>'Secondary cum Calculation'!C960</f>
        <v>International Departures by Destination</v>
      </c>
      <c r="D450" s="119" t="str">
        <f>'Secondary cum Calculation'!D960</f>
        <v>South &amp; Central America</v>
      </c>
      <c r="E450" s="6" t="str">
        <f>'Secondary cum Calculation'!E960</f>
        <v>Chile</v>
      </c>
      <c r="F450" s="7" t="str">
        <f>'Secondary cum Calculation'!F960</f>
        <v>The number of international departures from a country to Chile</v>
      </c>
      <c r="G450" s="7" t="str">
        <f>'Secondary cum Calculation'!G960</f>
        <v>Tourism Demand &amp; Flows Database</v>
      </c>
      <c r="H450" s="7" t="str">
        <f>'Secondary cum Calculation'!H960</f>
        <v>New</v>
      </c>
      <c r="I450" s="7">
        <f>'Secondary cum Calculation'!I960</f>
        <v>0</v>
      </c>
      <c r="J450" s="7" t="str">
        <f>'Secondary cum Calculation'!J960</f>
        <v>Thousand</v>
      </c>
      <c r="K450" s="8">
        <f>'Secondary cum Calculation'!K960</f>
        <v>0</v>
      </c>
      <c r="L450" s="164"/>
      <c r="M450" s="164"/>
      <c r="N450" s="164"/>
      <c r="O450" s="218"/>
      <c r="P450" s="218"/>
      <c r="W450" s="211" t="e">
        <f>'Secondary cum Calculation'!W960</f>
        <v>#DIV/0!</v>
      </c>
      <c r="X450" s="211" t="e">
        <f>'Secondary cum Calculation'!X960</f>
        <v>#DIV/0!</v>
      </c>
      <c r="Z450" s="11"/>
      <c r="AA450" s="11"/>
      <c r="AB450" s="11"/>
      <c r="AC450" s="11"/>
      <c r="AD450" s="11"/>
    </row>
    <row r="451" spans="1:30">
      <c r="A451" s="6" t="str">
        <f>'Secondary cum Calculation'!A962</f>
        <v>Poland</v>
      </c>
      <c r="B451" s="119" t="str">
        <f>'Secondary cum Calculation'!B962</f>
        <v>Tourism Flows</v>
      </c>
      <c r="C451" s="119" t="str">
        <f>'Secondary cum Calculation'!C962</f>
        <v>International Departures by Destination</v>
      </c>
      <c r="D451" s="119" t="str">
        <f>'Secondary cum Calculation'!D962</f>
        <v>South &amp; Central America</v>
      </c>
      <c r="E451" s="6" t="str">
        <f>'Secondary cum Calculation'!E962</f>
        <v>Colombia</v>
      </c>
      <c r="F451" s="7" t="str">
        <f>'Secondary cum Calculation'!F962</f>
        <v>The number of international departures from a country to Colombia</v>
      </c>
      <c r="G451" s="7" t="str">
        <f>'Secondary cum Calculation'!G962</f>
        <v>Tourism Demand &amp; Flows Database</v>
      </c>
      <c r="H451" s="7" t="str">
        <f>'Secondary cum Calculation'!H962</f>
        <v>New</v>
      </c>
      <c r="I451" s="7">
        <f>'Secondary cum Calculation'!I962</f>
        <v>0</v>
      </c>
      <c r="J451" s="7" t="str">
        <f>'Secondary cum Calculation'!J962</f>
        <v>Thousand</v>
      </c>
      <c r="K451" s="8">
        <f>'Secondary cum Calculation'!K962</f>
        <v>0</v>
      </c>
      <c r="O451" s="218"/>
      <c r="P451" s="218"/>
      <c r="W451" s="211" t="e">
        <f>'Secondary cum Calculation'!W962</f>
        <v>#DIV/0!</v>
      </c>
      <c r="X451" s="211" t="e">
        <f>'Secondary cum Calculation'!X962</f>
        <v>#DIV/0!</v>
      </c>
      <c r="Z451" s="11"/>
      <c r="AA451" s="11"/>
      <c r="AB451" s="11"/>
      <c r="AC451" s="11"/>
      <c r="AD451" s="11"/>
    </row>
    <row r="452" spans="1:30">
      <c r="A452" s="6" t="str">
        <f>'Secondary cum Calculation'!A964</f>
        <v>Poland</v>
      </c>
      <c r="B452" s="119" t="str">
        <f>'Secondary cum Calculation'!B964</f>
        <v>Tourism Flows</v>
      </c>
      <c r="C452" s="119" t="str">
        <f>'Secondary cum Calculation'!C964</f>
        <v>International Departures by Destination</v>
      </c>
      <c r="D452" s="119" t="str">
        <f>'Secondary cum Calculation'!D964</f>
        <v>South &amp; Central America</v>
      </c>
      <c r="E452" s="6" t="str">
        <f>'Secondary cum Calculation'!E964</f>
        <v>Costa Rica</v>
      </c>
      <c r="F452" s="7" t="str">
        <f>'Secondary cum Calculation'!F964</f>
        <v>The number of international departures from a country to Costa Rica</v>
      </c>
      <c r="G452" s="7" t="str">
        <f>'Secondary cum Calculation'!G964</f>
        <v>Tourism Demand &amp; Flows Database</v>
      </c>
      <c r="H452" s="7" t="str">
        <f>'Secondary cum Calculation'!H964</f>
        <v>New</v>
      </c>
      <c r="I452" s="7">
        <f>'Secondary cum Calculation'!I964</f>
        <v>0</v>
      </c>
      <c r="J452" s="7" t="str">
        <f>'Secondary cum Calculation'!J964</f>
        <v>Thousand</v>
      </c>
      <c r="K452" s="8">
        <f>'Secondary cum Calculation'!K964</f>
        <v>0</v>
      </c>
      <c r="L452" s="164"/>
      <c r="M452" s="164"/>
      <c r="N452" s="164"/>
      <c r="O452" s="218"/>
      <c r="P452" s="218"/>
      <c r="Q452" s="135"/>
      <c r="R452" s="135"/>
      <c r="S452" s="135"/>
      <c r="T452" s="135"/>
      <c r="U452" s="135"/>
      <c r="V452" s="135"/>
      <c r="W452" s="211" t="e">
        <f>'Secondary cum Calculation'!W964</f>
        <v>#DIV/0!</v>
      </c>
      <c r="X452" s="211" t="e">
        <f>'Secondary cum Calculation'!X964</f>
        <v>#DIV/0!</v>
      </c>
      <c r="Z452" s="11"/>
      <c r="AA452" s="11"/>
      <c r="AB452" s="11"/>
      <c r="AC452" s="11"/>
      <c r="AD452" s="11"/>
    </row>
    <row r="453" spans="1:30">
      <c r="A453" s="6" t="str">
        <f>'Secondary cum Calculation'!A966</f>
        <v>Poland</v>
      </c>
      <c r="B453" s="119" t="str">
        <f>'Secondary cum Calculation'!B966</f>
        <v>Tourism Flows</v>
      </c>
      <c r="C453" s="119" t="str">
        <f>'Secondary cum Calculation'!C966</f>
        <v>International Departures by Destination</v>
      </c>
      <c r="D453" s="119" t="str">
        <f>'Secondary cum Calculation'!D966</f>
        <v>South &amp; Central America</v>
      </c>
      <c r="E453" s="6" t="str">
        <f>'Secondary cum Calculation'!E966</f>
        <v>Cuba</v>
      </c>
      <c r="F453" s="7" t="str">
        <f>'Secondary cum Calculation'!F966</f>
        <v>The number of international departures from a country to Cuba</v>
      </c>
      <c r="G453" s="7" t="str">
        <f>'Secondary cum Calculation'!G966</f>
        <v>Tourism Demand &amp; Flows Database</v>
      </c>
      <c r="H453" s="7" t="str">
        <f>'Secondary cum Calculation'!H966</f>
        <v>New</v>
      </c>
      <c r="I453" s="7">
        <f>'Secondary cum Calculation'!I966</f>
        <v>0</v>
      </c>
      <c r="J453" s="7" t="str">
        <f>'Secondary cum Calculation'!J966</f>
        <v>Thousand</v>
      </c>
      <c r="K453" s="8">
        <f>'Secondary cum Calculation'!K966</f>
        <v>0</v>
      </c>
      <c r="L453" s="164"/>
      <c r="M453" s="164"/>
      <c r="N453" s="164"/>
      <c r="O453" s="218"/>
      <c r="P453" s="218"/>
      <c r="W453" s="211" t="e">
        <f>'Secondary cum Calculation'!W966</f>
        <v>#DIV/0!</v>
      </c>
      <c r="X453" s="211" t="e">
        <f>'Secondary cum Calculation'!X966</f>
        <v>#DIV/0!</v>
      </c>
      <c r="Z453" s="11"/>
      <c r="AA453" s="11"/>
      <c r="AB453" s="11"/>
      <c r="AC453" s="11"/>
      <c r="AD453" s="11"/>
    </row>
    <row r="454" spans="1:30">
      <c r="A454" s="6" t="str">
        <f>'Secondary cum Calculation'!A968</f>
        <v>Poland</v>
      </c>
      <c r="B454" s="119" t="str">
        <f>'Secondary cum Calculation'!B968</f>
        <v>Tourism Flows</v>
      </c>
      <c r="C454" s="119" t="str">
        <f>'Secondary cum Calculation'!C968</f>
        <v>International Departures by Destination</v>
      </c>
      <c r="D454" s="119" t="str">
        <f>'Secondary cum Calculation'!D968</f>
        <v>South &amp; Central America</v>
      </c>
      <c r="E454" s="6" t="str">
        <f>'Secondary cum Calculation'!E968</f>
        <v>Dominican Republic</v>
      </c>
      <c r="F454" s="7" t="str">
        <f>'Secondary cum Calculation'!F968</f>
        <v>The number of international departures from a country to Dominican Republic</v>
      </c>
      <c r="G454" s="7" t="str">
        <f>'Secondary cum Calculation'!G968</f>
        <v>Tourism Demand &amp; Flows Database</v>
      </c>
      <c r="H454" s="7" t="str">
        <f>'Secondary cum Calculation'!H968</f>
        <v>New</v>
      </c>
      <c r="I454" s="7">
        <f>'Secondary cum Calculation'!I968</f>
        <v>0</v>
      </c>
      <c r="J454" s="7" t="str">
        <f>'Secondary cum Calculation'!J968</f>
        <v>Thousand</v>
      </c>
      <c r="K454" s="8">
        <f>'Secondary cum Calculation'!K968</f>
        <v>0</v>
      </c>
      <c r="O454" s="218"/>
      <c r="P454" s="218"/>
      <c r="W454" s="211" t="e">
        <f>'Secondary cum Calculation'!W968</f>
        <v>#DIV/0!</v>
      </c>
      <c r="X454" s="211" t="e">
        <f>'Secondary cum Calculation'!X968</f>
        <v>#DIV/0!</v>
      </c>
      <c r="Z454" s="11"/>
      <c r="AA454" s="11"/>
      <c r="AB454" s="11"/>
      <c r="AC454" s="11"/>
      <c r="AD454" s="11"/>
    </row>
    <row r="455" spans="1:30">
      <c r="A455" s="6" t="str">
        <f>'Secondary cum Calculation'!A970</f>
        <v>Poland</v>
      </c>
      <c r="B455" s="119" t="str">
        <f>'Secondary cum Calculation'!B970</f>
        <v>Tourism Flows</v>
      </c>
      <c r="C455" s="119" t="str">
        <f>'Secondary cum Calculation'!C970</f>
        <v>International Departures by Destination</v>
      </c>
      <c r="D455" s="119" t="str">
        <f>'Secondary cum Calculation'!D970</f>
        <v>South &amp; Central America</v>
      </c>
      <c r="E455" s="6" t="str">
        <f>'Secondary cum Calculation'!E970</f>
        <v>Ecuador</v>
      </c>
      <c r="F455" s="7" t="str">
        <f>'Secondary cum Calculation'!F970</f>
        <v>The number of international departures from a country to Ecuador</v>
      </c>
      <c r="G455" s="7" t="str">
        <f>'Secondary cum Calculation'!G970</f>
        <v>Tourism Demand &amp; Flows Database</v>
      </c>
      <c r="H455" s="7" t="str">
        <f>'Secondary cum Calculation'!H970</f>
        <v>New</v>
      </c>
      <c r="I455" s="7">
        <f>'Secondary cum Calculation'!I970</f>
        <v>0</v>
      </c>
      <c r="J455" s="7" t="str">
        <f>'Secondary cum Calculation'!J970</f>
        <v>Thousand</v>
      </c>
      <c r="K455" s="8">
        <f>'Secondary cum Calculation'!K970</f>
        <v>0</v>
      </c>
      <c r="L455" s="164"/>
      <c r="M455" s="164"/>
      <c r="N455" s="164"/>
      <c r="O455" s="218"/>
      <c r="P455" s="218"/>
      <c r="W455" s="211" t="e">
        <f>'Secondary cum Calculation'!W970</f>
        <v>#DIV/0!</v>
      </c>
      <c r="X455" s="211" t="e">
        <f>'Secondary cum Calculation'!X970</f>
        <v>#DIV/0!</v>
      </c>
      <c r="Z455" s="11"/>
      <c r="AA455" s="11"/>
      <c r="AB455" s="11"/>
      <c r="AC455" s="11"/>
      <c r="AD455" s="11"/>
    </row>
    <row r="456" spans="1:30">
      <c r="A456" s="6" t="str">
        <f>'Secondary cum Calculation'!A972</f>
        <v>Poland</v>
      </c>
      <c r="B456" s="119" t="str">
        <f>'Secondary cum Calculation'!B972</f>
        <v>Tourism Flows</v>
      </c>
      <c r="C456" s="119" t="str">
        <f>'Secondary cum Calculation'!C972</f>
        <v>International Departures by Destination</v>
      </c>
      <c r="D456" s="119" t="str">
        <f>'Secondary cum Calculation'!D972</f>
        <v>South &amp; Central America</v>
      </c>
      <c r="E456" s="6" t="str">
        <f>'Secondary cum Calculation'!E972</f>
        <v>El Salvador</v>
      </c>
      <c r="F456" s="7" t="str">
        <f>'Secondary cum Calculation'!F972</f>
        <v>The number of international departures from a country to El Salvador</v>
      </c>
      <c r="G456" s="7" t="str">
        <f>'Secondary cum Calculation'!G972</f>
        <v>Tourism Demand &amp; Flows Database</v>
      </c>
      <c r="H456" s="7" t="str">
        <f>'Secondary cum Calculation'!H972</f>
        <v>New</v>
      </c>
      <c r="I456" s="7">
        <f>'Secondary cum Calculation'!I972</f>
        <v>0</v>
      </c>
      <c r="J456" s="7" t="str">
        <f>'Secondary cum Calculation'!J972</f>
        <v>Thousand</v>
      </c>
      <c r="K456" s="8">
        <f>'Secondary cum Calculation'!K972</f>
        <v>0</v>
      </c>
      <c r="L456" s="164"/>
      <c r="M456" s="164"/>
      <c r="N456" s="164"/>
      <c r="O456" s="218"/>
      <c r="P456" s="218"/>
      <c r="W456" s="211" t="e">
        <f>'Secondary cum Calculation'!W972</f>
        <v>#DIV/0!</v>
      </c>
      <c r="X456" s="211" t="e">
        <f>'Secondary cum Calculation'!X972</f>
        <v>#DIV/0!</v>
      </c>
      <c r="Z456" s="11"/>
      <c r="AA456" s="11"/>
      <c r="AB456" s="11"/>
      <c r="AC456" s="11"/>
      <c r="AD456" s="11"/>
    </row>
    <row r="457" spans="1:30">
      <c r="A457" s="6" t="str">
        <f>'Secondary cum Calculation'!A974</f>
        <v>Poland</v>
      </c>
      <c r="B457" s="119" t="str">
        <f>'Secondary cum Calculation'!B974</f>
        <v>Tourism Flows</v>
      </c>
      <c r="C457" s="119" t="str">
        <f>'Secondary cum Calculation'!C974</f>
        <v>International Departures by Destination</v>
      </c>
      <c r="D457" s="119" t="str">
        <f>'Secondary cum Calculation'!D974</f>
        <v>South &amp; Central America</v>
      </c>
      <c r="E457" s="6" t="str">
        <f>'Secondary cum Calculation'!E974</f>
        <v>French Guiana</v>
      </c>
      <c r="F457" s="7" t="str">
        <f>'Secondary cum Calculation'!F974</f>
        <v>The number of international departures from a country to French Guiana</v>
      </c>
      <c r="G457" s="7" t="str">
        <f>'Secondary cum Calculation'!G974</f>
        <v>Tourism Demand &amp; Flows Database</v>
      </c>
      <c r="H457" s="7" t="str">
        <f>'Secondary cum Calculation'!H974</f>
        <v>New</v>
      </c>
      <c r="I457" s="7">
        <f>'Secondary cum Calculation'!I974</f>
        <v>0</v>
      </c>
      <c r="J457" s="7" t="str">
        <f>'Secondary cum Calculation'!J974</f>
        <v>Thousand</v>
      </c>
      <c r="K457" s="8">
        <f>'Secondary cum Calculation'!K974</f>
        <v>0</v>
      </c>
      <c r="L457" s="164"/>
      <c r="M457" s="164"/>
      <c r="N457" s="164"/>
      <c r="O457" s="218"/>
      <c r="P457" s="218"/>
      <c r="W457" s="211" t="e">
        <f>'Secondary cum Calculation'!W974</f>
        <v>#DIV/0!</v>
      </c>
      <c r="X457" s="211" t="e">
        <f>'Secondary cum Calculation'!X974</f>
        <v>#DIV/0!</v>
      </c>
      <c r="Z457" s="11"/>
      <c r="AA457" s="11"/>
      <c r="AB457" s="11"/>
      <c r="AC457" s="11"/>
      <c r="AD457" s="11"/>
    </row>
    <row r="458" spans="1:30">
      <c r="A458" s="6" t="str">
        <f>'Secondary cum Calculation'!A976</f>
        <v>Poland</v>
      </c>
      <c r="B458" s="119" t="str">
        <f>'Secondary cum Calculation'!B976</f>
        <v>Tourism Flows</v>
      </c>
      <c r="C458" s="119" t="str">
        <f>'Secondary cum Calculation'!C976</f>
        <v>International Departures by Destination</v>
      </c>
      <c r="D458" s="119" t="str">
        <f>'Secondary cum Calculation'!D976</f>
        <v>South &amp; Central America</v>
      </c>
      <c r="E458" s="6" t="str">
        <f>'Secondary cum Calculation'!E976</f>
        <v>Grenada</v>
      </c>
      <c r="F458" s="7" t="str">
        <f>'Secondary cum Calculation'!F976</f>
        <v>The number of international departures from a country to Grenada</v>
      </c>
      <c r="G458" s="7" t="str">
        <f>'Secondary cum Calculation'!G976</f>
        <v>Tourism Demand &amp; Flows Database</v>
      </c>
      <c r="H458" s="7" t="str">
        <f>'Secondary cum Calculation'!H976</f>
        <v>New</v>
      </c>
      <c r="I458" s="7">
        <f>'Secondary cum Calculation'!I976</f>
        <v>0</v>
      </c>
      <c r="J458" s="7" t="str">
        <f>'Secondary cum Calculation'!J976</f>
        <v>Thousand</v>
      </c>
      <c r="K458" s="8">
        <f>'Secondary cum Calculation'!K976</f>
        <v>0</v>
      </c>
      <c r="L458" s="164"/>
      <c r="M458" s="164"/>
      <c r="N458" s="164"/>
      <c r="O458" s="218"/>
      <c r="P458" s="218"/>
      <c r="W458" s="211" t="e">
        <f>'Secondary cum Calculation'!W976</f>
        <v>#DIV/0!</v>
      </c>
      <c r="X458" s="211" t="e">
        <f>'Secondary cum Calculation'!X976</f>
        <v>#DIV/0!</v>
      </c>
      <c r="Z458" s="11"/>
      <c r="AA458" s="11"/>
      <c r="AB458" s="11"/>
      <c r="AC458" s="11"/>
      <c r="AD458" s="11"/>
    </row>
    <row r="459" spans="1:30">
      <c r="A459" s="6" t="str">
        <f>'Secondary cum Calculation'!A978</f>
        <v>Poland</v>
      </c>
      <c r="B459" s="119" t="str">
        <f>'Secondary cum Calculation'!B978</f>
        <v>Tourism Flows</v>
      </c>
      <c r="C459" s="119" t="str">
        <f>'Secondary cum Calculation'!C978</f>
        <v>International Departures by Destination</v>
      </c>
      <c r="D459" s="119" t="str">
        <f>'Secondary cum Calculation'!D978</f>
        <v>South &amp; Central America</v>
      </c>
      <c r="E459" s="6" t="str">
        <f>'Secondary cum Calculation'!E978</f>
        <v>Guadeloupe</v>
      </c>
      <c r="F459" s="7" t="str">
        <f>'Secondary cum Calculation'!F978</f>
        <v>The number of international departures from a country to Guadeloupe</v>
      </c>
      <c r="G459" s="7" t="str">
        <f>'Secondary cum Calculation'!G978</f>
        <v>Tourism Demand &amp; Flows Database</v>
      </c>
      <c r="H459" s="7" t="str">
        <f>'Secondary cum Calculation'!H978</f>
        <v>New</v>
      </c>
      <c r="I459" s="7">
        <f>'Secondary cum Calculation'!I978</f>
        <v>0</v>
      </c>
      <c r="J459" s="7" t="str">
        <f>'Secondary cum Calculation'!J978</f>
        <v>Thousand</v>
      </c>
      <c r="K459" s="8">
        <f>'Secondary cum Calculation'!K978</f>
        <v>0</v>
      </c>
      <c r="L459" s="164"/>
      <c r="M459" s="164"/>
      <c r="N459" s="164"/>
      <c r="O459" s="218"/>
      <c r="P459" s="218"/>
      <c r="W459" s="211" t="e">
        <f>'Secondary cum Calculation'!W978</f>
        <v>#DIV/0!</v>
      </c>
      <c r="X459" s="211" t="e">
        <f>'Secondary cum Calculation'!X978</f>
        <v>#DIV/0!</v>
      </c>
      <c r="Z459" s="11"/>
      <c r="AA459" s="11"/>
      <c r="AB459" s="11"/>
      <c r="AC459" s="11"/>
      <c r="AD459" s="11"/>
    </row>
    <row r="460" spans="1:30">
      <c r="A460" s="6" t="str">
        <f>'Secondary cum Calculation'!A980</f>
        <v>Poland</v>
      </c>
      <c r="B460" s="119" t="str">
        <f>'Secondary cum Calculation'!B980</f>
        <v>Tourism Flows</v>
      </c>
      <c r="C460" s="119" t="str">
        <f>'Secondary cum Calculation'!C980</f>
        <v>International Departures by Destination</v>
      </c>
      <c r="D460" s="119" t="str">
        <f>'Secondary cum Calculation'!D980</f>
        <v>South &amp; Central America</v>
      </c>
      <c r="E460" s="6" t="str">
        <f>'Secondary cum Calculation'!E980</f>
        <v>Guatemala</v>
      </c>
      <c r="F460" s="7" t="str">
        <f>'Secondary cum Calculation'!F980</f>
        <v>The number of international departures from a country to Guatemala</v>
      </c>
      <c r="G460" s="7" t="str">
        <f>'Secondary cum Calculation'!G980</f>
        <v>Tourism Demand &amp; Flows Database</v>
      </c>
      <c r="H460" s="7" t="str">
        <f>'Secondary cum Calculation'!H980</f>
        <v>New</v>
      </c>
      <c r="I460" s="7">
        <f>'Secondary cum Calculation'!I980</f>
        <v>0</v>
      </c>
      <c r="J460" s="7" t="str">
        <f>'Secondary cum Calculation'!J980</f>
        <v>Thousand</v>
      </c>
      <c r="K460" s="8">
        <f>'Secondary cum Calculation'!K980</f>
        <v>0</v>
      </c>
      <c r="L460" s="164"/>
      <c r="M460" s="164"/>
      <c r="N460" s="164"/>
      <c r="O460" s="218"/>
      <c r="P460" s="218"/>
      <c r="W460" s="211" t="e">
        <f>'Secondary cum Calculation'!W980</f>
        <v>#DIV/0!</v>
      </c>
      <c r="X460" s="211" t="e">
        <f>'Secondary cum Calculation'!X980</f>
        <v>#DIV/0!</v>
      </c>
      <c r="Z460" s="11"/>
      <c r="AA460" s="11"/>
      <c r="AB460" s="11"/>
      <c r="AC460" s="11"/>
      <c r="AD460" s="11"/>
    </row>
    <row r="461" spans="1:30">
      <c r="A461" s="6" t="str">
        <f>'Secondary cum Calculation'!A982</f>
        <v>Poland</v>
      </c>
      <c r="B461" s="119" t="str">
        <f>'Secondary cum Calculation'!B982</f>
        <v>Tourism Flows</v>
      </c>
      <c r="C461" s="119" t="str">
        <f>'Secondary cum Calculation'!C982</f>
        <v>International Departures by Destination</v>
      </c>
      <c r="D461" s="119" t="str">
        <f>'Secondary cum Calculation'!D982</f>
        <v>South &amp; Central America</v>
      </c>
      <c r="E461" s="6" t="str">
        <f>'Secondary cum Calculation'!E982</f>
        <v>Guyana</v>
      </c>
      <c r="F461" s="7" t="str">
        <f>'Secondary cum Calculation'!F982</f>
        <v>The number of international departures from a country to Guyana</v>
      </c>
      <c r="G461" s="7" t="str">
        <f>'Secondary cum Calculation'!G982</f>
        <v>Tourism Demand &amp; Flows Database</v>
      </c>
      <c r="H461" s="7" t="str">
        <f>'Secondary cum Calculation'!H982</f>
        <v>New</v>
      </c>
      <c r="I461" s="7">
        <f>'Secondary cum Calculation'!I982</f>
        <v>0</v>
      </c>
      <c r="J461" s="7" t="str">
        <f>'Secondary cum Calculation'!J982</f>
        <v>Thousand</v>
      </c>
      <c r="K461" s="8">
        <f>'Secondary cum Calculation'!K982</f>
        <v>0</v>
      </c>
      <c r="L461" s="164"/>
      <c r="M461" s="164"/>
      <c r="N461" s="164"/>
      <c r="O461" s="218"/>
      <c r="P461" s="218"/>
      <c r="W461" s="211" t="e">
        <f>'Secondary cum Calculation'!W982</f>
        <v>#DIV/0!</v>
      </c>
      <c r="X461" s="211" t="e">
        <f>'Secondary cum Calculation'!X982</f>
        <v>#DIV/0!</v>
      </c>
      <c r="Z461" s="11"/>
      <c r="AA461" s="11"/>
      <c r="AB461" s="11"/>
      <c r="AC461" s="11"/>
      <c r="AD461" s="11"/>
    </row>
    <row r="462" spans="1:30">
      <c r="A462" s="6" t="str">
        <f>'Secondary cum Calculation'!A984</f>
        <v>Poland</v>
      </c>
      <c r="B462" s="119" t="str">
        <f>'Secondary cum Calculation'!B984</f>
        <v>Tourism Flows</v>
      </c>
      <c r="C462" s="119" t="str">
        <f>'Secondary cum Calculation'!C984</f>
        <v>International Departures by Destination</v>
      </c>
      <c r="D462" s="119" t="str">
        <f>'Secondary cum Calculation'!D984</f>
        <v>South &amp; Central America</v>
      </c>
      <c r="E462" s="6" t="str">
        <f>'Secondary cum Calculation'!E984</f>
        <v>Haiti</v>
      </c>
      <c r="F462" s="7" t="str">
        <f>'Secondary cum Calculation'!F984</f>
        <v>The number of international departures from a country to Haiti</v>
      </c>
      <c r="G462" s="7" t="str">
        <f>'Secondary cum Calculation'!G984</f>
        <v>Tourism Demand &amp; Flows Database</v>
      </c>
      <c r="H462" s="7" t="str">
        <f>'Secondary cum Calculation'!H984</f>
        <v>New</v>
      </c>
      <c r="I462" s="7">
        <f>'Secondary cum Calculation'!I984</f>
        <v>0</v>
      </c>
      <c r="J462" s="7" t="str">
        <f>'Secondary cum Calculation'!J984</f>
        <v>Thousand</v>
      </c>
      <c r="K462" s="8">
        <f>'Secondary cum Calculation'!K984</f>
        <v>0</v>
      </c>
      <c r="L462" s="164"/>
      <c r="M462" s="164"/>
      <c r="N462" s="164"/>
      <c r="O462" s="218"/>
      <c r="P462" s="218"/>
      <c r="W462" s="211" t="e">
        <f>'Secondary cum Calculation'!W984</f>
        <v>#DIV/0!</v>
      </c>
      <c r="X462" s="211" t="e">
        <f>'Secondary cum Calculation'!X984</f>
        <v>#DIV/0!</v>
      </c>
      <c r="Z462" s="11"/>
      <c r="AA462" s="11"/>
      <c r="AB462" s="11"/>
      <c r="AC462" s="11"/>
      <c r="AD462" s="11"/>
    </row>
    <row r="463" spans="1:30">
      <c r="A463" s="6" t="str">
        <f>'Secondary cum Calculation'!A986</f>
        <v>Poland</v>
      </c>
      <c r="B463" s="119" t="str">
        <f>'Secondary cum Calculation'!B986</f>
        <v>Tourism Flows</v>
      </c>
      <c r="C463" s="119" t="str">
        <f>'Secondary cum Calculation'!C986</f>
        <v>International Departures by Destination</v>
      </c>
      <c r="D463" s="119" t="str">
        <f>'Secondary cum Calculation'!D986</f>
        <v>South &amp; Central America</v>
      </c>
      <c r="E463" s="6" t="str">
        <f>'Secondary cum Calculation'!E986</f>
        <v>Honduras</v>
      </c>
      <c r="F463" s="7" t="str">
        <f>'Secondary cum Calculation'!F986</f>
        <v>The number of international departures from a country to Honduras</v>
      </c>
      <c r="G463" s="7" t="str">
        <f>'Secondary cum Calculation'!G986</f>
        <v>Tourism Demand &amp; Flows Database</v>
      </c>
      <c r="H463" s="7" t="str">
        <f>'Secondary cum Calculation'!H986</f>
        <v>New</v>
      </c>
      <c r="I463" s="7">
        <f>'Secondary cum Calculation'!I986</f>
        <v>0</v>
      </c>
      <c r="J463" s="7" t="str">
        <f>'Secondary cum Calculation'!J986</f>
        <v>Thousand</v>
      </c>
      <c r="K463" s="8">
        <f>'Secondary cum Calculation'!K986</f>
        <v>0</v>
      </c>
      <c r="L463" s="164"/>
      <c r="M463" s="164"/>
      <c r="N463" s="164"/>
      <c r="O463" s="218"/>
      <c r="P463" s="218"/>
      <c r="W463" s="211" t="e">
        <f>'Secondary cum Calculation'!W986</f>
        <v>#DIV/0!</v>
      </c>
      <c r="X463" s="211" t="e">
        <f>'Secondary cum Calculation'!X986</f>
        <v>#DIV/0!</v>
      </c>
      <c r="Z463" s="11"/>
      <c r="AA463" s="11"/>
      <c r="AB463" s="11"/>
      <c r="AC463" s="11"/>
      <c r="AD463" s="11"/>
    </row>
    <row r="464" spans="1:30">
      <c r="A464" s="6" t="str">
        <f>'Secondary cum Calculation'!A988</f>
        <v>Poland</v>
      </c>
      <c r="B464" s="119" t="str">
        <f>'Secondary cum Calculation'!B988</f>
        <v>Tourism Flows</v>
      </c>
      <c r="C464" s="119" t="str">
        <f>'Secondary cum Calculation'!C988</f>
        <v>International Departures by Destination</v>
      </c>
      <c r="D464" s="119" t="str">
        <f>'Secondary cum Calculation'!D988</f>
        <v>South &amp; Central America</v>
      </c>
      <c r="E464" s="6" t="str">
        <f>'Secondary cum Calculation'!E988</f>
        <v>Jamaica</v>
      </c>
      <c r="F464" s="7" t="str">
        <f>'Secondary cum Calculation'!F988</f>
        <v>The number of international departures from a country to Jamaica</v>
      </c>
      <c r="G464" s="7" t="str">
        <f>'Secondary cum Calculation'!G988</f>
        <v>Tourism Demand &amp; Flows Database</v>
      </c>
      <c r="H464" s="7" t="str">
        <f>'Secondary cum Calculation'!H988</f>
        <v>New</v>
      </c>
      <c r="I464" s="7">
        <f>'Secondary cum Calculation'!I988</f>
        <v>0</v>
      </c>
      <c r="J464" s="7" t="str">
        <f>'Secondary cum Calculation'!J988</f>
        <v>Thousand</v>
      </c>
      <c r="K464" s="8">
        <f>'Secondary cum Calculation'!K988</f>
        <v>1688</v>
      </c>
      <c r="O464" s="218"/>
      <c r="P464" s="218"/>
      <c r="W464" s="211" t="e">
        <f>'Secondary cum Calculation'!W988</f>
        <v>#DIV/0!</v>
      </c>
      <c r="X464" s="211" t="e">
        <f>'Secondary cum Calculation'!X988</f>
        <v>#DIV/0!</v>
      </c>
      <c r="Z464" s="11"/>
      <c r="AA464" s="11"/>
      <c r="AB464" s="11"/>
      <c r="AC464" s="11"/>
      <c r="AD464" s="11"/>
    </row>
    <row r="465" spans="1:30">
      <c r="A465" s="6" t="str">
        <f>'Secondary cum Calculation'!A990</f>
        <v>Poland</v>
      </c>
      <c r="B465" s="119" t="str">
        <f>'Secondary cum Calculation'!B990</f>
        <v>Tourism Flows</v>
      </c>
      <c r="C465" s="119" t="str">
        <f>'Secondary cum Calculation'!C990</f>
        <v>International Departures by Destination</v>
      </c>
      <c r="D465" s="119" t="str">
        <f>'Secondary cum Calculation'!D990</f>
        <v>South &amp; Central America</v>
      </c>
      <c r="E465" s="6" t="str">
        <f>'Secondary cum Calculation'!E990</f>
        <v>Martinique</v>
      </c>
      <c r="F465" s="7" t="str">
        <f>'Secondary cum Calculation'!F990</f>
        <v>The number of international departures from a country to Martinique</v>
      </c>
      <c r="G465" s="7" t="str">
        <f>'Secondary cum Calculation'!G990</f>
        <v>Tourism Demand &amp; Flows Database</v>
      </c>
      <c r="H465" s="7" t="str">
        <f>'Secondary cum Calculation'!H990</f>
        <v>New</v>
      </c>
      <c r="I465" s="7">
        <f>'Secondary cum Calculation'!I990</f>
        <v>0</v>
      </c>
      <c r="J465" s="7" t="str">
        <f>'Secondary cum Calculation'!J990</f>
        <v>Thousand</v>
      </c>
      <c r="K465" s="8">
        <f>'Secondary cum Calculation'!K990</f>
        <v>0</v>
      </c>
      <c r="L465" s="164"/>
      <c r="M465" s="164"/>
      <c r="N465" s="164"/>
      <c r="O465" s="218"/>
      <c r="P465" s="218"/>
      <c r="W465" s="211" t="e">
        <f>'Secondary cum Calculation'!W990</f>
        <v>#DIV/0!</v>
      </c>
      <c r="X465" s="211" t="e">
        <f>'Secondary cum Calculation'!X990</f>
        <v>#DIV/0!</v>
      </c>
      <c r="Z465" s="11"/>
      <c r="AA465" s="11"/>
      <c r="AB465" s="11"/>
      <c r="AC465" s="11"/>
      <c r="AD465" s="11"/>
    </row>
    <row r="466" spans="1:30">
      <c r="A466" s="6" t="str">
        <f>'Secondary cum Calculation'!A992</f>
        <v>Poland</v>
      </c>
      <c r="B466" s="119" t="str">
        <f>'Secondary cum Calculation'!B992</f>
        <v>Tourism Flows</v>
      </c>
      <c r="C466" s="119" t="str">
        <f>'Secondary cum Calculation'!C992</f>
        <v>International Departures by Destination</v>
      </c>
      <c r="D466" s="119" t="str">
        <f>'Secondary cum Calculation'!D992</f>
        <v>South &amp; Central America</v>
      </c>
      <c r="E466" s="6" t="str">
        <f>'Secondary cum Calculation'!E992</f>
        <v>Netherlands Antilles</v>
      </c>
      <c r="F466" s="7" t="str">
        <f>'Secondary cum Calculation'!F992</f>
        <v>The number of international departures from a country to Netherlands Antilles</v>
      </c>
      <c r="G466" s="7" t="str">
        <f>'Secondary cum Calculation'!G992</f>
        <v>Tourism Demand &amp; Flows Database</v>
      </c>
      <c r="H466" s="7" t="str">
        <f>'Secondary cum Calculation'!H992</f>
        <v>New</v>
      </c>
      <c r="I466" s="7">
        <f>'Secondary cum Calculation'!I992</f>
        <v>0</v>
      </c>
      <c r="J466" s="7" t="str">
        <f>'Secondary cum Calculation'!J992</f>
        <v>Thousand</v>
      </c>
      <c r="K466" s="8">
        <f>'Secondary cum Calculation'!K992</f>
        <v>0</v>
      </c>
      <c r="L466" s="164"/>
      <c r="M466" s="164"/>
      <c r="N466" s="164"/>
      <c r="O466" s="218"/>
      <c r="P466" s="218"/>
      <c r="W466" s="211" t="e">
        <f>'Secondary cum Calculation'!W992</f>
        <v>#DIV/0!</v>
      </c>
      <c r="X466" s="211" t="e">
        <f>'Secondary cum Calculation'!X992</f>
        <v>#DIV/0!</v>
      </c>
      <c r="Z466" s="11"/>
      <c r="AA466" s="11"/>
      <c r="AB466" s="11"/>
      <c r="AC466" s="11"/>
      <c r="AD466" s="11"/>
    </row>
    <row r="467" spans="1:30">
      <c r="A467" s="6" t="str">
        <f>'Secondary cum Calculation'!A994</f>
        <v>Poland</v>
      </c>
      <c r="B467" s="119" t="str">
        <f>'Secondary cum Calculation'!B994</f>
        <v>Tourism Flows</v>
      </c>
      <c r="C467" s="119" t="str">
        <f>'Secondary cum Calculation'!C994</f>
        <v>International Departures by Destination</v>
      </c>
      <c r="D467" s="119" t="str">
        <f>'Secondary cum Calculation'!D994</f>
        <v>South &amp; Central America</v>
      </c>
      <c r="E467" s="6" t="str">
        <f>'Secondary cum Calculation'!E994</f>
        <v>Nicaragua</v>
      </c>
      <c r="F467" s="7" t="str">
        <f>'Secondary cum Calculation'!F994</f>
        <v>The number of international departures from a country to Nicaragua</v>
      </c>
      <c r="G467" s="7" t="str">
        <f>'Secondary cum Calculation'!G994</f>
        <v>Tourism Demand &amp; Flows Database</v>
      </c>
      <c r="H467" s="7" t="str">
        <f>'Secondary cum Calculation'!H994</f>
        <v>New</v>
      </c>
      <c r="I467" s="7">
        <f>'Secondary cum Calculation'!I994</f>
        <v>0</v>
      </c>
      <c r="J467" s="7" t="str">
        <f>'Secondary cum Calculation'!J994</f>
        <v>Thousand</v>
      </c>
      <c r="K467" s="8">
        <f>'Secondary cum Calculation'!K994</f>
        <v>0</v>
      </c>
      <c r="L467" s="164"/>
      <c r="M467" s="164"/>
      <c r="N467" s="164"/>
      <c r="O467" s="218"/>
      <c r="P467" s="218"/>
      <c r="W467" s="211" t="e">
        <f>'Secondary cum Calculation'!W994</f>
        <v>#DIV/0!</v>
      </c>
      <c r="X467" s="211" t="e">
        <f>'Secondary cum Calculation'!X994</f>
        <v>#DIV/0!</v>
      </c>
      <c r="Z467" s="11"/>
      <c r="AA467" s="11"/>
      <c r="AB467" s="11"/>
      <c r="AC467" s="11"/>
      <c r="AD467" s="11"/>
    </row>
    <row r="468" spans="1:30">
      <c r="A468" s="6" t="str">
        <f>'Secondary cum Calculation'!A996</f>
        <v>Poland</v>
      </c>
      <c r="B468" s="119" t="str">
        <f>'Secondary cum Calculation'!B996</f>
        <v>Tourism Flows</v>
      </c>
      <c r="C468" s="119" t="str">
        <f>'Secondary cum Calculation'!C996</f>
        <v>International Departures by Destination</v>
      </c>
      <c r="D468" s="119" t="str">
        <f>'Secondary cum Calculation'!D996</f>
        <v>South &amp; Central America</v>
      </c>
      <c r="E468" s="6" t="str">
        <f>'Secondary cum Calculation'!E996</f>
        <v>Panama</v>
      </c>
      <c r="F468" s="7" t="str">
        <f>'Secondary cum Calculation'!F996</f>
        <v>The number of international departures from a country to Panama</v>
      </c>
      <c r="G468" s="7" t="str">
        <f>'Secondary cum Calculation'!G996</f>
        <v>Tourism Demand &amp; Flows Database</v>
      </c>
      <c r="H468" s="7" t="str">
        <f>'Secondary cum Calculation'!H996</f>
        <v>New</v>
      </c>
      <c r="I468" s="7">
        <f>'Secondary cum Calculation'!I996</f>
        <v>0</v>
      </c>
      <c r="J468" s="7" t="str">
        <f>'Secondary cum Calculation'!J996</f>
        <v>Thousand</v>
      </c>
      <c r="K468" s="8">
        <f>'Secondary cum Calculation'!K996</f>
        <v>0</v>
      </c>
      <c r="L468" s="164"/>
      <c r="M468" s="164"/>
      <c r="N468" s="164"/>
      <c r="O468" s="218"/>
      <c r="P468" s="218"/>
      <c r="W468" s="211" t="e">
        <f>'Secondary cum Calculation'!W996</f>
        <v>#DIV/0!</v>
      </c>
      <c r="X468" s="211" t="e">
        <f>'Secondary cum Calculation'!X996</f>
        <v>#DIV/0!</v>
      </c>
      <c r="Z468" s="11"/>
      <c r="AA468" s="11"/>
      <c r="AB468" s="11"/>
      <c r="AC468" s="11"/>
      <c r="AD468" s="11"/>
    </row>
    <row r="469" spans="1:30">
      <c r="A469" s="6" t="str">
        <f>'Secondary cum Calculation'!A998</f>
        <v>Poland</v>
      </c>
      <c r="B469" s="119" t="str">
        <f>'Secondary cum Calculation'!B998</f>
        <v>Tourism Flows</v>
      </c>
      <c r="C469" s="119" t="str">
        <f>'Secondary cum Calculation'!C998</f>
        <v>International Departures by Destination</v>
      </c>
      <c r="D469" s="119" t="str">
        <f>'Secondary cum Calculation'!D998</f>
        <v>South &amp; Central America</v>
      </c>
      <c r="E469" s="6" t="str">
        <f>'Secondary cum Calculation'!E998</f>
        <v>Paraguay</v>
      </c>
      <c r="F469" s="7" t="str">
        <f>'Secondary cum Calculation'!F998</f>
        <v>The number of international departures from a country to Paraguay</v>
      </c>
      <c r="G469" s="7" t="str">
        <f>'Secondary cum Calculation'!G998</f>
        <v>Tourism Demand &amp; Flows Database</v>
      </c>
      <c r="H469" s="7" t="str">
        <f>'Secondary cum Calculation'!H998</f>
        <v>New</v>
      </c>
      <c r="I469" s="7">
        <f>'Secondary cum Calculation'!I998</f>
        <v>0</v>
      </c>
      <c r="J469" s="7" t="str">
        <f>'Secondary cum Calculation'!J998</f>
        <v>Thousand</v>
      </c>
      <c r="K469" s="8">
        <f>'Secondary cum Calculation'!K998</f>
        <v>0</v>
      </c>
      <c r="L469" s="164"/>
      <c r="M469" s="164"/>
      <c r="N469" s="164"/>
      <c r="O469" s="218"/>
      <c r="P469" s="218"/>
      <c r="W469" s="211" t="e">
        <f>'Secondary cum Calculation'!W998</f>
        <v>#DIV/0!</v>
      </c>
      <c r="X469" s="211" t="e">
        <f>'Secondary cum Calculation'!X998</f>
        <v>#DIV/0!</v>
      </c>
      <c r="Z469" s="11"/>
      <c r="AA469" s="11"/>
      <c r="AB469" s="11"/>
      <c r="AC469" s="11"/>
      <c r="AD469" s="11"/>
    </row>
    <row r="470" spans="1:30">
      <c r="A470" s="6" t="str">
        <f>'Secondary cum Calculation'!A1000</f>
        <v>Poland</v>
      </c>
      <c r="B470" s="119" t="str">
        <f>'Secondary cum Calculation'!B1000</f>
        <v>Tourism Flows</v>
      </c>
      <c r="C470" s="119" t="str">
        <f>'Secondary cum Calculation'!C1000</f>
        <v>International Departures by Destination</v>
      </c>
      <c r="D470" s="119" t="str">
        <f>'Secondary cum Calculation'!D1000</f>
        <v>South &amp; Central America</v>
      </c>
      <c r="E470" s="6" t="str">
        <f>'Secondary cum Calculation'!E1000</f>
        <v>Peru</v>
      </c>
      <c r="F470" s="7" t="str">
        <f>'Secondary cum Calculation'!F1000</f>
        <v>The number of international departures from a country to Peru</v>
      </c>
      <c r="G470" s="7" t="str">
        <f>'Secondary cum Calculation'!G1000</f>
        <v>Tourism Demand &amp; Flows Database</v>
      </c>
      <c r="H470" s="7" t="str">
        <f>'Secondary cum Calculation'!H1000</f>
        <v>New</v>
      </c>
      <c r="I470" s="7">
        <f>'Secondary cum Calculation'!I1000</f>
        <v>0</v>
      </c>
      <c r="J470" s="7" t="str">
        <f>'Secondary cum Calculation'!J1000</f>
        <v>Thousand</v>
      </c>
      <c r="K470" s="8">
        <f>'Secondary cum Calculation'!K1000</f>
        <v>0</v>
      </c>
      <c r="L470" s="164"/>
      <c r="M470" s="164"/>
      <c r="N470" s="164"/>
      <c r="O470" s="218"/>
      <c r="P470" s="218"/>
      <c r="W470" s="211" t="e">
        <f>'Secondary cum Calculation'!W1000</f>
        <v>#DIV/0!</v>
      </c>
      <c r="X470" s="211" t="e">
        <f>'Secondary cum Calculation'!X1000</f>
        <v>#DIV/0!</v>
      </c>
      <c r="Z470" s="11"/>
      <c r="AA470" s="11"/>
      <c r="AB470" s="11"/>
      <c r="AC470" s="11"/>
      <c r="AD470" s="11"/>
    </row>
    <row r="471" spans="1:30">
      <c r="A471" s="6" t="str">
        <f>'Secondary cum Calculation'!A1002</f>
        <v>Poland</v>
      </c>
      <c r="B471" s="119" t="str">
        <f>'Secondary cum Calculation'!B1002</f>
        <v>Tourism Flows</v>
      </c>
      <c r="C471" s="119" t="str">
        <f>'Secondary cum Calculation'!C1002</f>
        <v>International Departures by Destination</v>
      </c>
      <c r="D471" s="119" t="str">
        <f>'Secondary cum Calculation'!D1002</f>
        <v>South &amp; Central America</v>
      </c>
      <c r="E471" s="6" t="str">
        <f>'Secondary cum Calculation'!E1002</f>
        <v>Puerto Rico</v>
      </c>
      <c r="F471" s="7" t="str">
        <f>'Secondary cum Calculation'!F1002</f>
        <v>The number of international departures from a country to Puerto Rico</v>
      </c>
      <c r="G471" s="7" t="str">
        <f>'Secondary cum Calculation'!G1002</f>
        <v>Tourism Demand &amp; Flows Database</v>
      </c>
      <c r="H471" s="7" t="str">
        <f>'Secondary cum Calculation'!H1002</f>
        <v>New</v>
      </c>
      <c r="I471" s="7">
        <f>'Secondary cum Calculation'!I1002</f>
        <v>0</v>
      </c>
      <c r="J471" s="7" t="str">
        <f>'Secondary cum Calculation'!J1002</f>
        <v>Thousand</v>
      </c>
      <c r="K471" s="8">
        <f>'Secondary cum Calculation'!K1002</f>
        <v>0</v>
      </c>
      <c r="L471" s="164"/>
      <c r="M471" s="164"/>
      <c r="N471" s="164"/>
      <c r="O471" s="218"/>
      <c r="P471" s="218"/>
      <c r="W471" s="211" t="e">
        <f>'Secondary cum Calculation'!W1002</f>
        <v>#DIV/0!</v>
      </c>
      <c r="X471" s="211" t="e">
        <f>'Secondary cum Calculation'!X1002</f>
        <v>#DIV/0!</v>
      </c>
      <c r="Z471" s="11"/>
      <c r="AA471" s="11"/>
      <c r="AB471" s="11"/>
      <c r="AC471" s="11"/>
      <c r="AD471" s="11"/>
    </row>
    <row r="472" spans="1:30">
      <c r="A472" s="6" t="str">
        <f>'Secondary cum Calculation'!A1004</f>
        <v>Poland</v>
      </c>
      <c r="B472" s="119" t="str">
        <f>'Secondary cum Calculation'!B1004</f>
        <v>Tourism Flows</v>
      </c>
      <c r="C472" s="119" t="str">
        <f>'Secondary cum Calculation'!C1004</f>
        <v>International Departures by Destination</v>
      </c>
      <c r="D472" s="119" t="str">
        <f>'Secondary cum Calculation'!D1004</f>
        <v>South &amp; Central America</v>
      </c>
      <c r="E472" s="6" t="str">
        <f>'Secondary cum Calculation'!E1004</f>
        <v>Saint Lucia</v>
      </c>
      <c r="F472" s="7" t="str">
        <f>'Secondary cum Calculation'!F1004</f>
        <v>The number of international departures from a country to Saint Lucia</v>
      </c>
      <c r="G472" s="7" t="str">
        <f>'Secondary cum Calculation'!G1004</f>
        <v>Tourism Demand &amp; Flows Database</v>
      </c>
      <c r="H472" s="7" t="str">
        <f>'Secondary cum Calculation'!H1004</f>
        <v>New</v>
      </c>
      <c r="I472" s="7">
        <f>'Secondary cum Calculation'!I1004</f>
        <v>0</v>
      </c>
      <c r="J472" s="7" t="str">
        <f>'Secondary cum Calculation'!J1004</f>
        <v>Thousand</v>
      </c>
      <c r="K472" s="8">
        <f>'Secondary cum Calculation'!K1004</f>
        <v>0</v>
      </c>
      <c r="L472" s="164"/>
      <c r="M472" s="164"/>
      <c r="N472" s="164"/>
      <c r="O472" s="218"/>
      <c r="P472" s="218"/>
      <c r="W472" s="211" t="e">
        <f>'Secondary cum Calculation'!W1004</f>
        <v>#DIV/0!</v>
      </c>
      <c r="X472" s="211" t="e">
        <f>'Secondary cum Calculation'!X1004</f>
        <v>#DIV/0!</v>
      </c>
      <c r="Z472" s="11"/>
      <c r="AA472" s="11"/>
      <c r="AB472" s="11"/>
      <c r="AC472" s="11"/>
      <c r="AD472" s="11"/>
    </row>
    <row r="473" spans="1:30">
      <c r="A473" s="6" t="str">
        <f>'Secondary cum Calculation'!A1006</f>
        <v>Poland</v>
      </c>
      <c r="B473" s="119" t="str">
        <f>'Secondary cum Calculation'!B1006</f>
        <v>Tourism Flows</v>
      </c>
      <c r="C473" s="119" t="str">
        <f>'Secondary cum Calculation'!C1006</f>
        <v>International Departures by Destination</v>
      </c>
      <c r="D473" s="119" t="str">
        <f>'Secondary cum Calculation'!D1006</f>
        <v>South &amp; Central America</v>
      </c>
      <c r="E473" s="6" t="str">
        <f>'Secondary cum Calculation'!E1006</f>
        <v>Sao Tome and Principe</v>
      </c>
      <c r="F473" s="7" t="str">
        <f>'Secondary cum Calculation'!F1006</f>
        <v>The number of international departures from a country to Sao Tome and Principe</v>
      </c>
      <c r="G473" s="7" t="str">
        <f>'Secondary cum Calculation'!G1006</f>
        <v>Tourism Demand &amp; Flows Database</v>
      </c>
      <c r="H473" s="7" t="str">
        <f>'Secondary cum Calculation'!H1006</f>
        <v>New</v>
      </c>
      <c r="I473" s="7">
        <f>'Secondary cum Calculation'!I1006</f>
        <v>0</v>
      </c>
      <c r="J473" s="7" t="str">
        <f>'Secondary cum Calculation'!J1006</f>
        <v>Thousand</v>
      </c>
      <c r="K473" s="8">
        <f>'Secondary cum Calculation'!K1006</f>
        <v>0</v>
      </c>
      <c r="L473" s="164"/>
      <c r="M473" s="164"/>
      <c r="N473" s="164"/>
      <c r="O473" s="218"/>
      <c r="P473" s="218"/>
      <c r="W473" s="211" t="e">
        <f>'Secondary cum Calculation'!W1006</f>
        <v>#DIV/0!</v>
      </c>
      <c r="X473" s="211" t="e">
        <f>'Secondary cum Calculation'!X1006</f>
        <v>#DIV/0!</v>
      </c>
      <c r="Z473" s="11"/>
      <c r="AA473" s="11"/>
      <c r="AB473" s="11"/>
      <c r="AC473" s="11"/>
      <c r="AD473" s="11"/>
    </row>
    <row r="474" spans="1:30">
      <c r="A474" s="6" t="str">
        <f>'Secondary cum Calculation'!A1008</f>
        <v>Poland</v>
      </c>
      <c r="B474" s="119" t="str">
        <f>'Secondary cum Calculation'!B1008</f>
        <v>Tourism Flows</v>
      </c>
      <c r="C474" s="119" t="str">
        <f>'Secondary cum Calculation'!C1008</f>
        <v>International Departures by Destination</v>
      </c>
      <c r="D474" s="119" t="str">
        <f>'Secondary cum Calculation'!D1008</f>
        <v>South &amp; Central America</v>
      </c>
      <c r="E474" s="6" t="str">
        <f>'Secondary cum Calculation'!E1008</f>
        <v>St. Vincent and the Grenadines</v>
      </c>
      <c r="F474" s="7" t="str">
        <f>'Secondary cum Calculation'!F1008</f>
        <v>The number of international departures from a country to St. Vincent and the Grenadines</v>
      </c>
      <c r="G474" s="7" t="str">
        <f>'Secondary cum Calculation'!G1008</f>
        <v>Tourism Demand &amp; Flows Database</v>
      </c>
      <c r="H474" s="7" t="str">
        <f>'Secondary cum Calculation'!H1008</f>
        <v>New</v>
      </c>
      <c r="I474" s="7">
        <f>'Secondary cum Calculation'!I1008</f>
        <v>0</v>
      </c>
      <c r="J474" s="7" t="str">
        <f>'Secondary cum Calculation'!J1008</f>
        <v>Thousand</v>
      </c>
      <c r="K474" s="8">
        <f>'Secondary cum Calculation'!K1008</f>
        <v>0</v>
      </c>
      <c r="L474" s="164"/>
      <c r="M474" s="164"/>
      <c r="N474" s="164"/>
      <c r="O474" s="218"/>
      <c r="P474" s="218"/>
      <c r="W474" s="211" t="e">
        <f>'Secondary cum Calculation'!W1008</f>
        <v>#DIV/0!</v>
      </c>
      <c r="X474" s="211" t="e">
        <f>'Secondary cum Calculation'!X1008</f>
        <v>#DIV/0!</v>
      </c>
      <c r="Z474" s="11"/>
      <c r="AA474" s="11"/>
      <c r="AB474" s="11"/>
      <c r="AC474" s="11"/>
      <c r="AD474" s="11"/>
    </row>
    <row r="475" spans="1:30">
      <c r="A475" s="6" t="str">
        <f>'Secondary cum Calculation'!A1010</f>
        <v>Poland</v>
      </c>
      <c r="B475" s="119" t="str">
        <f>'Secondary cum Calculation'!B1010</f>
        <v>Tourism Flows</v>
      </c>
      <c r="C475" s="119" t="str">
        <f>'Secondary cum Calculation'!C1010</f>
        <v>International Departures by Destination</v>
      </c>
      <c r="D475" s="119" t="str">
        <f>'Secondary cum Calculation'!D1010</f>
        <v>South &amp; Central America</v>
      </c>
      <c r="E475" s="6" t="str">
        <f>'Secondary cum Calculation'!E1010</f>
        <v>Suriname</v>
      </c>
      <c r="F475" s="7" t="str">
        <f>'Secondary cum Calculation'!F1010</f>
        <v>The number of international departures from a country to Suriname</v>
      </c>
      <c r="G475" s="7" t="str">
        <f>'Secondary cum Calculation'!G1010</f>
        <v>Tourism Demand &amp; Flows Database</v>
      </c>
      <c r="H475" s="7" t="str">
        <f>'Secondary cum Calculation'!H1010</f>
        <v>New</v>
      </c>
      <c r="I475" s="7">
        <f>'Secondary cum Calculation'!I1010</f>
        <v>0</v>
      </c>
      <c r="J475" s="7" t="str">
        <f>'Secondary cum Calculation'!J1010</f>
        <v>Thousand</v>
      </c>
      <c r="K475" s="8">
        <f>'Secondary cum Calculation'!K1010</f>
        <v>0</v>
      </c>
      <c r="L475" s="164"/>
      <c r="M475" s="164"/>
      <c r="N475" s="164"/>
      <c r="O475" s="218"/>
      <c r="P475" s="218"/>
      <c r="W475" s="211" t="e">
        <f>'Secondary cum Calculation'!W1010</f>
        <v>#DIV/0!</v>
      </c>
      <c r="X475" s="211" t="e">
        <f>'Secondary cum Calculation'!X1010</f>
        <v>#DIV/0!</v>
      </c>
      <c r="Z475" s="11"/>
      <c r="AA475" s="11"/>
      <c r="AB475" s="11"/>
      <c r="AC475" s="11"/>
      <c r="AD475" s="11"/>
    </row>
    <row r="476" spans="1:30">
      <c r="A476" s="6" t="str">
        <f>'Secondary cum Calculation'!A1012</f>
        <v>Poland</v>
      </c>
      <c r="B476" s="119" t="str">
        <f>'Secondary cum Calculation'!B1012</f>
        <v>Tourism Flows</v>
      </c>
      <c r="C476" s="119" t="str">
        <f>'Secondary cum Calculation'!C1012</f>
        <v>International Departures by Destination</v>
      </c>
      <c r="D476" s="119" t="str">
        <f>'Secondary cum Calculation'!D1012</f>
        <v>South &amp; Central America</v>
      </c>
      <c r="E476" s="6" t="str">
        <f>'Secondary cum Calculation'!E1012</f>
        <v>Trinidad and Tobago</v>
      </c>
      <c r="F476" s="7" t="str">
        <f>'Secondary cum Calculation'!F1012</f>
        <v>The number of international departures from a country to Trinidad and Tobago</v>
      </c>
      <c r="G476" s="7" t="str">
        <f>'Secondary cum Calculation'!G1012</f>
        <v>Tourism Demand &amp; Flows Database</v>
      </c>
      <c r="H476" s="7" t="str">
        <f>'Secondary cum Calculation'!H1012</f>
        <v>New</v>
      </c>
      <c r="I476" s="7">
        <f>'Secondary cum Calculation'!I1012</f>
        <v>0</v>
      </c>
      <c r="J476" s="7" t="str">
        <f>'Secondary cum Calculation'!J1012</f>
        <v>Thousand</v>
      </c>
      <c r="K476" s="8">
        <f>'Secondary cum Calculation'!K1012</f>
        <v>0</v>
      </c>
      <c r="L476" s="164"/>
      <c r="M476" s="164"/>
      <c r="N476" s="164"/>
      <c r="O476" s="218"/>
      <c r="P476" s="218"/>
      <c r="W476" s="211" t="e">
        <f>'Secondary cum Calculation'!W1012</f>
        <v>#DIV/0!</v>
      </c>
      <c r="X476" s="211" t="e">
        <f>'Secondary cum Calculation'!X1012</f>
        <v>#DIV/0!</v>
      </c>
      <c r="Z476" s="11"/>
      <c r="AA476" s="11"/>
      <c r="AB476" s="11"/>
      <c r="AC476" s="11"/>
      <c r="AD476" s="11"/>
    </row>
    <row r="477" spans="1:30">
      <c r="A477" s="6" t="str">
        <f>'Secondary cum Calculation'!A1014</f>
        <v>Poland</v>
      </c>
      <c r="B477" s="119" t="str">
        <f>'Secondary cum Calculation'!B1014</f>
        <v>Tourism Flows</v>
      </c>
      <c r="C477" s="119" t="str">
        <f>'Secondary cum Calculation'!C1014</f>
        <v>International Departures by Destination</v>
      </c>
      <c r="D477" s="119" t="str">
        <f>'Secondary cum Calculation'!D1014</f>
        <v>South &amp; Central America</v>
      </c>
      <c r="E477" s="6" t="str">
        <f>'Secondary cum Calculation'!E1014</f>
        <v>United States Virgin Islands</v>
      </c>
      <c r="F477" s="7" t="str">
        <f>'Secondary cum Calculation'!F1014</f>
        <v>The number of international departures from a country to United States Virgin Islands</v>
      </c>
      <c r="G477" s="7" t="str">
        <f>'Secondary cum Calculation'!G1014</f>
        <v>Tourism Demand &amp; Flows Database</v>
      </c>
      <c r="H477" s="7" t="str">
        <f>'Secondary cum Calculation'!H1014</f>
        <v>New</v>
      </c>
      <c r="I477" s="7">
        <f>'Secondary cum Calculation'!I1014</f>
        <v>0</v>
      </c>
      <c r="J477" s="7" t="str">
        <f>'Secondary cum Calculation'!J1014</f>
        <v>Thousand</v>
      </c>
      <c r="K477" s="8">
        <f>'Secondary cum Calculation'!K1014</f>
        <v>0</v>
      </c>
      <c r="L477" s="164"/>
      <c r="M477" s="164"/>
      <c r="N477" s="164"/>
      <c r="O477" s="218"/>
      <c r="P477" s="218"/>
      <c r="W477" s="211" t="e">
        <f>'Secondary cum Calculation'!W1014</f>
        <v>#DIV/0!</v>
      </c>
      <c r="X477" s="211" t="e">
        <f>'Secondary cum Calculation'!X1014</f>
        <v>#DIV/0!</v>
      </c>
      <c r="Z477" s="11"/>
      <c r="AA477" s="11"/>
      <c r="AB477" s="11"/>
      <c r="AC477" s="11"/>
      <c r="AD477" s="11"/>
    </row>
    <row r="478" spans="1:30">
      <c r="A478" s="6" t="str">
        <f>'Secondary cum Calculation'!A1016</f>
        <v>Poland</v>
      </c>
      <c r="B478" s="119" t="str">
        <f>'Secondary cum Calculation'!B1016</f>
        <v>Tourism Flows</v>
      </c>
      <c r="C478" s="119" t="str">
        <f>'Secondary cum Calculation'!C1016</f>
        <v>International Departures by Destination</v>
      </c>
      <c r="D478" s="119" t="str">
        <f>'Secondary cum Calculation'!D1016</f>
        <v>South &amp; Central America</v>
      </c>
      <c r="E478" s="6" t="str">
        <f>'Secondary cum Calculation'!E1016</f>
        <v>Uruguay</v>
      </c>
      <c r="F478" s="7" t="str">
        <f>'Secondary cum Calculation'!F1016</f>
        <v>The number of international departures from a country to Uruguay</v>
      </c>
      <c r="G478" s="7" t="str">
        <f>'Secondary cum Calculation'!G1016</f>
        <v>Tourism Demand &amp; Flows Database</v>
      </c>
      <c r="H478" s="7" t="str">
        <f>'Secondary cum Calculation'!H1016</f>
        <v>New</v>
      </c>
      <c r="I478" s="7">
        <f>'Secondary cum Calculation'!I1016</f>
        <v>0</v>
      </c>
      <c r="J478" s="7" t="str">
        <f>'Secondary cum Calculation'!J1016</f>
        <v>Thousand</v>
      </c>
      <c r="K478" s="8">
        <f>'Secondary cum Calculation'!K1016</f>
        <v>0</v>
      </c>
      <c r="L478" s="164"/>
      <c r="M478" s="164"/>
      <c r="N478" s="164"/>
      <c r="O478" s="218"/>
      <c r="P478" s="218"/>
      <c r="W478" s="211" t="e">
        <f>'Secondary cum Calculation'!W1016</f>
        <v>#DIV/0!</v>
      </c>
      <c r="X478" s="211" t="e">
        <f>'Secondary cum Calculation'!X1016</f>
        <v>#DIV/0!</v>
      </c>
      <c r="Z478" s="11"/>
      <c r="AA478" s="11"/>
      <c r="AB478" s="11"/>
      <c r="AC478" s="11"/>
      <c r="AD478" s="11"/>
    </row>
    <row r="479" spans="1:30">
      <c r="A479" s="6" t="str">
        <f>'Secondary cum Calculation'!A1018</f>
        <v>Poland</v>
      </c>
      <c r="B479" s="119" t="str">
        <f>'Secondary cum Calculation'!B1018</f>
        <v>Tourism Flows</v>
      </c>
      <c r="C479" s="119" t="str">
        <f>'Secondary cum Calculation'!C1018</f>
        <v>International Departures by Destination</v>
      </c>
      <c r="D479" s="119" t="str">
        <f>'Secondary cum Calculation'!D1018</f>
        <v>South &amp; Central America</v>
      </c>
      <c r="E479" s="6" t="str">
        <f>'Secondary cum Calculation'!E1018</f>
        <v>Venezuela</v>
      </c>
      <c r="F479" s="7" t="str">
        <f>'Secondary cum Calculation'!F1018</f>
        <v>The number of international departures from a country to Venezuela</v>
      </c>
      <c r="G479" s="7" t="str">
        <f>'Secondary cum Calculation'!G1018</f>
        <v>Tourism Demand &amp; Flows Database</v>
      </c>
      <c r="H479" s="7" t="str">
        <f>'Secondary cum Calculation'!H1018</f>
        <v>New</v>
      </c>
      <c r="I479" s="7">
        <f>'Secondary cum Calculation'!I1018</f>
        <v>0</v>
      </c>
      <c r="J479" s="7" t="str">
        <f>'Secondary cum Calculation'!J1018</f>
        <v>Thousand</v>
      </c>
      <c r="K479" s="8">
        <f>'Secondary cum Calculation'!K1018</f>
        <v>0</v>
      </c>
      <c r="L479" s="164"/>
      <c r="M479" s="164"/>
      <c r="N479" s="164"/>
      <c r="O479" s="218"/>
      <c r="P479" s="218"/>
      <c r="W479" s="211" t="e">
        <f>'Secondary cum Calculation'!W1018</f>
        <v>#DIV/0!</v>
      </c>
      <c r="X479" s="211" t="e">
        <f>'Secondary cum Calculation'!X1018</f>
        <v>#DIV/0!</v>
      </c>
      <c r="Z479" s="11"/>
      <c r="AA479" s="11"/>
      <c r="AB479" s="11"/>
      <c r="AC479" s="11"/>
      <c r="AD479" s="11"/>
    </row>
    <row r="480" spans="1:30">
      <c r="A480" s="6" t="str">
        <f>'Secondary cum Calculation'!A1020</f>
        <v>Poland</v>
      </c>
      <c r="B480" s="119" t="str">
        <f>'Secondary cum Calculation'!B1020</f>
        <v>Tourism Flows</v>
      </c>
      <c r="C480" s="119" t="str">
        <f>'Secondary cum Calculation'!C1020</f>
        <v>International Departures by Destination</v>
      </c>
      <c r="D480" s="119" t="str">
        <f>'Secondary cum Calculation'!D1020</f>
        <v>South &amp; Central America</v>
      </c>
      <c r="E480" s="6" t="str">
        <f>'Secondary cum Calculation'!E1020</f>
        <v>Other South American Countries</v>
      </c>
      <c r="F480" s="41" t="str">
        <f>'Secondary cum Calculation'!F1020</f>
        <v>To be defined according to the gaps in the country data above</v>
      </c>
      <c r="G480" s="7" t="str">
        <f>'Secondary cum Calculation'!G1020</f>
        <v>Tourism Demand &amp; Flows Database</v>
      </c>
      <c r="H480" s="7" t="str">
        <f>'Secondary cum Calculation'!H1020</f>
        <v>New</v>
      </c>
      <c r="I480" s="7">
        <f>'Secondary cum Calculation'!I1020</f>
        <v>0</v>
      </c>
      <c r="J480" s="7" t="str">
        <f>'Secondary cum Calculation'!J1020</f>
        <v>Thousand</v>
      </c>
      <c r="K480" s="111">
        <f>'Secondary cum Calculation'!K1020</f>
        <v>63662</v>
      </c>
      <c r="L480" s="167">
        <f>'Secondary cum Calculation'!L1020</f>
        <v>11.996385251827457</v>
      </c>
      <c r="M480" s="167">
        <f>'Secondary cum Calculation'!M1020</f>
        <v>12.524138485018877</v>
      </c>
      <c r="N480" s="167">
        <f>'Secondary cum Calculation'!N1020</f>
        <v>11.434894369025624</v>
      </c>
      <c r="O480" s="220">
        <f>'Secondary cum Calculation'!O1020</f>
        <v>12.085000000000001</v>
      </c>
      <c r="P480" s="220">
        <f>'Secondary cum Calculation'!P1020</f>
        <v>11.131</v>
      </c>
      <c r="Q480" s="365">
        <f>'Secondary cum Calculation'!Q1020</f>
        <v>10.924589509669229</v>
      </c>
      <c r="R480" s="225"/>
      <c r="S480" s="225"/>
      <c r="T480" s="225"/>
      <c r="U480" s="225"/>
      <c r="V480" s="225"/>
      <c r="W480" s="211">
        <f>'Secondary cum Calculation'!W1020</f>
        <v>-3.3583543753666789E-2</v>
      </c>
      <c r="X480" s="211">
        <f>'Secondary cum Calculation'!X1020</f>
        <v>-1</v>
      </c>
      <c r="Z480" s="11"/>
      <c r="AA480" s="11"/>
      <c r="AB480" s="11"/>
      <c r="AC480" s="11"/>
      <c r="AD480" s="370">
        <v>3</v>
      </c>
    </row>
    <row r="481" spans="1:31">
      <c r="A481" s="200" t="str">
        <f>'Secondary cum Calculation'!A1024</f>
        <v>Poland</v>
      </c>
      <c r="B481" s="201" t="str">
        <f>'Secondary cum Calculation'!B1024</f>
        <v>Tourism Flows</v>
      </c>
      <c r="C481" s="200" t="str">
        <f>'Secondary cum Calculation'!C1024</f>
        <v>International Departures by Purpose of Visit</v>
      </c>
      <c r="D481" s="202"/>
      <c r="E481" s="202"/>
      <c r="F481" s="202" t="str">
        <f>'Secondary cum Calculation'!F1024</f>
        <v>The total number of international departures from a country, segmented by the purpose of the visit and the mode of transport used to get to and from the destination.</v>
      </c>
      <c r="G481" s="202" t="str">
        <f>'Secondary cum Calculation'!G1024</f>
        <v>Tourism Demand &amp; Flows Database</v>
      </c>
      <c r="H481" s="202" t="str">
        <f>'Secondary cum Calculation'!H1024</f>
        <v>Exists</v>
      </c>
      <c r="I481" s="202">
        <f>'Secondary cum Calculation'!I1024</f>
        <v>0</v>
      </c>
      <c r="J481" s="202" t="str">
        <f>'Secondary cum Calculation'!J1024</f>
        <v>Thousand</v>
      </c>
      <c r="K481" s="212">
        <f>'Secondary cum Calculation'!K1024</f>
        <v>0</v>
      </c>
      <c r="L481" s="242">
        <f>'Secondary cum Calculation'!L1024</f>
        <v>6917.0000000000009</v>
      </c>
      <c r="M481" s="242">
        <f>'Secondary cum Calculation'!M1024</f>
        <v>7574</v>
      </c>
      <c r="N481" s="242">
        <f>'Secondary cum Calculation'!N1024</f>
        <v>6318</v>
      </c>
      <c r="O481" s="242">
        <f>'Secondary cum Calculation'!O1024</f>
        <v>7121.5</v>
      </c>
      <c r="P481" s="242">
        <f>'Secondary cum Calculation'!P1024</f>
        <v>6326.5999999999995</v>
      </c>
      <c r="Q481" s="398">
        <f>Forecasting!Q1152</f>
        <v>6195.141275822938</v>
      </c>
      <c r="R481" s="242">
        <f>Forecasting!R1152</f>
        <v>6270.8569376655214</v>
      </c>
      <c r="S481" s="242">
        <f>Forecasting!S1152</f>
        <v>6371.8975225233071</v>
      </c>
      <c r="T481" s="242">
        <f>Forecasting!T1152</f>
        <v>6422.7908983747702</v>
      </c>
      <c r="U481" s="242">
        <f>Forecasting!U1152</f>
        <v>6503.3045829005732</v>
      </c>
      <c r="V481" s="242">
        <f>Forecasting!V1152</f>
        <v>6579.1028306528524</v>
      </c>
      <c r="W481" s="241">
        <f>'Secondary cum Calculation'!W1024</f>
        <v>-4.8997894506850437E-2</v>
      </c>
      <c r="X481" s="241">
        <f>'Secondary cum Calculation'!X1024</f>
        <v>1.209922420888665E-2</v>
      </c>
      <c r="AD481" s="7">
        <v>4</v>
      </c>
      <c r="AE481" s="7" t="s">
        <v>1357</v>
      </c>
    </row>
    <row r="482" spans="1:31">
      <c r="A482" s="6" t="str">
        <f>'Secondary cum Calculation'!A1026</f>
        <v>Poland</v>
      </c>
      <c r="B482" s="119" t="str">
        <f>'Secondary cum Calculation'!B1026</f>
        <v>Tourism Flows</v>
      </c>
      <c r="C482" s="119" t="str">
        <f>'Secondary cum Calculation'!C1026</f>
        <v>International Departures by Purpose of Visit</v>
      </c>
      <c r="D482" s="6" t="str">
        <f>'Secondary cum Calculation'!D1026</f>
        <v>Business</v>
      </c>
      <c r="F482" s="7" t="str">
        <f>'Secondary cum Calculation'!F1026</f>
        <v>The number of international departures from a country who are engaging in travel &amp; tourism activities on behalf of their business or employer.</v>
      </c>
      <c r="G482" s="7" t="str">
        <f>'Secondary cum Calculation'!G1026</f>
        <v>Tourism Demand &amp; Flows Database</v>
      </c>
      <c r="H482" s="7" t="str">
        <f>'Secondary cum Calculation'!H1026</f>
        <v>Exists</v>
      </c>
      <c r="I482" s="7">
        <f>'Secondary cum Calculation'!I1026</f>
        <v>0</v>
      </c>
      <c r="J482" s="7" t="str">
        <f>'Secondary cum Calculation'!J1026</f>
        <v>Thousand</v>
      </c>
      <c r="K482" s="8">
        <f>'Secondary cum Calculation'!K1026</f>
        <v>0</v>
      </c>
      <c r="L482" s="250">
        <f>'Secondary cum Calculation'!L1026</f>
        <v>1798.4200000000003</v>
      </c>
      <c r="M482" s="250">
        <f>'Secondary cum Calculation'!M1026</f>
        <v>1363.32</v>
      </c>
      <c r="N482" s="250">
        <f>'Secondary cum Calculation'!N1026</f>
        <v>1074.0600000000002</v>
      </c>
      <c r="O482" s="250">
        <f>'Secondary cum Calculation'!O1026</f>
        <v>1353.085</v>
      </c>
      <c r="P482" s="251">
        <f>'Secondary cum Calculation'!P1026</f>
        <v>1190.9953908883681</v>
      </c>
      <c r="Q482" s="251">
        <f>Forecasting!Q1154</f>
        <v>1183.8044947515698</v>
      </c>
      <c r="R482" s="250">
        <f>Forecasting!R1154</f>
        <v>1200.4992189796444</v>
      </c>
      <c r="S482" s="250">
        <f>Forecasting!S1154</f>
        <v>1222.6809017225944</v>
      </c>
      <c r="T482" s="250">
        <f>Forecasting!T1154</f>
        <v>1239.2009811026405</v>
      </c>
      <c r="U482" s="250">
        <f>Forecasting!U1154</f>
        <v>1259.9466806300964</v>
      </c>
      <c r="V482" s="250">
        <f>Forecasting!V1154</f>
        <v>1269.8249044184349</v>
      </c>
      <c r="W482" s="211">
        <f>'Secondary cum Calculation'!W1026</f>
        <v>-3.4681688260488563E-2</v>
      </c>
      <c r="X482" s="211">
        <f>'Secondary cum Calculation'!X1026</f>
        <v>1.4127994028339863E-2</v>
      </c>
      <c r="Y482" s="371" t="s">
        <v>1129</v>
      </c>
      <c r="Z482" s="7" t="s">
        <v>1222</v>
      </c>
      <c r="AD482" s="7">
        <v>4</v>
      </c>
    </row>
    <row r="483" spans="1:31">
      <c r="A483" s="6" t="str">
        <f>'Secondary cum Calculation'!A1028</f>
        <v>Poland</v>
      </c>
      <c r="B483" s="119" t="str">
        <f>'Secondary cum Calculation'!B1028</f>
        <v>Tourism Flows</v>
      </c>
      <c r="C483" s="119" t="str">
        <f>'Secondary cum Calculation'!C1028</f>
        <v>International Departures by Purpose of Visit</v>
      </c>
      <c r="D483" s="6" t="str">
        <f>'Secondary cum Calculation'!D1028</f>
        <v>Leisure</v>
      </c>
      <c r="F483" s="7" t="str">
        <f>'Secondary cum Calculation'!F1028</f>
        <v>The number of international departures from a country who are engaging in travel &amp; tourism activities for personal reasons related to leisure.</v>
      </c>
      <c r="G483" s="7" t="str">
        <f>'Secondary cum Calculation'!G1028</f>
        <v>Tourism Demand &amp; Flows Database</v>
      </c>
      <c r="H483" s="7" t="str">
        <f>'Secondary cum Calculation'!H1028</f>
        <v>Exists</v>
      </c>
      <c r="I483" s="7">
        <f>'Secondary cum Calculation'!I1028</f>
        <v>0</v>
      </c>
      <c r="J483" s="7" t="str">
        <f>'Secondary cum Calculation'!J1028</f>
        <v>Thousand</v>
      </c>
      <c r="K483" s="8">
        <f>'Secondary cum Calculation'!K1028</f>
        <v>0</v>
      </c>
      <c r="L483" s="250">
        <f>'Secondary cum Calculation'!L1028</f>
        <v>4634.3900000000003</v>
      </c>
      <c r="M483" s="250">
        <f>'Secondary cum Calculation'!M1028</f>
        <v>5831.9800000000005</v>
      </c>
      <c r="N483" s="250">
        <f>'Secondary cum Calculation'!N1028</f>
        <v>4675.32</v>
      </c>
      <c r="O483" s="250">
        <f>'Secondary cum Calculation'!O1028</f>
        <v>5412.34</v>
      </c>
      <c r="P483" s="251">
        <f>'Secondary cum Calculation'!P1028</f>
        <v>4839.0214345240338</v>
      </c>
      <c r="Q483" s="251">
        <f>Forecasting!Q1156</f>
        <v>4727.9244847914324</v>
      </c>
      <c r="R483" s="250">
        <f>Forecasting!R1156</f>
        <v>4784.6048820454635</v>
      </c>
      <c r="S483" s="250">
        <f>Forecasting!S1156</f>
        <v>4859.8348093481682</v>
      </c>
      <c r="T483" s="250">
        <f>Forecasting!T1156</f>
        <v>4893.1872176172265</v>
      </c>
      <c r="U483" s="250">
        <f>Forecasting!U1156</f>
        <v>4950.1207322426417</v>
      </c>
      <c r="V483" s="250">
        <f>Forecasting!V1156</f>
        <v>5014.546785847725</v>
      </c>
      <c r="W483" s="211">
        <f>'Secondary cum Calculation'!W1028</f>
        <v>-5.1114901710595406E-2</v>
      </c>
      <c r="X483" s="211">
        <f>'Secondary cum Calculation'!X1028</f>
        <v>1.1840902472200154E-2</v>
      </c>
      <c r="Y483" s="371" t="s">
        <v>1129</v>
      </c>
      <c r="Z483" s="7" t="s">
        <v>1222</v>
      </c>
      <c r="AD483" s="7">
        <v>4</v>
      </c>
    </row>
    <row r="484" spans="1:31">
      <c r="A484" s="6" t="str">
        <f>'Secondary cum Calculation'!A1030</f>
        <v>Poland</v>
      </c>
      <c r="B484" s="119" t="str">
        <f>'Secondary cum Calculation'!B1030</f>
        <v>Tourism Flows</v>
      </c>
      <c r="C484" s="119" t="str">
        <f>'Secondary cum Calculation'!C1030</f>
        <v>International Departures by Purpose of Visit</v>
      </c>
      <c r="D484" s="6" t="str">
        <f>'Secondary cum Calculation'!D1030</f>
        <v>Other Personal</v>
      </c>
      <c r="E484" s="6"/>
      <c r="F484" s="7" t="str">
        <f>'Secondary cum Calculation'!F1030</f>
        <v>The number of international departures from a country who are engaging in travel &amp; tourism activities for non-business or non-leisure related personal reasons, including for the purpose of pilgrimage, health and medical, education and training, transit, volunteer work (not included elsewhere), investigative work and migration possibilities, and the undertaking any other temporary non-remunerated activities not included elsewhere.</v>
      </c>
      <c r="G484" s="7" t="str">
        <f>'Secondary cum Calculation'!G1030</f>
        <v>Tourism Demand &amp; Flows Database</v>
      </c>
      <c r="H484" s="7" t="str">
        <f>'Secondary cum Calculation'!H1030</f>
        <v>Exists</v>
      </c>
      <c r="I484" s="7">
        <f>'Secondary cum Calculation'!I1030</f>
        <v>0</v>
      </c>
      <c r="J484" s="7" t="str">
        <f>'Secondary cum Calculation'!J1030</f>
        <v>Thousand</v>
      </c>
      <c r="K484" s="8">
        <f>'Secondary cum Calculation'!K1030</f>
        <v>0</v>
      </c>
      <c r="L484" s="250">
        <f>'Secondary cum Calculation'!L1030</f>
        <v>484.19000000000051</v>
      </c>
      <c r="M484" s="250">
        <f>'Secondary cum Calculation'!M1030</f>
        <v>378.70000000000033</v>
      </c>
      <c r="N484" s="250">
        <f>'Secondary cum Calculation'!N1030</f>
        <v>568.61999999999978</v>
      </c>
      <c r="O484" s="250">
        <f>'Secondary cum Calculation'!O1030</f>
        <v>356.07500000000033</v>
      </c>
      <c r="P484" s="251">
        <f>'Secondary cum Calculation'!P1030</f>
        <v>296.58317458759774</v>
      </c>
      <c r="Q484" s="251">
        <f>Forecasting!Q1158</f>
        <v>283.41229627993596</v>
      </c>
      <c r="R484" s="250">
        <f>Forecasting!R1158</f>
        <v>285.75283664041285</v>
      </c>
      <c r="S484" s="250">
        <f>Forecasting!S1158</f>
        <v>289.38181145254481</v>
      </c>
      <c r="T484" s="250">
        <f>Forecasting!T1158</f>
        <v>290.40269965490273</v>
      </c>
      <c r="U484" s="250">
        <f>Forecasting!U1158</f>
        <v>293.23717002783513</v>
      </c>
      <c r="V484" s="250">
        <f>Forecasting!V1158</f>
        <v>294.73114038669274</v>
      </c>
      <c r="W484" s="211">
        <f>'Secondary cum Calculation'!W1030</f>
        <v>-6.9897426696101883E-2</v>
      </c>
      <c r="X484" s="211">
        <f>'Secondary cum Calculation'!X1030</f>
        <v>7.8629191578536428E-3</v>
      </c>
      <c r="Y484" s="371" t="s">
        <v>1129</v>
      </c>
      <c r="Z484" s="7" t="s">
        <v>1222</v>
      </c>
      <c r="AD484" s="7">
        <v>4</v>
      </c>
    </row>
    <row r="485" spans="1:31">
      <c r="A485" s="200" t="str">
        <f>'Secondary cum Calculation'!A1037</f>
        <v>Poland</v>
      </c>
      <c r="B485" s="201" t="str">
        <f>'Secondary cum Calculation'!B1037</f>
        <v>Tourism Flows</v>
      </c>
      <c r="C485" s="200" t="str">
        <f>'Secondary cum Calculation'!C1037</f>
        <v>Number of Overnight stays</v>
      </c>
      <c r="D485" s="202"/>
      <c r="E485" s="202"/>
      <c r="F485" s="202">
        <f>'Secondary cum Calculation'!F1037</f>
        <v>0</v>
      </c>
      <c r="G485" s="202">
        <f>'Secondary cum Calculation'!G1037</f>
        <v>0</v>
      </c>
      <c r="H485" s="202">
        <f>'Secondary cum Calculation'!H1037</f>
        <v>0</v>
      </c>
      <c r="I485" s="202">
        <f>'Secondary cum Calculation'!I1037</f>
        <v>0</v>
      </c>
      <c r="J485" s="200" t="str">
        <f>'Secondary cum Calculation'!J1037</f>
        <v>Thousand</v>
      </c>
      <c r="K485" s="202">
        <f>'Secondary cum Calculation'!K1037</f>
        <v>0</v>
      </c>
      <c r="L485" s="399">
        <f>'Secondary cum Calculation'!L1037</f>
        <v>253682.6176224128</v>
      </c>
      <c r="M485" s="399">
        <f>'Secondary cum Calculation'!M1037</f>
        <v>258273.84164376973</v>
      </c>
      <c r="N485" s="399">
        <f>'Secondary cum Calculation'!N1037</f>
        <v>213188.15949334978</v>
      </c>
      <c r="O485" s="399">
        <f>'Secondary cum Calculation'!O1037</f>
        <v>232269.82198112822</v>
      </c>
      <c r="P485" s="399">
        <f>'Secondary cum Calculation'!P1037</f>
        <v>197630.55993098539</v>
      </c>
      <c r="Q485" s="399">
        <f>'Secondary cum Calculation'!Q1037</f>
        <v>192558.33931506044</v>
      </c>
      <c r="R485" s="256">
        <f>'Secondary cum Calculation'!R1037</f>
        <v>197479.7294030503</v>
      </c>
      <c r="S485" s="256">
        <f>'Secondary cum Calculation'!S1037</f>
        <v>201791.17783071101</v>
      </c>
      <c r="T485" s="256">
        <f>'Secondary cum Calculation'!T1037</f>
        <v>206835.63936220884</v>
      </c>
      <c r="U485" s="256">
        <f>'Secondary cum Calculation'!U1037</f>
        <v>212293.28918591619</v>
      </c>
      <c r="V485" s="256">
        <f>'Secondary cum Calculation'!V1037</f>
        <v>217741.59111601295</v>
      </c>
      <c r="W485" s="241">
        <f>'Secondary cum Calculation'!W1037</f>
        <v>-7.0775873524173694E-2</v>
      </c>
      <c r="X485" s="241">
        <f>'Secondary cum Calculation'!X1037</f>
        <v>2.4886593241865818E-2</v>
      </c>
      <c r="AD485" s="7">
        <v>3</v>
      </c>
    </row>
    <row r="486" spans="1:31">
      <c r="D486" s="6" t="str">
        <f>'Secondary cum Calculation'!D1039</f>
        <v>International trips</v>
      </c>
      <c r="F486" s="7">
        <f>'Secondary cum Calculation'!F1039</f>
        <v>0</v>
      </c>
      <c r="G486" s="7">
        <f>'Secondary cum Calculation'!G1039</f>
        <v>0</v>
      </c>
      <c r="H486" s="7">
        <f>'Secondary cum Calculation'!H1039</f>
        <v>0</v>
      </c>
      <c r="I486" s="7">
        <f>'Secondary cum Calculation'!I1039</f>
        <v>0</v>
      </c>
      <c r="J486" s="7" t="str">
        <f>'Secondary cum Calculation'!J1039</f>
        <v>Thousand</v>
      </c>
      <c r="K486" s="7">
        <f>'Secondary cum Calculation'!K1039</f>
        <v>0</v>
      </c>
      <c r="L486" s="400">
        <f>'Secondary cum Calculation'!L1039</f>
        <v>79043.432039636667</v>
      </c>
      <c r="M486" s="400">
        <f>'Secondary cum Calculation'!M1039</f>
        <v>89235.634655532369</v>
      </c>
      <c r="N486" s="400">
        <f>'Secondary cum Calculation'!N1039</f>
        <v>58455.234782608692</v>
      </c>
      <c r="O486" s="400">
        <f>'Secondary cum Calculation'!O1039</f>
        <v>66987.061493983434</v>
      </c>
      <c r="P486" s="400">
        <f>'Secondary cum Calculation'!P1039</f>
        <v>58667.585635797441</v>
      </c>
      <c r="Q486" s="400">
        <f>'Secondary cum Calculation'!Q1039</f>
        <v>57796.943921808852</v>
      </c>
      <c r="R486" s="257">
        <f>'Secondary cum Calculation'!R1039</f>
        <v>59160.999158130842</v>
      </c>
      <c r="S486" s="257">
        <f>'Secondary cum Calculation'!S1039</f>
        <v>60649.511523852168</v>
      </c>
      <c r="T486" s="257">
        <f>'Secondary cum Calculation'!T1039</f>
        <v>61376.363697727116</v>
      </c>
      <c r="U486" s="257">
        <f>'Secondary cum Calculation'!U1039</f>
        <v>62620.607496878729</v>
      </c>
      <c r="V486" s="257">
        <f>'Secondary cum Calculation'!V1039</f>
        <v>64108.549282357963</v>
      </c>
      <c r="W486" s="211">
        <f>'Secondary cum Calculation'!W1039</f>
        <v>-0.10289838271594498</v>
      </c>
      <c r="X486" s="211">
        <f>'Secondary cum Calculation'!X1039</f>
        <v>2.0944690314816494E-2</v>
      </c>
      <c r="AD486" s="7">
        <v>3</v>
      </c>
      <c r="AE486" s="7" t="s">
        <v>1358</v>
      </c>
    </row>
    <row r="487" spans="1:31">
      <c r="D487" s="6" t="str">
        <f>'Secondary cum Calculation'!D1041</f>
        <v>Domestic Trips</v>
      </c>
      <c r="F487" s="7">
        <f>'Secondary cum Calculation'!F1041</f>
        <v>0</v>
      </c>
      <c r="G487" s="7">
        <f>'Secondary cum Calculation'!G1041</f>
        <v>0</v>
      </c>
      <c r="H487" s="7">
        <f>'Secondary cum Calculation'!H1041</f>
        <v>0</v>
      </c>
      <c r="I487" s="7">
        <f>'Secondary cum Calculation'!I1041</f>
        <v>0</v>
      </c>
      <c r="J487" s="7" t="str">
        <f>'Secondary cum Calculation'!J1041</f>
        <v>Thousand</v>
      </c>
      <c r="K487" s="7">
        <f>'Secondary cum Calculation'!K1041</f>
        <v>0</v>
      </c>
      <c r="L487" s="400">
        <f>'Secondary cum Calculation'!L1041</f>
        <v>174639.18558277615</v>
      </c>
      <c r="M487" s="400">
        <f>'Secondary cum Calculation'!M1041</f>
        <v>169038.20698823736</v>
      </c>
      <c r="N487" s="400">
        <f>'Secondary cum Calculation'!N1041</f>
        <v>154732.92471074109</v>
      </c>
      <c r="O487" s="400">
        <f>'Secondary cum Calculation'!O1041</f>
        <v>165282.76048714478</v>
      </c>
      <c r="P487" s="400">
        <f>'Secondary cum Calculation'!P1041</f>
        <v>138962.97429518795</v>
      </c>
      <c r="Q487" s="400">
        <f>'Secondary cum Calculation'!Q1041</f>
        <v>134761.39539325159</v>
      </c>
      <c r="R487" s="257">
        <f>'Secondary cum Calculation'!R1041</f>
        <v>138318.73024491945</v>
      </c>
      <c r="S487" s="257">
        <f>'Secondary cum Calculation'!S1041</f>
        <v>141141.66630685885</v>
      </c>
      <c r="T487" s="257">
        <f>'Secondary cum Calculation'!T1041</f>
        <v>145459.27566448171</v>
      </c>
      <c r="U487" s="257">
        <f>'Secondary cum Calculation'!U1041</f>
        <v>149672.68168903748</v>
      </c>
      <c r="V487" s="257">
        <f>'Secondary cum Calculation'!V1041</f>
        <v>153633.04183365498</v>
      </c>
      <c r="W487" s="211">
        <f>'Secondary cum Calculation'!W1041</f>
        <v>-5.5079751594528159E-2</v>
      </c>
      <c r="X487" s="211">
        <f>'Secondary cum Calculation'!X1041</f>
        <v>2.6558789987276343E-2</v>
      </c>
      <c r="AD487" s="7">
        <v>3</v>
      </c>
      <c r="AE487" s="7" t="s">
        <v>1359</v>
      </c>
    </row>
    <row r="488" spans="1:31">
      <c r="F488" s="7">
        <f>'Secondary cum Calculation'!F1042</f>
        <v>0</v>
      </c>
      <c r="G488" s="7">
        <f>'Secondary cum Calculation'!G1042</f>
        <v>0</v>
      </c>
      <c r="H488" s="7">
        <f>'Secondary cum Calculation'!H1042</f>
        <v>0</v>
      </c>
      <c r="I488" s="7">
        <f>'Secondary cum Calculation'!I1042</f>
        <v>0</v>
      </c>
      <c r="K488" s="8">
        <f>'Secondary cum Calculation'!K1042</f>
        <v>0</v>
      </c>
      <c r="W488" s="211"/>
      <c r="X488" s="211"/>
    </row>
    <row r="489" spans="1:31">
      <c r="F489" s="7">
        <f>'Secondary cum Calculation'!F1043</f>
        <v>0</v>
      </c>
      <c r="G489" s="7">
        <f>'Secondary cum Calculation'!G1043</f>
        <v>0</v>
      </c>
      <c r="H489" s="7">
        <f>'Secondary cum Calculation'!H1043</f>
        <v>0</v>
      </c>
      <c r="I489" s="7">
        <f>'Secondary cum Calculation'!I1043</f>
        <v>0</v>
      </c>
      <c r="K489" s="8">
        <f>'Secondary cum Calculation'!K1043</f>
        <v>0</v>
      </c>
    </row>
  </sheetData>
  <hyperlinks>
    <hyperlink ref="Y35" location="'Data (2)'!A1" display="eurostat"/>
    <hyperlink ref="Y36:Y38" location="'Data (2)'!A1" display="eurostat"/>
    <hyperlink ref="Y58" r:id="rId1"/>
    <hyperlink ref="Y59" r:id="rId2"/>
    <hyperlink ref="Y483" r:id="rId3"/>
    <hyperlink ref="Y484" r:id="rId4"/>
    <hyperlink ref="Y274" r:id="rId5"/>
    <hyperlink ref="Z35" r:id="rId6"/>
    <hyperlink ref="Z36" r:id="rId7"/>
    <hyperlink ref="Z37" r:id="rId8"/>
    <hyperlink ref="Z38" r:id="rId9"/>
    <hyperlink ref="AA5" r:id="rId10"/>
    <hyperlink ref="Y8" r:id="rId11"/>
    <hyperlink ref="Y16" r:id="rId12"/>
    <hyperlink ref="Y24" r:id="rId13"/>
    <hyperlink ref="Y32" r:id="rId14"/>
    <hyperlink ref="Y33" r:id="rId15"/>
    <hyperlink ref="Y40" r:id="rId16"/>
    <hyperlink ref="Y41" r:id="rId17"/>
    <hyperlink ref="Z43" r:id="rId18"/>
    <hyperlink ref="Z44" r:id="rId19"/>
    <hyperlink ref="Z46:Z51" r:id="rId20" display="http://epp.eurostat.ec.europa.eu/portal/page/portal/statistics/search_database"/>
    <hyperlink ref="Y62" r:id="rId21"/>
    <hyperlink ref="Y269" r:id="rId22"/>
    <hyperlink ref="Y482" r:id="rId23"/>
    <hyperlink ref="Z275" r:id="rId24"/>
    <hyperlink ref="Y375:Y376" r:id="rId25" display="http://epp.eurostat.ec.europa.eu/portal/page/portal/statistics/search_database"/>
    <hyperlink ref="Y379" r:id="rId26"/>
    <hyperlink ref="Y381" r:id="rId27"/>
    <hyperlink ref="Y387:Y388" r:id="rId28" display="http://epp.eurostat.ec.europa.eu/portal/page/portal/statistics/search_database"/>
    <hyperlink ref="Y391" r:id="rId29"/>
    <hyperlink ref="Y404:Y405" r:id="rId30" display="http://epp.eurostat.ec.europa.eu/portal/page/portal/statistics/search_database"/>
    <hyperlink ref="Y414:Y415" r:id="rId31" display="http://epp.eurostat.ec.europa.eu/portal/page/portal/statistics/search_database"/>
    <hyperlink ref="Y117:Y118" r:id="rId32" display="http://www.intur.com.pl/itenglish/arrivals.php?r=99"/>
    <hyperlink ref="Y120" r:id="rId33"/>
    <hyperlink ref="Y135" r:id="rId34"/>
    <hyperlink ref="Y151" r:id="rId35"/>
    <hyperlink ref="Y163:Y164" r:id="rId36" display="http://www.intur.com.pl/itenglish/arrivals.php?r=99"/>
    <hyperlink ref="Y186" r:id="rId37"/>
    <hyperlink ref="Y187" r:id="rId38"/>
    <hyperlink ref="Y188" r:id="rId39"/>
    <hyperlink ref="Y192" r:id="rId40"/>
    <hyperlink ref="Y200" r:id="rId41"/>
    <hyperlink ref="Y203" r:id="rId42"/>
    <hyperlink ref="Y207:Y209" r:id="rId43" display="http://www.intur.com.pl/itenglish/arrivals.php?r=99"/>
    <hyperlink ref="Y210" r:id="rId44"/>
    <hyperlink ref="Y225:Y230" r:id="rId45" display="http://www.intur.com.pl/itenglish/arrivals.php?r=99"/>
    <hyperlink ref="Y268" r:id="rId46"/>
    <hyperlink ref="Y61" r:id="rId47"/>
    <hyperlink ref="Y273" r:id="rId48"/>
  </hyperlinks>
  <pageMargins left="0.7" right="0.7" top="0.75" bottom="0.75" header="0.3" footer="0.3"/>
  <pageSetup orientation="portrait" r:id="rId49"/>
</worksheet>
</file>

<file path=xl/worksheets/sheet5.xml><?xml version="1.0" encoding="utf-8"?>
<worksheet xmlns="http://schemas.openxmlformats.org/spreadsheetml/2006/main" xmlns:r="http://schemas.openxmlformats.org/officeDocument/2006/relationships">
  <dimension ref="A1:AA1247"/>
  <sheetViews>
    <sheetView showGridLines="0" workbookViewId="0">
      <pane ySplit="1" topLeftCell="A2" activePane="bottomLeft" state="frozen"/>
      <selection pane="bottomLeft" activeCell="A2" sqref="A2"/>
    </sheetView>
  </sheetViews>
  <sheetFormatPr defaultRowHeight="11.25" outlineLevelRow="1"/>
  <cols>
    <col min="1" max="1" width="9.140625" style="7" customWidth="1"/>
    <col min="2" max="2" width="10.7109375" style="7" customWidth="1"/>
    <col min="3" max="3" width="10" style="7" customWidth="1"/>
    <col min="4" max="4" width="6.140625" style="7" customWidth="1"/>
    <col min="5" max="5" width="17.42578125" style="7" customWidth="1"/>
    <col min="6" max="6" width="15.85546875" style="7" hidden="1" customWidth="1"/>
    <col min="7" max="8" width="9.140625" style="7" hidden="1" customWidth="1"/>
    <col min="9" max="9" width="4.140625" style="7" hidden="1" customWidth="1"/>
    <col min="10" max="10" width="9.140625" style="7" customWidth="1"/>
    <col min="11" max="11" width="10.140625" style="8" hidden="1" customWidth="1"/>
    <col min="12" max="12" width="11" style="9" customWidth="1"/>
    <col min="13" max="13" width="10.85546875" style="9" customWidth="1"/>
    <col min="14" max="14" width="10.28515625" style="9" customWidth="1"/>
    <col min="15" max="16" width="11.140625" style="9" customWidth="1"/>
    <col min="17" max="17" width="10.5703125" style="9" customWidth="1"/>
    <col min="18" max="18" width="10.85546875" style="9" customWidth="1"/>
    <col min="19" max="19" width="11.85546875" style="9" customWidth="1"/>
    <col min="20" max="20" width="10.42578125" style="9" customWidth="1"/>
    <col min="21" max="21" width="10.7109375" style="9" customWidth="1"/>
    <col min="22" max="22" width="11.5703125" style="9" customWidth="1"/>
    <col min="23" max="24" width="11" style="14" customWidth="1"/>
    <col min="25" max="27" width="9.140625" style="7"/>
    <col min="28" max="16384" width="9.140625" style="15"/>
  </cols>
  <sheetData>
    <row r="1" spans="1:27">
      <c r="A1" s="1" t="str">
        <f>'Secondary cum Calculation'!A1</f>
        <v>Country</v>
      </c>
      <c r="B1" s="1" t="str">
        <f>'Secondary cum Calculation'!B1</f>
        <v>Subject</v>
      </c>
      <c r="C1" s="1" t="str">
        <f>'Secondary cum Calculation'!C1</f>
        <v>Metric</v>
      </c>
      <c r="D1" s="1" t="str">
        <f>'Secondary cum Calculation'!D1</f>
        <v>Metric-1</v>
      </c>
      <c r="E1" s="1" t="str">
        <f>'Secondary cum Calculation'!E1</f>
        <v>Metric-2</v>
      </c>
      <c r="F1" s="1" t="str">
        <f>'Secondary cum Calculation'!F1</f>
        <v>Definitions</v>
      </c>
      <c r="G1" s="2" t="str">
        <f>'Secondary cum Calculation'!G1</f>
        <v>Database</v>
      </c>
      <c r="H1" s="2" t="str">
        <f>'Secondary cum Calculation'!H1</f>
        <v>Status</v>
      </c>
      <c r="I1" s="2" t="str">
        <f>'Secondary cum Calculation'!I1</f>
        <v>Source</v>
      </c>
      <c r="J1" s="1" t="str">
        <f>'Secondary cum Calculation'!J1</f>
        <v>Units</v>
      </c>
      <c r="K1" s="3">
        <f>'Secondary cum Calculation'!K1</f>
        <v>2006</v>
      </c>
      <c r="L1" s="4">
        <f>'Secondary cum Calculation'!L1</f>
        <v>2007</v>
      </c>
      <c r="M1" s="4">
        <f>'Secondary cum Calculation'!M1</f>
        <v>2008</v>
      </c>
      <c r="N1" s="4">
        <f>'Secondary cum Calculation'!N1</f>
        <v>2009</v>
      </c>
      <c r="O1" s="4">
        <f>'Secondary cum Calculation'!O1</f>
        <v>2010</v>
      </c>
      <c r="P1" s="4">
        <f>'Secondary cum Calculation'!P1</f>
        <v>2011</v>
      </c>
      <c r="Q1" s="4">
        <f>'Secondary cum Calculation'!Q1</f>
        <v>2012</v>
      </c>
      <c r="R1" s="4">
        <f>'Secondary cum Calculation'!R1</f>
        <v>2013</v>
      </c>
      <c r="S1" s="4">
        <f>'Secondary cum Calculation'!S1</f>
        <v>2014</v>
      </c>
      <c r="T1" s="4">
        <f>'Secondary cum Calculation'!T1</f>
        <v>2015</v>
      </c>
      <c r="U1" s="4">
        <f>'Secondary cum Calculation'!U1</f>
        <v>2016</v>
      </c>
      <c r="V1" s="4">
        <v>2017</v>
      </c>
      <c r="W1" s="5" t="str">
        <f>'Secondary cum Calculation'!W1</f>
        <v>CAGR 2008-2012</v>
      </c>
      <c r="X1" s="5" t="str">
        <f>'Secondary cum Calculation'!X1</f>
        <v>CAGR 2013-2017</v>
      </c>
      <c r="Y1" s="1"/>
      <c r="Z1" s="1"/>
      <c r="AA1" s="1"/>
    </row>
    <row r="2" spans="1:27">
      <c r="A2" s="6" t="str">
        <f>'Secondary cum Calculation'!A2</f>
        <v>Poland</v>
      </c>
      <c r="B2" s="6" t="str">
        <f>'Secondary cum Calculation'!B2</f>
        <v>Tourism Demand Factors</v>
      </c>
      <c r="F2" s="7" t="str">
        <f>'Secondary cum Calculation'!F2</f>
        <v>Tourism demand factors are defined as the factors which influence the time and money spent on tourism by residents of a nation.</v>
      </c>
      <c r="G2" s="7" t="str">
        <f>'Secondary cum Calculation'!G2</f>
        <v>Tourism Demand &amp; Flows Database</v>
      </c>
      <c r="H2" s="7" t="str">
        <f>'Secondary cum Calculation'!H2</f>
        <v>New</v>
      </c>
      <c r="I2" s="7">
        <f>'Secondary cum Calculation'!I2</f>
        <v>0</v>
      </c>
      <c r="K2" s="8">
        <f>'Secondary cum Calculation'!K2</f>
        <v>0</v>
      </c>
      <c r="L2" s="40"/>
      <c r="M2" s="40"/>
      <c r="N2" s="40"/>
      <c r="O2" s="40"/>
      <c r="P2" s="40"/>
      <c r="Q2" s="40"/>
      <c r="R2" s="40"/>
      <c r="S2" s="40"/>
      <c r="T2" s="40"/>
      <c r="U2" s="40"/>
      <c r="V2" s="40"/>
      <c r="W2" s="10"/>
      <c r="X2" s="10"/>
    </row>
    <row r="3" spans="1:27">
      <c r="A3" s="45"/>
      <c r="B3" s="45"/>
      <c r="C3" s="45"/>
      <c r="D3" s="45"/>
      <c r="E3" s="45"/>
      <c r="F3" s="45">
        <f>'Secondary cum Calculation'!F3</f>
        <v>0</v>
      </c>
      <c r="G3" s="45">
        <f>'Secondary cum Calculation'!G3</f>
        <v>0</v>
      </c>
      <c r="H3" s="45">
        <f>'Secondary cum Calculation'!H3</f>
        <v>0</v>
      </c>
      <c r="I3" s="45">
        <f>'Secondary cum Calculation'!I3</f>
        <v>0</v>
      </c>
      <c r="J3" s="45"/>
      <c r="K3" s="8">
        <f>'Secondary cum Calculation'!K3</f>
        <v>0</v>
      </c>
    </row>
    <row r="4" spans="1:27">
      <c r="A4" s="46" t="str">
        <f>'Secondary cum Calculation'!A4</f>
        <v>Poland</v>
      </c>
      <c r="B4" s="47" t="str">
        <f>'Secondary cum Calculation'!B4</f>
        <v>Tourism Demand Factors</v>
      </c>
      <c r="C4" s="46" t="str">
        <f>'Secondary cum Calculation'!C4</f>
        <v>Typical Holiday Entitlement of Employees per Annum by Type</v>
      </c>
      <c r="D4" s="46"/>
      <c r="E4" s="48"/>
      <c r="F4" s="48" t="str">
        <f>'Secondary cum Calculation'!F4</f>
        <v>The number of potential tourist days the average resident of a country will accrue annually through entitled holidays (i.e. paid holidays and public holidays). Unpaid holidays and business trips are not included in this number.</v>
      </c>
      <c r="G4" s="48" t="str">
        <f>'Secondary cum Calculation'!G4</f>
        <v>Tourism Demand &amp; Flows Database</v>
      </c>
      <c r="H4" s="48" t="str">
        <f>'Secondary cum Calculation'!H4</f>
        <v>New</v>
      </c>
      <c r="I4" s="48">
        <f>'Secondary cum Calculation'!I4</f>
        <v>0</v>
      </c>
      <c r="J4" s="48" t="str">
        <f>'Secondary cum Calculation'!J4</f>
        <v>Days</v>
      </c>
      <c r="K4" s="49">
        <f>'Secondary cum Calculation'!K4</f>
        <v>0</v>
      </c>
      <c r="L4" s="50">
        <f>'Secondary cum Calculation'!L4</f>
        <v>36</v>
      </c>
      <c r="M4" s="50">
        <f>'Secondary cum Calculation'!M4</f>
        <v>36</v>
      </c>
      <c r="N4" s="50">
        <f>'Secondary cum Calculation'!N4</f>
        <v>36</v>
      </c>
      <c r="O4" s="50">
        <f>'Secondary cum Calculation'!O4</f>
        <v>36</v>
      </c>
      <c r="P4" s="50">
        <f>'Secondary cum Calculation'!P4</f>
        <v>37</v>
      </c>
      <c r="Q4" s="50">
        <f>'Secondary cum Calculation'!Q4</f>
        <v>37</v>
      </c>
      <c r="R4" s="108"/>
      <c r="S4" s="108"/>
      <c r="T4" s="108"/>
      <c r="U4" s="108"/>
      <c r="V4" s="108"/>
      <c r="W4" s="102">
        <f>'Secondary cum Calculation'!W4</f>
        <v>6.87325669604677E-3</v>
      </c>
      <c r="X4" s="300"/>
    </row>
    <row r="5" spans="1:27">
      <c r="A5" s="48"/>
      <c r="B5" s="48"/>
      <c r="C5" s="52" t="str">
        <f>'Secondary cum Calculation'!C5</f>
        <v>Growth Rate</v>
      </c>
      <c r="D5" s="52"/>
      <c r="E5" s="52"/>
      <c r="F5" s="52">
        <f>'Secondary cum Calculation'!F5</f>
        <v>0</v>
      </c>
      <c r="G5" s="52">
        <f>'Secondary cum Calculation'!G5</f>
        <v>0</v>
      </c>
      <c r="H5" s="52">
        <f>'Secondary cum Calculation'!H5</f>
        <v>0</v>
      </c>
      <c r="I5" s="52">
        <f>'Secondary cum Calculation'!I5</f>
        <v>0</v>
      </c>
      <c r="J5" s="52" t="str">
        <f>'Secondary cum Calculation'!J5</f>
        <v>%</v>
      </c>
      <c r="K5" s="49">
        <f>'Secondary cum Calculation'!K5</f>
        <v>0</v>
      </c>
      <c r="L5" s="53"/>
      <c r="M5" s="54">
        <f>'Secondary cum Calculation'!M5</f>
        <v>0</v>
      </c>
      <c r="N5" s="54">
        <f>'Secondary cum Calculation'!N5</f>
        <v>0</v>
      </c>
      <c r="O5" s="54">
        <f>'Secondary cum Calculation'!O5</f>
        <v>0</v>
      </c>
      <c r="P5" s="54">
        <f>'Secondary cum Calculation'!P5</f>
        <v>2.7777777777777679E-2</v>
      </c>
      <c r="Q5" s="54">
        <f>'Secondary cum Calculation'!Q5</f>
        <v>0</v>
      </c>
      <c r="R5" s="109"/>
      <c r="S5" s="109"/>
      <c r="T5" s="109"/>
      <c r="U5" s="109"/>
      <c r="V5" s="109"/>
      <c r="W5" s="258"/>
      <c r="X5" s="301"/>
    </row>
    <row r="6" spans="1:27">
      <c r="A6" s="46" t="str">
        <f>'Secondary cum Calculation'!A6</f>
        <v>Poland</v>
      </c>
      <c r="B6" s="47" t="str">
        <f>'Secondary cum Calculation'!B6</f>
        <v>Tourism Demand Factors</v>
      </c>
      <c r="C6" s="47" t="str">
        <f>'Secondary cum Calculation'!C6</f>
        <v>Typical Holiday Entitlement of Employees per Annum by Type</v>
      </c>
      <c r="D6" s="46" t="str">
        <f>'Secondary cum Calculation'!D6</f>
        <v>Paid Holidays</v>
      </c>
      <c r="E6" s="48"/>
      <c r="F6" s="48" t="str">
        <f>'Secondary cum Calculation'!F6</f>
        <v>The number of potential tourist days the average resident of a country will accrue annually through paid holidays i.e. The number of paid holidays the average resident is entitled to.</v>
      </c>
      <c r="G6" s="48" t="str">
        <f>'Secondary cum Calculation'!G6</f>
        <v>Tourism Demand &amp; Flows Database</v>
      </c>
      <c r="H6" s="48" t="str">
        <f>'Secondary cum Calculation'!H6</f>
        <v>New</v>
      </c>
      <c r="I6" s="48">
        <f>'Secondary cum Calculation'!I6</f>
        <v>0</v>
      </c>
      <c r="J6" s="48" t="str">
        <f>'Secondary cum Calculation'!J6</f>
        <v>Days</v>
      </c>
      <c r="K6" s="49">
        <f>'Secondary cum Calculation'!K6</f>
        <v>0</v>
      </c>
      <c r="L6" s="50">
        <f>'Secondary cum Calculation'!L6</f>
        <v>26</v>
      </c>
      <c r="M6" s="50">
        <f>'Secondary cum Calculation'!M6</f>
        <v>26</v>
      </c>
      <c r="N6" s="50">
        <f>'Secondary cum Calculation'!N6</f>
        <v>26</v>
      </c>
      <c r="O6" s="50">
        <f>'Secondary cum Calculation'!O6</f>
        <v>26</v>
      </c>
      <c r="P6" s="50">
        <f>'Secondary cum Calculation'!P6</f>
        <v>26</v>
      </c>
      <c r="Q6" s="50">
        <f>'Secondary cum Calculation'!Q6</f>
        <v>26</v>
      </c>
      <c r="R6" s="40"/>
      <c r="S6" s="40"/>
      <c r="T6" s="40"/>
      <c r="U6" s="40"/>
      <c r="V6" s="40"/>
      <c r="W6" s="102">
        <f>'Secondary cum Calculation'!W6</f>
        <v>0</v>
      </c>
      <c r="X6" s="300"/>
    </row>
    <row r="7" spans="1:27">
      <c r="A7" s="48"/>
      <c r="B7" s="48"/>
      <c r="C7" s="52" t="str">
        <f>'Secondary cum Calculation'!C7</f>
        <v>Growth Rate</v>
      </c>
      <c r="D7" s="52"/>
      <c r="E7" s="52"/>
      <c r="F7" s="52">
        <f>'Secondary cum Calculation'!F7</f>
        <v>0</v>
      </c>
      <c r="G7" s="52">
        <f>'Secondary cum Calculation'!G7</f>
        <v>0</v>
      </c>
      <c r="H7" s="52">
        <f>'Secondary cum Calculation'!H7</f>
        <v>0</v>
      </c>
      <c r="I7" s="52">
        <f>'Secondary cum Calculation'!I7</f>
        <v>0</v>
      </c>
      <c r="J7" s="52" t="str">
        <f>'Secondary cum Calculation'!J7</f>
        <v>%</v>
      </c>
      <c r="K7" s="49">
        <f>'Secondary cum Calculation'!K7</f>
        <v>0</v>
      </c>
      <c r="L7" s="53"/>
      <c r="M7" s="54">
        <f>'Secondary cum Calculation'!M7</f>
        <v>0</v>
      </c>
      <c r="N7" s="54">
        <f>'Secondary cum Calculation'!N7</f>
        <v>0</v>
      </c>
      <c r="O7" s="54">
        <f>'Secondary cum Calculation'!O7</f>
        <v>0</v>
      </c>
      <c r="P7" s="54">
        <f>'Secondary cum Calculation'!P7</f>
        <v>0</v>
      </c>
      <c r="Q7" s="54">
        <f>'Secondary cum Calculation'!Q7</f>
        <v>0</v>
      </c>
      <c r="R7" s="109"/>
      <c r="S7" s="109"/>
      <c r="T7" s="109"/>
      <c r="U7" s="109"/>
      <c r="V7" s="109"/>
      <c r="W7" s="258"/>
      <c r="X7" s="301"/>
    </row>
    <row r="8" spans="1:27">
      <c r="A8" s="46" t="str">
        <f>'Secondary cum Calculation'!A8</f>
        <v>Poland</v>
      </c>
      <c r="B8" s="47" t="str">
        <f>'Secondary cum Calculation'!B8</f>
        <v>Tourism Demand Factors</v>
      </c>
      <c r="C8" s="47" t="str">
        <f>'Secondary cum Calculation'!C8</f>
        <v>Typical Holiday Entitlement of Employees per Annum by Type</v>
      </c>
      <c r="D8" s="46" t="str">
        <f>'Secondary cum Calculation'!D8</f>
        <v>Public Holidays</v>
      </c>
      <c r="E8" s="48"/>
      <c r="F8" s="48" t="str">
        <f>'Secondary cum Calculation'!F8</f>
        <v>The number of potential tourist days the average resident of a country will accrue annually through public holidays i.e. The number of statuatory holidays the average resident is entitled to.</v>
      </c>
      <c r="G8" s="48" t="str">
        <f>'Secondary cum Calculation'!G8</f>
        <v>Tourism Demand &amp; Flows Database</v>
      </c>
      <c r="H8" s="48" t="str">
        <f>'Secondary cum Calculation'!H8</f>
        <v>New</v>
      </c>
      <c r="I8" s="48">
        <f>'Secondary cum Calculation'!I8</f>
        <v>0</v>
      </c>
      <c r="J8" s="48" t="str">
        <f>'Secondary cum Calculation'!J8</f>
        <v>Days</v>
      </c>
      <c r="K8" s="49">
        <f>'Secondary cum Calculation'!K8</f>
        <v>10</v>
      </c>
      <c r="L8" s="50">
        <f>'Secondary cum Calculation'!L8</f>
        <v>10</v>
      </c>
      <c r="M8" s="50">
        <f>'Secondary cum Calculation'!M8</f>
        <v>10</v>
      </c>
      <c r="N8" s="50">
        <f>'Secondary cum Calculation'!N8</f>
        <v>10</v>
      </c>
      <c r="O8" s="50">
        <f>'Secondary cum Calculation'!O8</f>
        <v>10</v>
      </c>
      <c r="P8" s="50">
        <f>'Secondary cum Calculation'!P8</f>
        <v>11</v>
      </c>
      <c r="Q8" s="50">
        <f>'Secondary cum Calculation'!Q8</f>
        <v>11</v>
      </c>
      <c r="R8" s="108"/>
      <c r="S8" s="108"/>
      <c r="T8" s="108"/>
      <c r="U8" s="108"/>
      <c r="V8" s="108"/>
      <c r="W8" s="102">
        <f>'Secondary cum Calculation'!W8</f>
        <v>2.4113689084445111E-2</v>
      </c>
      <c r="X8" s="300"/>
    </row>
    <row r="9" spans="1:27">
      <c r="A9" s="48"/>
      <c r="B9" s="48"/>
      <c r="C9" s="52" t="str">
        <f>'Secondary cum Calculation'!C9</f>
        <v>Growth Rate</v>
      </c>
      <c r="D9" s="52"/>
      <c r="E9" s="52"/>
      <c r="F9" s="52">
        <f>'Secondary cum Calculation'!F9</f>
        <v>0</v>
      </c>
      <c r="G9" s="52">
        <f>'Secondary cum Calculation'!G9</f>
        <v>0</v>
      </c>
      <c r="H9" s="52">
        <f>'Secondary cum Calculation'!H9</f>
        <v>0</v>
      </c>
      <c r="I9" s="52">
        <f>'Secondary cum Calculation'!I9</f>
        <v>0</v>
      </c>
      <c r="J9" s="52" t="str">
        <f>'Secondary cum Calculation'!J9</f>
        <v>%</v>
      </c>
      <c r="K9" s="49">
        <f>'Secondary cum Calculation'!K9</f>
        <v>0</v>
      </c>
      <c r="L9" s="53"/>
      <c r="M9" s="54">
        <f>'Secondary cum Calculation'!M9</f>
        <v>0</v>
      </c>
      <c r="N9" s="54">
        <f>'Secondary cum Calculation'!N9</f>
        <v>0</v>
      </c>
      <c r="O9" s="54">
        <f>'Secondary cum Calculation'!O9</f>
        <v>0</v>
      </c>
      <c r="P9" s="54">
        <f>'Secondary cum Calculation'!P9</f>
        <v>0.10000000000000009</v>
      </c>
      <c r="Q9" s="54">
        <f>'Secondary cum Calculation'!Q9</f>
        <v>0</v>
      </c>
      <c r="R9" s="109"/>
      <c r="S9" s="109"/>
      <c r="T9" s="109"/>
      <c r="U9" s="109"/>
      <c r="V9" s="109"/>
      <c r="W9" s="258"/>
      <c r="X9" s="301"/>
    </row>
    <row r="10" spans="1:27">
      <c r="A10" s="55" t="str">
        <f>'Secondary cum Calculation'!A10</f>
        <v>Poland</v>
      </c>
      <c r="B10" s="56" t="str">
        <f>'Secondary cum Calculation'!B10</f>
        <v>Tourism Demand Factors</v>
      </c>
      <c r="C10" s="55" t="str">
        <f>'Secondary cum Calculation'!C10</f>
        <v>Total Population by Age &amp; Sex</v>
      </c>
      <c r="D10" s="57"/>
      <c r="E10" s="57"/>
      <c r="F10" s="57">
        <f>'Secondary cum Calculation'!F10</f>
        <v>0</v>
      </c>
      <c r="G10" s="57" t="str">
        <f>'Secondary cum Calculation'!G10</f>
        <v>Tourism Demand &amp; Flows Database</v>
      </c>
      <c r="H10" s="57" t="str">
        <f>'Secondary cum Calculation'!H10</f>
        <v>New</v>
      </c>
      <c r="I10" s="57">
        <f>'Secondary cum Calculation'!I10</f>
        <v>0</v>
      </c>
      <c r="J10" s="55"/>
      <c r="K10" s="58"/>
      <c r="L10" s="80"/>
      <c r="M10" s="80"/>
      <c r="N10" s="80"/>
      <c r="O10" s="80"/>
      <c r="P10" s="80"/>
      <c r="Q10" s="80"/>
      <c r="R10" s="80"/>
      <c r="S10" s="80"/>
      <c r="T10" s="80"/>
      <c r="U10" s="80"/>
      <c r="V10" s="80"/>
      <c r="W10" s="260"/>
      <c r="X10" s="260"/>
      <c r="Y10" s="11"/>
    </row>
    <row r="11" spans="1:27">
      <c r="A11" s="57"/>
      <c r="B11" s="57"/>
      <c r="C11" s="61" t="str">
        <f>'Secondary cum Calculation'!C11</f>
        <v>Growth Rate</v>
      </c>
      <c r="D11" s="61"/>
      <c r="E11" s="61"/>
      <c r="F11" s="61">
        <f>'Secondary cum Calculation'!F11</f>
        <v>0</v>
      </c>
      <c r="G11" s="61">
        <f>'Secondary cum Calculation'!G11</f>
        <v>0</v>
      </c>
      <c r="H11" s="61">
        <f>'Secondary cum Calculation'!H11</f>
        <v>0</v>
      </c>
      <c r="I11" s="61">
        <f>'Secondary cum Calculation'!I11</f>
        <v>0</v>
      </c>
      <c r="J11" s="61"/>
      <c r="K11" s="58"/>
      <c r="L11" s="59"/>
      <c r="M11" s="62"/>
      <c r="N11" s="62"/>
      <c r="O11" s="62"/>
      <c r="P11" s="62"/>
      <c r="Q11" s="62"/>
      <c r="R11" s="62"/>
      <c r="S11" s="62"/>
      <c r="T11" s="62"/>
      <c r="U11" s="62"/>
      <c r="V11" s="62"/>
      <c r="W11" s="259"/>
      <c r="X11" s="259"/>
    </row>
    <row r="12" spans="1:27">
      <c r="A12" s="55" t="str">
        <f>'Secondary cum Calculation'!A12</f>
        <v>Poland</v>
      </c>
      <c r="B12" s="56" t="str">
        <f>'Secondary cum Calculation'!B12</f>
        <v>Tourism Demand Factors</v>
      </c>
      <c r="C12" s="56" t="str">
        <f>'Secondary cum Calculation'!C12</f>
        <v>Total Population by Age &amp; Sex</v>
      </c>
      <c r="D12" s="55" t="str">
        <f>'Secondary cum Calculation'!D12</f>
        <v>Total by Age</v>
      </c>
      <c r="E12" s="57"/>
      <c r="F12" s="57">
        <f>'Secondary cum Calculation'!F12</f>
        <v>0</v>
      </c>
      <c r="G12" s="57" t="str">
        <f>'Secondary cum Calculation'!G12</f>
        <v>Tourism Demand &amp; Flows Database</v>
      </c>
      <c r="H12" s="57" t="str">
        <f>'Secondary cum Calculation'!H12</f>
        <v>New</v>
      </c>
      <c r="I12" s="57">
        <f>'Secondary cum Calculation'!I12</f>
        <v>0</v>
      </c>
      <c r="J12" s="55" t="str">
        <f>'Secondary cum Calculation'!J12</f>
        <v>Millions</v>
      </c>
      <c r="K12" s="58">
        <f>'Secondary cum Calculation'!K12</f>
        <v>0</v>
      </c>
      <c r="L12" s="80">
        <f>'Secondary cum Calculation'!L12</f>
        <v>38.518240999999996</v>
      </c>
      <c r="M12" s="80">
        <f>'Secondary cum Calculation'!M12</f>
        <v>38.500696000000005</v>
      </c>
      <c r="N12" s="80">
        <f>'Secondary cum Calculation'!N12</f>
        <v>38.482919000000003</v>
      </c>
      <c r="O12" s="80">
        <f>'Secondary cum Calculation'!O12</f>
        <v>38.463689000000002</v>
      </c>
      <c r="P12" s="80">
        <f>'Secondary cum Calculation'!P12</f>
        <v>38.441587999999996</v>
      </c>
      <c r="Q12" s="80">
        <f>'Secondary cum Calculation'!Q12</f>
        <v>38.415284</v>
      </c>
      <c r="R12" s="80">
        <f>'Secondary cum Calculation'!R12</f>
        <v>38.383808999999992</v>
      </c>
      <c r="S12" s="80">
        <f>'Secondary cum Calculation'!S12</f>
        <v>38.346278999999996</v>
      </c>
      <c r="T12" s="80">
        <f>'Secondary cum Calculation'!T12</f>
        <v>38.301884999999999</v>
      </c>
      <c r="U12" s="80">
        <f>'Secondary cum Calculation'!U12</f>
        <v>38.249653000000002</v>
      </c>
      <c r="V12" s="80">
        <f>'Secondary cum Calculation'!V12</f>
        <v>38.188708000000005</v>
      </c>
      <c r="W12" s="260">
        <f>'Secondary cum Calculation'!W12</f>
        <v>-5.5507534232013267E-4</v>
      </c>
      <c r="X12" s="260">
        <f>'Secondary cum Calculation'!X12</f>
        <v>-1.1824066893574292E-3</v>
      </c>
    </row>
    <row r="13" spans="1:27">
      <c r="A13" s="57"/>
      <c r="B13" s="57"/>
      <c r="C13" s="61" t="str">
        <f>'Secondary cum Calculation'!C13</f>
        <v>Growth Rate</v>
      </c>
      <c r="D13" s="61"/>
      <c r="E13" s="61"/>
      <c r="F13" s="61">
        <f>'Secondary cum Calculation'!F13</f>
        <v>0</v>
      </c>
      <c r="G13" s="61">
        <f>'Secondary cum Calculation'!G13</f>
        <v>0</v>
      </c>
      <c r="H13" s="61">
        <f>'Secondary cum Calculation'!H13</f>
        <v>0</v>
      </c>
      <c r="I13" s="61">
        <f>'Secondary cum Calculation'!I13</f>
        <v>0</v>
      </c>
      <c r="J13" s="61" t="str">
        <f>'Secondary cum Calculation'!J13</f>
        <v>%</v>
      </c>
      <c r="K13" s="58">
        <f>'Secondary cum Calculation'!K13</f>
        <v>0</v>
      </c>
      <c r="L13" s="59"/>
      <c r="M13" s="62">
        <f>'Secondary cum Calculation'!M13</f>
        <v>-4.5549847408632438E-4</v>
      </c>
      <c r="N13" s="62">
        <f>'Secondary cum Calculation'!N13</f>
        <v>-4.6173191258680468E-4</v>
      </c>
      <c r="O13" s="62">
        <f>'Secondary cum Calculation'!O13</f>
        <v>-4.9970221853490315E-4</v>
      </c>
      <c r="P13" s="62">
        <f>'Secondary cum Calculation'!P13</f>
        <v>-5.7459387215841318E-4</v>
      </c>
      <c r="Q13" s="62">
        <f>'Secondary cum Calculation'!Q13</f>
        <v>-6.8425893331969245E-4</v>
      </c>
      <c r="R13" s="62">
        <f>'Secondary cum Calculation'!R13</f>
        <v>-8.1933534579636813E-4</v>
      </c>
      <c r="S13" s="62">
        <f>'Secondary cum Calculation'!S13</f>
        <v>-9.7775601165572823E-4</v>
      </c>
      <c r="T13" s="62">
        <f>'Secondary cum Calculation'!T13</f>
        <v>-1.1577133729193667E-3</v>
      </c>
      <c r="U13" s="62">
        <f>'Secondary cum Calculation'!U13</f>
        <v>-1.3636926746555256E-3</v>
      </c>
      <c r="V13" s="62">
        <f>'Secondary cum Calculation'!V13</f>
        <v>-1.5933477880177849E-3</v>
      </c>
      <c r="W13" s="259"/>
      <c r="X13" s="259"/>
    </row>
    <row r="14" spans="1:27">
      <c r="A14" s="55" t="str">
        <f>'Secondary cum Calculation'!A14</f>
        <v>Poland</v>
      </c>
      <c r="B14" s="56" t="str">
        <f>'Secondary cum Calculation'!B14</f>
        <v>Tourism Demand Factors</v>
      </c>
      <c r="C14" s="56" t="str">
        <f>'Secondary cum Calculation'!C14</f>
        <v>Total Population by Age &amp; Sex</v>
      </c>
      <c r="D14" s="56" t="str">
        <f>'Secondary cum Calculation'!D14</f>
        <v>Total by Age</v>
      </c>
      <c r="E14" s="55" t="str">
        <f>'Secondary cum Calculation'!E14</f>
        <v>0-14</v>
      </c>
      <c r="F14" s="57">
        <f>'Secondary cum Calculation'!F14</f>
        <v>0</v>
      </c>
      <c r="G14" s="57" t="str">
        <f>'Secondary cum Calculation'!G14</f>
        <v>Tourism Demand &amp; Flows Database</v>
      </c>
      <c r="H14" s="57" t="str">
        <f>'Secondary cum Calculation'!H14</f>
        <v>New</v>
      </c>
      <c r="I14" s="57">
        <f>'Secondary cum Calculation'!I14</f>
        <v>0</v>
      </c>
      <c r="J14" s="57" t="str">
        <f>'Secondary cum Calculation'!J14</f>
        <v>Millions</v>
      </c>
      <c r="K14" s="58">
        <f>'Secondary cum Calculation'!K14</f>
        <v>0</v>
      </c>
      <c r="L14" s="59">
        <f>'Secondary cum Calculation'!L14</f>
        <v>5.9765090000000001</v>
      </c>
      <c r="M14" s="59">
        <f>'Secondary cum Calculation'!M14</f>
        <v>5.863086</v>
      </c>
      <c r="N14" s="59">
        <f>'Secondary cum Calculation'!N14</f>
        <v>5.7672730000000003</v>
      </c>
      <c r="O14" s="59">
        <f>'Secondary cum Calculation'!O14</f>
        <v>5.7007529999999997</v>
      </c>
      <c r="P14" s="59">
        <f>'Secondary cum Calculation'!P14</f>
        <v>5.6588700000000003</v>
      </c>
      <c r="Q14" s="59">
        <f>'Secondary cum Calculation'!Q14</f>
        <v>5.6246499999999999</v>
      </c>
      <c r="R14" s="59">
        <f>'Secondary cum Calculation'!R14</f>
        <v>5.6032190000000002</v>
      </c>
      <c r="S14" s="59">
        <f>'Secondary cum Calculation'!S14</f>
        <v>5.5928329999999997</v>
      </c>
      <c r="T14" s="59">
        <f>'Secondary cum Calculation'!T14</f>
        <v>5.5859839999999998</v>
      </c>
      <c r="U14" s="59">
        <f>'Secondary cum Calculation'!U14</f>
        <v>5.5801489999999996</v>
      </c>
      <c r="V14" s="59">
        <f>'Secondary cum Calculation'!V14</f>
        <v>5.5801160000000003</v>
      </c>
      <c r="W14" s="106">
        <f>'Secondary cum Calculation'!W14</f>
        <v>-1.0325661074755743E-2</v>
      </c>
      <c r="X14" s="106">
        <f>'Secondary cum Calculation'!X14</f>
        <v>-1.5885687317745978E-3</v>
      </c>
    </row>
    <row r="15" spans="1:27">
      <c r="A15" s="57"/>
      <c r="B15" s="57"/>
      <c r="C15" s="61" t="str">
        <f>'Secondary cum Calculation'!C15</f>
        <v>Growth Rate</v>
      </c>
      <c r="D15" s="61"/>
      <c r="E15" s="61"/>
      <c r="F15" s="61">
        <f>'Secondary cum Calculation'!F15</f>
        <v>0</v>
      </c>
      <c r="G15" s="61">
        <f>'Secondary cum Calculation'!G15</f>
        <v>0</v>
      </c>
      <c r="H15" s="61">
        <f>'Secondary cum Calculation'!H15</f>
        <v>0</v>
      </c>
      <c r="I15" s="61">
        <f>'Secondary cum Calculation'!I15</f>
        <v>0</v>
      </c>
      <c r="J15" s="61" t="str">
        <f>'Secondary cum Calculation'!J15</f>
        <v>%</v>
      </c>
      <c r="K15" s="58">
        <f>'Secondary cum Calculation'!K15</f>
        <v>0</v>
      </c>
      <c r="L15" s="59"/>
      <c r="M15" s="62">
        <f>'Secondary cum Calculation'!M15</f>
        <v>-1.8978135898398252E-2</v>
      </c>
      <c r="N15" s="62">
        <f>'Secondary cum Calculation'!N15</f>
        <v>-1.6341735393272327E-2</v>
      </c>
      <c r="O15" s="62">
        <f>'Secondary cum Calculation'!O15</f>
        <v>-1.1534047373862877E-2</v>
      </c>
      <c r="P15" s="62">
        <f>'Secondary cum Calculation'!P15</f>
        <v>-7.3469241694912313E-3</v>
      </c>
      <c r="Q15" s="62">
        <f>'Secondary cum Calculation'!Q15</f>
        <v>-6.0471436876974316E-3</v>
      </c>
      <c r="R15" s="62">
        <f>'Secondary cum Calculation'!R15</f>
        <v>-3.8101926342083425E-3</v>
      </c>
      <c r="S15" s="62">
        <f>'Secondary cum Calculation'!S15</f>
        <v>-1.8535773811447775E-3</v>
      </c>
      <c r="T15" s="62">
        <f>'Secondary cum Calculation'!T15</f>
        <v>-1.2246029874305453E-3</v>
      </c>
      <c r="U15" s="62">
        <f>'Secondary cum Calculation'!U15</f>
        <v>-1.0445787170174636E-3</v>
      </c>
      <c r="V15" s="62">
        <f>'Secondary cum Calculation'!V15</f>
        <v>-5.9138205806830157E-6</v>
      </c>
      <c r="W15" s="259"/>
      <c r="X15" s="259"/>
    </row>
    <row r="16" spans="1:27">
      <c r="A16" s="55" t="str">
        <f>'Secondary cum Calculation'!A16</f>
        <v>Poland</v>
      </c>
      <c r="B16" s="56" t="str">
        <f>'Secondary cum Calculation'!B16</f>
        <v>Tourism Demand Factors</v>
      </c>
      <c r="C16" s="56" t="str">
        <f>'Secondary cum Calculation'!C16</f>
        <v>Total Population by Age &amp; Sex</v>
      </c>
      <c r="D16" s="56" t="str">
        <f>'Secondary cum Calculation'!D16</f>
        <v>Total by Age</v>
      </c>
      <c r="E16" s="55" t="str">
        <f>'Secondary cum Calculation'!E16</f>
        <v>15-24</v>
      </c>
      <c r="F16" s="57">
        <f>'Secondary cum Calculation'!F16</f>
        <v>0</v>
      </c>
      <c r="G16" s="57" t="str">
        <f>'Secondary cum Calculation'!G16</f>
        <v>Tourism Demand &amp; Flows Database</v>
      </c>
      <c r="H16" s="57" t="str">
        <f>'Secondary cum Calculation'!H16</f>
        <v>New</v>
      </c>
      <c r="I16" s="57">
        <f>'Secondary cum Calculation'!I16</f>
        <v>0</v>
      </c>
      <c r="J16" s="57" t="str">
        <f>'Secondary cum Calculation'!J16</f>
        <v>Millions</v>
      </c>
      <c r="K16" s="58">
        <f>'Secondary cum Calculation'!K16</f>
        <v>0</v>
      </c>
      <c r="L16" s="59">
        <f>'Secondary cum Calculation'!L16</f>
        <v>5.9017530000000002</v>
      </c>
      <c r="M16" s="59">
        <f>'Secondary cum Calculation'!M16</f>
        <v>5.7020749999999998</v>
      </c>
      <c r="N16" s="59">
        <f>'Secondary cum Calculation'!N16</f>
        <v>5.4898319999999998</v>
      </c>
      <c r="O16" s="59">
        <f>'Secondary cum Calculation'!O16</f>
        <v>5.2693770000000004</v>
      </c>
      <c r="P16" s="59">
        <f>'Secondary cum Calculation'!P16</f>
        <v>5.0562950000000004</v>
      </c>
      <c r="Q16" s="59">
        <f>'Secondary cum Calculation'!Q16</f>
        <v>4.8748889999999996</v>
      </c>
      <c r="R16" s="59">
        <f>'Secondary cum Calculation'!R16</f>
        <v>4.7257680000000004</v>
      </c>
      <c r="S16" s="59">
        <f>'Secondary cum Calculation'!S16</f>
        <v>4.5688550000000001</v>
      </c>
      <c r="T16" s="59">
        <f>'Secondary cum Calculation'!T16</f>
        <v>4.4026420000000002</v>
      </c>
      <c r="U16" s="59">
        <f>'Secondary cum Calculation'!U16</f>
        <v>4.2374029999999996</v>
      </c>
      <c r="V16" s="59">
        <f>'Secondary cum Calculation'!V16</f>
        <v>4.0752750000000004</v>
      </c>
      <c r="W16" s="106">
        <f>'Secondary cum Calculation'!W16</f>
        <v>-3.8425469542404556E-2</v>
      </c>
      <c r="X16" s="106">
        <f>'Secondary cum Calculation'!X16</f>
        <v>-3.5197460804242464E-2</v>
      </c>
    </row>
    <row r="17" spans="1:24">
      <c r="A17" s="57"/>
      <c r="B17" s="57"/>
      <c r="C17" s="61" t="str">
        <f>'Secondary cum Calculation'!C17</f>
        <v>Growth Rate</v>
      </c>
      <c r="D17" s="61"/>
      <c r="E17" s="61"/>
      <c r="F17" s="61">
        <f>'Secondary cum Calculation'!F17</f>
        <v>0</v>
      </c>
      <c r="G17" s="61">
        <f>'Secondary cum Calculation'!G17</f>
        <v>0</v>
      </c>
      <c r="H17" s="61">
        <f>'Secondary cum Calculation'!H17</f>
        <v>0</v>
      </c>
      <c r="I17" s="61">
        <f>'Secondary cum Calculation'!I17</f>
        <v>0</v>
      </c>
      <c r="J17" s="61" t="str">
        <f>'Secondary cum Calculation'!J17</f>
        <v>%</v>
      </c>
      <c r="K17" s="58">
        <f>'Secondary cum Calculation'!K17</f>
        <v>0</v>
      </c>
      <c r="L17" s="59"/>
      <c r="M17" s="62">
        <f>'Secondary cum Calculation'!M17</f>
        <v>-3.3833676197563722E-2</v>
      </c>
      <c r="N17" s="62">
        <f>'Secondary cum Calculation'!N17</f>
        <v>-3.7222063897791591E-2</v>
      </c>
      <c r="O17" s="62">
        <f>'Secondary cum Calculation'!O17</f>
        <v>-4.0156966551981865E-2</v>
      </c>
      <c r="P17" s="62">
        <f>'Secondary cum Calculation'!P17</f>
        <v>-4.0437797485357363E-2</v>
      </c>
      <c r="Q17" s="62">
        <f>'Secondary cum Calculation'!Q17</f>
        <v>-3.5877257952710573E-2</v>
      </c>
      <c r="R17" s="62">
        <f>'Secondary cum Calculation'!R17</f>
        <v>-3.0589619579030281E-2</v>
      </c>
      <c r="S17" s="62">
        <f>'Secondary cum Calculation'!S17</f>
        <v>-3.3203703609656743E-2</v>
      </c>
      <c r="T17" s="62">
        <f>'Secondary cum Calculation'!T17</f>
        <v>-3.6379574313476826E-2</v>
      </c>
      <c r="U17" s="62">
        <f>'Secondary cum Calculation'!U17</f>
        <v>-3.7531782052685814E-2</v>
      </c>
      <c r="V17" s="62">
        <f>'Secondary cum Calculation'!V17</f>
        <v>-3.82611708161813E-2</v>
      </c>
      <c r="W17" s="259"/>
      <c r="X17" s="259"/>
    </row>
    <row r="18" spans="1:24">
      <c r="A18" s="55" t="str">
        <f>'Secondary cum Calculation'!A18</f>
        <v>Poland</v>
      </c>
      <c r="B18" s="56" t="str">
        <f>'Secondary cum Calculation'!B18</f>
        <v>Tourism Demand Factors</v>
      </c>
      <c r="C18" s="56" t="str">
        <f>'Secondary cum Calculation'!C18</f>
        <v>Total Population by Age &amp; Sex</v>
      </c>
      <c r="D18" s="56" t="str">
        <f>'Secondary cum Calculation'!D18</f>
        <v>Total by Age</v>
      </c>
      <c r="E18" s="55" t="str">
        <f>'Secondary cum Calculation'!E18</f>
        <v>25-34</v>
      </c>
      <c r="F18" s="57">
        <f>'Secondary cum Calculation'!F18</f>
        <v>0</v>
      </c>
      <c r="G18" s="57" t="str">
        <f>'Secondary cum Calculation'!G18</f>
        <v>Tourism Demand &amp; Flows Database</v>
      </c>
      <c r="H18" s="57" t="str">
        <f>'Secondary cum Calculation'!H18</f>
        <v>New</v>
      </c>
      <c r="I18" s="57">
        <f>'Secondary cum Calculation'!I18</f>
        <v>0</v>
      </c>
      <c r="J18" s="57" t="str">
        <f>'Secondary cum Calculation'!J18</f>
        <v>Millions</v>
      </c>
      <c r="K18" s="58">
        <f>'Secondary cum Calculation'!K18</f>
        <v>0</v>
      </c>
      <c r="L18" s="59">
        <f>'Secondary cum Calculation'!L18</f>
        <v>6.2222609999999996</v>
      </c>
      <c r="M18" s="59">
        <f>'Secondary cum Calculation'!M18</f>
        <v>6.3293020000000002</v>
      </c>
      <c r="N18" s="59">
        <f>'Secondary cum Calculation'!N18</f>
        <v>6.4191760000000002</v>
      </c>
      <c r="O18" s="59">
        <f>'Secondary cum Calculation'!O18</f>
        <v>6.4713510000000003</v>
      </c>
      <c r="P18" s="59">
        <f>'Secondary cum Calculation'!P18</f>
        <v>6.4705329999999996</v>
      </c>
      <c r="Q18" s="59">
        <f>'Secondary cum Calculation'!Q18</f>
        <v>6.4259139999999997</v>
      </c>
      <c r="R18" s="59">
        <f>'Secondary cum Calculation'!R18</f>
        <v>6.3308580000000001</v>
      </c>
      <c r="S18" s="59">
        <f>'Secondary cum Calculation'!S18</f>
        <v>6.2175960000000003</v>
      </c>
      <c r="T18" s="59">
        <f>'Secondary cum Calculation'!T18</f>
        <v>6.0958810000000003</v>
      </c>
      <c r="U18" s="59">
        <f>'Secondary cum Calculation'!U18</f>
        <v>5.971565</v>
      </c>
      <c r="V18" s="59">
        <f>'Secondary cum Calculation'!V18</f>
        <v>5.8216650000000003</v>
      </c>
      <c r="W18" s="106">
        <f>'Secondary cum Calculation'!W18</f>
        <v>3.7944096035811281E-3</v>
      </c>
      <c r="X18" s="106">
        <f>'Secondary cum Calculation'!X18</f>
        <v>-1.9556751156668217E-2</v>
      </c>
    </row>
    <row r="19" spans="1:24">
      <c r="A19" s="57"/>
      <c r="B19" s="57"/>
      <c r="C19" s="61" t="str">
        <f>'Secondary cum Calculation'!C19</f>
        <v>Growth Rate</v>
      </c>
      <c r="D19" s="61"/>
      <c r="E19" s="61"/>
      <c r="F19" s="61">
        <f>'Secondary cum Calculation'!F19</f>
        <v>0</v>
      </c>
      <c r="G19" s="61">
        <f>'Secondary cum Calculation'!G19</f>
        <v>0</v>
      </c>
      <c r="H19" s="61">
        <f>'Secondary cum Calculation'!H19</f>
        <v>0</v>
      </c>
      <c r="I19" s="61">
        <f>'Secondary cum Calculation'!I19</f>
        <v>0</v>
      </c>
      <c r="J19" s="61" t="str">
        <f>'Secondary cum Calculation'!J19</f>
        <v>%</v>
      </c>
      <c r="K19" s="58">
        <f>'Secondary cum Calculation'!K19</f>
        <v>0</v>
      </c>
      <c r="L19" s="59"/>
      <c r="M19" s="62">
        <f>'Secondary cum Calculation'!M19</f>
        <v>1.7202910646146208E-2</v>
      </c>
      <c r="N19" s="62">
        <f>'Secondary cum Calculation'!N19</f>
        <v>1.4199670042605028E-2</v>
      </c>
      <c r="O19" s="62">
        <f>'Secondary cum Calculation'!O19</f>
        <v>8.1279902591859798E-3</v>
      </c>
      <c r="P19" s="62">
        <f>'Secondary cum Calculation'!P19</f>
        <v>-1.2640328116964028E-4</v>
      </c>
      <c r="Q19" s="62">
        <f>'Secondary cum Calculation'!Q19</f>
        <v>-6.8957225007584277E-3</v>
      </c>
      <c r="R19" s="62">
        <f>'Secondary cum Calculation'!R19</f>
        <v>-1.4792603822584516E-2</v>
      </c>
      <c r="S19" s="62">
        <f>'Secondary cum Calculation'!S19</f>
        <v>-1.7890466031618368E-2</v>
      </c>
      <c r="T19" s="62">
        <f>'Secondary cum Calculation'!T19</f>
        <v>-1.9575893962875734E-2</v>
      </c>
      <c r="U19" s="62">
        <f>'Secondary cum Calculation'!U19</f>
        <v>-2.0393442719764399E-2</v>
      </c>
      <c r="V19" s="62">
        <f>'Secondary cum Calculation'!V19</f>
        <v>-2.5102297303973065E-2</v>
      </c>
      <c r="W19" s="259"/>
      <c r="X19" s="259"/>
    </row>
    <row r="20" spans="1:24">
      <c r="A20" s="55" t="str">
        <f>'Secondary cum Calculation'!A20</f>
        <v>Poland</v>
      </c>
      <c r="B20" s="56" t="str">
        <f>'Secondary cum Calculation'!B20</f>
        <v>Tourism Demand Factors</v>
      </c>
      <c r="C20" s="56" t="str">
        <f>'Secondary cum Calculation'!C20</f>
        <v>Total Population by Age &amp; Sex</v>
      </c>
      <c r="D20" s="56" t="str">
        <f>'Secondary cum Calculation'!D20</f>
        <v>Total by Age</v>
      </c>
      <c r="E20" s="55" t="str">
        <f>'Secondary cum Calculation'!E20</f>
        <v>35-44</v>
      </c>
      <c r="F20" s="57">
        <f>'Secondary cum Calculation'!F20</f>
        <v>0</v>
      </c>
      <c r="G20" s="57" t="str">
        <f>'Secondary cum Calculation'!G20</f>
        <v>Tourism Demand &amp; Flows Database</v>
      </c>
      <c r="H20" s="57" t="str">
        <f>'Secondary cum Calculation'!H20</f>
        <v>New</v>
      </c>
      <c r="I20" s="57">
        <f>'Secondary cum Calculation'!I20</f>
        <v>0</v>
      </c>
      <c r="J20" s="57" t="str">
        <f>'Secondary cum Calculation'!J20</f>
        <v>Millions</v>
      </c>
      <c r="K20" s="58">
        <f>'Secondary cum Calculation'!K20</f>
        <v>0</v>
      </c>
      <c r="L20" s="59">
        <f>'Secondary cum Calculation'!L20</f>
        <v>4.9293579999999997</v>
      </c>
      <c r="M20" s="59">
        <f>'Secondary cum Calculation'!M20</f>
        <v>4.9741249999999999</v>
      </c>
      <c r="N20" s="59">
        <f>'Secondary cum Calculation'!N20</f>
        <v>5.0441830000000003</v>
      </c>
      <c r="O20" s="59">
        <f>'Secondary cum Calculation'!O20</f>
        <v>5.1464109999999996</v>
      </c>
      <c r="P20" s="59">
        <f>'Secondary cum Calculation'!P20</f>
        <v>5.2828660000000003</v>
      </c>
      <c r="Q20" s="59">
        <f>'Secondary cum Calculation'!Q20</f>
        <v>5.4303999999999997</v>
      </c>
      <c r="R20" s="59">
        <f>'Secondary cum Calculation'!R20</f>
        <v>5.5782930000000004</v>
      </c>
      <c r="S20" s="59">
        <f>'Secondary cum Calculation'!S20</f>
        <v>5.7341899999999999</v>
      </c>
      <c r="T20" s="59">
        <f>'Secondary cum Calculation'!T20</f>
        <v>5.8825820000000002</v>
      </c>
      <c r="U20" s="59">
        <f>'Secondary cum Calculation'!U20</f>
        <v>6.0032629999999996</v>
      </c>
      <c r="V20" s="59">
        <f>'Secondary cum Calculation'!V20</f>
        <v>6.1115700000000004</v>
      </c>
      <c r="W20" s="106">
        <f>'Secondary cum Calculation'!W20</f>
        <v>2.218330017509218E-2</v>
      </c>
      <c r="X20" s="106">
        <f>'Secondary cum Calculation'!X20</f>
        <v>2.3915680520963045E-2</v>
      </c>
    </row>
    <row r="21" spans="1:24">
      <c r="A21" s="57"/>
      <c r="B21" s="57"/>
      <c r="C21" s="61" t="str">
        <f>'Secondary cum Calculation'!C21</f>
        <v>Growth Rate</v>
      </c>
      <c r="D21" s="61"/>
      <c r="E21" s="61"/>
      <c r="F21" s="61">
        <f>'Secondary cum Calculation'!F21</f>
        <v>0</v>
      </c>
      <c r="G21" s="61">
        <f>'Secondary cum Calculation'!G21</f>
        <v>0</v>
      </c>
      <c r="H21" s="61">
        <f>'Secondary cum Calculation'!H21</f>
        <v>0</v>
      </c>
      <c r="I21" s="61">
        <f>'Secondary cum Calculation'!I21</f>
        <v>0</v>
      </c>
      <c r="J21" s="61" t="str">
        <f>'Secondary cum Calculation'!J21</f>
        <v>%</v>
      </c>
      <c r="K21" s="58">
        <f>'Secondary cum Calculation'!K21</f>
        <v>0</v>
      </c>
      <c r="L21" s="59"/>
      <c r="M21" s="62">
        <f>'Secondary cum Calculation'!M21</f>
        <v>9.0817100320164101E-3</v>
      </c>
      <c r="N21" s="62">
        <f>'Secondary cum Calculation'!N21</f>
        <v>1.4084487221370567E-2</v>
      </c>
      <c r="O21" s="62">
        <f>'Secondary cum Calculation'!O21</f>
        <v>2.0266512931826464E-2</v>
      </c>
      <c r="P21" s="62">
        <f>'Secondary cum Calculation'!P21</f>
        <v>2.6514594345457665E-2</v>
      </c>
      <c r="Q21" s="62">
        <f>'Secondary cum Calculation'!Q21</f>
        <v>2.7926886655841532E-2</v>
      </c>
      <c r="R21" s="62">
        <f>'Secondary cum Calculation'!R21</f>
        <v>2.7234273718326651E-2</v>
      </c>
      <c r="S21" s="62">
        <f>'Secondary cum Calculation'!S21</f>
        <v>2.7947079868339664E-2</v>
      </c>
      <c r="T21" s="62">
        <f>'Secondary cum Calculation'!T21</f>
        <v>2.5878458858182185E-2</v>
      </c>
      <c r="U21" s="62">
        <f>'Secondary cum Calculation'!U21</f>
        <v>2.0514971147023386E-2</v>
      </c>
      <c r="V21" s="62">
        <f>'Secondary cum Calculation'!V21</f>
        <v>1.8041355176343421E-2</v>
      </c>
      <c r="W21" s="259"/>
      <c r="X21" s="259"/>
    </row>
    <row r="22" spans="1:24">
      <c r="A22" s="55" t="str">
        <f>'Secondary cum Calculation'!A22</f>
        <v>Poland</v>
      </c>
      <c r="B22" s="56" t="str">
        <f>'Secondary cum Calculation'!B22</f>
        <v>Tourism Demand Factors</v>
      </c>
      <c r="C22" s="56" t="str">
        <f>'Secondary cum Calculation'!C22</f>
        <v>Total Population by Age &amp; Sex</v>
      </c>
      <c r="D22" s="56" t="str">
        <f>'Secondary cum Calculation'!D22</f>
        <v>Total by Age</v>
      </c>
      <c r="E22" s="55" t="str">
        <f>'Secondary cum Calculation'!E22</f>
        <v>45-54</v>
      </c>
      <c r="F22" s="57">
        <f>'Secondary cum Calculation'!F22</f>
        <v>0</v>
      </c>
      <c r="G22" s="57" t="str">
        <f>'Secondary cum Calculation'!G22</f>
        <v>Tourism Demand &amp; Flows Database</v>
      </c>
      <c r="H22" s="57" t="str">
        <f>'Secondary cum Calculation'!H22</f>
        <v>New</v>
      </c>
      <c r="I22" s="57">
        <f>'Secondary cum Calculation'!I22</f>
        <v>0</v>
      </c>
      <c r="J22" s="57" t="str">
        <f>'Secondary cum Calculation'!J22</f>
        <v>Millions</v>
      </c>
      <c r="K22" s="58">
        <f>'Secondary cum Calculation'!K22</f>
        <v>0</v>
      </c>
      <c r="L22" s="59">
        <f>'Secondary cum Calculation'!L22</f>
        <v>5.9540350000000002</v>
      </c>
      <c r="M22" s="59">
        <f>'Secondary cum Calculation'!M22</f>
        <v>5.8303260000000003</v>
      </c>
      <c r="N22" s="59">
        <f>'Secondary cum Calculation'!N22</f>
        <v>5.6946450000000004</v>
      </c>
      <c r="O22" s="59">
        <f>'Secondary cum Calculation'!O22</f>
        <v>5.5346919999999997</v>
      </c>
      <c r="P22" s="59">
        <f>'Secondary cum Calculation'!P22</f>
        <v>5.3583959999999999</v>
      </c>
      <c r="Q22" s="59">
        <f>'Secondary cum Calculation'!Q22</f>
        <v>5.1778550000000001</v>
      </c>
      <c r="R22" s="59">
        <f>'Secondary cum Calculation'!R22</f>
        <v>5.0061499999999999</v>
      </c>
      <c r="S22" s="59">
        <f>'Secondary cum Calculation'!S22</f>
        <v>4.8628580000000001</v>
      </c>
      <c r="T22" s="59">
        <f>'Secondary cum Calculation'!T22</f>
        <v>4.7667169999999999</v>
      </c>
      <c r="U22" s="59">
        <f>'Secondary cum Calculation'!U22</f>
        <v>4.7289940000000001</v>
      </c>
      <c r="V22" s="59">
        <f>'Secondary cum Calculation'!V22</f>
        <v>4.7418889999999996</v>
      </c>
      <c r="W22" s="106">
        <f>'Secondary cum Calculation'!W22</f>
        <v>-2.9234661334152534E-2</v>
      </c>
      <c r="X22" s="106">
        <f>'Secondary cum Calculation'!X22</f>
        <v>-1.7437240244000951E-2</v>
      </c>
    </row>
    <row r="23" spans="1:24">
      <c r="A23" s="57"/>
      <c r="B23" s="57"/>
      <c r="C23" s="61" t="str">
        <f>'Secondary cum Calculation'!C23</f>
        <v>Growth Rate</v>
      </c>
      <c r="D23" s="61"/>
      <c r="E23" s="61"/>
      <c r="F23" s="61">
        <f>'Secondary cum Calculation'!F23</f>
        <v>0</v>
      </c>
      <c r="G23" s="61">
        <f>'Secondary cum Calculation'!G23</f>
        <v>0</v>
      </c>
      <c r="H23" s="61">
        <f>'Secondary cum Calculation'!H23</f>
        <v>0</v>
      </c>
      <c r="I23" s="61">
        <f>'Secondary cum Calculation'!I23</f>
        <v>0</v>
      </c>
      <c r="J23" s="61" t="str">
        <f>'Secondary cum Calculation'!J23</f>
        <v>%</v>
      </c>
      <c r="K23" s="58">
        <f>'Secondary cum Calculation'!K23</f>
        <v>0</v>
      </c>
      <c r="L23" s="59"/>
      <c r="M23" s="62">
        <f>'Secondary cum Calculation'!M23</f>
        <v>-2.0777338393207279E-2</v>
      </c>
      <c r="N23" s="62">
        <f>'Secondary cum Calculation'!N23</f>
        <v>-2.3271597505868491E-2</v>
      </c>
      <c r="O23" s="62">
        <f>'Secondary cum Calculation'!O23</f>
        <v>-2.8088318060212836E-2</v>
      </c>
      <c r="P23" s="62">
        <f>'Secondary cum Calculation'!P23</f>
        <v>-3.1852901661013844E-2</v>
      </c>
      <c r="Q23" s="62">
        <f>'Secondary cum Calculation'!Q23</f>
        <v>-3.3693105175503946E-2</v>
      </c>
      <c r="R23" s="62">
        <f>'Secondary cum Calculation'!R23</f>
        <v>-3.3161415296488639E-2</v>
      </c>
      <c r="S23" s="62">
        <f>'Secondary cum Calculation'!S23</f>
        <v>-2.8623193472029351E-2</v>
      </c>
      <c r="T23" s="62">
        <f>'Secondary cum Calculation'!T23</f>
        <v>-1.9770472425886254E-2</v>
      </c>
      <c r="U23" s="62">
        <f>'Secondary cum Calculation'!U23</f>
        <v>-7.9138325182719349E-3</v>
      </c>
      <c r="V23" s="62">
        <f>'Secondary cum Calculation'!V23</f>
        <v>2.7267955933121257E-3</v>
      </c>
      <c r="W23" s="259"/>
      <c r="X23" s="259"/>
    </row>
    <row r="24" spans="1:24">
      <c r="A24" s="55" t="str">
        <f>'Secondary cum Calculation'!A24</f>
        <v>Poland</v>
      </c>
      <c r="B24" s="56" t="str">
        <f>'Secondary cum Calculation'!B24</f>
        <v>Tourism Demand Factors</v>
      </c>
      <c r="C24" s="56" t="str">
        <f>'Secondary cum Calculation'!C24</f>
        <v>Total Population by Age &amp; Sex</v>
      </c>
      <c r="D24" s="56" t="str">
        <f>'Secondary cum Calculation'!D24</f>
        <v>Total by Age</v>
      </c>
      <c r="E24" s="55" t="str">
        <f>'Secondary cum Calculation'!E24</f>
        <v>55-64</v>
      </c>
      <c r="F24" s="57">
        <f>'Secondary cum Calculation'!F24</f>
        <v>0</v>
      </c>
      <c r="G24" s="57" t="str">
        <f>'Secondary cum Calculation'!G24</f>
        <v>Tourism Demand &amp; Flows Database</v>
      </c>
      <c r="H24" s="57" t="str">
        <f>'Secondary cum Calculation'!H24</f>
        <v>New</v>
      </c>
      <c r="I24" s="57">
        <f>'Secondary cum Calculation'!I24</f>
        <v>0</v>
      </c>
      <c r="J24" s="57" t="str">
        <f>'Secondary cum Calculation'!J24</f>
        <v>Millions</v>
      </c>
      <c r="K24" s="58">
        <f>'Secondary cum Calculation'!K24</f>
        <v>0</v>
      </c>
      <c r="L24" s="59">
        <f>'Secondary cum Calculation'!L24</f>
        <v>4.3927589999999999</v>
      </c>
      <c r="M24" s="59">
        <f>'Secondary cum Calculation'!M24</f>
        <v>4.6540650000000001</v>
      </c>
      <c r="N24" s="59">
        <f>'Secondary cum Calculation'!N24</f>
        <v>4.9104929999999998</v>
      </c>
      <c r="O24" s="59">
        <f>'Secondary cum Calculation'!O24</f>
        <v>5.167211</v>
      </c>
      <c r="P24" s="59">
        <f>'Secondary cum Calculation'!P24</f>
        <v>5.3650520000000004</v>
      </c>
      <c r="Q24" s="59">
        <f>'Secondary cum Calculation'!Q24</f>
        <v>5.4947499999999998</v>
      </c>
      <c r="R24" s="59">
        <f>'Secondary cum Calculation'!R24</f>
        <v>5.5841209999999997</v>
      </c>
      <c r="S24" s="59">
        <f>'Secondary cum Calculation'!S24</f>
        <v>5.6320389999999998</v>
      </c>
      <c r="T24" s="59">
        <f>'Secondary cum Calculation'!T24</f>
        <v>5.6315080000000002</v>
      </c>
      <c r="U24" s="59">
        <f>'Secondary cum Calculation'!U24</f>
        <v>5.5776839999999996</v>
      </c>
      <c r="V24" s="59">
        <f>'Secondary cum Calculation'!V24</f>
        <v>5.4868439999999996</v>
      </c>
      <c r="W24" s="106">
        <f>'Secondary cum Calculation'!W24</f>
        <v>4.2386728335831458E-2</v>
      </c>
      <c r="X24" s="106">
        <f>'Secondary cum Calculation'!X24</f>
        <v>-2.8793135562743544E-4</v>
      </c>
    </row>
    <row r="25" spans="1:24">
      <c r="A25" s="57"/>
      <c r="B25" s="57"/>
      <c r="C25" s="61" t="str">
        <f>'Secondary cum Calculation'!C25</f>
        <v>Growth Rate</v>
      </c>
      <c r="D25" s="61"/>
      <c r="E25" s="61"/>
      <c r="F25" s="61">
        <f>'Secondary cum Calculation'!F25</f>
        <v>0</v>
      </c>
      <c r="G25" s="61">
        <f>'Secondary cum Calculation'!G25</f>
        <v>0</v>
      </c>
      <c r="H25" s="61">
        <f>'Secondary cum Calculation'!H25</f>
        <v>0</v>
      </c>
      <c r="I25" s="61">
        <f>'Secondary cum Calculation'!I25</f>
        <v>0</v>
      </c>
      <c r="J25" s="61" t="str">
        <f>'Secondary cum Calculation'!J25</f>
        <v>%</v>
      </c>
      <c r="K25" s="58">
        <f>'Secondary cum Calculation'!K25</f>
        <v>0</v>
      </c>
      <c r="L25" s="59"/>
      <c r="M25" s="62">
        <f>'Secondary cum Calculation'!M25</f>
        <v>5.9485621678767364E-2</v>
      </c>
      <c r="N25" s="62">
        <f>'Secondary cum Calculation'!N25</f>
        <v>5.5097640449800256E-2</v>
      </c>
      <c r="O25" s="62">
        <f>'Secondary cum Calculation'!O25</f>
        <v>5.2279475808233666E-2</v>
      </c>
      <c r="P25" s="62">
        <f>'Secondary cum Calculation'!P25</f>
        <v>3.8287772649501006E-2</v>
      </c>
      <c r="Q25" s="62">
        <f>'Secondary cum Calculation'!Q25</f>
        <v>2.4174602594718486E-2</v>
      </c>
      <c r="R25" s="62">
        <f>'Secondary cum Calculation'!R25</f>
        <v>1.6264798216479415E-2</v>
      </c>
      <c r="S25" s="62">
        <f>'Secondary cum Calculation'!S25</f>
        <v>8.5811177802199712E-3</v>
      </c>
      <c r="T25" s="62">
        <f>'Secondary cum Calculation'!T25</f>
        <v>-9.428201757832877E-5</v>
      </c>
      <c r="U25" s="62">
        <f>'Secondary cum Calculation'!U25</f>
        <v>-9.5576531188450442E-3</v>
      </c>
      <c r="V25" s="62">
        <f>'Secondary cum Calculation'!V25</f>
        <v>-1.6286329594864091E-2</v>
      </c>
      <c r="W25" s="259"/>
      <c r="X25" s="259"/>
    </row>
    <row r="26" spans="1:24">
      <c r="A26" s="55" t="str">
        <f>'Secondary cum Calculation'!A26</f>
        <v>Poland</v>
      </c>
      <c r="B26" s="56" t="str">
        <f>'Secondary cum Calculation'!B26</f>
        <v>Tourism Demand Factors</v>
      </c>
      <c r="C26" s="56" t="str">
        <f>'Secondary cum Calculation'!C26</f>
        <v>Total Population by Age &amp; Sex</v>
      </c>
      <c r="D26" s="56" t="str">
        <f>'Secondary cum Calculation'!D26</f>
        <v>Total by Age</v>
      </c>
      <c r="E26" s="55" t="str">
        <f>'Secondary cum Calculation'!E26</f>
        <v>65+</v>
      </c>
      <c r="F26" s="57">
        <f>'Secondary cum Calculation'!F26</f>
        <v>0</v>
      </c>
      <c r="G26" s="57" t="str">
        <f>'Secondary cum Calculation'!G26</f>
        <v>Tourism Demand &amp; Flows Database</v>
      </c>
      <c r="H26" s="57" t="str">
        <f>'Secondary cum Calculation'!H26</f>
        <v>New</v>
      </c>
      <c r="I26" s="57">
        <f>'Secondary cum Calculation'!I26</f>
        <v>0</v>
      </c>
      <c r="J26" s="57" t="str">
        <f>'Secondary cum Calculation'!J26</f>
        <v>Millions</v>
      </c>
      <c r="K26" s="58">
        <f>'Secondary cum Calculation'!K26</f>
        <v>0</v>
      </c>
      <c r="L26" s="59">
        <f>'Secondary cum Calculation'!L26</f>
        <v>5.1415660000000001</v>
      </c>
      <c r="M26" s="59">
        <f>'Secondary cum Calculation'!M26</f>
        <v>5.1477170000000001</v>
      </c>
      <c r="N26" s="59">
        <f>'Secondary cum Calculation'!N26</f>
        <v>5.1573169999999999</v>
      </c>
      <c r="O26" s="59">
        <f>'Secondary cum Calculation'!O26</f>
        <v>5.1738939999999998</v>
      </c>
      <c r="P26" s="59">
        <f>'Secondary cum Calculation'!P26</f>
        <v>5.2495760000000002</v>
      </c>
      <c r="Q26" s="59">
        <f>'Secondary cum Calculation'!Q26</f>
        <v>5.3868260000000001</v>
      </c>
      <c r="R26" s="59">
        <f>'Secondary cum Calculation'!R26</f>
        <v>5.5553999999999997</v>
      </c>
      <c r="S26" s="59">
        <f>'Secondary cum Calculation'!S26</f>
        <v>5.737908</v>
      </c>
      <c r="T26" s="59">
        <f>'Secondary cum Calculation'!T26</f>
        <v>5.9365709999999998</v>
      </c>
      <c r="U26" s="59">
        <f>'Secondary cum Calculation'!U26</f>
        <v>6.150595</v>
      </c>
      <c r="V26" s="59">
        <f>'Secondary cum Calculation'!V26</f>
        <v>6.3713490000000004</v>
      </c>
      <c r="W26" s="106">
        <f>'Secondary cum Calculation'!W26</f>
        <v>1.1415421217183086E-2</v>
      </c>
      <c r="X26" s="106">
        <f>'Secondary cum Calculation'!X26</f>
        <v>3.4140839869183592E-2</v>
      </c>
    </row>
    <row r="27" spans="1:24">
      <c r="A27" s="57"/>
      <c r="B27" s="57"/>
      <c r="C27" s="61" t="str">
        <f>'Secondary cum Calculation'!C27</f>
        <v>Growth Rate</v>
      </c>
      <c r="D27" s="61"/>
      <c r="E27" s="61"/>
      <c r="F27" s="61">
        <f>'Secondary cum Calculation'!F27</f>
        <v>0</v>
      </c>
      <c r="G27" s="61">
        <f>'Secondary cum Calculation'!G27</f>
        <v>0</v>
      </c>
      <c r="H27" s="61">
        <f>'Secondary cum Calculation'!H27</f>
        <v>0</v>
      </c>
      <c r="I27" s="61">
        <f>'Secondary cum Calculation'!I27</f>
        <v>0</v>
      </c>
      <c r="J27" s="61" t="str">
        <f>'Secondary cum Calculation'!J27</f>
        <v>%</v>
      </c>
      <c r="K27" s="58">
        <f>'Secondary cum Calculation'!K27</f>
        <v>0</v>
      </c>
      <c r="L27" s="59"/>
      <c r="M27" s="62">
        <f>'Secondary cum Calculation'!M27</f>
        <v>1.1963281225992883E-3</v>
      </c>
      <c r="N27" s="62">
        <f>'Secondary cum Calculation'!N27</f>
        <v>1.8649043838268042E-3</v>
      </c>
      <c r="O27" s="62">
        <f>'Secondary cum Calculation'!O27</f>
        <v>3.2142681941016438E-3</v>
      </c>
      <c r="P27" s="62">
        <f>'Secondary cum Calculation'!P27</f>
        <v>1.4627667285027623E-2</v>
      </c>
      <c r="Q27" s="62">
        <f>'Secondary cum Calculation'!Q27</f>
        <v>2.6144968660326118E-2</v>
      </c>
      <c r="R27" s="62">
        <f>'Secondary cum Calculation'!R27</f>
        <v>3.1293752573407607E-2</v>
      </c>
      <c r="S27" s="62">
        <f>'Secondary cum Calculation'!S27</f>
        <v>3.2852359866076375E-2</v>
      </c>
      <c r="T27" s="62">
        <f>'Secondary cum Calculation'!T27</f>
        <v>3.4622897404419817E-2</v>
      </c>
      <c r="U27" s="62">
        <f>'Secondary cum Calculation'!U27</f>
        <v>3.6051788145041952E-2</v>
      </c>
      <c r="V27" s="62">
        <f>'Secondary cum Calculation'!V27</f>
        <v>3.5891486921184157E-2</v>
      </c>
      <c r="W27" s="259"/>
      <c r="X27" s="259"/>
    </row>
    <row r="28" spans="1:24">
      <c r="A28" s="55" t="str">
        <f>'Secondary cum Calculation'!A41</f>
        <v>Poland</v>
      </c>
      <c r="B28" s="56" t="str">
        <f>'Secondary cum Calculation'!B41</f>
        <v>Tourism Demand Factors</v>
      </c>
      <c r="C28" s="56" t="str">
        <f>'Secondary cum Calculation'!C41</f>
        <v>Total Population by Age &amp; Sex</v>
      </c>
      <c r="D28" s="55" t="str">
        <f>'Secondary cum Calculation'!D41</f>
        <v>Males by Age</v>
      </c>
      <c r="E28" s="57"/>
      <c r="F28" s="57">
        <f>'Secondary cum Calculation'!F41</f>
        <v>0</v>
      </c>
      <c r="G28" s="57" t="str">
        <f>'Secondary cum Calculation'!G41</f>
        <v>Tourism Demand &amp; Flows Database</v>
      </c>
      <c r="H28" s="57" t="str">
        <f>'Secondary cum Calculation'!H41</f>
        <v>New</v>
      </c>
      <c r="I28" s="57">
        <f>'Secondary cum Calculation'!I41</f>
        <v>0</v>
      </c>
      <c r="J28" s="55" t="str">
        <f>'Secondary cum Calculation'!J41</f>
        <v>Millions</v>
      </c>
      <c r="K28" s="58">
        <f>'Secondary cum Calculation'!K41</f>
        <v>864.43194319999998</v>
      </c>
      <c r="L28" s="59">
        <f>'Secondary cum Calculation'!L41</f>
        <v>18.673828999999998</v>
      </c>
      <c r="M28" s="80">
        <f>'Secondary cum Calculation'!M41</f>
        <v>18.659066999999997</v>
      </c>
      <c r="N28" s="80">
        <f>'Secondary cum Calculation'!N41</f>
        <v>18.644478999999997</v>
      </c>
      <c r="O28" s="80">
        <f>'Secondary cum Calculation'!O41</f>
        <v>18.629434</v>
      </c>
      <c r="P28" s="80">
        <f>'Secondary cum Calculation'!P41</f>
        <v>18.613236999999998</v>
      </c>
      <c r="Q28" s="80">
        <f>'Secondary cum Calculation'!Q41</f>
        <v>18.595227999999999</v>
      </c>
      <c r="R28" s="80">
        <f>'Secondary cum Calculation'!R41</f>
        <v>18.574883999999997</v>
      </c>
      <c r="S28" s="80">
        <f>'Secondary cum Calculation'!S41</f>
        <v>18.551718999999999</v>
      </c>
      <c r="T28" s="80">
        <f>'Secondary cum Calculation'!T41</f>
        <v>18.525275999999998</v>
      </c>
      <c r="U28" s="80">
        <f>'Secondary cum Calculation'!U41</f>
        <v>18.495054</v>
      </c>
      <c r="V28" s="80">
        <f>'Secondary cum Calculation'!V41</f>
        <v>18.460598999999998</v>
      </c>
      <c r="W28" s="260">
        <f>'Secondary cum Calculation'!W41</f>
        <v>-8.5643442718685847E-4</v>
      </c>
      <c r="X28" s="260">
        <f>'Secondary cum Calculation'!X41</f>
        <v>-1.4522068410375288E-3</v>
      </c>
    </row>
    <row r="29" spans="1:24">
      <c r="A29" s="57"/>
      <c r="B29" s="57"/>
      <c r="C29" s="61" t="str">
        <f>'Secondary cum Calculation'!C42</f>
        <v>Growth Rate</v>
      </c>
      <c r="D29" s="61"/>
      <c r="E29" s="61"/>
      <c r="F29" s="61">
        <f>'Secondary cum Calculation'!F42</f>
        <v>0</v>
      </c>
      <c r="G29" s="61">
        <f>'Secondary cum Calculation'!G42</f>
        <v>0</v>
      </c>
      <c r="H29" s="61">
        <f>'Secondary cum Calculation'!H42</f>
        <v>0</v>
      </c>
      <c r="I29" s="61">
        <f>'Secondary cum Calculation'!I42</f>
        <v>0</v>
      </c>
      <c r="J29" s="61" t="str">
        <f>'Secondary cum Calculation'!J42</f>
        <v>%</v>
      </c>
      <c r="K29" s="58">
        <f>'Secondary cum Calculation'!K42</f>
        <v>0</v>
      </c>
      <c r="L29" s="59"/>
      <c r="M29" s="62">
        <f>'Secondary cum Calculation'!M42</f>
        <v>-7.9051810959607227E-4</v>
      </c>
      <c r="N29" s="62">
        <f>'Secondary cum Calculation'!N42</f>
        <v>-7.8181829777446143E-4</v>
      </c>
      <c r="O29" s="62">
        <f>'Secondary cum Calculation'!O42</f>
        <v>-8.0694129345193488E-4</v>
      </c>
      <c r="P29" s="62">
        <f>'Secondary cum Calculation'!P42</f>
        <v>-8.6943060105859615E-4</v>
      </c>
      <c r="Q29" s="62">
        <f>'Secondary cum Calculation'!Q42</f>
        <v>-9.6753724244735828E-4</v>
      </c>
      <c r="R29" s="62">
        <f>'Secondary cum Calculation'!R42</f>
        <v>-1.0940441278806112E-3</v>
      </c>
      <c r="S29" s="62">
        <f>'Secondary cum Calculation'!S42</f>
        <v>-1.2471141138754582E-3</v>
      </c>
      <c r="T29" s="62">
        <f>'Secondary cum Calculation'!T42</f>
        <v>-1.4253665657614212E-3</v>
      </c>
      <c r="U29" s="62">
        <f>'Secondary cum Calculation'!U42</f>
        <v>-1.6313926982787219E-3</v>
      </c>
      <c r="V29" s="62">
        <f>'Secondary cum Calculation'!V42</f>
        <v>-1.8629304894163257E-3</v>
      </c>
      <c r="W29" s="259"/>
      <c r="X29" s="259"/>
    </row>
    <row r="30" spans="1:24">
      <c r="A30" s="55" t="str">
        <f>'Secondary cum Calculation'!A43</f>
        <v>Poland</v>
      </c>
      <c r="B30" s="56" t="str">
        <f>'Secondary cum Calculation'!B43</f>
        <v>Tourism Demand Factors</v>
      </c>
      <c r="C30" s="56" t="str">
        <f>'Secondary cum Calculation'!C43</f>
        <v>Total Population by Age &amp; Sex</v>
      </c>
      <c r="D30" s="56" t="str">
        <f>'Secondary cum Calculation'!D43</f>
        <v>Males by Age</v>
      </c>
      <c r="E30" s="55" t="str">
        <f>'Secondary cum Calculation'!E43</f>
        <v>0-14</v>
      </c>
      <c r="F30" s="57">
        <f>'Secondary cum Calculation'!F43</f>
        <v>0</v>
      </c>
      <c r="G30" s="57" t="str">
        <f>'Secondary cum Calculation'!G43</f>
        <v>Tourism Demand &amp; Flows Database</v>
      </c>
      <c r="H30" s="57" t="str">
        <f>'Secondary cum Calculation'!H43</f>
        <v>New</v>
      </c>
      <c r="I30" s="57">
        <f>'Secondary cum Calculation'!I43</f>
        <v>0</v>
      </c>
      <c r="J30" s="57" t="str">
        <f>'Secondary cum Calculation'!J43</f>
        <v>Millions</v>
      </c>
      <c r="K30" s="58">
        <f>'Secondary cum Calculation'!K43</f>
        <v>0</v>
      </c>
      <c r="L30" s="59">
        <f>'Secondary cum Calculation'!L43</f>
        <v>3.0703879999999999</v>
      </c>
      <c r="M30" s="59">
        <f>'Secondary cum Calculation'!M43</f>
        <v>3.013109</v>
      </c>
      <c r="N30" s="59">
        <f>'Secondary cum Calculation'!N43</f>
        <v>2.964995</v>
      </c>
      <c r="O30" s="59">
        <f>'Secondary cum Calculation'!O43</f>
        <v>2.9317319999999998</v>
      </c>
      <c r="P30" s="59">
        <f>'Secondary cum Calculation'!P43</f>
        <v>2.9103240000000001</v>
      </c>
      <c r="Q30" s="59">
        <f>'Secondary cum Calculation'!Q43</f>
        <v>2.8927010000000002</v>
      </c>
      <c r="R30" s="59">
        <f>'Secondary cum Calculation'!R43</f>
        <v>2.881605</v>
      </c>
      <c r="S30" s="59">
        <f>'Secondary cum Calculation'!S43</f>
        <v>2.8762639999999999</v>
      </c>
      <c r="T30" s="59">
        <f>'Secondary cum Calculation'!T43</f>
        <v>2.8728419999999999</v>
      </c>
      <c r="U30" s="59">
        <f>'Secondary cum Calculation'!U43</f>
        <v>2.8698239999999999</v>
      </c>
      <c r="V30" s="59">
        <f>'Secondary cum Calculation'!V43</f>
        <v>2.8698220000000001</v>
      </c>
      <c r="W30" s="106">
        <f>'Secondary cum Calculation'!W43</f>
        <v>-1.0143644744617264E-2</v>
      </c>
      <c r="X30" s="106">
        <f>'Secondary cum Calculation'!X43</f>
        <v>-1.5868717433763502E-3</v>
      </c>
    </row>
    <row r="31" spans="1:24">
      <c r="A31" s="57"/>
      <c r="B31" s="57"/>
      <c r="C31" s="61" t="str">
        <f>'Secondary cum Calculation'!C44</f>
        <v>Growth Rate</v>
      </c>
      <c r="D31" s="61"/>
      <c r="E31" s="61"/>
      <c r="F31" s="61">
        <f>'Secondary cum Calculation'!F44</f>
        <v>0</v>
      </c>
      <c r="G31" s="61">
        <f>'Secondary cum Calculation'!G44</f>
        <v>0</v>
      </c>
      <c r="H31" s="61">
        <f>'Secondary cum Calculation'!H44</f>
        <v>0</v>
      </c>
      <c r="I31" s="61">
        <f>'Secondary cum Calculation'!I44</f>
        <v>0</v>
      </c>
      <c r="J31" s="61" t="str">
        <f>'Secondary cum Calculation'!J44</f>
        <v>%</v>
      </c>
      <c r="K31" s="58">
        <f>'Secondary cum Calculation'!K44</f>
        <v>0</v>
      </c>
      <c r="L31" s="59"/>
      <c r="M31" s="62">
        <f>'Secondary cum Calculation'!M44</f>
        <v>-1.8655296985266911E-2</v>
      </c>
      <c r="N31" s="62">
        <f>'Secondary cum Calculation'!N44</f>
        <v>-1.596822418306143E-2</v>
      </c>
      <c r="O31" s="62">
        <f>'Secondary cum Calculation'!O44</f>
        <v>-1.1218568665377293E-2</v>
      </c>
      <c r="P31" s="62">
        <f>'Secondary cum Calculation'!P44</f>
        <v>-7.3021681381516546E-3</v>
      </c>
      <c r="Q31" s="62">
        <f>'Secondary cum Calculation'!Q44</f>
        <v>-6.0553395429512324E-3</v>
      </c>
      <c r="R31" s="62">
        <f>'Secondary cum Calculation'!R44</f>
        <v>-3.8358613627886839E-3</v>
      </c>
      <c r="S31" s="62">
        <f>'Secondary cum Calculation'!S44</f>
        <v>-1.853480959395859E-3</v>
      </c>
      <c r="T31" s="62">
        <f>'Secondary cum Calculation'!T44</f>
        <v>-1.1897377987556412E-3</v>
      </c>
      <c r="U31" s="62">
        <f>'Secondary cum Calculation'!U44</f>
        <v>-1.0505276656356255E-3</v>
      </c>
      <c r="V31" s="62">
        <f>'Secondary cum Calculation'!V44</f>
        <v>-6.9690684856293927E-7</v>
      </c>
      <c r="W31" s="259"/>
      <c r="X31" s="259"/>
    </row>
    <row r="32" spans="1:24">
      <c r="A32" s="55" t="str">
        <f>'Secondary cum Calculation'!A45</f>
        <v>Poland</v>
      </c>
      <c r="B32" s="56" t="str">
        <f>'Secondary cum Calculation'!B45</f>
        <v>Tourism Demand Factors</v>
      </c>
      <c r="C32" s="56" t="str">
        <f>'Secondary cum Calculation'!C45</f>
        <v>Total Population by Age &amp; Sex</v>
      </c>
      <c r="D32" s="56" t="str">
        <f>'Secondary cum Calculation'!D45</f>
        <v>Males by Age</v>
      </c>
      <c r="E32" s="55" t="str">
        <f>'Secondary cum Calculation'!E45</f>
        <v>15-24</v>
      </c>
      <c r="F32" s="57">
        <f>'Secondary cum Calculation'!F45</f>
        <v>0</v>
      </c>
      <c r="G32" s="57" t="str">
        <f>'Secondary cum Calculation'!G45</f>
        <v>Tourism Demand &amp; Flows Database</v>
      </c>
      <c r="H32" s="57" t="str">
        <f>'Secondary cum Calculation'!H45</f>
        <v>New</v>
      </c>
      <c r="I32" s="57">
        <f>'Secondary cum Calculation'!I45</f>
        <v>0</v>
      </c>
      <c r="J32" s="57" t="str">
        <f>'Secondary cum Calculation'!J45</f>
        <v>Millions</v>
      </c>
      <c r="K32" s="58">
        <f>'Secondary cum Calculation'!K45</f>
        <v>0</v>
      </c>
      <c r="L32" s="59">
        <f>'Secondary cum Calculation'!L45</f>
        <v>3.004766</v>
      </c>
      <c r="M32" s="59">
        <f>'Secondary cum Calculation'!M45</f>
        <v>2.903759</v>
      </c>
      <c r="N32" s="59">
        <f>'Secondary cum Calculation'!N45</f>
        <v>2.7960440000000002</v>
      </c>
      <c r="O32" s="59">
        <f>'Secondary cum Calculation'!O45</f>
        <v>2.6844579999999998</v>
      </c>
      <c r="P32" s="59">
        <f>'Secondary cum Calculation'!P45</f>
        <v>2.5775839999999999</v>
      </c>
      <c r="Q32" s="59">
        <f>'Secondary cum Calculation'!Q45</f>
        <v>2.4865710000000001</v>
      </c>
      <c r="R32" s="59">
        <f>'Secondary cum Calculation'!R45</f>
        <v>2.4125459999999999</v>
      </c>
      <c r="S32" s="59">
        <f>'Secondary cum Calculation'!S45</f>
        <v>2.3336269999999999</v>
      </c>
      <c r="T32" s="59">
        <f>'Secondary cum Calculation'!T45</f>
        <v>2.2486489999999999</v>
      </c>
      <c r="U32" s="59">
        <f>'Secondary cum Calculation'!U45</f>
        <v>2.1645599999999998</v>
      </c>
      <c r="V32" s="59">
        <f>'Secondary cum Calculation'!V45</f>
        <v>2.0822970000000001</v>
      </c>
      <c r="W32" s="106">
        <f>'Secondary cum Calculation'!W45</f>
        <v>-3.8033221691033958E-2</v>
      </c>
      <c r="X32" s="106">
        <f>'Secondary cum Calculation'!X45</f>
        <v>-3.4864341076700334E-2</v>
      </c>
    </row>
    <row r="33" spans="1:24">
      <c r="A33" s="57"/>
      <c r="B33" s="57"/>
      <c r="C33" s="61" t="str">
        <f>'Secondary cum Calculation'!C46</f>
        <v>Growth Rate</v>
      </c>
      <c r="D33" s="61"/>
      <c r="E33" s="61"/>
      <c r="F33" s="61">
        <f>'Secondary cum Calculation'!F46</f>
        <v>0</v>
      </c>
      <c r="G33" s="61">
        <f>'Secondary cum Calculation'!G46</f>
        <v>0</v>
      </c>
      <c r="H33" s="61">
        <f>'Secondary cum Calculation'!H46</f>
        <v>0</v>
      </c>
      <c r="I33" s="61">
        <f>'Secondary cum Calculation'!I46</f>
        <v>0</v>
      </c>
      <c r="J33" s="61" t="str">
        <f>'Secondary cum Calculation'!J46</f>
        <v>%</v>
      </c>
      <c r="K33" s="58">
        <f>'Secondary cum Calculation'!K46</f>
        <v>0</v>
      </c>
      <c r="L33" s="59"/>
      <c r="M33" s="62">
        <f>'Secondary cum Calculation'!M46</f>
        <v>-3.3615596023117922E-2</v>
      </c>
      <c r="N33" s="62">
        <f>'Secondary cum Calculation'!N46</f>
        <v>-3.7095020626711661E-2</v>
      </c>
      <c r="O33" s="62">
        <f>'Secondary cum Calculation'!O46</f>
        <v>-3.9908527905855751E-2</v>
      </c>
      <c r="P33" s="62">
        <f>'Secondary cum Calculation'!P46</f>
        <v>-3.9812133398995253E-2</v>
      </c>
      <c r="Q33" s="62">
        <f>'Secondary cum Calculation'!Q46</f>
        <v>-3.5309421535825725E-2</v>
      </c>
      <c r="R33" s="62">
        <f>'Secondary cum Calculation'!R46</f>
        <v>-2.9769912059619541E-2</v>
      </c>
      <c r="S33" s="62">
        <f>'Secondary cum Calculation'!S46</f>
        <v>-3.2711915130322899E-2</v>
      </c>
      <c r="T33" s="62">
        <f>'Secondary cum Calculation'!T46</f>
        <v>-3.6414559824684889E-2</v>
      </c>
      <c r="U33" s="62">
        <f>'Secondary cum Calculation'!U46</f>
        <v>-3.7395342714670043E-2</v>
      </c>
      <c r="V33" s="62">
        <f>'Secondary cum Calculation'!V46</f>
        <v>-3.8004490520013201E-2</v>
      </c>
      <c r="W33" s="259"/>
      <c r="X33" s="259"/>
    </row>
    <row r="34" spans="1:24">
      <c r="A34" s="55" t="str">
        <f>'Secondary cum Calculation'!A47</f>
        <v>Poland</v>
      </c>
      <c r="B34" s="56" t="str">
        <f>'Secondary cum Calculation'!B47</f>
        <v>Tourism Demand Factors</v>
      </c>
      <c r="C34" s="56" t="str">
        <f>'Secondary cum Calculation'!C47</f>
        <v>Total Population by Age &amp; Sex</v>
      </c>
      <c r="D34" s="56" t="str">
        <f>'Secondary cum Calculation'!D47</f>
        <v>Males by Age</v>
      </c>
      <c r="E34" s="55" t="str">
        <f>'Secondary cum Calculation'!E47</f>
        <v>25-34</v>
      </c>
      <c r="F34" s="57">
        <f>'Secondary cum Calculation'!F47</f>
        <v>0</v>
      </c>
      <c r="G34" s="57" t="str">
        <f>'Secondary cum Calculation'!G47</f>
        <v>Tourism Demand &amp; Flows Database</v>
      </c>
      <c r="H34" s="57" t="str">
        <f>'Secondary cum Calculation'!H47</f>
        <v>New</v>
      </c>
      <c r="I34" s="57">
        <f>'Secondary cum Calculation'!I47</f>
        <v>0</v>
      </c>
      <c r="J34" s="57" t="str">
        <f>'Secondary cum Calculation'!J47</f>
        <v>Millions</v>
      </c>
      <c r="K34" s="58">
        <f>'Secondary cum Calculation'!K47</f>
        <v>0</v>
      </c>
      <c r="L34" s="59">
        <f>'Secondary cum Calculation'!L47</f>
        <v>3.157117</v>
      </c>
      <c r="M34" s="59">
        <f>'Secondary cum Calculation'!M47</f>
        <v>3.2103389999999998</v>
      </c>
      <c r="N34" s="59">
        <f>'Secondary cum Calculation'!N47</f>
        <v>3.2549969999999999</v>
      </c>
      <c r="O34" s="59">
        <f>'Secondary cum Calculation'!O47</f>
        <v>3.28051</v>
      </c>
      <c r="P34" s="59">
        <f>'Secondary cum Calculation'!P47</f>
        <v>3.2792669999999999</v>
      </c>
      <c r="Q34" s="59">
        <f>'Secondary cum Calculation'!Q47</f>
        <v>3.255671</v>
      </c>
      <c r="R34" s="59">
        <f>'Secondary cum Calculation'!R47</f>
        <v>3.206137</v>
      </c>
      <c r="S34" s="59">
        <f>'Secondary cum Calculation'!S47</f>
        <v>3.1482510000000001</v>
      </c>
      <c r="T34" s="59">
        <f>'Secondary cum Calculation'!T47</f>
        <v>3.0879780000000001</v>
      </c>
      <c r="U34" s="59">
        <f>'Secondary cum Calculation'!U47</f>
        <v>3.026351</v>
      </c>
      <c r="V34" s="59">
        <f>'Secondary cum Calculation'!V47</f>
        <v>2.950882</v>
      </c>
      <c r="W34" s="106">
        <f>'Secondary cum Calculation'!W47</f>
        <v>3.5116162694968089E-3</v>
      </c>
      <c r="X34" s="106">
        <f>'Secondary cum Calculation'!X47</f>
        <v>-1.9466882732450896E-2</v>
      </c>
    </row>
    <row r="35" spans="1:24">
      <c r="A35" s="57"/>
      <c r="B35" s="57"/>
      <c r="C35" s="61" t="str">
        <f>'Secondary cum Calculation'!C48</f>
        <v>Growth Rate</v>
      </c>
      <c r="D35" s="61"/>
      <c r="E35" s="61"/>
      <c r="F35" s="61">
        <f>'Secondary cum Calculation'!F48</f>
        <v>0</v>
      </c>
      <c r="G35" s="61">
        <f>'Secondary cum Calculation'!G48</f>
        <v>0</v>
      </c>
      <c r="H35" s="61">
        <f>'Secondary cum Calculation'!H48</f>
        <v>0</v>
      </c>
      <c r="I35" s="61">
        <f>'Secondary cum Calculation'!I48</f>
        <v>0</v>
      </c>
      <c r="J35" s="61" t="str">
        <f>'Secondary cum Calculation'!J48</f>
        <v>%</v>
      </c>
      <c r="K35" s="58">
        <f>'Secondary cum Calculation'!K48</f>
        <v>0</v>
      </c>
      <c r="L35" s="59"/>
      <c r="M35" s="62">
        <f>'Secondary cum Calculation'!M48</f>
        <v>1.6857785124846369E-2</v>
      </c>
      <c r="N35" s="62">
        <f>'Secondary cum Calculation'!N48</f>
        <v>1.3910680460848646E-2</v>
      </c>
      <c r="O35" s="62">
        <f>'Secondary cum Calculation'!O48</f>
        <v>7.838102462152774E-3</v>
      </c>
      <c r="P35" s="62">
        <f>'Secondary cum Calculation'!P48</f>
        <v>-3.789044996053148E-4</v>
      </c>
      <c r="Q35" s="62">
        <f>'Secondary cum Calculation'!Q48</f>
        <v>-7.1955104601119091E-3</v>
      </c>
      <c r="R35" s="62">
        <f>'Secondary cum Calculation'!R48</f>
        <v>-1.5214682318944406E-2</v>
      </c>
      <c r="S35" s="62">
        <f>'Secondary cum Calculation'!S48</f>
        <v>-1.8054749375962409E-2</v>
      </c>
      <c r="T35" s="62">
        <f>'Secondary cum Calculation'!T48</f>
        <v>-1.9144915700812892E-2</v>
      </c>
      <c r="U35" s="62">
        <f>'Secondary cum Calculation'!U48</f>
        <v>-1.9957072233027562E-2</v>
      </c>
      <c r="V35" s="62">
        <f>'Secondary cum Calculation'!V48</f>
        <v>-2.4937292468718897E-2</v>
      </c>
      <c r="W35" s="259"/>
      <c r="X35" s="259"/>
    </row>
    <row r="36" spans="1:24">
      <c r="A36" s="55" t="str">
        <f>'Secondary cum Calculation'!A49</f>
        <v>Poland</v>
      </c>
      <c r="B36" s="56" t="str">
        <f>'Secondary cum Calculation'!B49</f>
        <v>Tourism Demand Factors</v>
      </c>
      <c r="C36" s="56" t="str">
        <f>'Secondary cum Calculation'!C49</f>
        <v>Total Population by Age &amp; Sex</v>
      </c>
      <c r="D36" s="56" t="str">
        <f>'Secondary cum Calculation'!D49</f>
        <v>Males by Age</v>
      </c>
      <c r="E36" s="55" t="str">
        <f>'Secondary cum Calculation'!E49</f>
        <v>35-44</v>
      </c>
      <c r="F36" s="57">
        <f>'Secondary cum Calculation'!F49</f>
        <v>0</v>
      </c>
      <c r="G36" s="57" t="str">
        <f>'Secondary cum Calculation'!G49</f>
        <v>Tourism Demand &amp; Flows Database</v>
      </c>
      <c r="H36" s="57" t="str">
        <f>'Secondary cum Calculation'!H49</f>
        <v>New</v>
      </c>
      <c r="I36" s="57">
        <f>'Secondary cum Calculation'!I49</f>
        <v>0</v>
      </c>
      <c r="J36" s="57" t="str">
        <f>'Secondary cum Calculation'!J49</f>
        <v>Millions</v>
      </c>
      <c r="K36" s="58">
        <f>'Secondary cum Calculation'!K49</f>
        <v>0</v>
      </c>
      <c r="L36" s="59">
        <f>'Secondary cum Calculation'!L49</f>
        <v>2.4932409999999998</v>
      </c>
      <c r="M36" s="59">
        <f>'Secondary cum Calculation'!M49</f>
        <v>2.5170400000000002</v>
      </c>
      <c r="N36" s="59">
        <f>'Secondary cum Calculation'!N49</f>
        <v>2.5533839999999999</v>
      </c>
      <c r="O36" s="59">
        <f>'Secondary cum Calculation'!O49</f>
        <v>2.6056300000000001</v>
      </c>
      <c r="P36" s="59">
        <f>'Secondary cum Calculation'!P49</f>
        <v>2.674515</v>
      </c>
      <c r="Q36" s="59">
        <f>'Secondary cum Calculation'!Q49</f>
        <v>2.748354</v>
      </c>
      <c r="R36" s="59">
        <f>'Secondary cum Calculation'!R49</f>
        <v>2.8211930000000001</v>
      </c>
      <c r="S36" s="59">
        <f>'Secondary cum Calculation'!S49</f>
        <v>2.8977010000000001</v>
      </c>
      <c r="T36" s="59">
        <f>'Secondary cum Calculation'!T49</f>
        <v>2.9706519999999998</v>
      </c>
      <c r="U36" s="59">
        <f>'Secondary cum Calculation'!U49</f>
        <v>3.0302479999999998</v>
      </c>
      <c r="V36" s="59">
        <f>'Secondary cum Calculation'!V49</f>
        <v>3.0841229999999999</v>
      </c>
      <c r="W36" s="106">
        <f>'Secondary cum Calculation'!W49</f>
        <v>2.2222976670352557E-2</v>
      </c>
      <c r="X36" s="106">
        <f>'Secondary cum Calculation'!X49</f>
        <v>2.3320805046035842E-2</v>
      </c>
    </row>
    <row r="37" spans="1:24">
      <c r="A37" s="57"/>
      <c r="B37" s="57"/>
      <c r="C37" s="61" t="str">
        <f>'Secondary cum Calculation'!C50</f>
        <v>Growth Rate</v>
      </c>
      <c r="D37" s="61"/>
      <c r="E37" s="61"/>
      <c r="F37" s="61">
        <f>'Secondary cum Calculation'!F50</f>
        <v>0</v>
      </c>
      <c r="G37" s="61">
        <f>'Secondary cum Calculation'!G50</f>
        <v>0</v>
      </c>
      <c r="H37" s="61">
        <f>'Secondary cum Calculation'!H50</f>
        <v>0</v>
      </c>
      <c r="I37" s="61">
        <f>'Secondary cum Calculation'!I50</f>
        <v>0</v>
      </c>
      <c r="J37" s="61" t="str">
        <f>'Secondary cum Calculation'!J50</f>
        <v>%</v>
      </c>
      <c r="K37" s="58">
        <f>'Secondary cum Calculation'!K50</f>
        <v>0</v>
      </c>
      <c r="L37" s="59"/>
      <c r="M37" s="62">
        <f>'Secondary cum Calculation'!M50</f>
        <v>9.5454069622633586E-3</v>
      </c>
      <c r="N37" s="62">
        <f>'Secondary cum Calculation'!N50</f>
        <v>1.4439182531862604E-2</v>
      </c>
      <c r="O37" s="62">
        <f>'Secondary cum Calculation'!O50</f>
        <v>2.0461473871536739E-2</v>
      </c>
      <c r="P37" s="62">
        <f>'Secondary cum Calculation'!P50</f>
        <v>2.643698452965304E-2</v>
      </c>
      <c r="Q37" s="62">
        <f>'Secondary cum Calculation'!Q50</f>
        <v>2.7608370115703273E-2</v>
      </c>
      <c r="R37" s="62">
        <f>'Secondary cum Calculation'!R50</f>
        <v>2.6502772204745062E-2</v>
      </c>
      <c r="S37" s="62">
        <f>'Secondary cum Calculation'!S50</f>
        <v>2.7119023760515448E-2</v>
      </c>
      <c r="T37" s="62">
        <f>'Secondary cum Calculation'!T50</f>
        <v>2.5175475316466356E-2</v>
      </c>
      <c r="U37" s="62">
        <f>'Secondary cum Calculation'!U50</f>
        <v>2.0061589173016481E-2</v>
      </c>
      <c r="V37" s="62">
        <f>'Secondary cum Calculation'!V50</f>
        <v>1.777907286796343E-2</v>
      </c>
      <c r="W37" s="259"/>
      <c r="X37" s="259"/>
    </row>
    <row r="38" spans="1:24">
      <c r="A38" s="55" t="str">
        <f>'Secondary cum Calculation'!A51</f>
        <v>Poland</v>
      </c>
      <c r="B38" s="56" t="str">
        <f>'Secondary cum Calculation'!B51</f>
        <v>Tourism Demand Factors</v>
      </c>
      <c r="C38" s="56" t="str">
        <f>'Secondary cum Calculation'!C51</f>
        <v>Total Population by Age &amp; Sex</v>
      </c>
      <c r="D38" s="56" t="str">
        <f>'Secondary cum Calculation'!D51</f>
        <v>Males by Age</v>
      </c>
      <c r="E38" s="55" t="str">
        <f>'Secondary cum Calculation'!E51</f>
        <v>45-54</v>
      </c>
      <c r="F38" s="57">
        <f>'Secondary cum Calculation'!F51</f>
        <v>0</v>
      </c>
      <c r="G38" s="57" t="str">
        <f>'Secondary cum Calculation'!G51</f>
        <v>Tourism Demand &amp; Flows Database</v>
      </c>
      <c r="H38" s="57" t="str">
        <f>'Secondary cum Calculation'!H51</f>
        <v>New</v>
      </c>
      <c r="I38" s="57">
        <f>'Secondary cum Calculation'!I51</f>
        <v>0</v>
      </c>
      <c r="J38" s="57" t="str">
        <f>'Secondary cum Calculation'!J51</f>
        <v>Millions</v>
      </c>
      <c r="K38" s="58">
        <f>'Secondary cum Calculation'!K51</f>
        <v>0</v>
      </c>
      <c r="L38" s="59">
        <f>'Secondary cum Calculation'!L51</f>
        <v>2.9280300000000001</v>
      </c>
      <c r="M38" s="59">
        <f>'Secondary cum Calculation'!M51</f>
        <v>2.869532</v>
      </c>
      <c r="N38" s="59">
        <f>'Secondary cum Calculation'!N51</f>
        <v>2.8053979999999998</v>
      </c>
      <c r="O38" s="59">
        <f>'Secondary cum Calculation'!O51</f>
        <v>2.7289840000000001</v>
      </c>
      <c r="P38" s="59">
        <f>'Secondary cum Calculation'!P51</f>
        <v>2.6448290000000001</v>
      </c>
      <c r="Q38" s="59">
        <f>'Secondary cum Calculation'!Q51</f>
        <v>2.559399</v>
      </c>
      <c r="R38" s="59">
        <f>'Secondary cum Calculation'!R51</f>
        <v>2.4790990000000002</v>
      </c>
      <c r="S38" s="59">
        <f>'Secondary cum Calculation'!S51</f>
        <v>2.4132009999999999</v>
      </c>
      <c r="T38" s="59">
        <f>'Secondary cum Calculation'!T51</f>
        <v>2.3700350000000001</v>
      </c>
      <c r="U38" s="59">
        <f>'Secondary cum Calculation'!U51</f>
        <v>2.3544830000000001</v>
      </c>
      <c r="V38" s="59">
        <f>'Secondary cum Calculation'!V51</f>
        <v>2.3635259999999998</v>
      </c>
      <c r="W38" s="106">
        <f>'Secondary cum Calculation'!W51</f>
        <v>-2.8189178200076381E-2</v>
      </c>
      <c r="X38" s="106">
        <f>'Secondary cum Calculation'!X51</f>
        <v>-1.5797468777666746E-2</v>
      </c>
    </row>
    <row r="39" spans="1:24">
      <c r="A39" s="57"/>
      <c r="B39" s="57"/>
      <c r="C39" s="61" t="str">
        <f>'Secondary cum Calculation'!C52</f>
        <v>Growth Rate</v>
      </c>
      <c r="D39" s="61"/>
      <c r="E39" s="61"/>
      <c r="F39" s="61">
        <f>'Secondary cum Calculation'!F52</f>
        <v>0</v>
      </c>
      <c r="G39" s="61">
        <f>'Secondary cum Calculation'!G52</f>
        <v>0</v>
      </c>
      <c r="H39" s="61">
        <f>'Secondary cum Calculation'!H52</f>
        <v>0</v>
      </c>
      <c r="I39" s="61">
        <f>'Secondary cum Calculation'!I52</f>
        <v>0</v>
      </c>
      <c r="J39" s="61" t="str">
        <f>'Secondary cum Calculation'!J52</f>
        <v>%</v>
      </c>
      <c r="K39" s="58">
        <f>'Secondary cum Calculation'!K52</f>
        <v>0</v>
      </c>
      <c r="L39" s="59"/>
      <c r="M39" s="62">
        <f>'Secondary cum Calculation'!M52</f>
        <v>-1.9978620437632211E-2</v>
      </c>
      <c r="N39" s="62">
        <f>'Secondary cum Calculation'!N52</f>
        <v>-2.2349985990747001E-2</v>
      </c>
      <c r="O39" s="62">
        <f>'Secondary cum Calculation'!O52</f>
        <v>-2.7238202921653132E-2</v>
      </c>
      <c r="P39" s="62">
        <f>'Secondary cum Calculation'!P52</f>
        <v>-3.0837483840139734E-2</v>
      </c>
      <c r="Q39" s="62">
        <f>'Secondary cum Calculation'!Q52</f>
        <v>-3.2300765002198695E-2</v>
      </c>
      <c r="R39" s="62">
        <f>'Secondary cum Calculation'!R52</f>
        <v>-3.1374553166583219E-2</v>
      </c>
      <c r="S39" s="62">
        <f>'Secondary cum Calculation'!S52</f>
        <v>-2.6581431399068878E-2</v>
      </c>
      <c r="T39" s="62">
        <f>'Secondary cum Calculation'!T52</f>
        <v>-1.7887444933099128E-2</v>
      </c>
      <c r="U39" s="62">
        <f>'Secondary cum Calculation'!U52</f>
        <v>-6.5619284103399789E-3</v>
      </c>
      <c r="V39" s="62">
        <f>'Secondary cum Calculation'!V52</f>
        <v>3.8407582471393642E-3</v>
      </c>
      <c r="W39" s="259"/>
      <c r="X39" s="259"/>
    </row>
    <row r="40" spans="1:24">
      <c r="A40" s="55" t="str">
        <f>'Secondary cum Calculation'!A53</f>
        <v>Poland</v>
      </c>
      <c r="B40" s="56" t="str">
        <f>'Secondary cum Calculation'!B53</f>
        <v>Tourism Demand Factors</v>
      </c>
      <c r="C40" s="56" t="str">
        <f>'Secondary cum Calculation'!C53</f>
        <v>Total Population by Age &amp; Sex</v>
      </c>
      <c r="D40" s="56" t="str">
        <f>'Secondary cum Calculation'!D53</f>
        <v>Males by Age</v>
      </c>
      <c r="E40" s="55" t="str">
        <f>'Secondary cum Calculation'!E53</f>
        <v>55-64</v>
      </c>
      <c r="F40" s="57">
        <f>'Secondary cum Calculation'!F53</f>
        <v>0</v>
      </c>
      <c r="G40" s="57" t="str">
        <f>'Secondary cum Calculation'!G53</f>
        <v>Tourism Demand &amp; Flows Database</v>
      </c>
      <c r="H40" s="57" t="str">
        <f>'Secondary cum Calculation'!H53</f>
        <v>New</v>
      </c>
      <c r="I40" s="57">
        <f>'Secondary cum Calculation'!I53</f>
        <v>0</v>
      </c>
      <c r="J40" s="57" t="str">
        <f>'Secondary cum Calculation'!J53</f>
        <v>Millions</v>
      </c>
      <c r="K40" s="58">
        <f>'Secondary cum Calculation'!K53</f>
        <v>0</v>
      </c>
      <c r="L40" s="59">
        <f>'Secondary cum Calculation'!L53</f>
        <v>2.0558580000000002</v>
      </c>
      <c r="M40" s="59">
        <f>'Secondary cum Calculation'!M53</f>
        <v>2.1808109999999998</v>
      </c>
      <c r="N40" s="59">
        <f>'Secondary cum Calculation'!N53</f>
        <v>2.3032550000000001</v>
      </c>
      <c r="O40" s="59">
        <f>'Secondary cum Calculation'!O53</f>
        <v>2.4263569999999999</v>
      </c>
      <c r="P40" s="59">
        <f>'Secondary cum Calculation'!P53</f>
        <v>2.5221680000000002</v>
      </c>
      <c r="Q40" s="59">
        <f>'Secondary cum Calculation'!Q53</f>
        <v>2.5864660000000002</v>
      </c>
      <c r="R40" s="59">
        <f>'Secondary cum Calculation'!R53</f>
        <v>2.6320579999999998</v>
      </c>
      <c r="S40" s="59">
        <f>'Secondary cum Calculation'!S53</f>
        <v>2.6581060000000001</v>
      </c>
      <c r="T40" s="59">
        <f>'Secondary cum Calculation'!T53</f>
        <v>2.6606369999999999</v>
      </c>
      <c r="U40" s="59">
        <f>'Secondary cum Calculation'!U53</f>
        <v>2.638693</v>
      </c>
      <c r="V40" s="59">
        <f>'Secondary cum Calculation'!V53</f>
        <v>2.5998199999999998</v>
      </c>
      <c r="W40" s="106">
        <f>'Secondary cum Calculation'!W53</f>
        <v>4.3571442826823903E-2</v>
      </c>
      <c r="X40" s="106">
        <f>'Secondary cum Calculation'!X53</f>
        <v>1.0304799126532593E-3</v>
      </c>
    </row>
    <row r="41" spans="1:24">
      <c r="A41" s="57"/>
      <c r="B41" s="57"/>
      <c r="C41" s="61" t="str">
        <f>'Secondary cum Calculation'!C54</f>
        <v>Growth Rate</v>
      </c>
      <c r="D41" s="61"/>
      <c r="E41" s="61"/>
      <c r="F41" s="61">
        <f>'Secondary cum Calculation'!F54</f>
        <v>0</v>
      </c>
      <c r="G41" s="61">
        <f>'Secondary cum Calculation'!G54</f>
        <v>0</v>
      </c>
      <c r="H41" s="61">
        <f>'Secondary cum Calculation'!H54</f>
        <v>0</v>
      </c>
      <c r="I41" s="61">
        <f>'Secondary cum Calculation'!I54</f>
        <v>0</v>
      </c>
      <c r="J41" s="61" t="str">
        <f>'Secondary cum Calculation'!J54</f>
        <v>%</v>
      </c>
      <c r="K41" s="58">
        <f>'Secondary cum Calculation'!K54</f>
        <v>0</v>
      </c>
      <c r="L41" s="59"/>
      <c r="M41" s="62">
        <f>'Secondary cum Calculation'!M54</f>
        <v>6.0779003219093797E-2</v>
      </c>
      <c r="N41" s="62">
        <f>'Secondary cum Calculation'!N54</f>
        <v>5.6146085103202514E-2</v>
      </c>
      <c r="O41" s="62">
        <f>'Secondary cum Calculation'!O54</f>
        <v>5.3446969614740825E-2</v>
      </c>
      <c r="P41" s="62">
        <f>'Secondary cum Calculation'!P54</f>
        <v>3.9487593952580058E-2</v>
      </c>
      <c r="Q41" s="62">
        <f>'Secondary cum Calculation'!Q54</f>
        <v>2.5493147165454477E-2</v>
      </c>
      <c r="R41" s="62">
        <f>'Secondary cum Calculation'!R54</f>
        <v>1.7627140662200613E-2</v>
      </c>
      <c r="S41" s="62">
        <f>'Secondary cum Calculation'!S54</f>
        <v>9.8964384523443361E-3</v>
      </c>
      <c r="T41" s="62">
        <f>'Secondary cum Calculation'!T54</f>
        <v>9.5218174143529843E-4</v>
      </c>
      <c r="U41" s="62">
        <f>'Secondary cum Calculation'!U54</f>
        <v>-8.2476489652665297E-3</v>
      </c>
      <c r="V41" s="62">
        <f>'Secondary cum Calculation'!V54</f>
        <v>-1.4731914625915277E-2</v>
      </c>
      <c r="W41" s="259"/>
      <c r="X41" s="259"/>
    </row>
    <row r="42" spans="1:24">
      <c r="A42" s="55" t="str">
        <f>'Secondary cum Calculation'!A55</f>
        <v>Poland</v>
      </c>
      <c r="B42" s="56" t="str">
        <f>'Secondary cum Calculation'!B55</f>
        <v>Tourism Demand Factors</v>
      </c>
      <c r="C42" s="56" t="str">
        <f>'Secondary cum Calculation'!C55</f>
        <v>Total Population by Age &amp; Sex</v>
      </c>
      <c r="D42" s="56" t="str">
        <f>'Secondary cum Calculation'!D55</f>
        <v>Males by Age</v>
      </c>
      <c r="E42" s="55" t="str">
        <f>'Secondary cum Calculation'!E55</f>
        <v>65+</v>
      </c>
      <c r="F42" s="57">
        <f>'Secondary cum Calculation'!F55</f>
        <v>0</v>
      </c>
      <c r="G42" s="57" t="str">
        <f>'Secondary cum Calculation'!G55</f>
        <v>Tourism Demand &amp; Flows Database</v>
      </c>
      <c r="H42" s="57" t="str">
        <f>'Secondary cum Calculation'!H55</f>
        <v>New</v>
      </c>
      <c r="I42" s="57">
        <f>'Secondary cum Calculation'!I55</f>
        <v>0</v>
      </c>
      <c r="J42" s="57" t="str">
        <f>'Secondary cum Calculation'!J55</f>
        <v>Millions</v>
      </c>
      <c r="K42" s="58">
        <f>'Secondary cum Calculation'!K55</f>
        <v>0</v>
      </c>
      <c r="L42" s="59">
        <f>'Secondary cum Calculation'!L55</f>
        <v>1.964429</v>
      </c>
      <c r="M42" s="59">
        <f>'Secondary cum Calculation'!M55</f>
        <v>1.964477</v>
      </c>
      <c r="N42" s="59">
        <f>'Secondary cum Calculation'!N55</f>
        <v>1.9664060000000001</v>
      </c>
      <c r="O42" s="59">
        <f>'Secondary cum Calculation'!O55</f>
        <v>1.9717629999999999</v>
      </c>
      <c r="P42" s="59">
        <f>'Secondary cum Calculation'!P55</f>
        <v>2.0045500000000001</v>
      </c>
      <c r="Q42" s="59">
        <f>'Secondary cum Calculation'!Q55</f>
        <v>2.0660660000000002</v>
      </c>
      <c r="R42" s="59">
        <f>'Secondary cum Calculation'!R55</f>
        <v>2.1422460000000001</v>
      </c>
      <c r="S42" s="59">
        <f>'Secondary cum Calculation'!S55</f>
        <v>2.2245689999999998</v>
      </c>
      <c r="T42" s="59">
        <f>'Secondary cum Calculation'!T55</f>
        <v>2.3144830000000001</v>
      </c>
      <c r="U42" s="59">
        <f>'Secondary cum Calculation'!U55</f>
        <v>2.410895</v>
      </c>
      <c r="V42" s="59">
        <f>'Secondary cum Calculation'!V55</f>
        <v>2.5101290000000001</v>
      </c>
      <c r="W42" s="106">
        <f>'Secondary cum Calculation'!W55</f>
        <v>1.2684844657278704E-2</v>
      </c>
      <c r="X42" s="106">
        <f>'Secondary cum Calculation'!X55</f>
        <v>3.9705568702232075E-2</v>
      </c>
    </row>
    <row r="43" spans="1:24">
      <c r="A43" s="57"/>
      <c r="B43" s="57"/>
      <c r="C43" s="61" t="str">
        <f>'Secondary cum Calculation'!C56</f>
        <v>Growth Rate</v>
      </c>
      <c r="D43" s="61"/>
      <c r="E43" s="61"/>
      <c r="F43" s="61">
        <f>'Secondary cum Calculation'!F56</f>
        <v>0</v>
      </c>
      <c r="G43" s="61">
        <f>'Secondary cum Calculation'!G56</f>
        <v>0</v>
      </c>
      <c r="H43" s="61">
        <f>'Secondary cum Calculation'!H56</f>
        <v>0</v>
      </c>
      <c r="I43" s="61">
        <f>'Secondary cum Calculation'!I56</f>
        <v>0</v>
      </c>
      <c r="J43" s="61" t="str">
        <f>'Secondary cum Calculation'!J56</f>
        <v>%</v>
      </c>
      <c r="K43" s="58">
        <f>'Secondary cum Calculation'!K56</f>
        <v>0</v>
      </c>
      <c r="L43" s="59"/>
      <c r="M43" s="62">
        <f>'Secondary cum Calculation'!M56</f>
        <v>2.4434581244792142E-5</v>
      </c>
      <c r="N43" s="62">
        <f>'Secondary cum Calculation'!N56</f>
        <v>9.8194074046165092E-4</v>
      </c>
      <c r="O43" s="62">
        <f>'Secondary cum Calculation'!O56</f>
        <v>2.7242593848879615E-3</v>
      </c>
      <c r="P43" s="62">
        <f>'Secondary cum Calculation'!P56</f>
        <v>1.662826617600599E-2</v>
      </c>
      <c r="Q43" s="62">
        <f>'Secondary cum Calculation'!Q56</f>
        <v>3.0688184380534445E-2</v>
      </c>
      <c r="R43" s="62">
        <f>'Secondary cum Calculation'!R56</f>
        <v>3.6872006993000195E-2</v>
      </c>
      <c r="S43" s="62">
        <f>'Secondary cum Calculation'!S56</f>
        <v>3.84283597682058E-2</v>
      </c>
      <c r="T43" s="62">
        <f>'Secondary cum Calculation'!T56</f>
        <v>4.0418615920657208E-2</v>
      </c>
      <c r="U43" s="62">
        <f>'Secondary cum Calculation'!U56</f>
        <v>4.1655955131232325E-2</v>
      </c>
      <c r="V43" s="62">
        <f>'Secondary cum Calculation'!V56</f>
        <v>4.1160647809216133E-2</v>
      </c>
      <c r="W43" s="259"/>
      <c r="X43" s="259"/>
    </row>
    <row r="44" spans="1:24" ht="15" customHeight="1">
      <c r="A44" s="55" t="str">
        <f>'Secondary cum Calculation'!A70</f>
        <v>Poland</v>
      </c>
      <c r="B44" s="56" t="str">
        <f>'Secondary cum Calculation'!B70</f>
        <v>Tourism Demand Factors</v>
      </c>
      <c r="C44" s="56" t="str">
        <f>'Secondary cum Calculation'!C70</f>
        <v>Total Population by Age &amp; Sex</v>
      </c>
      <c r="D44" s="55" t="str">
        <f>'Secondary cum Calculation'!D70</f>
        <v>Females by Age</v>
      </c>
      <c r="E44" s="57"/>
      <c r="F44" s="57">
        <f>'Secondary cum Calculation'!F70</f>
        <v>0</v>
      </c>
      <c r="G44" s="57" t="str">
        <f>'Secondary cum Calculation'!G70</f>
        <v>Tourism Demand &amp; Flows Database</v>
      </c>
      <c r="H44" s="57" t="str">
        <f>'Secondary cum Calculation'!H70</f>
        <v>New</v>
      </c>
      <c r="I44" s="57">
        <f>'Secondary cum Calculation'!I70</f>
        <v>0</v>
      </c>
      <c r="J44" s="55" t="str">
        <f>'Secondary cum Calculation'!J70</f>
        <v>Millions</v>
      </c>
      <c r="K44" s="58">
        <f>'Secondary cum Calculation'!K70</f>
        <v>692.84047680000003</v>
      </c>
      <c r="L44" s="80">
        <f>'Secondary cum Calculation'!L70</f>
        <v>19.844411999999998</v>
      </c>
      <c r="M44" s="80">
        <f>'Secondary cum Calculation'!M70</f>
        <v>19.841629000000001</v>
      </c>
      <c r="N44" s="80">
        <f>'Secondary cum Calculation'!N70</f>
        <v>19.838439999999999</v>
      </c>
      <c r="O44" s="80">
        <f>'Secondary cum Calculation'!O70</f>
        <v>19.834254999999999</v>
      </c>
      <c r="P44" s="80">
        <f>'Secondary cum Calculation'!P70</f>
        <v>19.828350999999998</v>
      </c>
      <c r="Q44" s="80">
        <f>'Secondary cum Calculation'!Q70</f>
        <v>19.820056000000001</v>
      </c>
      <c r="R44" s="80">
        <f>'Secondary cum Calculation'!R70</f>
        <v>19.808924999999999</v>
      </c>
      <c r="S44" s="80">
        <f>'Secondary cum Calculation'!S70</f>
        <v>19.794560000000004</v>
      </c>
      <c r="T44" s="80">
        <f>'Secondary cum Calculation'!T70</f>
        <v>19.776609000000001</v>
      </c>
      <c r="U44" s="80">
        <f>'Secondary cum Calculation'!U70</f>
        <v>19.754598999999999</v>
      </c>
      <c r="V44" s="80">
        <f>'Secondary cum Calculation'!V70</f>
        <v>19.728109</v>
      </c>
      <c r="W44" s="260">
        <f>'Secondary cum Calculation'!W70</f>
        <v>-2.7192577505064097E-4</v>
      </c>
      <c r="X44" s="260">
        <f>'Secondary cum Calculation'!X70</f>
        <v>-9.2954426143221358E-4</v>
      </c>
    </row>
    <row r="45" spans="1:24">
      <c r="A45" s="57"/>
      <c r="B45" s="57"/>
      <c r="C45" s="61" t="str">
        <f>'Secondary cum Calculation'!C71</f>
        <v>Growth Rate</v>
      </c>
      <c r="D45" s="61"/>
      <c r="E45" s="61"/>
      <c r="F45" s="61">
        <f>'Secondary cum Calculation'!F71</f>
        <v>0</v>
      </c>
      <c r="G45" s="61">
        <f>'Secondary cum Calculation'!G71</f>
        <v>0</v>
      </c>
      <c r="H45" s="61">
        <f>'Secondary cum Calculation'!H71</f>
        <v>0</v>
      </c>
      <c r="I45" s="61">
        <f>'Secondary cum Calculation'!I71</f>
        <v>0</v>
      </c>
      <c r="J45" s="61" t="str">
        <f>'Secondary cum Calculation'!J71</f>
        <v>%</v>
      </c>
      <c r="K45" s="58">
        <f>'Secondary cum Calculation'!K71</f>
        <v>0</v>
      </c>
      <c r="L45" s="59"/>
      <c r="M45" s="62">
        <f>'Secondary cum Calculation'!M71</f>
        <v>-1.4024099076337393E-4</v>
      </c>
      <c r="N45" s="62">
        <f>'Secondary cum Calculation'!N71</f>
        <v>-1.6072269066225164E-4</v>
      </c>
      <c r="O45" s="62">
        <f>'Secondary cum Calculation'!O71</f>
        <v>-2.1095408711568897E-4</v>
      </c>
      <c r="P45" s="62">
        <f>'Secondary cum Calculation'!P71</f>
        <v>-2.9766683951581996E-4</v>
      </c>
      <c r="Q45" s="62">
        <f>'Secondary cum Calculation'!Q71</f>
        <v>-4.1834038544086294E-4</v>
      </c>
      <c r="R45" s="62">
        <f>'Secondary cum Calculation'!R71</f>
        <v>-5.6160285319084569E-4</v>
      </c>
      <c r="S45" s="62">
        <f>'Secondary cum Calculation'!S71</f>
        <v>-7.2517817095041348E-4</v>
      </c>
      <c r="T45" s="62">
        <f>'Secondary cum Calculation'!T71</f>
        <v>-9.0686532057315805E-4</v>
      </c>
      <c r="U45" s="62">
        <f>'Secondary cum Calculation'!U71</f>
        <v>-1.1129309377558849E-3</v>
      </c>
      <c r="V45" s="62">
        <f>'Secondary cum Calculation'!V71</f>
        <v>-1.3409535673186701E-3</v>
      </c>
      <c r="W45" s="259"/>
      <c r="X45" s="259"/>
    </row>
    <row r="46" spans="1:24">
      <c r="A46" s="55" t="str">
        <f>'Secondary cum Calculation'!A72</f>
        <v>Poland</v>
      </c>
      <c r="B46" s="56" t="str">
        <f>'Secondary cum Calculation'!B72</f>
        <v>Tourism Demand Factors</v>
      </c>
      <c r="C46" s="56" t="str">
        <f>'Secondary cum Calculation'!C72</f>
        <v>Total Population by Age &amp; Sex</v>
      </c>
      <c r="D46" s="56" t="str">
        <f>'Secondary cum Calculation'!D72</f>
        <v>Females by Age</v>
      </c>
      <c r="E46" s="55" t="str">
        <f>'Secondary cum Calculation'!E72</f>
        <v>0-14</v>
      </c>
      <c r="F46" s="57">
        <f>'Secondary cum Calculation'!F72</f>
        <v>0</v>
      </c>
      <c r="G46" s="57" t="str">
        <f>'Secondary cum Calculation'!G72</f>
        <v>Tourism Demand &amp; Flows Database</v>
      </c>
      <c r="H46" s="57" t="str">
        <f>'Secondary cum Calculation'!H72</f>
        <v>New</v>
      </c>
      <c r="I46" s="57">
        <f>'Secondary cum Calculation'!I72</f>
        <v>0</v>
      </c>
      <c r="J46" s="57" t="str">
        <f>'Secondary cum Calculation'!J72</f>
        <v>Millions</v>
      </c>
      <c r="K46" s="58">
        <f>'Secondary cum Calculation'!K72</f>
        <v>0</v>
      </c>
      <c r="L46" s="59">
        <f>'Secondary cum Calculation'!L72</f>
        <v>2.9061210000000002</v>
      </c>
      <c r="M46" s="59">
        <f>'Secondary cum Calculation'!M72</f>
        <v>2.849977</v>
      </c>
      <c r="N46" s="59">
        <f>'Secondary cum Calculation'!N72</f>
        <v>2.8022779999999998</v>
      </c>
      <c r="O46" s="59">
        <f>'Secondary cum Calculation'!O72</f>
        <v>2.769021</v>
      </c>
      <c r="P46" s="59">
        <f>'Secondary cum Calculation'!P72</f>
        <v>2.7485460000000002</v>
      </c>
      <c r="Q46" s="59">
        <f>'Secondary cum Calculation'!Q72</f>
        <v>2.7319490000000002</v>
      </c>
      <c r="R46" s="59">
        <f>'Secondary cum Calculation'!R72</f>
        <v>2.7216140000000002</v>
      </c>
      <c r="S46" s="59">
        <f>'Secondary cum Calculation'!S72</f>
        <v>2.7165689999999998</v>
      </c>
      <c r="T46" s="59">
        <f>'Secondary cum Calculation'!T72</f>
        <v>2.7131419999999999</v>
      </c>
      <c r="U46" s="59">
        <f>'Secondary cum Calculation'!U72</f>
        <v>2.7103250000000001</v>
      </c>
      <c r="V46" s="59">
        <f>'Secondary cum Calculation'!V72</f>
        <v>2.7102940000000002</v>
      </c>
      <c r="W46" s="106">
        <f>'Secondary cum Calculation'!W72</f>
        <v>-1.0518205252899038E-2</v>
      </c>
      <c r="X46" s="106">
        <f>'Secondary cum Calculation'!X72</f>
        <v>-1.590365586105702E-3</v>
      </c>
    </row>
    <row r="47" spans="1:24">
      <c r="A47" s="57"/>
      <c r="B47" s="57"/>
      <c r="C47" s="61" t="str">
        <f>'Secondary cum Calculation'!C73</f>
        <v>Growth Rate</v>
      </c>
      <c r="D47" s="61"/>
      <c r="E47" s="61"/>
      <c r="F47" s="61">
        <f>'Secondary cum Calculation'!F73</f>
        <v>0</v>
      </c>
      <c r="G47" s="61">
        <f>'Secondary cum Calculation'!G73</f>
        <v>0</v>
      </c>
      <c r="H47" s="61">
        <f>'Secondary cum Calculation'!H73</f>
        <v>0</v>
      </c>
      <c r="I47" s="61">
        <f>'Secondary cum Calculation'!I73</f>
        <v>0</v>
      </c>
      <c r="J47" s="61" t="str">
        <f>'Secondary cum Calculation'!J73</f>
        <v>%</v>
      </c>
      <c r="K47" s="58">
        <f>'Secondary cum Calculation'!K73</f>
        <v>0</v>
      </c>
      <c r="L47" s="59"/>
      <c r="M47" s="62">
        <f>'Secondary cum Calculation'!M73</f>
        <v>-1.9319223115623951E-2</v>
      </c>
      <c r="N47" s="62">
        <f>'Secondary cum Calculation'!N73</f>
        <v>-1.6736626295580703E-2</v>
      </c>
      <c r="O47" s="62">
        <f>'Secondary cum Calculation'!O73</f>
        <v>-1.1867844660665261E-2</v>
      </c>
      <c r="P47" s="62">
        <f>'Secondary cum Calculation'!P73</f>
        <v>-7.3943101189913873E-3</v>
      </c>
      <c r="Q47" s="62">
        <f>'Secondary cum Calculation'!Q73</f>
        <v>-6.0384654286302908E-3</v>
      </c>
      <c r="R47" s="62">
        <f>'Secondary cum Calculation'!R73</f>
        <v>-3.7830135189199643E-3</v>
      </c>
      <c r="S47" s="62">
        <f>'Secondary cum Calculation'!S73</f>
        <v>-1.8536794710787285E-3</v>
      </c>
      <c r="T47" s="62">
        <f>'Secondary cum Calculation'!T73</f>
        <v>-1.2615177453618731E-3</v>
      </c>
      <c r="U47" s="62">
        <f>'Secondary cum Calculation'!U73</f>
        <v>-1.0382796035002251E-3</v>
      </c>
      <c r="V47" s="62">
        <f>'Secondary cum Calculation'!V73</f>
        <v>-1.1437742706066345E-5</v>
      </c>
      <c r="W47" s="259"/>
      <c r="X47" s="259"/>
    </row>
    <row r="48" spans="1:24">
      <c r="A48" s="55" t="str">
        <f>'Secondary cum Calculation'!A74</f>
        <v>Poland</v>
      </c>
      <c r="B48" s="56" t="str">
        <f>'Secondary cum Calculation'!B74</f>
        <v>Tourism Demand Factors</v>
      </c>
      <c r="C48" s="56" t="str">
        <f>'Secondary cum Calculation'!C74</f>
        <v>Total Population by Age &amp; Sex</v>
      </c>
      <c r="D48" s="56" t="str">
        <f>'Secondary cum Calculation'!D74</f>
        <v>Females by Age</v>
      </c>
      <c r="E48" s="55" t="str">
        <f>'Secondary cum Calculation'!E74</f>
        <v>15-24</v>
      </c>
      <c r="F48" s="57">
        <f>'Secondary cum Calculation'!F74</f>
        <v>0</v>
      </c>
      <c r="G48" s="57" t="str">
        <f>'Secondary cum Calculation'!G74</f>
        <v>Tourism Demand &amp; Flows Database</v>
      </c>
      <c r="H48" s="57" t="str">
        <f>'Secondary cum Calculation'!H74</f>
        <v>New</v>
      </c>
      <c r="I48" s="57">
        <f>'Secondary cum Calculation'!I74</f>
        <v>0</v>
      </c>
      <c r="J48" s="57" t="str">
        <f>'Secondary cum Calculation'!J74</f>
        <v>Millions</v>
      </c>
      <c r="K48" s="58">
        <f>'Secondary cum Calculation'!K74</f>
        <v>0</v>
      </c>
      <c r="L48" s="59">
        <f>'Secondary cum Calculation'!L74</f>
        <v>2.8969870000000002</v>
      </c>
      <c r="M48" s="59">
        <f>'Secondary cum Calculation'!M74</f>
        <v>2.7983159999999998</v>
      </c>
      <c r="N48" s="59">
        <f>'Secondary cum Calculation'!N74</f>
        <v>2.6937880000000001</v>
      </c>
      <c r="O48" s="59">
        <f>'Secondary cum Calculation'!O74</f>
        <v>2.5849190000000002</v>
      </c>
      <c r="P48" s="59">
        <f>'Secondary cum Calculation'!P74</f>
        <v>2.4787110000000001</v>
      </c>
      <c r="Q48" s="59">
        <f>'Secondary cum Calculation'!Q74</f>
        <v>2.3883179999999999</v>
      </c>
      <c r="R48" s="59">
        <f>'Secondary cum Calculation'!R74</f>
        <v>2.3132220000000001</v>
      </c>
      <c r="S48" s="59">
        <f>'Secondary cum Calculation'!S74</f>
        <v>2.2352280000000002</v>
      </c>
      <c r="T48" s="59">
        <f>'Secondary cum Calculation'!T74</f>
        <v>2.1539929999999998</v>
      </c>
      <c r="U48" s="59">
        <f>'Secondary cum Calculation'!U74</f>
        <v>2.0728430000000002</v>
      </c>
      <c r="V48" s="59">
        <f>'Secondary cum Calculation'!V74</f>
        <v>1.9929779999999999</v>
      </c>
      <c r="W48" s="106">
        <f>'Secondary cum Calculation'!W74</f>
        <v>-3.883300576916271E-2</v>
      </c>
      <c r="X48" s="106">
        <f>'Secondary cum Calculation'!X74</f>
        <v>-3.5544774287074699E-2</v>
      </c>
    </row>
    <row r="49" spans="1:25">
      <c r="A49" s="57"/>
      <c r="B49" s="57"/>
      <c r="C49" s="61" t="str">
        <f>'Secondary cum Calculation'!C75</f>
        <v>Growth Rate</v>
      </c>
      <c r="D49" s="61"/>
      <c r="E49" s="61"/>
      <c r="F49" s="61">
        <f>'Secondary cum Calculation'!F75</f>
        <v>0</v>
      </c>
      <c r="G49" s="61">
        <f>'Secondary cum Calculation'!G75</f>
        <v>0</v>
      </c>
      <c r="H49" s="61">
        <f>'Secondary cum Calculation'!H75</f>
        <v>0</v>
      </c>
      <c r="I49" s="61">
        <f>'Secondary cum Calculation'!I75</f>
        <v>0</v>
      </c>
      <c r="J49" s="61" t="str">
        <f>'Secondary cum Calculation'!J75</f>
        <v>%</v>
      </c>
      <c r="K49" s="58">
        <f>'Secondary cum Calculation'!K75</f>
        <v>0</v>
      </c>
      <c r="L49" s="59"/>
      <c r="M49" s="62">
        <f>'Secondary cum Calculation'!M75</f>
        <v>-3.4059869788853225E-2</v>
      </c>
      <c r="N49" s="62">
        <f>'Secondary cum Calculation'!N75</f>
        <v>-3.7353894270697019E-2</v>
      </c>
      <c r="O49" s="62">
        <f>'Secondary cum Calculation'!O75</f>
        <v>-4.0414835911363411E-2</v>
      </c>
      <c r="P49" s="62">
        <f>'Secondary cum Calculation'!P75</f>
        <v>-4.1087554387584269E-2</v>
      </c>
      <c r="Q49" s="62">
        <f>'Secondary cum Calculation'!Q75</f>
        <v>-3.646774472699732E-2</v>
      </c>
      <c r="R49" s="62">
        <f>'Secondary cum Calculation'!R75</f>
        <v>-3.1443049041207982E-2</v>
      </c>
      <c r="S49" s="62">
        <f>'Secondary cum Calculation'!S75</f>
        <v>-3.3716608263279491E-2</v>
      </c>
      <c r="T49" s="62">
        <f>'Secondary cum Calculation'!T75</f>
        <v>-3.6343048673334599E-2</v>
      </c>
      <c r="U49" s="62">
        <f>'Secondary cum Calculation'!U75</f>
        <v>-3.7674217139981203E-2</v>
      </c>
      <c r="V49" s="62">
        <f>'Secondary cum Calculation'!V75</f>
        <v>-3.8529208434985307E-2</v>
      </c>
      <c r="W49" s="259"/>
      <c r="X49" s="259"/>
    </row>
    <row r="50" spans="1:25">
      <c r="A50" s="55" t="str">
        <f>'Secondary cum Calculation'!A76</f>
        <v>Poland</v>
      </c>
      <c r="B50" s="56" t="str">
        <f>'Secondary cum Calculation'!B76</f>
        <v>Tourism Demand Factors</v>
      </c>
      <c r="C50" s="56" t="str">
        <f>'Secondary cum Calculation'!C76</f>
        <v>Total Population by Age &amp; Sex</v>
      </c>
      <c r="D50" s="56" t="str">
        <f>'Secondary cum Calculation'!D76</f>
        <v>Females by Age</v>
      </c>
      <c r="E50" s="55" t="str">
        <f>'Secondary cum Calculation'!E76</f>
        <v>25-34</v>
      </c>
      <c r="F50" s="57">
        <f>'Secondary cum Calculation'!F76</f>
        <v>0</v>
      </c>
      <c r="G50" s="57" t="str">
        <f>'Secondary cum Calculation'!G76</f>
        <v>Tourism Demand &amp; Flows Database</v>
      </c>
      <c r="H50" s="57" t="str">
        <f>'Secondary cum Calculation'!H76</f>
        <v>New</v>
      </c>
      <c r="I50" s="57">
        <f>'Secondary cum Calculation'!I76</f>
        <v>0</v>
      </c>
      <c r="J50" s="57" t="str">
        <f>'Secondary cum Calculation'!J76</f>
        <v>Millions</v>
      </c>
      <c r="K50" s="58">
        <f>'Secondary cum Calculation'!K76</f>
        <v>0</v>
      </c>
      <c r="L50" s="59">
        <f>'Secondary cum Calculation'!L76</f>
        <v>3.0651440000000001</v>
      </c>
      <c r="M50" s="59">
        <f>'Secondary cum Calculation'!M76</f>
        <v>3.1189629999999999</v>
      </c>
      <c r="N50" s="59">
        <f>'Secondary cum Calculation'!N76</f>
        <v>3.1641789999999999</v>
      </c>
      <c r="O50" s="59">
        <f>'Secondary cum Calculation'!O76</f>
        <v>3.1908409999999998</v>
      </c>
      <c r="P50" s="59">
        <f>'Secondary cum Calculation'!P76</f>
        <v>3.1912660000000002</v>
      </c>
      <c r="Q50" s="59">
        <f>'Secondary cum Calculation'!Q76</f>
        <v>3.1702430000000001</v>
      </c>
      <c r="R50" s="59">
        <f>'Secondary cum Calculation'!R76</f>
        <v>3.1247210000000001</v>
      </c>
      <c r="S50" s="59">
        <f>'Secondary cum Calculation'!S76</f>
        <v>3.0693450000000002</v>
      </c>
      <c r="T50" s="59">
        <f>'Secondary cum Calculation'!T76</f>
        <v>3.0079030000000002</v>
      </c>
      <c r="U50" s="59">
        <f>'Secondary cum Calculation'!U76</f>
        <v>2.945214</v>
      </c>
      <c r="V50" s="59">
        <f>'Secondary cum Calculation'!V76</f>
        <v>2.8707829999999999</v>
      </c>
      <c r="W50" s="106">
        <f>'Secondary cum Calculation'!W76</f>
        <v>4.0852385108081091E-3</v>
      </c>
      <c r="X50" s="106">
        <f>'Secondary cum Calculation'!X76</f>
        <v>-1.964907555641493E-2</v>
      </c>
    </row>
    <row r="51" spans="1:25">
      <c r="A51" s="57"/>
      <c r="B51" s="57"/>
      <c r="C51" s="61" t="str">
        <f>'Secondary cum Calculation'!C77</f>
        <v>Growth Rate</v>
      </c>
      <c r="D51" s="61"/>
      <c r="E51" s="61"/>
      <c r="F51" s="61">
        <f>'Secondary cum Calculation'!F77</f>
        <v>0</v>
      </c>
      <c r="G51" s="61">
        <f>'Secondary cum Calculation'!G77</f>
        <v>0</v>
      </c>
      <c r="H51" s="61">
        <f>'Secondary cum Calculation'!H77</f>
        <v>0</v>
      </c>
      <c r="I51" s="61">
        <f>'Secondary cum Calculation'!I77</f>
        <v>0</v>
      </c>
      <c r="J51" s="61" t="str">
        <f>'Secondary cum Calculation'!J77</f>
        <v>%</v>
      </c>
      <c r="K51" s="58">
        <f>'Secondary cum Calculation'!K77</f>
        <v>0</v>
      </c>
      <c r="L51" s="59"/>
      <c r="M51" s="62">
        <f>'Secondary cum Calculation'!M77</f>
        <v>1.7558392036393755E-2</v>
      </c>
      <c r="N51" s="62">
        <f>'Secondary cum Calculation'!N77</f>
        <v>1.449712612813947E-2</v>
      </c>
      <c r="O51" s="62">
        <f>'Secondary cum Calculation'!O77</f>
        <v>8.4261983914311056E-3</v>
      </c>
      <c r="P51" s="62">
        <f>'Secondary cum Calculation'!P77</f>
        <v>1.3319372541609198E-4</v>
      </c>
      <c r="Q51" s="62">
        <f>'Secondary cum Calculation'!Q77</f>
        <v>-6.5876677155711771E-3</v>
      </c>
      <c r="R51" s="62">
        <f>'Secondary cum Calculation'!R77</f>
        <v>-1.4359151648627555E-2</v>
      </c>
      <c r="S51" s="62">
        <f>'Secondary cum Calculation'!S77</f>
        <v>-1.7721902211429441E-2</v>
      </c>
      <c r="T51" s="62">
        <f>'Secondary cum Calculation'!T77</f>
        <v>-2.0017951712824722E-2</v>
      </c>
      <c r="U51" s="62">
        <f>'Secondary cum Calculation'!U77</f>
        <v>-2.0841430059413524E-2</v>
      </c>
      <c r="V51" s="62">
        <f>'Secondary cum Calculation'!V77</f>
        <v>-2.5271847818189141E-2</v>
      </c>
      <c r="W51" s="259"/>
      <c r="X51" s="259"/>
    </row>
    <row r="52" spans="1:25">
      <c r="A52" s="55" t="str">
        <f>'Secondary cum Calculation'!A78</f>
        <v>Poland</v>
      </c>
      <c r="B52" s="56" t="str">
        <f>'Secondary cum Calculation'!B78</f>
        <v>Tourism Demand Factors</v>
      </c>
      <c r="C52" s="56" t="str">
        <f>'Secondary cum Calculation'!C78</f>
        <v>Total Population by Age &amp; Sex</v>
      </c>
      <c r="D52" s="56" t="str">
        <f>'Secondary cum Calculation'!D78</f>
        <v>Females by Age</v>
      </c>
      <c r="E52" s="55" t="str">
        <f>'Secondary cum Calculation'!E78</f>
        <v>35-44</v>
      </c>
      <c r="F52" s="57">
        <f>'Secondary cum Calculation'!F78</f>
        <v>0</v>
      </c>
      <c r="G52" s="57" t="str">
        <f>'Secondary cum Calculation'!G78</f>
        <v>Tourism Demand &amp; Flows Database</v>
      </c>
      <c r="H52" s="57" t="str">
        <f>'Secondary cum Calculation'!H78</f>
        <v>New</v>
      </c>
      <c r="I52" s="57">
        <f>'Secondary cum Calculation'!I78</f>
        <v>0</v>
      </c>
      <c r="J52" s="57" t="str">
        <f>'Secondary cum Calculation'!J78</f>
        <v>Millions</v>
      </c>
      <c r="K52" s="58">
        <f>'Secondary cum Calculation'!K78</f>
        <v>0</v>
      </c>
      <c r="L52" s="59">
        <f>'Secondary cum Calculation'!L78</f>
        <v>2.4361169999999999</v>
      </c>
      <c r="M52" s="59">
        <f>'Secondary cum Calculation'!M78</f>
        <v>2.4570850000000002</v>
      </c>
      <c r="N52" s="59">
        <f>'Secondary cum Calculation'!N78</f>
        <v>2.490799</v>
      </c>
      <c r="O52" s="59">
        <f>'Secondary cum Calculation'!O78</f>
        <v>2.540781</v>
      </c>
      <c r="P52" s="59">
        <f>'Secondary cum Calculation'!P78</f>
        <v>2.6083509999999999</v>
      </c>
      <c r="Q52" s="59">
        <f>'Secondary cum Calculation'!Q78</f>
        <v>2.6820460000000002</v>
      </c>
      <c r="R52" s="59">
        <f>'Secondary cum Calculation'!R78</f>
        <v>2.7570999999999999</v>
      </c>
      <c r="S52" s="59">
        <f>'Secondary cum Calculation'!S78</f>
        <v>2.8364889999999998</v>
      </c>
      <c r="T52" s="59">
        <f>'Secondary cum Calculation'!T78</f>
        <v>2.9119299999999999</v>
      </c>
      <c r="U52" s="59">
        <f>'Secondary cum Calculation'!U78</f>
        <v>2.9730150000000002</v>
      </c>
      <c r="V52" s="59">
        <f>'Secondary cum Calculation'!V78</f>
        <v>3.027447</v>
      </c>
      <c r="W52" s="106">
        <f>'Secondary cum Calculation'!W78</f>
        <v>2.2142650747786652E-2</v>
      </c>
      <c r="X52" s="106">
        <f>'Secondary cum Calculation'!X78</f>
        <v>2.4523832303271931E-2</v>
      </c>
    </row>
    <row r="53" spans="1:25">
      <c r="A53" s="57"/>
      <c r="B53" s="57"/>
      <c r="C53" s="61" t="str">
        <f>'Secondary cum Calculation'!C79</f>
        <v>Growth Rate</v>
      </c>
      <c r="D53" s="61"/>
      <c r="E53" s="61"/>
      <c r="F53" s="61">
        <f>'Secondary cum Calculation'!F79</f>
        <v>0</v>
      </c>
      <c r="G53" s="61">
        <f>'Secondary cum Calculation'!G79</f>
        <v>0</v>
      </c>
      <c r="H53" s="61">
        <f>'Secondary cum Calculation'!H79</f>
        <v>0</v>
      </c>
      <c r="I53" s="61">
        <f>'Secondary cum Calculation'!I79</f>
        <v>0</v>
      </c>
      <c r="J53" s="61" t="str">
        <f>'Secondary cum Calculation'!J79</f>
        <v>%</v>
      </c>
      <c r="K53" s="58">
        <f>'Secondary cum Calculation'!K79</f>
        <v>0</v>
      </c>
      <c r="L53" s="59"/>
      <c r="M53" s="62">
        <f>'Secondary cum Calculation'!M79</f>
        <v>8.6071399690574868E-3</v>
      </c>
      <c r="N53" s="62">
        <f>'Secondary cum Calculation'!N79</f>
        <v>1.3721137038401165E-2</v>
      </c>
      <c r="O53" s="62">
        <f>'Secondary cum Calculation'!O79</f>
        <v>2.0066653310845117E-2</v>
      </c>
      <c r="P53" s="62">
        <f>'Secondary cum Calculation'!P79</f>
        <v>2.6594185016339367E-2</v>
      </c>
      <c r="Q53" s="62">
        <f>'Secondary cum Calculation'!Q79</f>
        <v>2.825348275596351E-2</v>
      </c>
      <c r="R53" s="62">
        <f>'Secondary cum Calculation'!R79</f>
        <v>2.7983860082936518E-2</v>
      </c>
      <c r="S53" s="62">
        <f>'Secondary cum Calculation'!S79</f>
        <v>2.8794385404954381E-2</v>
      </c>
      <c r="T53" s="62">
        <f>'Secondary cum Calculation'!T79</f>
        <v>2.6596612925345431E-2</v>
      </c>
      <c r="U53" s="62">
        <f>'Secondary cum Calculation'!U79</f>
        <v>2.0977496024973119E-2</v>
      </c>
      <c r="V53" s="62">
        <f>'Secondary cum Calculation'!V79</f>
        <v>1.830868663629337E-2</v>
      </c>
      <c r="W53" s="259"/>
      <c r="X53" s="259"/>
    </row>
    <row r="54" spans="1:25">
      <c r="A54" s="55" t="str">
        <f>'Secondary cum Calculation'!A80</f>
        <v>Poland</v>
      </c>
      <c r="B54" s="56" t="str">
        <f>'Secondary cum Calculation'!B80</f>
        <v>Tourism Demand Factors</v>
      </c>
      <c r="C54" s="56" t="str">
        <f>'Secondary cum Calculation'!C80</f>
        <v>Total Population by Age &amp; Sex</v>
      </c>
      <c r="D54" s="56" t="str">
        <f>'Secondary cum Calculation'!D80</f>
        <v>Females by Age</v>
      </c>
      <c r="E54" s="55" t="str">
        <f>'Secondary cum Calculation'!E80</f>
        <v>45-54</v>
      </c>
      <c r="F54" s="57">
        <f>'Secondary cum Calculation'!F80</f>
        <v>0</v>
      </c>
      <c r="G54" s="57" t="str">
        <f>'Secondary cum Calculation'!G80</f>
        <v>Tourism Demand &amp; Flows Database</v>
      </c>
      <c r="H54" s="57" t="str">
        <f>'Secondary cum Calculation'!H80</f>
        <v>New</v>
      </c>
      <c r="I54" s="57">
        <f>'Secondary cum Calculation'!I80</f>
        <v>0</v>
      </c>
      <c r="J54" s="57" t="str">
        <f>'Secondary cum Calculation'!J80</f>
        <v>Millions</v>
      </c>
      <c r="K54" s="58">
        <f>'Secondary cum Calculation'!K80</f>
        <v>0</v>
      </c>
      <c r="L54" s="59">
        <f>'Secondary cum Calculation'!L80</f>
        <v>3.0260050000000001</v>
      </c>
      <c r="M54" s="59">
        <f>'Secondary cum Calculation'!M80</f>
        <v>2.9607939999999999</v>
      </c>
      <c r="N54" s="59">
        <f>'Secondary cum Calculation'!N80</f>
        <v>2.8892470000000001</v>
      </c>
      <c r="O54" s="59">
        <f>'Secondary cum Calculation'!O80</f>
        <v>2.8057080000000001</v>
      </c>
      <c r="P54" s="59">
        <f>'Secondary cum Calculation'!P80</f>
        <v>2.7135669999999998</v>
      </c>
      <c r="Q54" s="59">
        <f>'Secondary cum Calculation'!Q80</f>
        <v>2.6184560000000001</v>
      </c>
      <c r="R54" s="59">
        <f>'Secondary cum Calculation'!R80</f>
        <v>2.5270510000000002</v>
      </c>
      <c r="S54" s="59">
        <f>'Secondary cum Calculation'!S80</f>
        <v>2.4496570000000002</v>
      </c>
      <c r="T54" s="59">
        <f>'Secondary cum Calculation'!T80</f>
        <v>2.3966820000000002</v>
      </c>
      <c r="U54" s="59">
        <f>'Secondary cum Calculation'!U80</f>
        <v>2.374511</v>
      </c>
      <c r="V54" s="59">
        <f>'Secondary cum Calculation'!V80</f>
        <v>2.3783629999999998</v>
      </c>
      <c r="W54" s="106">
        <f>'Secondary cum Calculation'!W80</f>
        <v>-3.0251152517472346E-2</v>
      </c>
      <c r="X54" s="106">
        <f>'Secondary cum Calculation'!X80</f>
        <v>-1.9050676777237818E-2</v>
      </c>
    </row>
    <row r="55" spans="1:25">
      <c r="A55" s="57"/>
      <c r="B55" s="57"/>
      <c r="C55" s="61" t="str">
        <f>'Secondary cum Calculation'!C81</f>
        <v>Growth Rate</v>
      </c>
      <c r="D55" s="61"/>
      <c r="E55" s="61"/>
      <c r="F55" s="61">
        <f>'Secondary cum Calculation'!F81</f>
        <v>0</v>
      </c>
      <c r="G55" s="61">
        <f>'Secondary cum Calculation'!G81</f>
        <v>0</v>
      </c>
      <c r="H55" s="61">
        <f>'Secondary cum Calculation'!H81</f>
        <v>0</v>
      </c>
      <c r="I55" s="61">
        <f>'Secondary cum Calculation'!I81</f>
        <v>0</v>
      </c>
      <c r="J55" s="61" t="str">
        <f>'Secondary cum Calculation'!J81</f>
        <v>%</v>
      </c>
      <c r="K55" s="58">
        <f>'Secondary cum Calculation'!K81</f>
        <v>0</v>
      </c>
      <c r="L55" s="59"/>
      <c r="M55" s="62">
        <f>'Secondary cum Calculation'!M81</f>
        <v>-2.1550195720099641E-2</v>
      </c>
      <c r="N55" s="62">
        <f>'Secondary cum Calculation'!N81</f>
        <v>-2.4164801738992936E-2</v>
      </c>
      <c r="O55" s="62">
        <f>'Secondary cum Calculation'!O81</f>
        <v>-2.8913761959430961E-2</v>
      </c>
      <c r="P55" s="62">
        <f>'Secondary cum Calculation'!P81</f>
        <v>-3.2840552188609928E-2</v>
      </c>
      <c r="Q55" s="62">
        <f>'Secondary cum Calculation'!Q81</f>
        <v>-3.5050175654406046E-2</v>
      </c>
      <c r="R55" s="62">
        <f>'Secondary cum Calculation'!R81</f>
        <v>-3.4907976303592658E-2</v>
      </c>
      <c r="S55" s="62">
        <f>'Secondary cum Calculation'!S81</f>
        <v>-3.0626212134222786E-2</v>
      </c>
      <c r="T55" s="62">
        <f>'Secondary cum Calculation'!T81</f>
        <v>-2.1625476546308309E-2</v>
      </c>
      <c r="U55" s="62">
        <f>'Secondary cum Calculation'!U81</f>
        <v>-9.2507057673901771E-3</v>
      </c>
      <c r="V55" s="62">
        <f>'Secondary cum Calculation'!V81</f>
        <v>1.6222287452025697E-3</v>
      </c>
      <c r="W55" s="259"/>
      <c r="X55" s="259"/>
    </row>
    <row r="56" spans="1:25">
      <c r="A56" s="55" t="str">
        <f>'Secondary cum Calculation'!A82</f>
        <v>Poland</v>
      </c>
      <c r="B56" s="56" t="str">
        <f>'Secondary cum Calculation'!B82</f>
        <v>Tourism Demand Factors</v>
      </c>
      <c r="C56" s="56" t="str">
        <f>'Secondary cum Calculation'!C82</f>
        <v>Total Population by Age &amp; Sex</v>
      </c>
      <c r="D56" s="56" t="str">
        <f>'Secondary cum Calculation'!D82</f>
        <v>Females by Age</v>
      </c>
      <c r="E56" s="55" t="str">
        <f>'Secondary cum Calculation'!E82</f>
        <v>55-64</v>
      </c>
      <c r="F56" s="57">
        <f>'Secondary cum Calculation'!F82</f>
        <v>0</v>
      </c>
      <c r="G56" s="57" t="str">
        <f>'Secondary cum Calculation'!G82</f>
        <v>Tourism Demand &amp; Flows Database</v>
      </c>
      <c r="H56" s="57" t="str">
        <f>'Secondary cum Calculation'!H82</f>
        <v>New</v>
      </c>
      <c r="I56" s="57">
        <f>'Secondary cum Calculation'!I82</f>
        <v>0</v>
      </c>
      <c r="J56" s="57" t="str">
        <f>'Secondary cum Calculation'!J82</f>
        <v>Millions</v>
      </c>
      <c r="K56" s="58">
        <f>'Secondary cum Calculation'!K82</f>
        <v>0</v>
      </c>
      <c r="L56" s="59">
        <f>'Secondary cum Calculation'!L82</f>
        <v>2.3369010000000001</v>
      </c>
      <c r="M56" s="59">
        <f>'Secondary cum Calculation'!M82</f>
        <v>2.4732539999999998</v>
      </c>
      <c r="N56" s="59">
        <f>'Secondary cum Calculation'!N82</f>
        <v>2.6072380000000002</v>
      </c>
      <c r="O56" s="59">
        <f>'Secondary cum Calculation'!O82</f>
        <v>2.7408540000000001</v>
      </c>
      <c r="P56" s="59">
        <f>'Secondary cum Calculation'!P82</f>
        <v>2.8428840000000002</v>
      </c>
      <c r="Q56" s="59">
        <f>'Secondary cum Calculation'!Q82</f>
        <v>2.9082840000000001</v>
      </c>
      <c r="R56" s="59">
        <f>'Secondary cum Calculation'!R82</f>
        <v>2.9520629999999999</v>
      </c>
      <c r="S56" s="59">
        <f>'Secondary cum Calculation'!S82</f>
        <v>2.9739330000000002</v>
      </c>
      <c r="T56" s="59">
        <f>'Secondary cum Calculation'!T82</f>
        <v>2.9708709999999998</v>
      </c>
      <c r="U56" s="59">
        <f>'Secondary cum Calculation'!U82</f>
        <v>2.9389910000000001</v>
      </c>
      <c r="V56" s="59">
        <f>'Secondary cum Calculation'!V82</f>
        <v>2.8870239999999998</v>
      </c>
      <c r="W56" s="106">
        <f>'Secondary cum Calculation'!W82</f>
        <v>4.1338735462757015E-2</v>
      </c>
      <c r="X56" s="106">
        <f>'Secondary cum Calculation'!X82</f>
        <v>-1.466324444583611E-3</v>
      </c>
    </row>
    <row r="57" spans="1:25">
      <c r="A57" s="57"/>
      <c r="B57" s="57"/>
      <c r="C57" s="61" t="str">
        <f>'Secondary cum Calculation'!C83</f>
        <v>Growth Rate</v>
      </c>
      <c r="D57" s="61"/>
      <c r="E57" s="61"/>
      <c r="F57" s="61">
        <f>'Secondary cum Calculation'!F83</f>
        <v>0</v>
      </c>
      <c r="G57" s="61">
        <f>'Secondary cum Calculation'!G83</f>
        <v>0</v>
      </c>
      <c r="H57" s="61">
        <f>'Secondary cum Calculation'!H83</f>
        <v>0</v>
      </c>
      <c r="I57" s="61">
        <f>'Secondary cum Calculation'!I83</f>
        <v>0</v>
      </c>
      <c r="J57" s="61" t="str">
        <f>'Secondary cum Calculation'!J83</f>
        <v>%</v>
      </c>
      <c r="K57" s="58">
        <f>'Secondary cum Calculation'!K83</f>
        <v>0</v>
      </c>
      <c r="L57" s="59"/>
      <c r="M57" s="62">
        <f>'Secondary cum Calculation'!M83</f>
        <v>5.834778623484671E-2</v>
      </c>
      <c r="N57" s="62">
        <f>'Secondary cum Calculation'!N83</f>
        <v>5.4173166201288092E-2</v>
      </c>
      <c r="O57" s="62">
        <f>'Secondary cum Calculation'!O83</f>
        <v>5.1248102398016471E-2</v>
      </c>
      <c r="P57" s="62">
        <f>'Secondary cum Calculation'!P83</f>
        <v>3.7225623838409438E-2</v>
      </c>
      <c r="Q57" s="62">
        <f>'Secondary cum Calculation'!Q83</f>
        <v>2.3004807793775672E-2</v>
      </c>
      <c r="R57" s="62">
        <f>'Secondary cum Calculation'!R83</f>
        <v>1.5053206633189875E-2</v>
      </c>
      <c r="S57" s="62">
        <f>'Secondary cum Calculation'!S83</f>
        <v>7.4083784797276397E-3</v>
      </c>
      <c r="T57" s="62">
        <f>'Secondary cum Calculation'!T83</f>
        <v>-1.0296129737961124E-3</v>
      </c>
      <c r="U57" s="62">
        <f>'Secondary cum Calculation'!U83</f>
        <v>-1.0730859737766996E-2</v>
      </c>
      <c r="V57" s="62">
        <f>'Secondary cum Calculation'!V83</f>
        <v>-1.7681918726529022E-2</v>
      </c>
      <c r="W57" s="259"/>
      <c r="X57" s="259"/>
    </row>
    <row r="58" spans="1:25">
      <c r="A58" s="55" t="str">
        <f>'Secondary cum Calculation'!A84</f>
        <v>Poland</v>
      </c>
      <c r="B58" s="56" t="str">
        <f>'Secondary cum Calculation'!B84</f>
        <v>Tourism Demand Factors</v>
      </c>
      <c r="C58" s="56" t="str">
        <f>'Secondary cum Calculation'!C84</f>
        <v>Total Population by Age &amp; Sex</v>
      </c>
      <c r="D58" s="56" t="str">
        <f>'Secondary cum Calculation'!D84</f>
        <v>Females by Age</v>
      </c>
      <c r="E58" s="55" t="str">
        <f>'Secondary cum Calculation'!E84</f>
        <v>65+</v>
      </c>
      <c r="F58" s="57">
        <f>'Secondary cum Calculation'!F84</f>
        <v>0</v>
      </c>
      <c r="G58" s="57" t="str">
        <f>'Secondary cum Calculation'!G84</f>
        <v>Tourism Demand &amp; Flows Database</v>
      </c>
      <c r="H58" s="57" t="str">
        <f>'Secondary cum Calculation'!H84</f>
        <v>New</v>
      </c>
      <c r="I58" s="57">
        <f>'Secondary cum Calculation'!I84</f>
        <v>0</v>
      </c>
      <c r="J58" s="57" t="str">
        <f>'Secondary cum Calculation'!J84</f>
        <v>Millions</v>
      </c>
      <c r="K58" s="58">
        <f>'Secondary cum Calculation'!K84</f>
        <v>0</v>
      </c>
      <c r="L58" s="59">
        <f>'Secondary cum Calculation'!L84</f>
        <v>3.1771370000000001</v>
      </c>
      <c r="M58" s="59">
        <f>'Secondary cum Calculation'!M84</f>
        <v>3.1832400000000001</v>
      </c>
      <c r="N58" s="59">
        <f>'Secondary cum Calculation'!N84</f>
        <v>3.1909109999999998</v>
      </c>
      <c r="O58" s="59">
        <f>'Secondary cum Calculation'!O84</f>
        <v>3.2021310000000001</v>
      </c>
      <c r="P58" s="59">
        <f>'Secondary cum Calculation'!P84</f>
        <v>3.2450260000000002</v>
      </c>
      <c r="Q58" s="59">
        <f>'Secondary cum Calculation'!Q84</f>
        <v>3.3207599999999999</v>
      </c>
      <c r="R58" s="59">
        <f>'Secondary cum Calculation'!R84</f>
        <v>3.413154</v>
      </c>
      <c r="S58" s="59">
        <f>'Secondary cum Calculation'!S84</f>
        <v>3.5133390000000002</v>
      </c>
      <c r="T58" s="59">
        <f>'Secondary cum Calculation'!T84</f>
        <v>3.6220880000000002</v>
      </c>
      <c r="U58" s="59">
        <f>'Secondary cum Calculation'!U84</f>
        <v>3.7397</v>
      </c>
      <c r="V58" s="59">
        <f>'Secondary cum Calculation'!V84</f>
        <v>3.8612199999999999</v>
      </c>
      <c r="W58" s="106">
        <f>'Secondary cum Calculation'!W84</f>
        <v>1.0629628919172296E-2</v>
      </c>
      <c r="X58" s="106">
        <f>'Secondary cum Calculation'!X84</f>
        <v>3.061726037815693E-2</v>
      </c>
    </row>
    <row r="59" spans="1:25">
      <c r="A59" s="57"/>
      <c r="B59" s="57"/>
      <c r="C59" s="61" t="str">
        <f>'Secondary cum Calculation'!C85</f>
        <v>Growth Rate</v>
      </c>
      <c r="D59" s="61"/>
      <c r="E59" s="61"/>
      <c r="F59" s="61">
        <f>'Secondary cum Calculation'!F85</f>
        <v>0</v>
      </c>
      <c r="G59" s="61">
        <f>'Secondary cum Calculation'!G85</f>
        <v>0</v>
      </c>
      <c r="H59" s="61">
        <f>'Secondary cum Calculation'!H85</f>
        <v>0</v>
      </c>
      <c r="I59" s="61">
        <f>'Secondary cum Calculation'!I85</f>
        <v>0</v>
      </c>
      <c r="J59" s="61" t="str">
        <f>'Secondary cum Calculation'!J85</f>
        <v>%</v>
      </c>
      <c r="K59" s="58">
        <f>'Secondary cum Calculation'!K85</f>
        <v>0</v>
      </c>
      <c r="L59" s="59"/>
      <c r="M59" s="62">
        <f>'Secondary cum Calculation'!M85</f>
        <v>1.9209118146306103E-3</v>
      </c>
      <c r="N59" s="62">
        <f>'Secondary cum Calculation'!N85</f>
        <v>2.4098088739774592E-3</v>
      </c>
      <c r="O59" s="62">
        <f>'Secondary cum Calculation'!O85</f>
        <v>3.5162372125077113E-3</v>
      </c>
      <c r="P59" s="62">
        <f>'Secondary cum Calculation'!P85</f>
        <v>1.3395766756575611E-2</v>
      </c>
      <c r="Q59" s="62">
        <f>'Secondary cum Calculation'!Q85</f>
        <v>2.3338487888848958E-2</v>
      </c>
      <c r="R59" s="62">
        <f>'Secondary cum Calculation'!R85</f>
        <v>2.7823148917717644E-2</v>
      </c>
      <c r="S59" s="62">
        <f>'Secondary cum Calculation'!S85</f>
        <v>2.9352616377696483E-2</v>
      </c>
      <c r="T59" s="62">
        <f>'Secondary cum Calculation'!T85</f>
        <v>3.0953175881974326E-2</v>
      </c>
      <c r="U59" s="62">
        <f>'Secondary cum Calculation'!U85</f>
        <v>3.2470773763641159E-2</v>
      </c>
      <c r="V59" s="62">
        <f>'Secondary cum Calculation'!V85</f>
        <v>3.24945851271492E-2</v>
      </c>
      <c r="W59" s="259"/>
      <c r="X59" s="259"/>
    </row>
    <row r="60" spans="1:25">
      <c r="A60" s="46" t="str">
        <f>'Secondary cum Calculation'!A86</f>
        <v>Poland</v>
      </c>
      <c r="B60" s="47" t="str">
        <f>'Secondary cum Calculation'!B86</f>
        <v>Tourism Demand Factors</v>
      </c>
      <c r="C60" s="46" t="str">
        <f>'Secondary cum Calculation'!C86</f>
        <v>Number of Households by Income Group</v>
      </c>
      <c r="D60" s="48"/>
      <c r="E60" s="48"/>
      <c r="F60" s="48">
        <f>'Secondary cum Calculation'!F86</f>
        <v>0</v>
      </c>
      <c r="G60" s="48" t="str">
        <f>'Secondary cum Calculation'!G86</f>
        <v>Tourism Demand &amp; Flows Database</v>
      </c>
      <c r="H60" s="48" t="str">
        <f>'Secondary cum Calculation'!H86</f>
        <v>New</v>
      </c>
      <c r="I60" s="48">
        <f>'Secondary cum Calculation'!I86</f>
        <v>0</v>
      </c>
      <c r="J60" s="46" t="str">
        <f>'Secondary cum Calculation'!J86</f>
        <v>Actual</v>
      </c>
      <c r="K60" s="49">
        <f>'Secondary cum Calculation'!K86</f>
        <v>0</v>
      </c>
      <c r="L60" s="79">
        <f>'Secondary cum Calculation'!L86</f>
        <v>13630897.3462082</v>
      </c>
      <c r="M60" s="77">
        <f>'Secondary cum Calculation'!M86</f>
        <v>13715666.933109658</v>
      </c>
      <c r="N60" s="77">
        <f>'Secondary cum Calculation'!N86</f>
        <v>13800963.696078908</v>
      </c>
      <c r="O60" s="77">
        <f>'Secondary cum Calculation'!O86</f>
        <v>13886790.913586644</v>
      </c>
      <c r="P60" s="77">
        <f>'Secondary cum Calculation'!P86</f>
        <v>13973151.884492138</v>
      </c>
      <c r="Q60" s="77">
        <f>'Secondary cum Calculation'!Q86</f>
        <v>14060049.928170038</v>
      </c>
      <c r="R60" s="77">
        <f>'Secondary cum Calculation'!R86</f>
        <v>14147488.384637941</v>
      </c>
      <c r="S60" s="77">
        <f>'Secondary cum Calculation'!S86</f>
        <v>14235470.614684779</v>
      </c>
      <c r="T60" s="77">
        <f>'Secondary cum Calculation'!T86</f>
        <v>14323999.999999998</v>
      </c>
      <c r="U60" s="77">
        <f>'Secondary cum Calculation'!U86</f>
        <v>14413079.943303531</v>
      </c>
      <c r="V60" s="77">
        <f>'Secondary cum Calculation'!V86</f>
        <v>14502713.868476581</v>
      </c>
      <c r="W60" s="262">
        <f>'Secondary cum Calculation'!W86</f>
        <v>6.2189293007213209E-3</v>
      </c>
      <c r="X60" s="262">
        <f>'Secondary cum Calculation'!X86</f>
        <v>6.2189293007213209E-3</v>
      </c>
    </row>
    <row r="61" spans="1:25">
      <c r="A61" s="48"/>
      <c r="B61" s="48"/>
      <c r="C61" s="52" t="str">
        <f>'Secondary cum Calculation'!C87</f>
        <v>Growth Rate</v>
      </c>
      <c r="D61" s="52"/>
      <c r="E61" s="52"/>
      <c r="F61" s="52">
        <f>'Secondary cum Calculation'!F87</f>
        <v>0</v>
      </c>
      <c r="G61" s="52">
        <f>'Secondary cum Calculation'!G87</f>
        <v>0</v>
      </c>
      <c r="H61" s="52">
        <f>'Secondary cum Calculation'!H87</f>
        <v>0</v>
      </c>
      <c r="I61" s="52">
        <f>'Secondary cum Calculation'!I87</f>
        <v>0</v>
      </c>
      <c r="J61" s="52" t="str">
        <f>'Secondary cum Calculation'!J87</f>
        <v>%</v>
      </c>
      <c r="K61" s="49">
        <f>'Secondary cum Calculation'!K87</f>
        <v>0</v>
      </c>
      <c r="L61" s="53"/>
      <c r="M61" s="54">
        <f>'Secondary cum Calculation'!M87</f>
        <v>6.2189293007213209E-3</v>
      </c>
      <c r="N61" s="54">
        <f>'Secondary cum Calculation'!N87</f>
        <v>6.2189293007213209E-3</v>
      </c>
      <c r="O61" s="54">
        <f>'Secondary cum Calculation'!O87</f>
        <v>6.2189293007213209E-3</v>
      </c>
      <c r="P61" s="54">
        <f>'Secondary cum Calculation'!P87</f>
        <v>6.2189293007213209E-3</v>
      </c>
      <c r="Q61" s="54">
        <f>Q60/P60-1</f>
        <v>6.2189293007215429E-3</v>
      </c>
      <c r="R61" s="54">
        <f t="shared" ref="R61:V61" si="0">R60/Q60-1</f>
        <v>6.2189293007213209E-3</v>
      </c>
      <c r="S61" s="54">
        <f t="shared" si="0"/>
        <v>6.2189293007213209E-3</v>
      </c>
      <c r="T61" s="54">
        <f t="shared" si="0"/>
        <v>6.2189293007210988E-3</v>
      </c>
      <c r="U61" s="54">
        <f t="shared" si="0"/>
        <v>6.2189293007213209E-3</v>
      </c>
      <c r="V61" s="54">
        <f t="shared" si="0"/>
        <v>6.2189293007213209E-3</v>
      </c>
      <c r="W61" s="258"/>
      <c r="X61" s="258"/>
    </row>
    <row r="62" spans="1:25" ht="21" customHeight="1">
      <c r="A62" s="55" t="str">
        <f>'Secondary cum Calculation'!A88</f>
        <v>Poland</v>
      </c>
      <c r="B62" s="56" t="str">
        <f>'Secondary cum Calculation'!B88</f>
        <v>Tourism Demand Factors</v>
      </c>
      <c r="C62" s="55" t="str">
        <f>'Secondary cum Calculation'!C88</f>
        <v>Mean Household Income</v>
      </c>
      <c r="D62" s="55"/>
      <c r="E62" s="57"/>
      <c r="F62" s="57">
        <f>'Secondary cum Calculation'!F88</f>
        <v>0</v>
      </c>
      <c r="G62" s="57">
        <f>'Secondary cum Calculation'!G88</f>
        <v>0</v>
      </c>
      <c r="H62" s="57">
        <f>'Secondary cum Calculation'!H88</f>
        <v>0</v>
      </c>
      <c r="I62" s="57">
        <f>'Secondary cum Calculation'!I88</f>
        <v>0</v>
      </c>
      <c r="J62" s="57" t="s">
        <v>980</v>
      </c>
      <c r="K62" s="58">
        <f>'Secondary cum Calculation'!K88</f>
        <v>0</v>
      </c>
      <c r="L62" s="64">
        <f>'Secondary cum Calculation'!L88</f>
        <v>7147.9685289320005</v>
      </c>
      <c r="M62" s="64">
        <f>'Secondary cum Calculation'!M88</f>
        <v>8731.0537553401646</v>
      </c>
      <c r="N62" s="64">
        <f>'Secondary cum Calculation'!N88</f>
        <v>7009.3362544589836</v>
      </c>
      <c r="O62" s="64">
        <f>'Secondary cum Calculation'!O88</f>
        <v>7737.2371999999996</v>
      </c>
      <c r="P62" s="64">
        <f>'Secondary cum Calculation'!P88</f>
        <v>7980.076500378329</v>
      </c>
      <c r="Q62" s="64">
        <f>'Secondary cum Calculation'!Q88</f>
        <v>8587.3667114973159</v>
      </c>
      <c r="R62" s="64">
        <f>'Secondary cum Calculation'!R88</f>
        <v>9044.4806148251246</v>
      </c>
      <c r="S62" s="64">
        <f>'Secondary cum Calculation'!S88</f>
        <v>9482.4046219403772</v>
      </c>
      <c r="T62" s="64">
        <f>'Secondary cum Calculation'!T88</f>
        <v>9798.7124751620759</v>
      </c>
      <c r="U62" s="64">
        <f>'Secondary cum Calculation'!U88</f>
        <v>10314.768948592275</v>
      </c>
      <c r="V62" s="64">
        <f>'Secondary cum Calculation'!V88</f>
        <v>10798.399182978814</v>
      </c>
      <c r="W62" s="106">
        <f>'Secondary cum Calculation'!W88</f>
        <v>-4.1398897921434141E-3</v>
      </c>
      <c r="X62" s="106">
        <f>'Secondary cum Calculation'!X88</f>
        <v>4.6887161195456661E-2</v>
      </c>
      <c r="Y62" s="16" t="s">
        <v>1234</v>
      </c>
    </row>
    <row r="63" spans="1:25">
      <c r="A63" s="57"/>
      <c r="B63" s="57"/>
      <c r="C63" s="61" t="str">
        <f>'Secondary cum Calculation'!C89</f>
        <v>Growth Rate</v>
      </c>
      <c r="D63" s="61"/>
      <c r="E63" s="61"/>
      <c r="F63" s="61">
        <f>'Secondary cum Calculation'!F89</f>
        <v>0</v>
      </c>
      <c r="G63" s="61">
        <f>'Secondary cum Calculation'!G89</f>
        <v>0</v>
      </c>
      <c r="H63" s="61">
        <f>'Secondary cum Calculation'!H89</f>
        <v>0</v>
      </c>
      <c r="I63" s="61">
        <f>'Secondary cum Calculation'!I89</f>
        <v>0</v>
      </c>
      <c r="J63" s="61" t="str">
        <f>'Secondary cum Calculation'!J89</f>
        <v>%</v>
      </c>
      <c r="K63" s="58">
        <f>'Secondary cum Calculation'!K89</f>
        <v>0</v>
      </c>
      <c r="L63" s="59"/>
      <c r="M63" s="62">
        <f>'Secondary cum Calculation'!M89</f>
        <v>0.221473446616405</v>
      </c>
      <c r="N63" s="62">
        <f>'Secondary cum Calculation'!N89</f>
        <v>-0.19719469712669313</v>
      </c>
      <c r="O63" s="62">
        <f>'Secondary cum Calculation'!O89</f>
        <v>0.10384734290325448</v>
      </c>
      <c r="P63" s="62">
        <f>'Secondary cum Calculation'!P89</f>
        <v>3.1385789798240804E-2</v>
      </c>
      <c r="Q63" s="62">
        <f>'Secondary cum Calculation'!Q89</f>
        <v>7.6100800674053115E-2</v>
      </c>
      <c r="R63" s="62">
        <f>'Secondary cum Calculation'!R89</f>
        <v>5.3230975068969011E-2</v>
      </c>
      <c r="S63" s="62">
        <f>S62/R62-1</f>
        <v>4.8418922629723582E-2</v>
      </c>
      <c r="T63" s="62">
        <f t="shared" ref="T63:V63" si="1">T62/S62-1</f>
        <v>3.3357346140854061E-2</v>
      </c>
      <c r="U63" s="62">
        <f t="shared" si="1"/>
        <v>5.2665743049232994E-2</v>
      </c>
      <c r="V63" s="62">
        <f t="shared" si="1"/>
        <v>4.6887161195456883E-2</v>
      </c>
      <c r="W63" s="259"/>
      <c r="X63" s="259"/>
    </row>
    <row r="64" spans="1:25">
      <c r="A64" s="46" t="str">
        <f>'Secondary cum Calculation'!A90</f>
        <v>Poland</v>
      </c>
      <c r="B64" s="47" t="str">
        <f>'Secondary cum Calculation'!B90</f>
        <v>Tourism Demand Factors</v>
      </c>
      <c r="C64" s="46" t="str">
        <f>'Secondary cum Calculation'!C90</f>
        <v>Number of Holiday Trips by Season</v>
      </c>
      <c r="D64" s="48"/>
      <c r="E64" s="48"/>
      <c r="F64" s="48" t="str">
        <f>'Secondary cum Calculation'!F90</f>
        <v>The number of individuals who have opted to engage in tourism activities on a paid, public or unpaid holiday, segmented by the season/quarter of the year in which those activities take place. Individuals will be counted once per tourism trip, so may be counted several times over the course of a year.</v>
      </c>
      <c r="G64" s="48" t="str">
        <f>'Secondary cum Calculation'!G90</f>
        <v>Tourism Demand &amp; Flows Database</v>
      </c>
      <c r="H64" s="48" t="str">
        <f>'Secondary cum Calculation'!H90</f>
        <v>New</v>
      </c>
      <c r="I64" s="48">
        <f>'Secondary cum Calculation'!I90</f>
        <v>0</v>
      </c>
      <c r="J64" s="46" t="str">
        <f>'Secondary cum Calculation'!J90</f>
        <v>Thousand</v>
      </c>
      <c r="K64" s="76">
        <f>'Secondary cum Calculation'!K90</f>
        <v>0</v>
      </c>
      <c r="L64" s="79">
        <f>'Secondary cum Calculation'!L90</f>
        <v>41817.000000000007</v>
      </c>
      <c r="M64" s="79">
        <f>'Secondary cum Calculation'!M90</f>
        <v>42474.000000000007</v>
      </c>
      <c r="N64" s="79">
        <f>'Secondary cum Calculation'!N90</f>
        <v>37118</v>
      </c>
      <c r="O64" s="79">
        <f>'Secondary cum Calculation'!O90</f>
        <v>41021.5</v>
      </c>
      <c r="P64" s="79">
        <f>'Secondary cum Calculation'!P90</f>
        <v>35926.6</v>
      </c>
      <c r="Q64" s="79">
        <f>Q81</f>
        <v>34789.815808087129</v>
      </c>
      <c r="R64" s="79">
        <f t="shared" ref="R64:V64" si="2">R81</f>
        <v>35385.02515423904</v>
      </c>
      <c r="S64" s="79">
        <f t="shared" si="2"/>
        <v>35907.260663722911</v>
      </c>
      <c r="T64" s="79">
        <f t="shared" si="2"/>
        <v>36562.647826941276</v>
      </c>
      <c r="U64" s="79">
        <f t="shared" si="2"/>
        <v>37302.834973581761</v>
      </c>
      <c r="V64" s="79">
        <f t="shared" si="2"/>
        <v>38109.800290076804</v>
      </c>
      <c r="W64" s="262">
        <f>'Secondary cum Calculation'!W90</f>
        <v>-4.8667701433475097E-2</v>
      </c>
      <c r="X64" s="262">
        <f>'Secondary cum Calculation'!X90</f>
        <v>1.8396524910340384E-2</v>
      </c>
    </row>
    <row r="65" spans="1:24">
      <c r="A65" s="48"/>
      <c r="B65" s="48"/>
      <c r="C65" s="52" t="str">
        <f>'Secondary cum Calculation'!C91</f>
        <v>Growth Rate</v>
      </c>
      <c r="D65" s="52"/>
      <c r="E65" s="52"/>
      <c r="F65" s="52">
        <f>'Secondary cum Calculation'!F91</f>
        <v>0</v>
      </c>
      <c r="G65" s="52">
        <f>'Secondary cum Calculation'!G91</f>
        <v>0</v>
      </c>
      <c r="H65" s="52">
        <f>'Secondary cum Calculation'!H91</f>
        <v>0</v>
      </c>
      <c r="I65" s="52">
        <f>'Secondary cum Calculation'!I91</f>
        <v>0</v>
      </c>
      <c r="J65" s="52" t="str">
        <f>'Secondary cum Calculation'!J91</f>
        <v>%</v>
      </c>
      <c r="K65" s="49">
        <f>'Secondary cum Calculation'!K91</f>
        <v>0</v>
      </c>
      <c r="L65" s="53"/>
      <c r="M65" s="54">
        <f>'Secondary cum Calculation'!M91</f>
        <v>1.5711313580601294E-2</v>
      </c>
      <c r="N65" s="54">
        <f>'Secondary cum Calculation'!N91</f>
        <v>-0.12610067335311026</v>
      </c>
      <c r="O65" s="54">
        <f>'Secondary cum Calculation'!O91</f>
        <v>0.10516461016218548</v>
      </c>
      <c r="P65" s="54">
        <f>'Secondary cum Calculation'!P91</f>
        <v>-0.1242007240105798</v>
      </c>
      <c r="Q65" s="54">
        <f>Q64/P64-1</f>
        <v>-3.164185288652055E-2</v>
      </c>
      <c r="R65" s="54">
        <f t="shared" ref="R65:V65" si="3">R64/Q64-1</f>
        <v>1.7108723697627282E-2</v>
      </c>
      <c r="S65" s="54">
        <f t="shared" si="3"/>
        <v>1.4758658704000061E-2</v>
      </c>
      <c r="T65" s="54">
        <f t="shared" si="3"/>
        <v>1.8252218384358754E-2</v>
      </c>
      <c r="U65" s="54">
        <f t="shared" si="3"/>
        <v>2.0244352929359666E-2</v>
      </c>
      <c r="V65" s="54">
        <f t="shared" si="3"/>
        <v>2.1632814692678082E-2</v>
      </c>
      <c r="W65" s="258"/>
      <c r="X65" s="258"/>
    </row>
    <row r="66" spans="1:24">
      <c r="A66" s="46" t="str">
        <f>'Secondary cum Calculation'!A92</f>
        <v>Poland</v>
      </c>
      <c r="B66" s="47" t="str">
        <f>'Secondary cum Calculation'!B92</f>
        <v>Tourism Demand Factors</v>
      </c>
      <c r="C66" s="47" t="str">
        <f>'Secondary cum Calculation'!C92</f>
        <v>Number of Holiday Takers by Season</v>
      </c>
      <c r="D66" s="46" t="str">
        <f>'Secondary cum Calculation'!D92</f>
        <v>January - March</v>
      </c>
      <c r="E66" s="48"/>
      <c r="F66" s="48" t="str">
        <f>'Secondary cum Calculation'!F92</f>
        <v>The number of individuals who have opted to engage in tourism activities on a paid, public or unpaid holiday occurring between January and March. Individuals will be counted once per tourism trip, so may be counted several times over the course of the period.</v>
      </c>
      <c r="G66" s="48" t="str">
        <f>'Secondary cum Calculation'!G92</f>
        <v>Tourism Demand &amp; Flows Database</v>
      </c>
      <c r="H66" s="48" t="str">
        <f>'Secondary cum Calculation'!H92</f>
        <v>New</v>
      </c>
      <c r="I66" s="48">
        <f>'Secondary cum Calculation'!I92</f>
        <v>0</v>
      </c>
      <c r="J66" s="48" t="str">
        <f>'Secondary cum Calculation'!J92</f>
        <v>Thousand</v>
      </c>
      <c r="K66" s="49">
        <f>'Secondary cum Calculation'!K92</f>
        <v>344.11245787213153</v>
      </c>
      <c r="L66" s="65">
        <f>'Secondary cum Calculation'!L92</f>
        <v>7556.0105573038281</v>
      </c>
      <c r="M66" s="65">
        <f>'Secondary cum Calculation'!M92</f>
        <v>8409.043794030069</v>
      </c>
      <c r="N66" s="65">
        <f>'Secondary cum Calculation'!N92</f>
        <v>6694.9369811632978</v>
      </c>
      <c r="O66" s="65">
        <f>'Secondary cum Calculation'!O92</f>
        <v>6597.9504463610238</v>
      </c>
      <c r="P66" s="65">
        <f>'Secondary cum Calculation'!P92</f>
        <v>7021.5986670464254</v>
      </c>
      <c r="Q66" s="65">
        <f>Q74*Q$64</f>
        <v>6809.3169839715092</v>
      </c>
      <c r="R66" s="65">
        <f t="shared" ref="R66:U72" si="4">R74*R$64</f>
        <v>6871.4913541423266</v>
      </c>
      <c r="S66" s="65">
        <f t="shared" si="4"/>
        <v>6960.7692686052778</v>
      </c>
      <c r="T66" s="65">
        <f t="shared" si="4"/>
        <v>7055.1389456657653</v>
      </c>
      <c r="U66" s="65">
        <f t="shared" si="4"/>
        <v>7174.9979748441428</v>
      </c>
      <c r="V66" s="65">
        <f t="shared" ref="V66" si="5">V74*V$64</f>
        <v>7298.3342133058241</v>
      </c>
      <c r="W66" s="102">
        <f>'Secondary cum Calculation'!W92</f>
        <v>-5.1386645416916732E-2</v>
      </c>
      <c r="X66" s="102">
        <f>'Secondary cum Calculation'!X92</f>
        <v>1.3967509368756348E-2</v>
      </c>
    </row>
    <row r="67" spans="1:24">
      <c r="A67" s="48"/>
      <c r="B67" s="48"/>
      <c r="C67" s="52" t="str">
        <f>'Secondary cum Calculation'!C93</f>
        <v>Growth Rate</v>
      </c>
      <c r="D67" s="52"/>
      <c r="E67" s="52"/>
      <c r="F67" s="52">
        <f>'Secondary cum Calculation'!F93</f>
        <v>0</v>
      </c>
      <c r="G67" s="52">
        <f>'Secondary cum Calculation'!G93</f>
        <v>0</v>
      </c>
      <c r="H67" s="52">
        <f>'Secondary cum Calculation'!H93</f>
        <v>0</v>
      </c>
      <c r="I67" s="52">
        <f>'Secondary cum Calculation'!I93</f>
        <v>0</v>
      </c>
      <c r="J67" s="52" t="str">
        <f>'Secondary cum Calculation'!J93</f>
        <v>%</v>
      </c>
      <c r="K67" s="49">
        <f>'Secondary cum Calculation'!K93</f>
        <v>0</v>
      </c>
      <c r="L67" s="53"/>
      <c r="M67" s="54">
        <f>'Secondary cum Calculation'!M93</f>
        <v>0.1128946591930946</v>
      </c>
      <c r="N67" s="54">
        <f>'Secondary cum Calculation'!N93</f>
        <v>-0.20384087119200012</v>
      </c>
      <c r="O67" s="54">
        <f>'Secondary cum Calculation'!O93</f>
        <v>-1.4486549324534748E-2</v>
      </c>
      <c r="P67" s="54">
        <f>'Secondary cum Calculation'!P93</f>
        <v>6.4209063728124294E-2</v>
      </c>
      <c r="Q67" s="54">
        <f>Q66/P66-1</f>
        <v>-3.0232671096853014E-2</v>
      </c>
      <c r="R67" s="54">
        <f t="shared" ref="R67" si="6">R66/Q66-1</f>
        <v>9.1307792422015144E-3</v>
      </c>
      <c r="S67" s="54">
        <f t="shared" ref="S67" si="7">S66/R66-1</f>
        <v>1.2992509174756028E-2</v>
      </c>
      <c r="T67" s="54">
        <f t="shared" ref="T67" si="8">T66/S66-1</f>
        <v>1.3557363190605631E-2</v>
      </c>
      <c r="U67" s="54">
        <f t="shared" ref="U67:V67" si="9">U66/T66-1</f>
        <v>1.6988897043907381E-2</v>
      </c>
      <c r="V67" s="54">
        <f t="shared" si="9"/>
        <v>1.7189724498056114E-2</v>
      </c>
      <c r="W67" s="258"/>
      <c r="X67" s="258"/>
    </row>
    <row r="68" spans="1:24">
      <c r="A68" s="46" t="str">
        <f>'Secondary cum Calculation'!A94</f>
        <v>Poland</v>
      </c>
      <c r="B68" s="47" t="str">
        <f>'Secondary cum Calculation'!B94</f>
        <v>Tourism Demand Factors</v>
      </c>
      <c r="C68" s="47" t="str">
        <f>'Secondary cum Calculation'!C94</f>
        <v>Number of Holiday Takers by Season</v>
      </c>
      <c r="D68" s="46" t="str">
        <f>'Secondary cum Calculation'!D94</f>
        <v>April - June</v>
      </c>
      <c r="E68" s="48"/>
      <c r="F68" s="48" t="str">
        <f>'Secondary cum Calculation'!F94</f>
        <v>The number of individuals who have opted to engage in tourism activities on a paid, public or unpaid holiday occurring between April and June. Individuals will be counted once per tourism trip, so may be counted several times over the course of the period.</v>
      </c>
      <c r="G68" s="48" t="str">
        <f>'Secondary cum Calculation'!G94</f>
        <v>Tourism Demand &amp; Flows Database</v>
      </c>
      <c r="H68" s="48" t="str">
        <f>'Secondary cum Calculation'!H94</f>
        <v>New</v>
      </c>
      <c r="I68" s="48">
        <f>'Secondary cum Calculation'!I94</f>
        <v>0</v>
      </c>
      <c r="J68" s="48" t="str">
        <f>'Secondary cum Calculation'!J94</f>
        <v>Thousand</v>
      </c>
      <c r="K68" s="49">
        <f>'Secondary cum Calculation'!K94</f>
        <v>431.14946599168542</v>
      </c>
      <c r="L68" s="65">
        <f>'Secondary cum Calculation'!L94</f>
        <v>10083.878134199575</v>
      </c>
      <c r="M68" s="65">
        <f>'Secondary cum Calculation'!M94</f>
        <v>10033.681748856128</v>
      </c>
      <c r="N68" s="65">
        <f>'Secondary cum Calculation'!N94</f>
        <v>9046.3544499296731</v>
      </c>
      <c r="O68" s="65">
        <f>'Secondary cum Calculation'!O94</f>
        <v>8984.5091920108953</v>
      </c>
      <c r="P68" s="65">
        <f>'Secondary cum Calculation'!P94</f>
        <v>8421.4160637994864</v>
      </c>
      <c r="Q68" s="65">
        <f>Q76*Q$64</f>
        <v>8143.4341818941093</v>
      </c>
      <c r="R68" s="65">
        <f t="shared" si="4"/>
        <v>8286.5504976152242</v>
      </c>
      <c r="S68" s="65">
        <f t="shared" si="4"/>
        <v>8392.1504616656384</v>
      </c>
      <c r="T68" s="65">
        <f t="shared" si="4"/>
        <v>8573.3040376929002</v>
      </c>
      <c r="U68" s="65">
        <f t="shared" si="4"/>
        <v>8747.0076105533772</v>
      </c>
      <c r="V68" s="65">
        <f t="shared" ref="V68" si="10">V76*V$64</f>
        <v>8940.1517261904628</v>
      </c>
      <c r="W68" s="102">
        <f>'Secondary cum Calculation'!W94</f>
        <v>-5.084570522640397E-2</v>
      </c>
      <c r="X68" s="102">
        <f>'Secondary cum Calculation'!X94</f>
        <v>1.8843454646490398E-2</v>
      </c>
    </row>
    <row r="69" spans="1:24">
      <c r="A69" s="48"/>
      <c r="B69" s="48"/>
      <c r="C69" s="52" t="str">
        <f>'Secondary cum Calculation'!C95</f>
        <v>Growth Rate</v>
      </c>
      <c r="D69" s="52"/>
      <c r="E69" s="52"/>
      <c r="F69" s="52">
        <f>'Secondary cum Calculation'!F95</f>
        <v>0</v>
      </c>
      <c r="G69" s="52">
        <f>'Secondary cum Calculation'!G95</f>
        <v>0</v>
      </c>
      <c r="H69" s="52">
        <f>'Secondary cum Calculation'!H95</f>
        <v>0</v>
      </c>
      <c r="I69" s="52">
        <f>'Secondary cum Calculation'!I95</f>
        <v>0</v>
      </c>
      <c r="J69" s="52" t="str">
        <f>'Secondary cum Calculation'!J95</f>
        <v>%</v>
      </c>
      <c r="K69" s="49">
        <f>'Secondary cum Calculation'!K95</f>
        <v>0</v>
      </c>
      <c r="L69" s="53"/>
      <c r="M69" s="54">
        <f>'Secondary cum Calculation'!M95</f>
        <v>-4.97788496404028E-3</v>
      </c>
      <c r="N69" s="54">
        <f>'Secondary cum Calculation'!N95</f>
        <v>-9.8401297114991126E-2</v>
      </c>
      <c r="O69" s="54">
        <f>'Secondary cum Calculation'!O95</f>
        <v>-6.8364840512366021E-3</v>
      </c>
      <c r="P69" s="54">
        <f>'Secondary cum Calculation'!P95</f>
        <v>-6.2673777295716548E-2</v>
      </c>
      <c r="Q69" s="54">
        <f>Q68/P68-1</f>
        <v>-3.300892389111576E-2</v>
      </c>
      <c r="R69" s="54">
        <f t="shared" ref="R69" si="11">R68/Q68-1</f>
        <v>1.7574442492494846E-2</v>
      </c>
      <c r="S69" s="54">
        <f t="shared" ref="S69" si="12">S68/R68-1</f>
        <v>1.2743537142603012E-2</v>
      </c>
      <c r="T69" s="54">
        <f t="shared" ref="T69" si="13">T68/S68-1</f>
        <v>2.1586073421198781E-2</v>
      </c>
      <c r="U69" s="54">
        <f t="shared" ref="U69:V69" si="14">U68/T68-1</f>
        <v>2.0260983641403829E-2</v>
      </c>
      <c r="V69" s="54">
        <f t="shared" si="14"/>
        <v>2.2081164695004318E-2</v>
      </c>
      <c r="W69" s="258"/>
      <c r="X69" s="258"/>
    </row>
    <row r="70" spans="1:24">
      <c r="A70" s="46" t="str">
        <f>'Secondary cum Calculation'!A96</f>
        <v>Poland</v>
      </c>
      <c r="B70" s="47" t="str">
        <f>'Secondary cum Calculation'!B96</f>
        <v>Tourism Demand Factors</v>
      </c>
      <c r="C70" s="47" t="str">
        <f>'Secondary cum Calculation'!C96</f>
        <v>Number of Holiday Takers by Season</v>
      </c>
      <c r="D70" s="46" t="str">
        <f>'Secondary cum Calculation'!D96</f>
        <v>July - September</v>
      </c>
      <c r="E70" s="48"/>
      <c r="F70" s="48" t="str">
        <f>'Secondary cum Calculation'!F96</f>
        <v>The number of individuals who have opted to engage in tourism activities on a paid, public or unpaid holiday occurring between July and September. Individuals will be counted once per tourism trip, so may be counted several times over the course of the period.</v>
      </c>
      <c r="G70" s="48" t="str">
        <f>'Secondary cum Calculation'!G96</f>
        <v>Tourism Demand &amp; Flows Database</v>
      </c>
      <c r="H70" s="48" t="str">
        <f>'Secondary cum Calculation'!H96</f>
        <v>New</v>
      </c>
      <c r="I70" s="48">
        <f>'Secondary cum Calculation'!I96</f>
        <v>0</v>
      </c>
      <c r="J70" s="48" t="str">
        <f>'Secondary cum Calculation'!J96</f>
        <v>Thousand</v>
      </c>
      <c r="K70" s="49">
        <f>'Secondary cum Calculation'!K96</f>
        <v>420.50674294822005</v>
      </c>
      <c r="L70" s="65">
        <f>'Secondary cum Calculation'!L96</f>
        <v>15936.602603796571</v>
      </c>
      <c r="M70" s="65">
        <f>'Secondary cum Calculation'!M96</f>
        <v>16488.018737744213</v>
      </c>
      <c r="N70" s="65">
        <f>'Secondary cum Calculation'!N96</f>
        <v>14782.093273394192</v>
      </c>
      <c r="O70" s="65">
        <f>'Secondary cum Calculation'!O96</f>
        <v>17357.637274928129</v>
      </c>
      <c r="P70" s="65">
        <f>'Secondary cum Calculation'!P96</f>
        <v>13407.753910566789</v>
      </c>
      <c r="Q70" s="65">
        <f>Q78*Q$64</f>
        <v>12915.651001321934</v>
      </c>
      <c r="R70" s="65">
        <f t="shared" si="4"/>
        <v>13003.865639416017</v>
      </c>
      <c r="S70" s="65">
        <f t="shared" si="4"/>
        <v>13140.271717481732</v>
      </c>
      <c r="T70" s="65">
        <f t="shared" si="4"/>
        <v>13290.235764943684</v>
      </c>
      <c r="U70" s="65">
        <f t="shared" si="4"/>
        <v>13470.250385813593</v>
      </c>
      <c r="V70" s="65">
        <f t="shared" ref="V70" si="15">V78*V$64</f>
        <v>13666.676574980607</v>
      </c>
      <c r="W70" s="102">
        <f>'Secondary cum Calculation'!W96</f>
        <v>-5.9222423888902975E-2</v>
      </c>
      <c r="X70" s="102">
        <f>'Secondary cum Calculation'!X96</f>
        <v>1.1368267384258335E-2</v>
      </c>
    </row>
    <row r="71" spans="1:24">
      <c r="A71" s="48"/>
      <c r="B71" s="48"/>
      <c r="C71" s="52" t="str">
        <f>'Secondary cum Calculation'!C97</f>
        <v>Growth Rate</v>
      </c>
      <c r="D71" s="52"/>
      <c r="E71" s="52"/>
      <c r="F71" s="52">
        <f>'Secondary cum Calculation'!F97</f>
        <v>0</v>
      </c>
      <c r="G71" s="52">
        <f>'Secondary cum Calculation'!G97</f>
        <v>0</v>
      </c>
      <c r="H71" s="52">
        <f>'Secondary cum Calculation'!H97</f>
        <v>0</v>
      </c>
      <c r="I71" s="52">
        <f>'Secondary cum Calculation'!I97</f>
        <v>0</v>
      </c>
      <c r="J71" s="52" t="str">
        <f>'Secondary cum Calculation'!J97</f>
        <v>%</v>
      </c>
      <c r="K71" s="49">
        <f>'Secondary cum Calculation'!K97</f>
        <v>0</v>
      </c>
      <c r="L71" s="53"/>
      <c r="M71" s="54">
        <f>'Secondary cum Calculation'!M97</f>
        <v>3.4600607648726633E-2</v>
      </c>
      <c r="N71" s="54">
        <f>'Secondary cum Calculation'!N97</f>
        <v>-0.10346455153188494</v>
      </c>
      <c r="O71" s="54">
        <f>'Secondary cum Calculation'!O97</f>
        <v>0.17423405155814931</v>
      </c>
      <c r="P71" s="54">
        <f>'Secondary cum Calculation'!P97</f>
        <v>-0.22755881470496364</v>
      </c>
      <c r="Q71" s="54">
        <f>Q70/P70-1</f>
        <v>-3.6702859593583659E-2</v>
      </c>
      <c r="R71" s="54">
        <f t="shared" ref="R71" si="16">R70/Q70-1</f>
        <v>6.8300574307136319E-3</v>
      </c>
      <c r="S71" s="54">
        <f t="shared" ref="S71" si="17">S70/R70-1</f>
        <v>1.0489656064443853E-2</v>
      </c>
      <c r="T71" s="54">
        <f t="shared" ref="T71" si="18">T70/S70-1</f>
        <v>1.1412553003941284E-2</v>
      </c>
      <c r="U71" s="54">
        <f t="shared" ref="U71:V71" si="19">U70/T70-1</f>
        <v>1.3544877912906816E-2</v>
      </c>
      <c r="V71" s="54">
        <f t="shared" si="19"/>
        <v>1.4582222567583791E-2</v>
      </c>
      <c r="W71" s="258"/>
      <c r="X71" s="258"/>
    </row>
    <row r="72" spans="1:24">
      <c r="A72" s="46" t="str">
        <f>'Secondary cum Calculation'!A98</f>
        <v>Poland</v>
      </c>
      <c r="B72" s="47" t="str">
        <f>'Secondary cum Calculation'!B98</f>
        <v>Tourism Demand Factors</v>
      </c>
      <c r="C72" s="47" t="str">
        <f>'Secondary cum Calculation'!C98</f>
        <v>Number of Holiday Takers by Season</v>
      </c>
      <c r="D72" s="46" t="str">
        <f>'Secondary cum Calculation'!D98</f>
        <v>October - December</v>
      </c>
      <c r="E72" s="48"/>
      <c r="F72" s="48" t="str">
        <f>'Secondary cum Calculation'!F98</f>
        <v>The number of individuals who have opted to engage in tourism activities on a paid, public or unpaid holiday occurring between October and December. Individuals will be counted once per tourism trip, so may be counted several times over the course of the period.</v>
      </c>
      <c r="G72" s="48" t="str">
        <f>'Secondary cum Calculation'!G98</f>
        <v>Tourism Demand &amp; Flows Database</v>
      </c>
      <c r="H72" s="48" t="str">
        <f>'Secondary cum Calculation'!H98</f>
        <v>New</v>
      </c>
      <c r="I72" s="48">
        <f>'Secondary cum Calculation'!I98</f>
        <v>0</v>
      </c>
      <c r="J72" s="48" t="str">
        <f>'Secondary cum Calculation'!J98</f>
        <v>Thousand</v>
      </c>
      <c r="K72" s="49">
        <f>'Secondary cum Calculation'!K98</f>
        <v>361.5037531879629</v>
      </c>
      <c r="L72" s="65">
        <f>'Secondary cum Calculation'!L98</f>
        <v>8240.5087047000288</v>
      </c>
      <c r="M72" s="65">
        <f>'Secondary cum Calculation'!M98</f>
        <v>7543.2557193695957</v>
      </c>
      <c r="N72" s="65">
        <f>'Secondary cum Calculation'!N98</f>
        <v>6594.6152955128391</v>
      </c>
      <c r="O72" s="65">
        <f>'Secondary cum Calculation'!O98</f>
        <v>8081.4030866999519</v>
      </c>
      <c r="P72" s="65">
        <f>'Secondary cum Calculation'!P98</f>
        <v>7075.8313585872975</v>
      </c>
      <c r="Q72" s="65">
        <f>Q80*Q$64</f>
        <v>6921.4136408995755</v>
      </c>
      <c r="R72" s="65">
        <f t="shared" si="4"/>
        <v>7223.1176630654718</v>
      </c>
      <c r="S72" s="65">
        <f t="shared" si="4"/>
        <v>7414.0692159702648</v>
      </c>
      <c r="T72" s="65">
        <f t="shared" si="4"/>
        <v>7643.9690786389283</v>
      </c>
      <c r="U72" s="65">
        <f t="shared" si="4"/>
        <v>7910.5790023706495</v>
      </c>
      <c r="V72" s="65">
        <f t="shared" ref="V72" si="20">V80*V$64</f>
        <v>8204.6377755999074</v>
      </c>
      <c r="W72" s="102">
        <f>'Secondary cum Calculation'!W98</f>
        <v>-2.1278804923141714E-2</v>
      </c>
      <c r="X72" s="102">
        <f>'Secondary cum Calculation'!X98</f>
        <v>3.460106599218582E-2</v>
      </c>
    </row>
    <row r="73" spans="1:24">
      <c r="A73" s="48"/>
      <c r="B73" s="48"/>
      <c r="C73" s="52" t="str">
        <f>'Secondary cum Calculation'!C99</f>
        <v>Growth Rate</v>
      </c>
      <c r="D73" s="52"/>
      <c r="E73" s="52"/>
      <c r="F73" s="52">
        <f>'Secondary cum Calculation'!F99</f>
        <v>0</v>
      </c>
      <c r="G73" s="52">
        <f>'Secondary cum Calculation'!G99</f>
        <v>0</v>
      </c>
      <c r="H73" s="52">
        <f>'Secondary cum Calculation'!H99</f>
        <v>0</v>
      </c>
      <c r="I73" s="52">
        <f>'Secondary cum Calculation'!I99</f>
        <v>0</v>
      </c>
      <c r="J73" s="52" t="str">
        <f>'Secondary cum Calculation'!J99</f>
        <v>%</v>
      </c>
      <c r="K73" s="49">
        <f>'Secondary cum Calculation'!K99</f>
        <v>0</v>
      </c>
      <c r="L73" s="53"/>
      <c r="M73" s="54">
        <f>'Secondary cum Calculation'!M99</f>
        <v>-8.4612857084023219E-2</v>
      </c>
      <c r="N73" s="54">
        <f>'Secondary cum Calculation'!N99</f>
        <v>-0.12576007749821272</v>
      </c>
      <c r="O73" s="54">
        <f>'Secondary cum Calculation'!O99</f>
        <v>0.22545481799351741</v>
      </c>
      <c r="P73" s="54">
        <f>'Secondary cum Calculation'!P99</f>
        <v>-0.1244303393017957</v>
      </c>
      <c r="Q73" s="54">
        <f>Q72/P72-1</f>
        <v>-2.1823261446207165E-2</v>
      </c>
      <c r="R73" s="54">
        <f t="shared" ref="R73" si="21">R72/Q72-1</f>
        <v>4.3589942433592821E-2</v>
      </c>
      <c r="S73" s="54">
        <f t="shared" ref="S73" si="22">S72/R72-1</f>
        <v>2.6436168121862558E-2</v>
      </c>
      <c r="T73" s="54">
        <f t="shared" ref="T73" si="23">T72/S72-1</f>
        <v>3.1008594062414296E-2</v>
      </c>
      <c r="U73" s="54">
        <f t="shared" ref="U73:V73" si="24">U72/T72-1</f>
        <v>3.4878467061930207E-2</v>
      </c>
      <c r="V73" s="54">
        <f t="shared" si="24"/>
        <v>3.7172850829393589E-2</v>
      </c>
      <c r="W73" s="258"/>
      <c r="X73" s="258"/>
    </row>
    <row r="74" spans="1:24" s="67" customFormat="1" outlineLevel="1">
      <c r="C74" s="68" t="s">
        <v>911</v>
      </c>
      <c r="D74" s="69" t="str">
        <f>'Secondary cum Calculation'!D100</f>
        <v>January - March</v>
      </c>
      <c r="E74" s="68"/>
      <c r="F74" s="68">
        <f>'Secondary cum Calculation'!F100</f>
        <v>0</v>
      </c>
      <c r="G74" s="68">
        <f>'Secondary cum Calculation'!G100</f>
        <v>0</v>
      </c>
      <c r="H74" s="68">
        <f>'Secondary cum Calculation'!H100</f>
        <v>0</v>
      </c>
      <c r="I74" s="68">
        <f>'Secondary cum Calculation'!I100</f>
        <v>0</v>
      </c>
      <c r="J74" s="68"/>
      <c r="K74" s="74">
        <f>'Secondary cum Calculation'!K100</f>
        <v>0</v>
      </c>
      <c r="L74" s="281">
        <f>'Secondary cum Calculation'!L100</f>
        <v>0.18069231550096437</v>
      </c>
      <c r="M74" s="281">
        <f>'Secondary cum Calculation'!M100</f>
        <v>0.19798097174812987</v>
      </c>
      <c r="N74" s="281">
        <f>'Secondary cum Calculation'!N100</f>
        <v>0.18036901183154527</v>
      </c>
      <c r="O74" s="281">
        <f>'Secondary cum Calculation'!O100</f>
        <v>0.16084127704645182</v>
      </c>
      <c r="P74" s="281">
        <f>'Secondary cum Calculation'!P100</f>
        <v>0.19544289376246085</v>
      </c>
      <c r="Q74" s="321">
        <f>P74*(1+(((P74/L74)^(1/4))-1))*0.982</f>
        <v>0.195727307713674</v>
      </c>
      <c r="R74" s="321">
        <f>Q74*(1+(((Q74/M74)^(1/4))-1))*0.995</f>
        <v>0.1941920720471535</v>
      </c>
      <c r="S74" s="321">
        <f>R74*(1+(((R74/N74)^(1/4))-1))*0.98</f>
        <v>0.19385408800169876</v>
      </c>
      <c r="T74" s="321">
        <f>S74*(1+(((S74/O74)^(1/4))-1))*0.95</f>
        <v>0.19296028501708154</v>
      </c>
      <c r="U74" s="321">
        <f t="shared" ref="U74:V78" si="25">T74*(1+(((T74/P74)^(1/4))-1))</f>
        <v>0.19234457595315604</v>
      </c>
      <c r="V74" s="321">
        <f t="shared" si="25"/>
        <v>0.19150806768216511</v>
      </c>
      <c r="W74" s="75"/>
      <c r="X74" s="75"/>
    </row>
    <row r="75" spans="1:24" s="67" customFormat="1" outlineLevel="1">
      <c r="C75" s="68"/>
      <c r="D75" s="68"/>
      <c r="E75" s="68"/>
      <c r="F75" s="68">
        <f>'Secondary cum Calculation'!F101</f>
        <v>0</v>
      </c>
      <c r="G75" s="68">
        <f>'Secondary cum Calculation'!G101</f>
        <v>0</v>
      </c>
      <c r="H75" s="68">
        <f>'Secondary cum Calculation'!H101</f>
        <v>0</v>
      </c>
      <c r="I75" s="68">
        <f>'Secondary cum Calculation'!I101</f>
        <v>0</v>
      </c>
      <c r="J75" s="68"/>
      <c r="K75" s="74">
        <f>'Secondary cum Calculation'!K101</f>
        <v>0</v>
      </c>
      <c r="L75" s="281"/>
      <c r="M75" s="71"/>
      <c r="N75" s="71"/>
      <c r="O75" s="71"/>
      <c r="P75" s="71"/>
      <c r="Q75" s="163"/>
      <c r="R75" s="163"/>
      <c r="S75" s="163"/>
      <c r="T75" s="163"/>
      <c r="U75" s="163"/>
      <c r="V75" s="83"/>
      <c r="W75" s="75"/>
      <c r="X75" s="75"/>
    </row>
    <row r="76" spans="1:24" s="67" customFormat="1" outlineLevel="1">
      <c r="C76" s="68"/>
      <c r="D76" s="69" t="str">
        <f>'Secondary cum Calculation'!D102</f>
        <v>April - June</v>
      </c>
      <c r="E76" s="68"/>
      <c r="F76" s="68">
        <f>'Secondary cum Calculation'!F102</f>
        <v>0</v>
      </c>
      <c r="G76" s="68">
        <f>'Secondary cum Calculation'!G102</f>
        <v>0</v>
      </c>
      <c r="H76" s="68">
        <f>'Secondary cum Calculation'!H102</f>
        <v>0</v>
      </c>
      <c r="I76" s="68">
        <f>'Secondary cum Calculation'!I102</f>
        <v>0</v>
      </c>
      <c r="J76" s="68"/>
      <c r="K76" s="74">
        <f>'Secondary cum Calculation'!K102</f>
        <v>0</v>
      </c>
      <c r="L76" s="281">
        <f>'Secondary cum Calculation'!L102</f>
        <v>0.24114303116434879</v>
      </c>
      <c r="M76" s="281">
        <f>'Secondary cum Calculation'!M102</f>
        <v>0.23623114726317573</v>
      </c>
      <c r="N76" s="281">
        <f>'Secondary cum Calculation'!N102</f>
        <v>0.24371880084944428</v>
      </c>
      <c r="O76" s="281">
        <f>'Secondary cum Calculation'!O102</f>
        <v>0.21901951883794826</v>
      </c>
      <c r="P76" s="281">
        <f>'Secondary cum Calculation'!P102</f>
        <v>0.23440615209342067</v>
      </c>
      <c r="Q76" s="321">
        <f>P76*(1+(((P76/L76)^(1/4))-1)*0.2)</f>
        <v>0.23407523129228849</v>
      </c>
      <c r="R76" s="321">
        <f>Q76*(1+(((Q76/M76)^(1/4))-1)*-0.2)</f>
        <v>0.23418241082195515</v>
      </c>
      <c r="S76" s="321">
        <f>R76*(1+(((R76/N76)^(1/4))-1)*0.2)</f>
        <v>0.2337173682019198</v>
      </c>
      <c r="T76" s="321">
        <f t="shared" ref="T76:U76" si="26">S76*(1+(((S76/O76)^(1/4))-1)*0.2)</f>
        <v>0.23448258119248244</v>
      </c>
      <c r="U76" s="321">
        <f t="shared" si="26"/>
        <v>0.23448640342612284</v>
      </c>
      <c r="V76" s="321">
        <f t="shared" si="25"/>
        <v>0.2345893092627499</v>
      </c>
      <c r="W76" s="75"/>
      <c r="X76" s="75"/>
    </row>
    <row r="77" spans="1:24" s="67" customFormat="1" outlineLevel="1">
      <c r="C77" s="68"/>
      <c r="D77" s="68"/>
      <c r="E77" s="68"/>
      <c r="F77" s="68">
        <f>'Secondary cum Calculation'!F103</f>
        <v>0</v>
      </c>
      <c r="G77" s="68">
        <f>'Secondary cum Calculation'!G103</f>
        <v>0</v>
      </c>
      <c r="H77" s="68">
        <f>'Secondary cum Calculation'!H103</f>
        <v>0</v>
      </c>
      <c r="I77" s="68">
        <f>'Secondary cum Calculation'!I103</f>
        <v>0</v>
      </c>
      <c r="J77" s="68"/>
      <c r="K77" s="74">
        <f>'Secondary cum Calculation'!K103</f>
        <v>0</v>
      </c>
      <c r="L77" s="281"/>
      <c r="M77" s="71"/>
      <c r="N77" s="71"/>
      <c r="O77" s="71"/>
      <c r="P77" s="71"/>
      <c r="Q77" s="163"/>
      <c r="R77" s="163"/>
      <c r="S77" s="163"/>
      <c r="T77" s="163"/>
      <c r="U77" s="163"/>
      <c r="V77" s="83"/>
      <c r="W77" s="75"/>
      <c r="X77" s="75"/>
    </row>
    <row r="78" spans="1:24" s="67" customFormat="1" outlineLevel="1">
      <c r="C78" s="68"/>
      <c r="D78" s="69" t="str">
        <f>'Secondary cum Calculation'!D104</f>
        <v>July - September</v>
      </c>
      <c r="E78" s="68"/>
      <c r="F78" s="68">
        <f>'Secondary cum Calculation'!F104</f>
        <v>0</v>
      </c>
      <c r="G78" s="68">
        <f>'Secondary cum Calculation'!G104</f>
        <v>0</v>
      </c>
      <c r="H78" s="68">
        <f>'Secondary cum Calculation'!H104</f>
        <v>0</v>
      </c>
      <c r="I78" s="68">
        <f>'Secondary cum Calculation'!I104</f>
        <v>0</v>
      </c>
      <c r="J78" s="68"/>
      <c r="K78" s="74">
        <f>'Secondary cum Calculation'!K104</f>
        <v>0</v>
      </c>
      <c r="L78" s="281">
        <f>'Secondary cum Calculation'!L104</f>
        <v>0.38110344127499746</v>
      </c>
      <c r="M78" s="281">
        <f>'Secondary cum Calculation'!M104</f>
        <v>0.38819086353402571</v>
      </c>
      <c r="N78" s="281">
        <f>'Secondary cum Calculation'!N104</f>
        <v>0.39824595272897761</v>
      </c>
      <c r="O78" s="281">
        <f>'Secondary cum Calculation'!O104</f>
        <v>0.42313511877742471</v>
      </c>
      <c r="P78" s="281">
        <f>'Secondary cum Calculation'!P104</f>
        <v>0.37319851894047279</v>
      </c>
      <c r="Q78" s="321">
        <f>P78*(1+(((P78/L78)^(1/4))-1))</f>
        <v>0.3712480420295759</v>
      </c>
      <c r="R78" s="321">
        <f>Q78*(1+(((Q78/M78)^(1/4))-1))*1.001</f>
        <v>0.36749629490819186</v>
      </c>
      <c r="S78" s="321">
        <f>R78*(1+(((R78/N78)^(1/4))-1))*1.016</f>
        <v>0.36595026951630821</v>
      </c>
      <c r="T78" s="321">
        <f>S78*(1+(((S78/O78)^(1/4))-1))*1.03</f>
        <v>0.36349215811308777</v>
      </c>
      <c r="U78" s="321">
        <f t="shared" ref="U78" si="27">T78*(1+(((T78/P78)^(1/4))-1))</f>
        <v>0.36110527243715818</v>
      </c>
      <c r="V78" s="321">
        <f t="shared" si="25"/>
        <v>0.3586131774754851</v>
      </c>
      <c r="W78" s="75"/>
      <c r="X78" s="75"/>
    </row>
    <row r="79" spans="1:24" s="67" customFormat="1" outlineLevel="1">
      <c r="C79" s="68"/>
      <c r="D79" s="68"/>
      <c r="E79" s="68"/>
      <c r="F79" s="68">
        <f>'Secondary cum Calculation'!F105</f>
        <v>0</v>
      </c>
      <c r="G79" s="68">
        <f>'Secondary cum Calculation'!G105</f>
        <v>0</v>
      </c>
      <c r="H79" s="68">
        <f>'Secondary cum Calculation'!H105</f>
        <v>0</v>
      </c>
      <c r="I79" s="68">
        <f>'Secondary cum Calculation'!I105</f>
        <v>0</v>
      </c>
      <c r="J79" s="68"/>
      <c r="K79" s="74">
        <f>'Secondary cum Calculation'!K105</f>
        <v>0</v>
      </c>
      <c r="L79" s="281"/>
      <c r="M79" s="71"/>
      <c r="N79" s="71"/>
      <c r="O79" s="71"/>
      <c r="P79" s="71"/>
      <c r="Q79" s="163"/>
      <c r="R79" s="163"/>
      <c r="S79" s="163"/>
      <c r="T79" s="163"/>
      <c r="U79" s="163"/>
      <c r="V79" s="83"/>
      <c r="W79" s="75"/>
      <c r="X79" s="75"/>
    </row>
    <row r="80" spans="1:24" s="67" customFormat="1" outlineLevel="1">
      <c r="C80" s="68"/>
      <c r="D80" s="69" t="str">
        <f>'Secondary cum Calculation'!D106</f>
        <v>October - December</v>
      </c>
      <c r="E80" s="68"/>
      <c r="F80" s="68">
        <f>'Secondary cum Calculation'!F106</f>
        <v>0</v>
      </c>
      <c r="G80" s="68">
        <f>'Secondary cum Calculation'!G106</f>
        <v>0</v>
      </c>
      <c r="H80" s="68">
        <f>'Secondary cum Calculation'!H106</f>
        <v>0</v>
      </c>
      <c r="I80" s="68">
        <f>'Secondary cum Calculation'!I106</f>
        <v>0</v>
      </c>
      <c r="J80" s="68"/>
      <c r="K80" s="74">
        <f>'Secondary cum Calculation'!K106</f>
        <v>0</v>
      </c>
      <c r="L80" s="281">
        <f>'Secondary cum Calculation'!L106</f>
        <v>0.19706121205968929</v>
      </c>
      <c r="M80" s="281">
        <f>'Secondary cum Calculation'!M106</f>
        <v>0.1775970174546686</v>
      </c>
      <c r="N80" s="281">
        <f>'Secondary cum Calculation'!N106</f>
        <v>0.17766623459003283</v>
      </c>
      <c r="O80" s="281">
        <f>'Secondary cum Calculation'!O106</f>
        <v>0.19700408533817515</v>
      </c>
      <c r="P80" s="281">
        <f>'Secondary cum Calculation'!P106</f>
        <v>0.19695243520364569</v>
      </c>
      <c r="Q80" s="321">
        <f>1-SUM(Q78,Q76,Q74)</f>
        <v>0.19894941896446161</v>
      </c>
      <c r="R80" s="321">
        <f t="shared" ref="R80:V80" si="28">1-SUM(R78,R76,R74)</f>
        <v>0.20412922222269947</v>
      </c>
      <c r="S80" s="321">
        <f t="shared" si="28"/>
        <v>0.20647827428007326</v>
      </c>
      <c r="T80" s="321">
        <f t="shared" si="28"/>
        <v>0.20906497567734827</v>
      </c>
      <c r="U80" s="321">
        <f t="shared" si="28"/>
        <v>0.21206374818356299</v>
      </c>
      <c r="V80" s="321">
        <f t="shared" si="28"/>
        <v>0.21528944557959984</v>
      </c>
      <c r="W80" s="75"/>
      <c r="X80" s="75"/>
    </row>
    <row r="81" spans="1:25">
      <c r="A81" s="55" t="str">
        <f>'Secondary cum Calculation'!A107</f>
        <v>Poland</v>
      </c>
      <c r="B81" s="56" t="str">
        <f>'Secondary cum Calculation'!B107</f>
        <v>Tourism Demand Factors</v>
      </c>
      <c r="C81" s="55" t="str">
        <f>'Secondary cum Calculation'!C107</f>
        <v>Number of Return Trips by Residents by Type</v>
      </c>
      <c r="D81" s="57"/>
      <c r="E81" s="57"/>
      <c r="F81" s="7" t="str">
        <f>'Secondary cum Calculation'!F107</f>
        <v>The number of trips undertaken by the residents of a country, segmented by the destination and length of the trip.</v>
      </c>
      <c r="G81" s="7" t="str">
        <f>'Secondary cum Calculation'!G107</f>
        <v>Tourism Demand &amp; Flows Database</v>
      </c>
      <c r="H81" s="7" t="str">
        <f>'Secondary cum Calculation'!H107</f>
        <v>New</v>
      </c>
      <c r="I81" s="7">
        <f>'Secondary cum Calculation'!I107</f>
        <v>0</v>
      </c>
      <c r="J81" s="55" t="str">
        <f>'Secondary cum Calculation'!J107</f>
        <v>Thousand</v>
      </c>
      <c r="K81" s="111">
        <f>'Secondary cum Calculation'!K107</f>
        <v>0</v>
      </c>
      <c r="L81" s="267">
        <f>'Secondary cum Calculation'!L107</f>
        <v>41817.000000000007</v>
      </c>
      <c r="M81" s="267">
        <f>'Secondary cum Calculation'!M107</f>
        <v>42474.000000000007</v>
      </c>
      <c r="N81" s="267">
        <f>'Secondary cum Calculation'!N107</f>
        <v>37118</v>
      </c>
      <c r="O81" s="267">
        <f>'Secondary cum Calculation'!O107</f>
        <v>41021.5</v>
      </c>
      <c r="P81" s="267">
        <f>'Secondary cum Calculation'!P107</f>
        <v>35926.6</v>
      </c>
      <c r="Q81" s="267">
        <f t="shared" ref="Q81:V81" si="29">Q83+Q97</f>
        <v>34789.815808087129</v>
      </c>
      <c r="R81" s="267">
        <f t="shared" si="29"/>
        <v>35385.02515423904</v>
      </c>
      <c r="S81" s="267">
        <f t="shared" si="29"/>
        <v>35907.260663722911</v>
      </c>
      <c r="T81" s="267">
        <f t="shared" si="29"/>
        <v>36562.647826941276</v>
      </c>
      <c r="U81" s="267">
        <f t="shared" si="29"/>
        <v>37302.834973581761</v>
      </c>
      <c r="V81" s="267">
        <f t="shared" si="29"/>
        <v>38109.800290076804</v>
      </c>
      <c r="W81" s="260">
        <f>'Secondary cum Calculation'!W107</f>
        <v>-4.8667701433475097E-2</v>
      </c>
      <c r="X81" s="260">
        <f>'Secondary cum Calculation'!X107</f>
        <v>1.8396524910340384E-2</v>
      </c>
    </row>
    <row r="82" spans="1:25">
      <c r="A82" s="57"/>
      <c r="B82" s="57"/>
      <c r="C82" s="61" t="str">
        <f>'Secondary cum Calculation'!C108</f>
        <v>Growth Rate</v>
      </c>
      <c r="D82" s="61"/>
      <c r="E82" s="61"/>
      <c r="F82" s="61">
        <f>'Secondary cum Calculation'!F108</f>
        <v>0</v>
      </c>
      <c r="G82" s="61">
        <f>'Secondary cum Calculation'!G108</f>
        <v>0</v>
      </c>
      <c r="H82" s="61">
        <f>'Secondary cum Calculation'!H108</f>
        <v>0</v>
      </c>
      <c r="I82" s="61">
        <f>'Secondary cum Calculation'!I108</f>
        <v>0</v>
      </c>
      <c r="J82" s="61" t="str">
        <f>'Secondary cum Calculation'!J108</f>
        <v>%</v>
      </c>
      <c r="K82" s="58">
        <f>'Secondary cum Calculation'!K108</f>
        <v>0</v>
      </c>
      <c r="L82" s="59"/>
      <c r="M82" s="62">
        <f>'Secondary cum Calculation'!M108</f>
        <v>1.5711313580601294E-2</v>
      </c>
      <c r="N82" s="62">
        <f>'Secondary cum Calculation'!N108</f>
        <v>-0.12610067335311026</v>
      </c>
      <c r="O82" s="62">
        <f>'Secondary cum Calculation'!O108</f>
        <v>0.10516461016218548</v>
      </c>
      <c r="P82" s="62">
        <f>'Secondary cum Calculation'!P108</f>
        <v>-0.1242007240105798</v>
      </c>
      <c r="Q82" s="62">
        <f>Q81/P81-1</f>
        <v>-3.164185288652055E-2</v>
      </c>
      <c r="R82" s="62">
        <f t="shared" ref="R82:V82" si="30">R81/Q81-1</f>
        <v>1.7108723697627282E-2</v>
      </c>
      <c r="S82" s="62">
        <f t="shared" si="30"/>
        <v>1.4758658704000061E-2</v>
      </c>
      <c r="T82" s="62">
        <f t="shared" si="30"/>
        <v>1.8252218384358754E-2</v>
      </c>
      <c r="U82" s="62">
        <f t="shared" si="30"/>
        <v>2.0244352929359666E-2</v>
      </c>
      <c r="V82" s="62">
        <f t="shared" si="30"/>
        <v>2.1632814692678082E-2</v>
      </c>
      <c r="W82" s="259"/>
      <c r="X82" s="259"/>
    </row>
    <row r="83" spans="1:25">
      <c r="A83" s="55" t="str">
        <f>'Secondary cum Calculation'!A109</f>
        <v>Poland</v>
      </c>
      <c r="B83" s="56" t="str">
        <f>'Secondary cum Calculation'!B109</f>
        <v>Tourism Demand Factors</v>
      </c>
      <c r="C83" s="56" t="str">
        <f>'Secondary cum Calculation'!C109</f>
        <v>Number of Return Trips by Residents by Length &amp; Type</v>
      </c>
      <c r="D83" s="55" t="str">
        <f>'Secondary cum Calculation'!D109</f>
        <v>Domestic Trips</v>
      </c>
      <c r="E83" s="57"/>
      <c r="F83" s="57" t="str">
        <f>'Secondary cum Calculation'!F109</f>
        <v>The number of domestic trips undertaken by residents of a country.</v>
      </c>
      <c r="G83" s="57" t="str">
        <f>'Secondary cum Calculation'!G109</f>
        <v>Tourism Demand &amp; Flows Database</v>
      </c>
      <c r="H83" s="57" t="str">
        <f>'Secondary cum Calculation'!H109</f>
        <v>New</v>
      </c>
      <c r="I83" s="57">
        <f>'Secondary cum Calculation'!I109</f>
        <v>0</v>
      </c>
      <c r="J83" s="57" t="str">
        <f>'Secondary cum Calculation'!J109</f>
        <v>Thousand</v>
      </c>
      <c r="K83" s="58">
        <f>'Secondary cum Calculation'!K109</f>
        <v>1967.64</v>
      </c>
      <c r="L83" s="265">
        <f>'Secondary cum Calculation'!L109</f>
        <v>34900.000000000007</v>
      </c>
      <c r="M83" s="265">
        <f>'Secondary cum Calculation'!M109</f>
        <v>34900.000000000007</v>
      </c>
      <c r="N83" s="265">
        <f>'Secondary cum Calculation'!N109</f>
        <v>30800</v>
      </c>
      <c r="O83" s="265">
        <f>'Secondary cum Calculation'!O109</f>
        <v>33900</v>
      </c>
      <c r="P83" s="265">
        <f>'Secondary cum Calculation'!P109</f>
        <v>29600</v>
      </c>
      <c r="Q83" s="265">
        <f>P83*(1+Q84)</f>
        <v>28594.674532264191</v>
      </c>
      <c r="R83" s="265">
        <f t="shared" ref="R83:V83" si="31">Q83*(1+R84)</f>
        <v>29114.168216573518</v>
      </c>
      <c r="S83" s="265">
        <f t="shared" si="31"/>
        <v>29535.363141199603</v>
      </c>
      <c r="T83" s="265">
        <f t="shared" si="31"/>
        <v>30139.856928566503</v>
      </c>
      <c r="U83" s="265">
        <f t="shared" si="31"/>
        <v>30799.53039068119</v>
      </c>
      <c r="V83" s="265">
        <f t="shared" si="31"/>
        <v>31530.697459423951</v>
      </c>
      <c r="W83" s="106">
        <f>'Secondary cum Calculation'!W109</f>
        <v>-4.8596088299126095E-2</v>
      </c>
      <c r="X83" s="106">
        <f>'Secondary cum Calculation'!X109</f>
        <v>1.9740537256371926E-2</v>
      </c>
    </row>
    <row r="84" spans="1:25">
      <c r="A84" s="57"/>
      <c r="B84" s="57"/>
      <c r="C84" s="61" t="str">
        <f>'Secondary cum Calculation'!C110</f>
        <v>Growth Rate</v>
      </c>
      <c r="D84" s="61"/>
      <c r="E84" s="61"/>
      <c r="F84" s="61">
        <f>'Secondary cum Calculation'!F110</f>
        <v>0</v>
      </c>
      <c r="G84" s="61">
        <f>'Secondary cum Calculation'!G110</f>
        <v>0</v>
      </c>
      <c r="H84" s="61">
        <f>'Secondary cum Calculation'!H110</f>
        <v>0</v>
      </c>
      <c r="I84" s="61">
        <f>'Secondary cum Calculation'!I110</f>
        <v>0</v>
      </c>
      <c r="J84" s="61" t="str">
        <f>'Secondary cum Calculation'!J110</f>
        <v>%</v>
      </c>
      <c r="K84" s="58">
        <f>'Secondary cum Calculation'!K110</f>
        <v>0</v>
      </c>
      <c r="L84" s="59"/>
      <c r="M84" s="62">
        <f>'Secondary cum Calculation'!M110</f>
        <v>0</v>
      </c>
      <c r="N84" s="62">
        <f>'Secondary cum Calculation'!N110</f>
        <v>-0.1174785100286535</v>
      </c>
      <c r="O84" s="62">
        <f>'Secondary cum Calculation'!O110</f>
        <v>0.10064935064935066</v>
      </c>
      <c r="P84" s="62">
        <f>'Secondary cum Calculation'!P110</f>
        <v>-0.12684365781710916</v>
      </c>
      <c r="Q84" s="62">
        <f>0.28*((P83/L83)^(1/4)-1)+0.72*($E$86*Q87+$E$88*Q89+$E$90*Q91+E$92*Q93)</f>
        <v>-3.3963698234317927E-2</v>
      </c>
      <c r="R84" s="62">
        <f t="shared" ref="R84" si="32">0.28*((Q83/M83)^(1/4)-1)+0.72*($E$86*R87+$E$88*R89+$E$90*R91+F$92*R93)</f>
        <v>1.8167497717911436E-2</v>
      </c>
      <c r="S84" s="62">
        <f>0.5*((R83/N83)^(1/4)-1)+0.5*($E$86*S87+$E$88*S89+$E$90*S91+G$92*S93)</f>
        <v>1.4467008691195112E-2</v>
      </c>
      <c r="T84" s="62">
        <f>0.25*((S83/O83)^(1/4)-1)+0.75*($E$86*T87+$E$88*T89+$E$90*T91+H$92*T93)</f>
        <v>2.0466780261918425E-2</v>
      </c>
      <c r="U84" s="62">
        <f>0.6*((T83/P83)^(1/4)-1)+0.4*($E$86*U87+$E$88*U89+$E$90*U91+I$92*U93)</f>
        <v>2.1887080077326083E-2</v>
      </c>
      <c r="V84" s="62">
        <f>0.8*((U83/Q83)^(1/4)-1)+0.2*($E$86*V87+$E$88*V89+$E$90*V91+J$92*V93)</f>
        <v>2.3739552501878064E-2</v>
      </c>
      <c r="W84" s="259"/>
      <c r="X84" s="259"/>
      <c r="Y84" s="7" t="s">
        <v>1013</v>
      </c>
    </row>
    <row r="85" spans="1:25" outlineLevel="1">
      <c r="A85" s="306"/>
      <c r="B85" s="306"/>
      <c r="C85" s="306"/>
      <c r="D85" s="307" t="s">
        <v>912</v>
      </c>
      <c r="E85" s="112" t="s">
        <v>914</v>
      </c>
      <c r="F85" s="112"/>
      <c r="G85" s="112"/>
      <c r="H85" s="112"/>
      <c r="I85" s="112"/>
      <c r="J85" s="112"/>
      <c r="K85" s="113"/>
      <c r="L85" s="114"/>
      <c r="M85" s="115"/>
      <c r="N85" s="115"/>
      <c r="O85" s="115"/>
      <c r="P85" s="115"/>
      <c r="Q85" s="115"/>
      <c r="R85" s="115"/>
      <c r="S85" s="115"/>
      <c r="T85" s="115"/>
      <c r="U85" s="115"/>
      <c r="V85" s="115"/>
      <c r="W85" s="259"/>
      <c r="X85" s="259"/>
    </row>
    <row r="86" spans="1:25" outlineLevel="1">
      <c r="A86" s="308"/>
      <c r="B86" s="308"/>
      <c r="C86" s="308"/>
      <c r="D86" s="308" t="s">
        <v>917</v>
      </c>
      <c r="E86" s="309">
        <v>0.45</v>
      </c>
      <c r="F86" s="310"/>
      <c r="G86" s="310"/>
      <c r="H86" s="310"/>
      <c r="I86" s="310"/>
      <c r="J86" s="310"/>
      <c r="K86" s="310"/>
      <c r="L86" s="329">
        <f>L1174</f>
        <v>425.32100000000003</v>
      </c>
      <c r="M86" s="329">
        <f t="shared" ref="M86:U86" si="33">M1174</f>
        <v>529.40099999999995</v>
      </c>
      <c r="N86" s="329">
        <f t="shared" si="33"/>
        <v>430.84699999999998</v>
      </c>
      <c r="O86" s="329">
        <f t="shared" si="33"/>
        <v>469.75299999999999</v>
      </c>
      <c r="P86" s="329">
        <f t="shared" si="33"/>
        <v>514.50300000000004</v>
      </c>
      <c r="Q86" s="329">
        <f t="shared" si="33"/>
        <v>470.35399999999998</v>
      </c>
      <c r="R86" s="329">
        <f t="shared" si="33"/>
        <v>496.14499999999998</v>
      </c>
      <c r="S86" s="329">
        <f t="shared" si="33"/>
        <v>522.93799999999999</v>
      </c>
      <c r="T86" s="329">
        <f t="shared" si="33"/>
        <v>553.78399999999999</v>
      </c>
      <c r="U86" s="329">
        <f t="shared" si="33"/>
        <v>589.50099999999998</v>
      </c>
      <c r="V86" s="329">
        <f t="shared" ref="V86" si="34">V1174</f>
        <v>623.40700000000004</v>
      </c>
      <c r="W86" s="302" t="s">
        <v>915</v>
      </c>
      <c r="X86" s="303"/>
    </row>
    <row r="87" spans="1:25" outlineLevel="1">
      <c r="A87" s="312"/>
      <c r="B87" s="312"/>
      <c r="C87" s="312"/>
      <c r="D87" s="312" t="s">
        <v>892</v>
      </c>
      <c r="E87" s="312"/>
      <c r="F87" s="312"/>
      <c r="G87" s="312"/>
      <c r="H87" s="312"/>
      <c r="I87" s="312"/>
      <c r="J87" s="312"/>
      <c r="K87" s="312"/>
      <c r="L87" s="312"/>
      <c r="M87" s="313">
        <f>M86/L86-1</f>
        <v>0.24470929015966747</v>
      </c>
      <c r="N87" s="313">
        <f t="shared" ref="N87" si="35">N86/M86-1</f>
        <v>-0.18616134083615254</v>
      </c>
      <c r="O87" s="313">
        <f t="shared" ref="O87" si="36">O86/N86-1</f>
        <v>9.0301197408825029E-2</v>
      </c>
      <c r="P87" s="313">
        <f t="shared" ref="P87" si="37">P86/O86-1</f>
        <v>9.5262829614712441E-2</v>
      </c>
      <c r="Q87" s="313">
        <f t="shared" ref="Q87" si="38">Q86/P86-1</f>
        <v>-8.5809023465363787E-2</v>
      </c>
      <c r="R87" s="313">
        <f t="shared" ref="R87" si="39">R86/Q86-1</f>
        <v>5.4833168209476257E-2</v>
      </c>
      <c r="S87" s="313">
        <f t="shared" ref="S87" si="40">S86/R86-1</f>
        <v>5.4002358181580057E-2</v>
      </c>
      <c r="T87" s="313">
        <f t="shared" ref="T87" si="41">T86/S86-1</f>
        <v>5.8985960094695811E-2</v>
      </c>
      <c r="U87" s="313">
        <f t="shared" ref="U87:V87" si="42">U86/T86-1</f>
        <v>6.4496265692038701E-2</v>
      </c>
      <c r="V87" s="313">
        <f t="shared" si="42"/>
        <v>5.7516441872023982E-2</v>
      </c>
      <c r="W87" s="304">
        <f>CORREL(M86:P86,$M$84:$P$84)</f>
        <v>8.6190946658418824E-2</v>
      </c>
      <c r="X87" s="314"/>
    </row>
    <row r="88" spans="1:25" ht="20.25" customHeight="1" outlineLevel="1">
      <c r="A88" s="310"/>
      <c r="B88" s="310"/>
      <c r="C88" s="310"/>
      <c r="D88" s="310" t="s">
        <v>918</v>
      </c>
      <c r="E88" s="309">
        <v>0.2</v>
      </c>
      <c r="F88" s="310"/>
      <c r="G88" s="310"/>
      <c r="H88" s="310"/>
      <c r="I88" s="310"/>
      <c r="J88" s="310"/>
      <c r="K88" s="310"/>
      <c r="L88" s="329">
        <f>L1176</f>
        <v>268203.56</v>
      </c>
      <c r="M88" s="329">
        <f t="shared" ref="M88:U88" si="43">M1176</f>
        <v>329640.87</v>
      </c>
      <c r="N88" s="329">
        <f t="shared" si="43"/>
        <v>266283.2</v>
      </c>
      <c r="O88" s="329">
        <f t="shared" si="43"/>
        <v>295763.96999999997</v>
      </c>
      <c r="P88" s="329">
        <f t="shared" si="43"/>
        <v>306943.82</v>
      </c>
      <c r="Q88" s="329">
        <f t="shared" si="43"/>
        <v>332356.61829999997</v>
      </c>
      <c r="R88" s="329">
        <f t="shared" si="43"/>
        <v>352225.2107</v>
      </c>
      <c r="S88" s="329">
        <f t="shared" si="43"/>
        <v>371576.09950000001</v>
      </c>
      <c r="T88" s="329">
        <f t="shared" si="43"/>
        <v>386358.77990000002</v>
      </c>
      <c r="U88" s="329">
        <f t="shared" si="43"/>
        <v>409235.93204273965</v>
      </c>
      <c r="V88" s="329">
        <f t="shared" ref="V88" si="44">V1176</f>
        <v>431088.18074672733</v>
      </c>
      <c r="W88" s="304"/>
      <c r="X88" s="315"/>
    </row>
    <row r="89" spans="1:25" outlineLevel="1">
      <c r="A89" s="312"/>
      <c r="B89" s="312"/>
      <c r="C89" s="312"/>
      <c r="D89" s="312" t="s">
        <v>892</v>
      </c>
      <c r="E89" s="312"/>
      <c r="F89" s="312"/>
      <c r="G89" s="312"/>
      <c r="H89" s="312"/>
      <c r="I89" s="312"/>
      <c r="J89" s="312"/>
      <c r="K89" s="312"/>
      <c r="L89" s="312"/>
      <c r="M89" s="316">
        <f>M88/L88-1</f>
        <v>0.22906970362362089</v>
      </c>
      <c r="N89" s="316">
        <f t="shared" ref="N89" si="45">N88/M88-1</f>
        <v>-0.19220210770587998</v>
      </c>
      <c r="O89" s="316">
        <f t="shared" ref="O89" si="46">O88/N88-1</f>
        <v>0.11071209148755901</v>
      </c>
      <c r="P89" s="316">
        <f t="shared" ref="P89" si="47">P88/O88-1</f>
        <v>3.7799905106764786E-2</v>
      </c>
      <c r="Q89" s="316">
        <f t="shared" ref="Q89" si="48">Q88/P88-1</f>
        <v>8.2792995473894848E-2</v>
      </c>
      <c r="R89" s="316">
        <f t="shared" ref="R89" si="49">R88/Q88-1</f>
        <v>5.9780944040253026E-2</v>
      </c>
      <c r="S89" s="316">
        <f t="shared" ref="S89" si="50">S88/R88-1</f>
        <v>5.4938965787096006E-2</v>
      </c>
      <c r="T89" s="316">
        <f t="shared" ref="T89" si="51">T88/S88-1</f>
        <v>3.9783722418885059E-2</v>
      </c>
      <c r="U89" s="316">
        <f t="shared" ref="U89:V89" si="52">U88/T88-1</f>
        <v>5.9212196882547419E-2</v>
      </c>
      <c r="V89" s="316">
        <f t="shared" si="52"/>
        <v>5.339767843676424E-2</v>
      </c>
      <c r="W89" s="304">
        <f>CORREL(M89:P89,$M$83:$P$83)</f>
        <v>0.71828112939469835</v>
      </c>
      <c r="X89" s="317"/>
    </row>
    <row r="90" spans="1:25" ht="21" customHeight="1" outlineLevel="1">
      <c r="A90" s="310"/>
      <c r="B90" s="310"/>
      <c r="C90" s="310"/>
      <c r="D90" s="310" t="s">
        <v>920</v>
      </c>
      <c r="E90" s="309">
        <v>0.15</v>
      </c>
      <c r="F90" s="310"/>
      <c r="G90" s="310"/>
      <c r="H90" s="310"/>
      <c r="I90" s="310"/>
      <c r="J90" s="310"/>
      <c r="K90" s="310"/>
      <c r="L90" s="311">
        <f>L1178</f>
        <v>0.25700000000000001</v>
      </c>
      <c r="M90" s="311">
        <f t="shared" ref="M90:U90" si="53">M1178</f>
        <v>0.33200000000000002</v>
      </c>
      <c r="N90" s="311">
        <f t="shared" si="53"/>
        <v>0.27100000000000002</v>
      </c>
      <c r="O90" s="311">
        <f t="shared" si="53"/>
        <v>0.30199999999999999</v>
      </c>
      <c r="P90" s="311">
        <f t="shared" si="53"/>
        <v>0.317</v>
      </c>
      <c r="Q90" s="311">
        <f t="shared" si="53"/>
        <v>0.3</v>
      </c>
      <c r="R90" s="311">
        <f t="shared" si="53"/>
        <v>0.315</v>
      </c>
      <c r="S90" s="311">
        <f t="shared" si="53"/>
        <v>0.33100000000000002</v>
      </c>
      <c r="T90" s="311">
        <f t="shared" si="53"/>
        <v>0.34</v>
      </c>
      <c r="U90" s="311">
        <f t="shared" si="53"/>
        <v>0.35599999999999998</v>
      </c>
      <c r="V90" s="311">
        <f t="shared" ref="V90" si="54">V1178</f>
        <v>0.373</v>
      </c>
      <c r="W90" s="304"/>
      <c r="X90" s="315"/>
    </row>
    <row r="91" spans="1:25" outlineLevel="1">
      <c r="A91" s="312"/>
      <c r="B91" s="312"/>
      <c r="C91" s="312"/>
      <c r="D91" s="312" t="s">
        <v>892</v>
      </c>
      <c r="E91" s="312"/>
      <c r="F91" s="312"/>
      <c r="G91" s="312"/>
      <c r="H91" s="312"/>
      <c r="I91" s="312"/>
      <c r="J91" s="312"/>
      <c r="K91" s="312"/>
      <c r="L91" s="312"/>
      <c r="M91" s="316">
        <f>M90/L90-1</f>
        <v>0.29182879377431914</v>
      </c>
      <c r="N91" s="316">
        <f t="shared" ref="N91" si="55">N90/M90-1</f>
        <v>-0.1837349397590361</v>
      </c>
      <c r="O91" s="316">
        <f t="shared" ref="O91" si="56">O90/N90-1</f>
        <v>0.1143911439114389</v>
      </c>
      <c r="P91" s="316">
        <f t="shared" ref="P91" si="57">P90/O90-1</f>
        <v>4.9668874172185573E-2</v>
      </c>
      <c r="Q91" s="316">
        <f t="shared" ref="Q91" si="58">Q90/P90-1</f>
        <v>-5.362776025236593E-2</v>
      </c>
      <c r="R91" s="316">
        <f t="shared" ref="R91" si="59">R90/Q90-1</f>
        <v>5.0000000000000044E-2</v>
      </c>
      <c r="S91" s="316">
        <f t="shared" ref="S91" si="60">S90/R90-1</f>
        <v>5.0793650793650835E-2</v>
      </c>
      <c r="T91" s="316">
        <f t="shared" ref="T91" si="61">T90/S90-1</f>
        <v>2.7190332326284095E-2</v>
      </c>
      <c r="U91" s="316">
        <f t="shared" ref="U91:V91" si="62">U90/T90-1</f>
        <v>4.7058823529411598E-2</v>
      </c>
      <c r="V91" s="316">
        <f t="shared" si="62"/>
        <v>4.7752808988763995E-2</v>
      </c>
      <c r="W91" s="304">
        <f>CORREL(M91:P91,$M$83:$P$83)</f>
        <v>0.73251821981193987</v>
      </c>
      <c r="X91" s="317"/>
    </row>
    <row r="92" spans="1:25" ht="20.25" customHeight="1" outlineLevel="1">
      <c r="A92" s="310"/>
      <c r="B92" s="310"/>
      <c r="C92" s="310"/>
      <c r="D92" s="310" t="s">
        <v>921</v>
      </c>
      <c r="E92" s="309">
        <f>1-SUM(E86,E88,E90)</f>
        <v>0.19999999999999996</v>
      </c>
      <c r="F92" s="310"/>
      <c r="G92" s="310"/>
      <c r="H92" s="310"/>
      <c r="I92" s="310"/>
      <c r="J92" s="310"/>
      <c r="K92" s="310"/>
      <c r="L92" s="311">
        <f>L1180</f>
        <v>24.585000000000001</v>
      </c>
      <c r="M92" s="311">
        <f t="shared" ref="M92:U92" si="63">M1180</f>
        <v>28.137</v>
      </c>
      <c r="N92" s="311">
        <f t="shared" si="63"/>
        <v>21.861999999999998</v>
      </c>
      <c r="O92" s="311">
        <f t="shared" si="63"/>
        <v>22.283999999999999</v>
      </c>
      <c r="P92" s="311">
        <f t="shared" si="63"/>
        <v>24.861000000000001</v>
      </c>
      <c r="Q92" s="311">
        <f t="shared" si="63"/>
        <v>24.689</v>
      </c>
      <c r="R92" s="311">
        <f t="shared" si="63"/>
        <v>25.759</v>
      </c>
      <c r="S92" s="311">
        <f t="shared" si="63"/>
        <v>27.472000000000001</v>
      </c>
      <c r="T92" s="311">
        <f t="shared" si="63"/>
        <v>29.088999999999999</v>
      </c>
      <c r="U92" s="311">
        <f t="shared" si="63"/>
        <v>31.286000000000001</v>
      </c>
      <c r="V92" s="311">
        <f t="shared" ref="V92" si="64">V1180</f>
        <v>33.866</v>
      </c>
      <c r="W92" s="304"/>
      <c r="X92" s="315"/>
    </row>
    <row r="93" spans="1:25" outlineLevel="1">
      <c r="A93" s="312"/>
      <c r="B93" s="312"/>
      <c r="C93" s="312"/>
      <c r="D93" s="312" t="s">
        <v>892</v>
      </c>
      <c r="E93" s="312"/>
      <c r="F93" s="312"/>
      <c r="G93" s="312"/>
      <c r="H93" s="312"/>
      <c r="I93" s="312"/>
      <c r="J93" s="312"/>
      <c r="K93" s="312"/>
      <c r="L93" s="312"/>
      <c r="M93" s="316">
        <f t="shared" ref="M93:V93" si="65">M92/L92-1</f>
        <v>0.14447834045149488</v>
      </c>
      <c r="N93" s="316">
        <f t="shared" si="65"/>
        <v>-0.22301595763585325</v>
      </c>
      <c r="O93" s="316">
        <f t="shared" si="65"/>
        <v>1.9302900009148249E-2</v>
      </c>
      <c r="P93" s="316">
        <f t="shared" si="65"/>
        <v>0.11564351103931081</v>
      </c>
      <c r="Q93" s="316">
        <f t="shared" si="65"/>
        <v>-6.9184666747114099E-3</v>
      </c>
      <c r="R93" s="316">
        <f t="shared" si="65"/>
        <v>4.3339138887763751E-2</v>
      </c>
      <c r="S93" s="316">
        <f t="shared" si="65"/>
        <v>6.6501028766644765E-2</v>
      </c>
      <c r="T93" s="316">
        <f t="shared" si="65"/>
        <v>5.8859930110658043E-2</v>
      </c>
      <c r="U93" s="316">
        <f t="shared" si="65"/>
        <v>7.5526831448313958E-2</v>
      </c>
      <c r="V93" s="316">
        <f t="shared" si="65"/>
        <v>8.2465000319631665E-2</v>
      </c>
      <c r="W93" s="304">
        <f>CORREL(M93:P93,$M$84:$P$84)</f>
        <v>0.28718463312631515</v>
      </c>
      <c r="X93" s="317"/>
    </row>
    <row r="94" spans="1:25" ht="18.75" customHeight="1" outlineLevel="1">
      <c r="A94" s="310"/>
      <c r="B94" s="310"/>
      <c r="C94" s="310"/>
      <c r="D94" s="310" t="s">
        <v>922</v>
      </c>
      <c r="E94" s="310">
        <f>W95/$W$96</f>
        <v>-5.7358784279427323E-3</v>
      </c>
      <c r="F94" s="310"/>
      <c r="G94" s="310"/>
      <c r="H94" s="310"/>
      <c r="I94" s="310"/>
      <c r="J94" s="310"/>
      <c r="K94" s="310"/>
      <c r="L94" s="311">
        <f>L1182</f>
        <v>3.43</v>
      </c>
      <c r="M94" s="311">
        <f t="shared" ref="M94:U94" si="66">M1182</f>
        <v>4.0599999999999996</v>
      </c>
      <c r="N94" s="311">
        <f t="shared" si="66"/>
        <v>3.06</v>
      </c>
      <c r="O94" s="311">
        <f t="shared" si="66"/>
        <v>3.0670000000000002</v>
      </c>
      <c r="P94" s="311">
        <f t="shared" si="66"/>
        <v>3.4830000000000001</v>
      </c>
      <c r="Q94" s="311">
        <f t="shared" si="66"/>
        <v>3.2440000000000002</v>
      </c>
      <c r="R94" s="311">
        <f t="shared" si="66"/>
        <v>3.391</v>
      </c>
      <c r="S94" s="311">
        <f t="shared" si="66"/>
        <v>3.633</v>
      </c>
      <c r="T94" s="311">
        <f t="shared" si="66"/>
        <v>3.9670000000000001</v>
      </c>
      <c r="U94" s="311">
        <f t="shared" si="66"/>
        <v>4.3570000000000002</v>
      </c>
      <c r="V94" s="311">
        <f t="shared" ref="V94" si="67">V1182</f>
        <v>4.7709999999999999</v>
      </c>
      <c r="W94" s="304"/>
      <c r="X94" s="315"/>
    </row>
    <row r="95" spans="1:25" outlineLevel="1">
      <c r="A95" s="312"/>
      <c r="B95" s="312"/>
      <c r="C95" s="312"/>
      <c r="D95" s="312" t="s">
        <v>892</v>
      </c>
      <c r="E95" s="312"/>
      <c r="F95" s="312"/>
      <c r="G95" s="312"/>
      <c r="H95" s="312"/>
      <c r="I95" s="312"/>
      <c r="J95" s="312"/>
      <c r="K95" s="312"/>
      <c r="L95" s="312"/>
      <c r="M95" s="316">
        <f t="shared" ref="M95" si="68">M94/L94-1</f>
        <v>0.18367346938775486</v>
      </c>
      <c r="N95" s="316">
        <f t="shared" ref="N95" si="69">N94/M94-1</f>
        <v>-0.24630541871921174</v>
      </c>
      <c r="O95" s="316">
        <f t="shared" ref="O95" si="70">O94/N94-1</f>
        <v>2.2875816993463971E-3</v>
      </c>
      <c r="P95" s="316">
        <f t="shared" ref="P95" si="71">P94/O94-1</f>
        <v>0.13563743071405288</v>
      </c>
      <c r="Q95" s="316">
        <f t="shared" ref="Q95" si="72">Q94/P94-1</f>
        <v>-6.861900660350273E-2</v>
      </c>
      <c r="R95" s="316">
        <f t="shared" ref="R95" si="73">R94/Q94-1</f>
        <v>4.5314426633785487E-2</v>
      </c>
      <c r="S95" s="316">
        <f t="shared" ref="S95" si="74">S94/R94-1</f>
        <v>7.1365378944264313E-2</v>
      </c>
      <c r="T95" s="316">
        <f t="shared" ref="T95" si="75">T94/S94-1</f>
        <v>9.1935039911918537E-2</v>
      </c>
      <c r="U95" s="316">
        <f t="shared" ref="U95:V95" si="76">U94/T94-1</f>
        <v>9.8311066296949967E-2</v>
      </c>
      <c r="V95" s="316">
        <f t="shared" si="76"/>
        <v>9.5019508836355238E-2</v>
      </c>
      <c r="W95" s="304">
        <f>CORREL(M94:P94,$M$84:$P$84)</f>
        <v>-1.0403571999788443E-2</v>
      </c>
      <c r="X95" s="317"/>
    </row>
    <row r="96" spans="1:25" outlineLevel="1">
      <c r="A96" s="116"/>
      <c r="B96" s="318"/>
      <c r="C96" s="310"/>
      <c r="D96" s="319" t="s">
        <v>919</v>
      </c>
      <c r="E96" s="319" t="e">
        <f>E86+E88+E90+E92+E94+#REF!</f>
        <v>#REF!</v>
      </c>
      <c r="F96" s="310"/>
      <c r="G96" s="310"/>
      <c r="H96" s="310"/>
      <c r="I96" s="310"/>
      <c r="J96" s="310"/>
      <c r="K96" s="310"/>
      <c r="L96" s="310"/>
      <c r="M96" s="310"/>
      <c r="N96" s="310"/>
      <c r="O96" s="310"/>
      <c r="P96" s="310"/>
      <c r="Q96" s="310"/>
      <c r="R96" s="310"/>
      <c r="S96" s="310"/>
      <c r="T96" s="310"/>
      <c r="U96" s="310"/>
      <c r="V96" s="310"/>
      <c r="W96" s="320">
        <f>SUM(W87:W95)</f>
        <v>1.8137713569915841</v>
      </c>
      <c r="X96" s="315"/>
    </row>
    <row r="97" spans="1:24">
      <c r="A97" s="55" t="str">
        <f>'Secondary cum Calculation'!A111</f>
        <v>Poland</v>
      </c>
      <c r="B97" s="56" t="str">
        <f>'Secondary cum Calculation'!B111</f>
        <v>Tourism Demand Factors</v>
      </c>
      <c r="C97" s="56" t="str">
        <f>'Secondary cum Calculation'!C111</f>
        <v>Number of Return Trips by Residents by Length &amp; Type</v>
      </c>
      <c r="D97" s="55" t="str">
        <f>'Secondary cum Calculation'!D111</f>
        <v>International Trips</v>
      </c>
      <c r="E97" s="57"/>
      <c r="F97" s="7" t="str">
        <f>'Secondary cum Calculation'!F111</f>
        <v>The number of international trips undertaken by residents of a country.</v>
      </c>
      <c r="G97" s="7" t="str">
        <f>'Secondary cum Calculation'!G111</f>
        <v>Tourism Demand &amp; Flows Database</v>
      </c>
      <c r="H97" s="7" t="str">
        <f>'Secondary cum Calculation'!H111</f>
        <v>New</v>
      </c>
      <c r="I97" s="7">
        <f>'Secondary cum Calculation'!I111</f>
        <v>0</v>
      </c>
      <c r="J97" s="57" t="str">
        <f>'Secondary cum Calculation'!J111</f>
        <v>Thousand</v>
      </c>
      <c r="K97" s="8">
        <f>'Secondary cum Calculation'!K111</f>
        <v>65.676000000000002</v>
      </c>
      <c r="L97" s="265">
        <f>'Secondary cum Calculation'!L111</f>
        <v>6917.0000000000009</v>
      </c>
      <c r="M97" s="265">
        <f>'Secondary cum Calculation'!M111</f>
        <v>7574</v>
      </c>
      <c r="N97" s="265">
        <f>'Secondary cum Calculation'!N111</f>
        <v>6318</v>
      </c>
      <c r="O97" s="265">
        <f>'Secondary cum Calculation'!O111</f>
        <v>7121.5</v>
      </c>
      <c r="P97" s="265">
        <f>'Secondary cum Calculation'!P111</f>
        <v>6326.5999999999995</v>
      </c>
      <c r="Q97" s="265">
        <f>Q652</f>
        <v>6195.141275822938</v>
      </c>
      <c r="R97" s="265">
        <f t="shared" ref="R97:U97" si="77">R652</f>
        <v>6270.8569376655214</v>
      </c>
      <c r="S97" s="265">
        <f t="shared" si="77"/>
        <v>6371.8975225233071</v>
      </c>
      <c r="T97" s="265">
        <f t="shared" si="77"/>
        <v>6422.7908983747702</v>
      </c>
      <c r="U97" s="265">
        <f t="shared" si="77"/>
        <v>6503.3045829005732</v>
      </c>
      <c r="V97" s="265">
        <f t="shared" ref="V97" si="78">V652</f>
        <v>6579.1028306528524</v>
      </c>
      <c r="W97" s="106">
        <f>'Secondary cum Calculation'!W111</f>
        <v>-4.8997894506850437E-2</v>
      </c>
      <c r="X97" s="106">
        <f>'Secondary cum Calculation'!X111</f>
        <v>1.209922420888665E-2</v>
      </c>
    </row>
    <row r="98" spans="1:24">
      <c r="A98" s="57"/>
      <c r="B98" s="57"/>
      <c r="C98" s="61" t="str">
        <f>'Secondary cum Calculation'!C112</f>
        <v>Growth Rate</v>
      </c>
      <c r="D98" s="61"/>
      <c r="E98" s="61"/>
      <c r="F98" s="61">
        <f>'Secondary cum Calculation'!F112</f>
        <v>0</v>
      </c>
      <c r="G98" s="61">
        <f>'Secondary cum Calculation'!G112</f>
        <v>0</v>
      </c>
      <c r="H98" s="61">
        <f>'Secondary cum Calculation'!H112</f>
        <v>0</v>
      </c>
      <c r="I98" s="61">
        <f>'Secondary cum Calculation'!I112</f>
        <v>0</v>
      </c>
      <c r="J98" s="61" t="str">
        <f>'Secondary cum Calculation'!J112</f>
        <v>%</v>
      </c>
      <c r="K98" s="58">
        <f>'Secondary cum Calculation'!K112</f>
        <v>0</v>
      </c>
      <c r="L98" s="59"/>
      <c r="M98" s="62">
        <f>M97/L97-1</f>
        <v>9.498337429521464E-2</v>
      </c>
      <c r="N98" s="62">
        <f>'Secondary cum Calculation'!N112</f>
        <v>-0.16583047266965933</v>
      </c>
      <c r="O98" s="62">
        <f>'Secondary cum Calculation'!O112</f>
        <v>0.12717632162076598</v>
      </c>
      <c r="P98" s="62">
        <f>'Secondary cum Calculation'!P112</f>
        <v>-0.11161974303166478</v>
      </c>
      <c r="Q98" s="62">
        <f>Q97/P97-1</f>
        <v>-2.077873173221978E-2</v>
      </c>
      <c r="R98" s="62">
        <f t="shared" ref="R98:V98" si="79">R97/Q97-1</f>
        <v>1.2221781307566015E-2</v>
      </c>
      <c r="S98" s="62">
        <f t="shared" si="79"/>
        <v>1.6112723645614002E-2</v>
      </c>
      <c r="T98" s="62">
        <f t="shared" si="79"/>
        <v>7.9871617005085049E-3</v>
      </c>
      <c r="U98" s="62">
        <f t="shared" si="79"/>
        <v>1.2535622877926311E-2</v>
      </c>
      <c r="V98" s="62">
        <f t="shared" si="79"/>
        <v>1.1655343339074031E-2</v>
      </c>
      <c r="W98" s="259"/>
      <c r="X98" s="259"/>
    </row>
    <row r="99" spans="1:24">
      <c r="A99" s="46" t="str">
        <f>'Secondary cum Calculation'!A113</f>
        <v>Poland</v>
      </c>
      <c r="B99" s="47" t="str">
        <f>'Secondary cum Calculation'!B113</f>
        <v>Tourism Demand Factors</v>
      </c>
      <c r="C99" s="46" t="str">
        <f>'Secondary cum Calculation'!C113</f>
        <v>Average Length of Tourism Trips by Type</v>
      </c>
      <c r="D99" s="46"/>
      <c r="E99" s="48"/>
      <c r="F99" s="48" t="str">
        <f>'Secondary cum Calculation'!F113</f>
        <v>N/A</v>
      </c>
      <c r="G99" s="48">
        <f>'Secondary cum Calculation'!G113</f>
        <v>0</v>
      </c>
      <c r="H99" s="48">
        <f>'Secondary cum Calculation'!H113</f>
        <v>0</v>
      </c>
      <c r="I99" s="48">
        <f>'Secondary cum Calculation'!I113</f>
        <v>0</v>
      </c>
      <c r="J99" s="48"/>
      <c r="K99" s="49">
        <f>'Secondary cum Calculation'!K113</f>
        <v>0</v>
      </c>
      <c r="L99" s="53"/>
      <c r="M99" s="53"/>
      <c r="N99" s="53"/>
      <c r="O99" s="53"/>
      <c r="P99" s="53"/>
      <c r="Q99" s="53"/>
      <c r="R99" s="53"/>
      <c r="S99" s="53"/>
      <c r="T99" s="53"/>
      <c r="U99" s="53"/>
      <c r="V99" s="53"/>
      <c r="W99" s="102">
        <f>'Secondary cum Calculation'!W113</f>
        <v>0</v>
      </c>
      <c r="X99" s="102">
        <f>'Secondary cum Calculation'!X113</f>
        <v>0</v>
      </c>
    </row>
    <row r="100" spans="1:24">
      <c r="A100" s="48"/>
      <c r="B100" s="48"/>
      <c r="C100" s="52" t="str">
        <f>'Secondary cum Calculation'!C114</f>
        <v>Growth Rate</v>
      </c>
      <c r="D100" s="52"/>
      <c r="E100" s="52"/>
      <c r="F100" s="52">
        <f>'Secondary cum Calculation'!F114</f>
        <v>0</v>
      </c>
      <c r="G100" s="52">
        <f>'Secondary cum Calculation'!G114</f>
        <v>0</v>
      </c>
      <c r="H100" s="52">
        <f>'Secondary cum Calculation'!H114</f>
        <v>0</v>
      </c>
      <c r="I100" s="52">
        <f>'Secondary cum Calculation'!I114</f>
        <v>0</v>
      </c>
      <c r="J100" s="52" t="str">
        <f>'Secondary cum Calculation'!J114</f>
        <v>%</v>
      </c>
      <c r="K100" s="49">
        <f>'Secondary cum Calculation'!K114</f>
        <v>0</v>
      </c>
      <c r="L100" s="53"/>
      <c r="M100" s="54"/>
      <c r="N100" s="54"/>
      <c r="O100" s="54"/>
      <c r="P100" s="54"/>
      <c r="Q100" s="54"/>
      <c r="R100" s="54"/>
      <c r="S100" s="54"/>
      <c r="T100" s="54"/>
      <c r="U100" s="54"/>
      <c r="V100" s="54"/>
      <c r="W100" s="258"/>
      <c r="X100" s="258"/>
    </row>
    <row r="101" spans="1:24">
      <c r="A101" s="46" t="str">
        <f>'Secondary cum Calculation'!A115</f>
        <v>Poland</v>
      </c>
      <c r="B101" s="47" t="str">
        <f>'Secondary cum Calculation'!B115</f>
        <v>Tourism Demand Factors</v>
      </c>
      <c r="C101" s="47" t="str">
        <f>'Secondary cum Calculation'!C115</f>
        <v>Average Length of Tourism Trips by Type</v>
      </c>
      <c r="D101" s="46" t="str">
        <f>'Secondary cum Calculation'!D115</f>
        <v>Domestic Trips</v>
      </c>
      <c r="E101" s="48"/>
      <c r="F101" s="48" t="str">
        <f>'Secondary cum Calculation'!F115</f>
        <v>The average number of days per typical domestic tourism trip</v>
      </c>
      <c r="G101" s="48">
        <f>'Secondary cum Calculation'!G115</f>
        <v>0</v>
      </c>
      <c r="H101" s="48">
        <f>'Secondary cum Calculation'!H115</f>
        <v>0</v>
      </c>
      <c r="I101" s="48">
        <f>'Secondary cum Calculation'!I115</f>
        <v>0</v>
      </c>
      <c r="J101" s="48" t="str">
        <f>'Secondary cum Calculation'!J115</f>
        <v>Average No. of nights spent</v>
      </c>
      <c r="K101" s="49">
        <f>'Secondary cum Calculation'!K115</f>
        <v>0</v>
      </c>
      <c r="L101" s="53">
        <f>'Secondary cum Calculation'!L115</f>
        <v>5.0039881255809773</v>
      </c>
      <c r="M101" s="53">
        <f>'Secondary cum Calculation'!M115</f>
        <v>4.8435016329007832</v>
      </c>
      <c r="N101" s="53">
        <f>'Secondary cum Calculation'!N115</f>
        <v>5.0237962568422434</v>
      </c>
      <c r="O101" s="53">
        <f>'Secondary cum Calculation'!O115</f>
        <v>4.8755976544880468</v>
      </c>
      <c r="P101" s="53">
        <f>'Secondary cum Calculation'!P115</f>
        <v>4.6946950775401337</v>
      </c>
      <c r="Q101" s="53">
        <f>P101*(1+(P101/L101)^(1/4)-1)*1.02</f>
        <v>4.7128144522574109</v>
      </c>
      <c r="R101" s="53">
        <f>Q101*(1+(Q101/M101)^(1/4)-1)*1.015</f>
        <v>4.7509078472034174</v>
      </c>
      <c r="S101" s="53">
        <f>R101*(1+(R101/N101)^(1/4)-1)*1.02</f>
        <v>4.7787347537290605</v>
      </c>
      <c r="T101" s="53">
        <f>S101*(1+(S101/O101)^(1/4)-1)*1.015</f>
        <v>4.8261435350947428</v>
      </c>
      <c r="U101" s="53">
        <f>T101*(1+(T101/P101)^(1/4)-1)*1</f>
        <v>4.8595767464793216</v>
      </c>
      <c r="V101" s="53">
        <f>U101*(1+(U101/Q101)^(1/4)-1)*0.995</f>
        <v>4.8724910710066407</v>
      </c>
      <c r="W101" s="102">
        <f>'Secondary cum Calculation'!W115</f>
        <v>-6.8148377525701909E-3</v>
      </c>
      <c r="X101" s="102">
        <f>'Secondary cum Calculation'!X115</f>
        <v>6.6862623204615446E-3</v>
      </c>
    </row>
    <row r="102" spans="1:24">
      <c r="A102" s="48"/>
      <c r="B102" s="48"/>
      <c r="C102" s="52" t="str">
        <f>'Secondary cum Calculation'!C116</f>
        <v>Growth Rate</v>
      </c>
      <c r="D102" s="52"/>
      <c r="E102" s="52"/>
      <c r="F102" s="52">
        <f>'Secondary cum Calculation'!F116</f>
        <v>0</v>
      </c>
      <c r="G102" s="52">
        <f>'Secondary cum Calculation'!G116</f>
        <v>0</v>
      </c>
      <c r="H102" s="52">
        <f>'Secondary cum Calculation'!H116</f>
        <v>0</v>
      </c>
      <c r="I102" s="52">
        <f>'Secondary cum Calculation'!I116</f>
        <v>0</v>
      </c>
      <c r="J102" s="52" t="str">
        <f>'Secondary cum Calculation'!J116</f>
        <v>%</v>
      </c>
      <c r="K102" s="49">
        <f>'Secondary cum Calculation'!K116</f>
        <v>0</v>
      </c>
      <c r="L102" s="53"/>
      <c r="M102" s="54">
        <f>'Secondary cum Calculation'!M116</f>
        <v>-3.2071717328777893E-2</v>
      </c>
      <c r="N102" s="54">
        <f>'Secondary cum Calculation'!N116</f>
        <v>3.7224024601697492E-2</v>
      </c>
      <c r="O102" s="54">
        <f>'Secondary cum Calculation'!O116</f>
        <v>-2.9499325764327122E-2</v>
      </c>
      <c r="P102" s="54">
        <f>'Secondary cum Calculation'!P116</f>
        <v>-3.7103672158302459E-2</v>
      </c>
      <c r="Q102" s="54">
        <f>Q101/P101-1</f>
        <v>3.8595424022236369E-3</v>
      </c>
      <c r="R102" s="54">
        <f t="shared" ref="R102:V102" si="80">R101/Q101-1</f>
        <v>8.0829396811410437E-3</v>
      </c>
      <c r="S102" s="54">
        <f t="shared" si="80"/>
        <v>5.8571766535153724E-3</v>
      </c>
      <c r="T102" s="54">
        <f t="shared" si="80"/>
        <v>9.9207810872297131E-3</v>
      </c>
      <c r="U102" s="54">
        <f t="shared" si="80"/>
        <v>6.9275211442549889E-3</v>
      </c>
      <c r="V102" s="54">
        <f t="shared" si="80"/>
        <v>2.6574998608006606E-3</v>
      </c>
      <c r="W102" s="258"/>
      <c r="X102" s="258"/>
    </row>
    <row r="103" spans="1:24">
      <c r="A103" s="46" t="str">
        <f>'Secondary cum Calculation'!A117</f>
        <v>Poland</v>
      </c>
      <c r="B103" s="47" t="str">
        <f>'Secondary cum Calculation'!B117</f>
        <v>Tourism Demand Factors</v>
      </c>
      <c r="C103" s="47" t="str">
        <f>'Secondary cum Calculation'!C117</f>
        <v>Average Length of Tourism Trips by Type</v>
      </c>
      <c r="D103" s="46" t="str">
        <f>'Secondary cum Calculation'!D117</f>
        <v>International Trips</v>
      </c>
      <c r="E103" s="48"/>
      <c r="F103" s="48" t="str">
        <f>'Secondary cum Calculation'!F117</f>
        <v>The average number of days per typical international tourism trip</v>
      </c>
      <c r="G103" s="48">
        <f>'Secondary cum Calculation'!G117</f>
        <v>0</v>
      </c>
      <c r="H103" s="48">
        <f>'Secondary cum Calculation'!H117</f>
        <v>0</v>
      </c>
      <c r="I103" s="48">
        <f>'Secondary cum Calculation'!I117</f>
        <v>0</v>
      </c>
      <c r="J103" s="48" t="str">
        <f>'Secondary cum Calculation'!J117</f>
        <v>Average No. of nights spent</v>
      </c>
      <c r="K103" s="49">
        <f>'Secondary cum Calculation'!K117</f>
        <v>0</v>
      </c>
      <c r="L103" s="53">
        <f>'Secondary cum Calculation'!L117</f>
        <v>11.427415359207266</v>
      </c>
      <c r="M103" s="53">
        <f>'Secondary cum Calculation'!M117</f>
        <v>11.781837160751566</v>
      </c>
      <c r="N103" s="53">
        <f>'Secondary cum Calculation'!N117</f>
        <v>9.2521739130434781</v>
      </c>
      <c r="O103" s="53">
        <f>'Secondary cum Calculation'!O117</f>
        <v>9.4063134864822633</v>
      </c>
      <c r="P103" s="53">
        <f>'Secondary cum Calculation'!P117</f>
        <v>9.2731618303350061</v>
      </c>
      <c r="Q103" s="53">
        <f>P103*(1+(P103/L103)^(1/4)-1)*1.06</f>
        <v>9.3293988544484545</v>
      </c>
      <c r="R103" s="53">
        <f>Q103*(1+(Q103/M103)^(1/4)-1)*1.072</f>
        <v>9.4342766461125738</v>
      </c>
      <c r="S103" s="53">
        <f>R103*(1+(R103/N103)^(1/4)-1)*1.004</f>
        <v>9.5182810629751966</v>
      </c>
      <c r="T103" s="53">
        <f>S103*(1+(S103/O103)^(1/4)-1)*1.001</f>
        <v>9.55602707123127</v>
      </c>
      <c r="U103" s="53">
        <f>T103*(1+(T103/P103)^(1/4)-1)*1.0001</f>
        <v>9.6290442341467237</v>
      </c>
      <c r="V103" s="53">
        <f>U103*(1+(U103/Q103)^(1/4)-1)*1.004</f>
        <v>9.7442692313104331</v>
      </c>
      <c r="W103" s="102">
        <f>'Secondary cum Calculation'!W117</f>
        <v>-5.6677569794804983E-2</v>
      </c>
      <c r="X103" s="102">
        <f>'Secondary cum Calculation'!X117</f>
        <v>8.7397222469407509E-3</v>
      </c>
    </row>
    <row r="104" spans="1:24">
      <c r="A104" s="48"/>
      <c r="B104" s="48"/>
      <c r="C104" s="52" t="str">
        <f>'Secondary cum Calculation'!C118</f>
        <v>Growth Rate</v>
      </c>
      <c r="D104" s="52"/>
      <c r="E104" s="52"/>
      <c r="F104" s="52">
        <f>'Secondary cum Calculation'!F118</f>
        <v>0</v>
      </c>
      <c r="G104" s="52">
        <f>'Secondary cum Calculation'!G118</f>
        <v>0</v>
      </c>
      <c r="H104" s="52">
        <f>'Secondary cum Calculation'!H118</f>
        <v>0</v>
      </c>
      <c r="I104" s="52">
        <f>'Secondary cum Calculation'!I118</f>
        <v>0</v>
      </c>
      <c r="J104" s="52" t="str">
        <f>'Secondary cum Calculation'!J118</f>
        <v>%</v>
      </c>
      <c r="K104" s="49">
        <f>'Secondary cum Calculation'!K118</f>
        <v>0</v>
      </c>
      <c r="L104" s="53"/>
      <c r="M104" s="54">
        <f>'Secondary cum Calculation'!M118</f>
        <v>3.1015044995169161E-2</v>
      </c>
      <c r="N104" s="54">
        <f>'Secondary cum Calculation'!N118</f>
        <v>-0.21470872608348968</v>
      </c>
      <c r="O104" s="54">
        <f>'Secondary cum Calculation'!O118</f>
        <v>1.6659822317161899E-2</v>
      </c>
      <c r="P104" s="54">
        <f>'Secondary cum Calculation'!P118</f>
        <v>-1.4155562254926757E-2</v>
      </c>
      <c r="Q104" s="54">
        <f>Q103/P103-1</f>
        <v>6.0644929035404971E-3</v>
      </c>
      <c r="R104" s="54">
        <f t="shared" ref="R104" si="81">R103/Q103-1</f>
        <v>1.1241645179969062E-2</v>
      </c>
      <c r="S104" s="54">
        <f t="shared" ref="S104" si="82">S103/R103-1</f>
        <v>8.904171460483612E-3</v>
      </c>
      <c r="T104" s="54">
        <f t="shared" ref="T104" si="83">T103/S103-1</f>
        <v>3.9656328707187161E-3</v>
      </c>
      <c r="U104" s="54">
        <f>U103/T103-1</f>
        <v>7.6409539624762157E-3</v>
      </c>
      <c r="V104" s="54">
        <f t="shared" ref="V104" si="84">V103/U103-1</f>
        <v>1.1966400232652052E-2</v>
      </c>
      <c r="W104" s="258"/>
      <c r="X104" s="258"/>
    </row>
    <row r="105" spans="1:24">
      <c r="A105" s="55" t="str">
        <f>'Secondary cum Calculation'!A119</f>
        <v>Poland</v>
      </c>
      <c r="B105" s="56" t="str">
        <f>'Secondary cum Calculation'!B119</f>
        <v>Tourism Flows</v>
      </c>
      <c r="C105" s="55" t="str">
        <f>'Secondary cum Calculation'!C119</f>
        <v>Number of Domestic Trips by Region</v>
      </c>
      <c r="D105" s="57"/>
      <c r="E105" s="57"/>
      <c r="F105" s="57" t="str">
        <f>'Secondary cum Calculation'!F119</f>
        <v>The total number of domestic tourists, segmented by the destination region within their country of residence.</v>
      </c>
      <c r="G105" s="57" t="str">
        <f>'Secondary cum Calculation'!G119</f>
        <v>Tourism Demand &amp; Flows Database</v>
      </c>
      <c r="H105" s="57" t="str">
        <f>'Secondary cum Calculation'!H119</f>
        <v>New</v>
      </c>
      <c r="I105" s="57">
        <f>'Secondary cum Calculation'!I119</f>
        <v>0</v>
      </c>
      <c r="J105" s="55" t="str">
        <f>'Secondary cum Calculation'!J119</f>
        <v>Thousand</v>
      </c>
      <c r="K105" s="86">
        <f>'Secondary cum Calculation'!K119</f>
        <v>2004500</v>
      </c>
      <c r="L105" s="267">
        <f>'Secondary cum Calculation'!L119</f>
        <v>34900.000000000007</v>
      </c>
      <c r="M105" s="267">
        <f>'Secondary cum Calculation'!M119</f>
        <v>34900.000000000007</v>
      </c>
      <c r="N105" s="267">
        <f>'Secondary cum Calculation'!N119</f>
        <v>30800</v>
      </c>
      <c r="O105" s="267">
        <f>'Secondary cum Calculation'!O119</f>
        <v>33900</v>
      </c>
      <c r="P105" s="267">
        <f>'Secondary cum Calculation'!P119</f>
        <v>29600</v>
      </c>
      <c r="Q105" s="267">
        <f>Q83</f>
        <v>28594.674532264191</v>
      </c>
      <c r="R105" s="267">
        <f t="shared" ref="R105:U105" si="85">R83</f>
        <v>29114.168216573518</v>
      </c>
      <c r="S105" s="267">
        <f t="shared" si="85"/>
        <v>29535.363141199603</v>
      </c>
      <c r="T105" s="267">
        <f t="shared" si="85"/>
        <v>30139.856928566503</v>
      </c>
      <c r="U105" s="267">
        <f t="shared" si="85"/>
        <v>30799.53039068119</v>
      </c>
      <c r="V105" s="267">
        <f t="shared" ref="V105" si="86">V83</f>
        <v>31530.697459423951</v>
      </c>
      <c r="W105" s="260">
        <f>'Secondary cum Calculation'!W119</f>
        <v>-4.8596088299126095E-2</v>
      </c>
      <c r="X105" s="260">
        <f>'Secondary cum Calculation'!X119</f>
        <v>1.9740537256371926E-2</v>
      </c>
    </row>
    <row r="106" spans="1:24">
      <c r="A106" s="57"/>
      <c r="B106" s="57"/>
      <c r="C106" s="61" t="str">
        <f>'Secondary cum Calculation'!C120</f>
        <v>Growth Rate</v>
      </c>
      <c r="D106" s="61"/>
      <c r="E106" s="61"/>
      <c r="F106" s="61">
        <f>'Secondary cum Calculation'!F120</f>
        <v>0</v>
      </c>
      <c r="G106" s="61">
        <f>'Secondary cum Calculation'!G120</f>
        <v>0</v>
      </c>
      <c r="H106" s="61">
        <f>'Secondary cum Calculation'!H120</f>
        <v>0</v>
      </c>
      <c r="I106" s="61">
        <f>'Secondary cum Calculation'!I120</f>
        <v>0</v>
      </c>
      <c r="J106" s="61" t="str">
        <f>'Secondary cum Calculation'!J120</f>
        <v>%</v>
      </c>
      <c r="K106" s="58">
        <f>'Secondary cum Calculation'!K120</f>
        <v>0</v>
      </c>
      <c r="L106" s="59"/>
      <c r="M106" s="62">
        <f>'Secondary cum Calculation'!M120</f>
        <v>0</v>
      </c>
      <c r="N106" s="62">
        <f>'Secondary cum Calculation'!N120</f>
        <v>-0.1174785100286535</v>
      </c>
      <c r="O106" s="62">
        <f>'Secondary cum Calculation'!O120</f>
        <v>0.10064935064935066</v>
      </c>
      <c r="P106" s="62">
        <f>'Secondary cum Calculation'!P120</f>
        <v>-0.12684365781710916</v>
      </c>
      <c r="Q106" s="62">
        <f>Q105/P105-1</f>
        <v>-3.3963698234317885E-2</v>
      </c>
      <c r="R106" s="62">
        <f t="shared" ref="R106:V106" si="87">R105/Q105-1</f>
        <v>1.8167497717911374E-2</v>
      </c>
      <c r="S106" s="62">
        <f t="shared" si="87"/>
        <v>1.4467008691195105E-2</v>
      </c>
      <c r="T106" s="62">
        <f t="shared" si="87"/>
        <v>2.0466780261918505E-2</v>
      </c>
      <c r="U106" s="62">
        <f t="shared" si="87"/>
        <v>2.1887080077326093E-2</v>
      </c>
      <c r="V106" s="62">
        <f t="shared" si="87"/>
        <v>2.3739552501877981E-2</v>
      </c>
      <c r="W106" s="259"/>
      <c r="X106" s="259"/>
    </row>
    <row r="107" spans="1:24">
      <c r="A107" s="55" t="str">
        <f>'Secondary cum Calculation'!A121</f>
        <v>Poland</v>
      </c>
      <c r="B107" s="56" t="str">
        <f>'Secondary cum Calculation'!B121</f>
        <v>Tourism Flows</v>
      </c>
      <c r="C107" s="56" t="str">
        <f>'Secondary cum Calculation'!C121</f>
        <v>Number of Domestic Tourists by Region</v>
      </c>
      <c r="D107" s="55" t="str">
        <f>'Secondary cum Calculation'!D121</f>
        <v>Region Centralny</v>
      </c>
      <c r="E107" s="57"/>
      <c r="F107" s="57">
        <f>'Secondary cum Calculation'!F121</f>
        <v>0</v>
      </c>
      <c r="G107" s="57" t="str">
        <f>'Secondary cum Calculation'!G121</f>
        <v>Tourism Demand &amp; Flows Database</v>
      </c>
      <c r="H107" s="57" t="str">
        <f>'Secondary cum Calculation'!H121</f>
        <v>New</v>
      </c>
      <c r="I107" s="57">
        <f>'Secondary cum Calculation'!I121</f>
        <v>0</v>
      </c>
      <c r="J107" s="57" t="str">
        <f>'Secondary cum Calculation'!J121</f>
        <v>Thousand</v>
      </c>
      <c r="K107" s="87">
        <f>'Secondary cum Calculation'!K121</f>
        <v>0</v>
      </c>
      <c r="L107" s="330">
        <f>'Secondary cum Calculation'!L121</f>
        <v>3758.4997754772271</v>
      </c>
      <c r="M107" s="330">
        <f>'Secondary cum Calculation'!M121</f>
        <v>3906.7712342331561</v>
      </c>
      <c r="N107" s="330">
        <f>'Secondary cum Calculation'!N121</f>
        <v>3477.2921928835149</v>
      </c>
      <c r="O107" s="330">
        <f>'Secondary cum Calculation'!O121</f>
        <v>4179.1960387177396</v>
      </c>
      <c r="P107" s="330">
        <f>'Secondary cum Calculation'!P121</f>
        <v>3559.8499819108883</v>
      </c>
      <c r="Q107" s="330">
        <f>Q$105*Q129</f>
        <v>3515.9415394177558</v>
      </c>
      <c r="R107" s="330">
        <f t="shared" ref="R107:U127" si="88">R$105*R129</f>
        <v>3630.8149548460206</v>
      </c>
      <c r="S107" s="330">
        <f t="shared" si="88"/>
        <v>3739.0013413365764</v>
      </c>
      <c r="T107" s="330">
        <f t="shared" si="88"/>
        <v>3835.8363508668313</v>
      </c>
      <c r="U107" s="330">
        <f t="shared" si="88"/>
        <v>3953.3042242673832</v>
      </c>
      <c r="V107" s="330">
        <f t="shared" ref="V107" si="89">V$105*V129</f>
        <v>4069.0070227681658</v>
      </c>
      <c r="W107" s="106">
        <f>'Secondary cum Calculation'!W121</f>
        <v>-2.6006819811057014E-2</v>
      </c>
      <c r="X107" s="106">
        <f>'Secondary cum Calculation'!X121</f>
        <v>2.964937169159132E-2</v>
      </c>
    </row>
    <row r="108" spans="1:24">
      <c r="A108" s="57"/>
      <c r="B108" s="57"/>
      <c r="C108" s="61" t="str">
        <f>'Secondary cum Calculation'!C122</f>
        <v>Growth Rate</v>
      </c>
      <c r="D108" s="61"/>
      <c r="E108" s="61"/>
      <c r="F108" s="61">
        <f>'Secondary cum Calculation'!F122</f>
        <v>0</v>
      </c>
      <c r="G108" s="61">
        <f>'Secondary cum Calculation'!G122</f>
        <v>0</v>
      </c>
      <c r="H108" s="61">
        <f>'Secondary cum Calculation'!H122</f>
        <v>0</v>
      </c>
      <c r="I108" s="61">
        <f>'Secondary cum Calculation'!I122</f>
        <v>0</v>
      </c>
      <c r="J108" s="61" t="str">
        <f>'Secondary cum Calculation'!J122</f>
        <v>%</v>
      </c>
      <c r="K108" s="58">
        <f>'Secondary cum Calculation'!K122</f>
        <v>0</v>
      </c>
      <c r="L108" s="59"/>
      <c r="M108" s="62">
        <f>'Secondary cum Calculation'!M122</f>
        <v>3.9449638848815027E-2</v>
      </c>
      <c r="N108" s="62">
        <f>'Secondary cum Calculation'!N122</f>
        <v>-0.10993196570772379</v>
      </c>
      <c r="O108" s="62">
        <f>'Secondary cum Calculation'!O122</f>
        <v>0.20185357079589483</v>
      </c>
      <c r="P108" s="62">
        <f>'Secondary cum Calculation'!P122</f>
        <v>-0.14819741669665221</v>
      </c>
      <c r="Q108" s="62">
        <f>Q107/P107-1</f>
        <v>-1.2334351929505494E-2</v>
      </c>
      <c r="R108" s="62">
        <f t="shared" ref="R108:V108" si="90">R107/Q107-1</f>
        <v>3.267216310066634E-2</v>
      </c>
      <c r="S108" s="62">
        <f t="shared" si="90"/>
        <v>2.9796722729193537E-2</v>
      </c>
      <c r="T108" s="62">
        <f t="shared" si="90"/>
        <v>2.5898629256880579E-2</v>
      </c>
      <c r="U108" s="62">
        <f t="shared" si="90"/>
        <v>3.0623796913026968E-2</v>
      </c>
      <c r="V108" s="62">
        <f t="shared" si="90"/>
        <v>2.9267365205677853E-2</v>
      </c>
      <c r="W108" s="259"/>
      <c r="X108" s="259"/>
    </row>
    <row r="109" spans="1:24">
      <c r="A109" s="55" t="str">
        <f>'Secondary cum Calculation'!A123</f>
        <v>Poland</v>
      </c>
      <c r="B109" s="56" t="str">
        <f>'Secondary cum Calculation'!B123</f>
        <v>Tourism Flows</v>
      </c>
      <c r="C109" s="56" t="str">
        <f>'Secondary cum Calculation'!C123</f>
        <v>Number of Domestic Tourists by Region</v>
      </c>
      <c r="D109" s="55" t="str">
        <f>'Secondary cum Calculation'!D123</f>
        <v>Region Poludniowy</v>
      </c>
      <c r="E109" s="57"/>
      <c r="F109" s="57">
        <f>'Secondary cum Calculation'!F123</f>
        <v>0</v>
      </c>
      <c r="G109" s="57" t="str">
        <f>'Secondary cum Calculation'!G123</f>
        <v>Tourism Demand &amp; Flows Database</v>
      </c>
      <c r="H109" s="57" t="str">
        <f>'Secondary cum Calculation'!H123</f>
        <v>New</v>
      </c>
      <c r="I109" s="57">
        <f>'Secondary cum Calculation'!I123</f>
        <v>0</v>
      </c>
      <c r="J109" s="57" t="str">
        <f>'Secondary cum Calculation'!J123</f>
        <v>Thousand</v>
      </c>
      <c r="K109" s="58">
        <f>'Secondary cum Calculation'!K123</f>
        <v>0</v>
      </c>
      <c r="L109" s="330">
        <f>'Secondary cum Calculation'!L123</f>
        <v>7319.0927563144232</v>
      </c>
      <c r="M109" s="330">
        <f>'Secondary cum Calculation'!M123</f>
        <v>7236.7391951344089</v>
      </c>
      <c r="N109" s="330">
        <f>'Secondary cum Calculation'!N123</f>
        <v>6681.2813566518143</v>
      </c>
      <c r="O109" s="330">
        <f>'Secondary cum Calculation'!O123</f>
        <v>7284.2875895539455</v>
      </c>
      <c r="P109" s="330">
        <f>'Secondary cum Calculation'!P123</f>
        <v>6500.2888992257967</v>
      </c>
      <c r="Q109" s="330">
        <f>Q$105*Q131</f>
        <v>6337.7124241215088</v>
      </c>
      <c r="R109" s="330">
        <f t="shared" si="88"/>
        <v>6517.8697430052389</v>
      </c>
      <c r="S109" s="330">
        <f t="shared" si="88"/>
        <v>6638.8481829601005</v>
      </c>
      <c r="T109" s="330">
        <f t="shared" si="88"/>
        <v>6813.0860313803923</v>
      </c>
      <c r="U109" s="330">
        <f t="shared" si="88"/>
        <v>6967.2572895884678</v>
      </c>
      <c r="V109" s="330">
        <f t="shared" ref="V109" si="91">V$105*V131</f>
        <v>7154.5652213737103</v>
      </c>
      <c r="W109" s="106">
        <f>'Secondary cum Calculation'!W123</f>
        <v>-3.2619337214365496E-2</v>
      </c>
      <c r="X109" s="106">
        <f>'Secondary cum Calculation'!X123</f>
        <v>2.4542889544804769E-2</v>
      </c>
    </row>
    <row r="110" spans="1:24">
      <c r="A110" s="57"/>
      <c r="B110" s="57"/>
      <c r="C110" s="61" t="str">
        <f>'Secondary cum Calculation'!C124</f>
        <v>Growth Rate</v>
      </c>
      <c r="D110" s="61"/>
      <c r="E110" s="61"/>
      <c r="F110" s="61">
        <f>'Secondary cum Calculation'!F124</f>
        <v>0</v>
      </c>
      <c r="G110" s="61">
        <f>'Secondary cum Calculation'!G124</f>
        <v>0</v>
      </c>
      <c r="H110" s="61">
        <f>'Secondary cum Calculation'!H124</f>
        <v>0</v>
      </c>
      <c r="I110" s="61">
        <f>'Secondary cum Calculation'!I124</f>
        <v>0</v>
      </c>
      <c r="J110" s="61" t="str">
        <f>'Secondary cum Calculation'!J124</f>
        <v>%</v>
      </c>
      <c r="K110" s="58">
        <f>'Secondary cum Calculation'!K124</f>
        <v>0</v>
      </c>
      <c r="L110" s="59"/>
      <c r="M110" s="62">
        <f>'Secondary cum Calculation'!M124</f>
        <v>-1.1251881062576352E-2</v>
      </c>
      <c r="N110" s="62">
        <f>'Secondary cum Calculation'!N124</f>
        <v>-7.675526552843781E-2</v>
      </c>
      <c r="O110" s="62">
        <f>'Secondary cum Calculation'!O124</f>
        <v>9.0253081813683078E-2</v>
      </c>
      <c r="P110" s="62">
        <f>'Secondary cum Calculation'!P124</f>
        <v>-0.10762873935022066</v>
      </c>
      <c r="Q110" s="62">
        <f>Q109/P109-1</f>
        <v>-2.5010653776273095E-2</v>
      </c>
      <c r="R110" s="62">
        <f t="shared" ref="R110" si="92">R109/Q109-1</f>
        <v>2.8426237548748068E-2</v>
      </c>
      <c r="S110" s="62">
        <f t="shared" ref="S110" si="93">S109/R109-1</f>
        <v>1.8561039837393434E-2</v>
      </c>
      <c r="T110" s="62">
        <f t="shared" ref="T110" si="94">T109/S109-1</f>
        <v>2.6245192481959112E-2</v>
      </c>
      <c r="U110" s="62">
        <f t="shared" ref="U110:V110" si="95">U109/T109-1</f>
        <v>2.2628696819323668E-2</v>
      </c>
      <c r="V110" s="62">
        <f t="shared" si="95"/>
        <v>2.6884026812838746E-2</v>
      </c>
      <c r="W110" s="259"/>
      <c r="X110" s="259"/>
    </row>
    <row r="111" spans="1:24">
      <c r="A111" s="55" t="str">
        <f>'Secondary cum Calculation'!A125</f>
        <v>Poland</v>
      </c>
      <c r="B111" s="56" t="str">
        <f>'Secondary cum Calculation'!B125</f>
        <v>Tourism Flows</v>
      </c>
      <c r="C111" s="56" t="str">
        <f>'Secondary cum Calculation'!C125</f>
        <v>Number of Domestic Tourists by Region</v>
      </c>
      <c r="D111" s="55" t="str">
        <f>'Secondary cum Calculation'!D125</f>
        <v>Region Wschodni</v>
      </c>
      <c r="E111" s="57"/>
      <c r="F111" s="57">
        <f>'Secondary cum Calculation'!F125</f>
        <v>0</v>
      </c>
      <c r="G111" s="57" t="str">
        <f>'Secondary cum Calculation'!G125</f>
        <v>Tourism Demand &amp; Flows Database</v>
      </c>
      <c r="H111" s="57" t="str">
        <f>'Secondary cum Calculation'!H125</f>
        <v>New</v>
      </c>
      <c r="I111" s="57">
        <f>'Secondary cum Calculation'!I125</f>
        <v>0</v>
      </c>
      <c r="J111" s="57" t="str">
        <f>'Secondary cum Calculation'!J125</f>
        <v>Thousand</v>
      </c>
      <c r="K111" s="58">
        <f>'Secondary cum Calculation'!K125</f>
        <v>0</v>
      </c>
      <c r="L111" s="330">
        <f>'Secondary cum Calculation'!L125</f>
        <v>3746.6259384277582</v>
      </c>
      <c r="M111" s="330">
        <f>'Secondary cum Calculation'!M125</f>
        <v>3729.1647121861747</v>
      </c>
      <c r="N111" s="330">
        <f>'Secondary cum Calculation'!N125</f>
        <v>3460.8994371801132</v>
      </c>
      <c r="O111" s="330">
        <f>'Secondary cum Calculation'!O125</f>
        <v>3946.62253895099</v>
      </c>
      <c r="P111" s="330">
        <f>'Secondary cum Calculation'!P125</f>
        <v>3336.8848501060297</v>
      </c>
      <c r="Q111" s="330">
        <f>Q$105*Q133</f>
        <v>3255.2681240661905</v>
      </c>
      <c r="R111" s="330">
        <f t="shared" si="88"/>
        <v>3356.7405689147668</v>
      </c>
      <c r="S111" s="330">
        <f t="shared" si="88"/>
        <v>3422.8838841566112</v>
      </c>
      <c r="T111" s="330">
        <f t="shared" si="88"/>
        <v>3493.7334891804139</v>
      </c>
      <c r="U111" s="330">
        <f t="shared" si="88"/>
        <v>3590.1631058826051</v>
      </c>
      <c r="V111" s="330">
        <f t="shared" ref="V111" si="96">V$105*V133</f>
        <v>3692.8236646489363</v>
      </c>
      <c r="W111" s="106">
        <f>'Secondary cum Calculation'!W125</f>
        <v>-3.3406656779354393E-2</v>
      </c>
      <c r="X111" s="106">
        <f>'Secondary cum Calculation'!X125</f>
        <v>2.5544148374108344E-2</v>
      </c>
    </row>
    <row r="112" spans="1:24">
      <c r="A112" s="57"/>
      <c r="B112" s="57"/>
      <c r="C112" s="61" t="str">
        <f>'Secondary cum Calculation'!C126</f>
        <v>Growth Rate</v>
      </c>
      <c r="D112" s="61"/>
      <c r="E112" s="61"/>
      <c r="F112" s="61">
        <f>'Secondary cum Calculation'!F126</f>
        <v>0</v>
      </c>
      <c r="G112" s="61">
        <f>'Secondary cum Calculation'!G126</f>
        <v>0</v>
      </c>
      <c r="H112" s="61">
        <f>'Secondary cum Calculation'!H126</f>
        <v>0</v>
      </c>
      <c r="I112" s="61">
        <f>'Secondary cum Calculation'!I126</f>
        <v>0</v>
      </c>
      <c r="J112" s="61" t="str">
        <f>'Secondary cum Calculation'!J126</f>
        <v>%</v>
      </c>
      <c r="K112" s="58">
        <f>'Secondary cum Calculation'!K126</f>
        <v>0</v>
      </c>
      <c r="L112" s="59"/>
      <c r="M112" s="62">
        <f>'Secondary cum Calculation'!M126</f>
        <v>-4.6605202997422879E-3</v>
      </c>
      <c r="N112" s="62">
        <f>'Secondary cum Calculation'!N126</f>
        <v>-7.1937094687564596E-2</v>
      </c>
      <c r="O112" s="62">
        <f>'Secondary cum Calculation'!O126</f>
        <v>0.14034591602194491</v>
      </c>
      <c r="P112" s="62">
        <f>'Secondary cum Calculation'!P126</f>
        <v>-0.15449607425771916</v>
      </c>
      <c r="Q112" s="62">
        <f>Q111/P111-1</f>
        <v>-2.4458957892192768E-2</v>
      </c>
      <c r="R112" s="62">
        <f t="shared" ref="R112" si="97">R111/Q111-1</f>
        <v>3.1171762503491074E-2</v>
      </c>
      <c r="S112" s="62">
        <f t="shared" ref="S112" si="98">S111/R111-1</f>
        <v>1.9704625330407621E-2</v>
      </c>
      <c r="T112" s="62">
        <f t="shared" ref="T112" si="99">T111/S111-1</f>
        <v>2.0698804698500606E-2</v>
      </c>
      <c r="U112" s="62">
        <f t="shared" ref="U112:V112" si="100">U111/T111-1</f>
        <v>2.7600736289937311E-2</v>
      </c>
      <c r="V112" s="62">
        <f t="shared" si="100"/>
        <v>2.8594956757847179E-2</v>
      </c>
      <c r="W112" s="259"/>
      <c r="X112" s="259"/>
    </row>
    <row r="113" spans="1:24">
      <c r="A113" s="55" t="str">
        <f>'Secondary cum Calculation'!A127</f>
        <v>Poland</v>
      </c>
      <c r="B113" s="56" t="str">
        <f>'Secondary cum Calculation'!B127</f>
        <v>Tourism Flows</v>
      </c>
      <c r="C113" s="56" t="str">
        <f>'Secondary cum Calculation'!C127</f>
        <v>Number of Domestic Tourists by Region</v>
      </c>
      <c r="D113" s="55" t="str">
        <f>'Secondary cum Calculation'!D127</f>
        <v>Region Pólnocno-Zachodni</v>
      </c>
      <c r="E113" s="57"/>
      <c r="F113" s="57">
        <f>'Secondary cum Calculation'!F127</f>
        <v>0</v>
      </c>
      <c r="G113" s="57" t="str">
        <f>'Secondary cum Calculation'!G127</f>
        <v>Tourism Demand &amp; Flows Database</v>
      </c>
      <c r="H113" s="57" t="str">
        <f>'Secondary cum Calculation'!H127</f>
        <v>New</v>
      </c>
      <c r="I113" s="57">
        <f>'Secondary cum Calculation'!I127</f>
        <v>0</v>
      </c>
      <c r="J113" s="57" t="str">
        <f>'Secondary cum Calculation'!J127</f>
        <v>Thousand</v>
      </c>
      <c r="K113" s="58">
        <f>'Secondary cum Calculation'!K127</f>
        <v>0</v>
      </c>
      <c r="L113" s="330">
        <f>'Secondary cum Calculation'!L127</f>
        <v>8636.9460115721795</v>
      </c>
      <c r="M113" s="330">
        <f>'Secondary cum Calculation'!M127</f>
        <v>8800.1261289498598</v>
      </c>
      <c r="N113" s="330">
        <f>'Secondary cum Calculation'!N127</f>
        <v>7560.465899826957</v>
      </c>
      <c r="O113" s="330">
        <f>'Secondary cum Calculation'!O127</f>
        <v>8238.0307155684495</v>
      </c>
      <c r="P113" s="330">
        <f>'Secondary cum Calculation'!P127</f>
        <v>7193.3659888029979</v>
      </c>
      <c r="Q113" s="330">
        <f>Q$105*Q135</f>
        <v>6923.8468909623844</v>
      </c>
      <c r="R113" s="330">
        <f t="shared" si="88"/>
        <v>6992.7825652383262</v>
      </c>
      <c r="S113" s="330">
        <f t="shared" si="88"/>
        <v>7063.1518165380239</v>
      </c>
      <c r="T113" s="330">
        <f t="shared" si="88"/>
        <v>7208.0003010497539</v>
      </c>
      <c r="U113" s="330">
        <f t="shared" si="88"/>
        <v>7342.1777849117352</v>
      </c>
      <c r="V113" s="330">
        <f t="shared" ref="V113" si="101">V$105*V135</f>
        <v>7504.7637199867886</v>
      </c>
      <c r="W113" s="106">
        <f>'Secondary cum Calculation'!W127</f>
        <v>-5.8187089071490949E-2</v>
      </c>
      <c r="X113" s="106">
        <f>'Secondary cum Calculation'!X127</f>
        <v>1.6243810631424438E-2</v>
      </c>
    </row>
    <row r="114" spans="1:24">
      <c r="A114" s="57"/>
      <c r="B114" s="57"/>
      <c r="C114" s="61" t="str">
        <f>'Secondary cum Calculation'!C128</f>
        <v>Growth Rate</v>
      </c>
      <c r="D114" s="61"/>
      <c r="E114" s="61"/>
      <c r="F114" s="61">
        <f>'Secondary cum Calculation'!F128</f>
        <v>0</v>
      </c>
      <c r="G114" s="61">
        <f>'Secondary cum Calculation'!G128</f>
        <v>0</v>
      </c>
      <c r="H114" s="61">
        <f>'Secondary cum Calculation'!H128</f>
        <v>0</v>
      </c>
      <c r="I114" s="61">
        <f>'Secondary cum Calculation'!I128</f>
        <v>0</v>
      </c>
      <c r="J114" s="61" t="str">
        <f>'Secondary cum Calculation'!J128</f>
        <v>%</v>
      </c>
      <c r="K114" s="58">
        <f>'Secondary cum Calculation'!K128</f>
        <v>0</v>
      </c>
      <c r="L114" s="59"/>
      <c r="M114" s="62">
        <f>'Secondary cum Calculation'!M128</f>
        <v>1.8893265878823895E-2</v>
      </c>
      <c r="N114" s="62">
        <f>'Secondary cum Calculation'!N128</f>
        <v>-0.14086846153770238</v>
      </c>
      <c r="O114" s="62">
        <f>'Secondary cum Calculation'!O128</f>
        <v>8.9619452652646814E-2</v>
      </c>
      <c r="P114" s="62">
        <f>'Secondary cum Calculation'!P128</f>
        <v>-0.12681000627871131</v>
      </c>
      <c r="Q114" s="62">
        <f>Q113/P113-1</f>
        <v>-3.7467730442207414E-2</v>
      </c>
      <c r="R114" s="62">
        <f t="shared" ref="R114" si="102">R113/Q113-1</f>
        <v>9.9562678611397892E-3</v>
      </c>
      <c r="S114" s="62">
        <f t="shared" ref="S114" si="103">S113/R113-1</f>
        <v>1.0063125893476021E-2</v>
      </c>
      <c r="T114" s="62">
        <f t="shared" ref="T114" si="104">T113/S113-1</f>
        <v>2.0507627228480985E-2</v>
      </c>
      <c r="U114" s="62">
        <f t="shared" ref="U114:V114" si="105">U113/T113-1</f>
        <v>1.8615077449766426E-2</v>
      </c>
      <c r="V114" s="62">
        <f t="shared" si="105"/>
        <v>2.2144102177581448E-2</v>
      </c>
      <c r="W114" s="259"/>
      <c r="X114" s="259"/>
    </row>
    <row r="115" spans="1:24">
      <c r="A115" s="55" t="str">
        <f>'Secondary cum Calculation'!A129</f>
        <v>Poland</v>
      </c>
      <c r="B115" s="56" t="str">
        <f>'Secondary cum Calculation'!B129</f>
        <v>Tourism Flows</v>
      </c>
      <c r="C115" s="56" t="str">
        <f>'Secondary cum Calculation'!C129</f>
        <v>Number of Domestic Tourists by Region</v>
      </c>
      <c r="D115" s="55" t="str">
        <f>'Secondary cum Calculation'!D129</f>
        <v>Region Poludniowo-Zachodni</v>
      </c>
      <c r="E115" s="57"/>
      <c r="F115" s="57">
        <f>'Secondary cum Calculation'!F129</f>
        <v>0</v>
      </c>
      <c r="G115" s="57" t="str">
        <f>'Secondary cum Calculation'!G129</f>
        <v>Tourism Demand &amp; Flows Database</v>
      </c>
      <c r="H115" s="57" t="str">
        <f>'Secondary cum Calculation'!H129</f>
        <v>New</v>
      </c>
      <c r="I115" s="57">
        <f>'Secondary cum Calculation'!I129</f>
        <v>0</v>
      </c>
      <c r="J115" s="57" t="str">
        <f>'Secondary cum Calculation'!J129</f>
        <v>Thousand</v>
      </c>
      <c r="K115" s="58">
        <f>'Secondary cum Calculation'!K129</f>
        <v>0</v>
      </c>
      <c r="L115" s="330">
        <f>'Secondary cum Calculation'!L129</f>
        <v>3524.6948731642765</v>
      </c>
      <c r="M115" s="330">
        <f>'Secondary cum Calculation'!M129</f>
        <v>3481.48224960165</v>
      </c>
      <c r="N115" s="330">
        <f>'Secondary cum Calculation'!N129</f>
        <v>2934.4002614366418</v>
      </c>
      <c r="O115" s="330">
        <f>'Secondary cum Calculation'!O129</f>
        <v>3171.5062806147207</v>
      </c>
      <c r="P115" s="330">
        <f>'Secondary cum Calculation'!P129</f>
        <v>2836.9273213162082</v>
      </c>
      <c r="Q115" s="330">
        <f>Q$105*Q137</f>
        <v>2712.0625710117288</v>
      </c>
      <c r="R115" s="330">
        <f t="shared" si="88"/>
        <v>2733.6294213978658</v>
      </c>
      <c r="S115" s="330">
        <f t="shared" si="88"/>
        <v>2761.0664522126117</v>
      </c>
      <c r="T115" s="330">
        <f t="shared" si="88"/>
        <v>2811.6657714775433</v>
      </c>
      <c r="U115" s="330">
        <f t="shared" si="88"/>
        <v>2853.8628916128187</v>
      </c>
      <c r="V115" s="330">
        <f t="shared" ref="V115" si="106">V$105*V137</f>
        <v>2909.7264943179284</v>
      </c>
      <c r="W115" s="106">
        <f>'Secondary cum Calculation'!W129</f>
        <v>-6.052791557410786E-2</v>
      </c>
      <c r="X115" s="106">
        <f>'Secondary cum Calculation'!X129</f>
        <v>1.4169376682476198E-2</v>
      </c>
    </row>
    <row r="116" spans="1:24">
      <c r="A116" s="57"/>
      <c r="B116" s="57"/>
      <c r="C116" s="61" t="str">
        <f>'Secondary cum Calculation'!C130</f>
        <v>Growth Rate</v>
      </c>
      <c r="D116" s="61"/>
      <c r="E116" s="61"/>
      <c r="F116" s="61">
        <f>'Secondary cum Calculation'!F130</f>
        <v>0</v>
      </c>
      <c r="G116" s="61">
        <f>'Secondary cum Calculation'!G130</f>
        <v>0</v>
      </c>
      <c r="H116" s="61">
        <f>'Secondary cum Calculation'!H130</f>
        <v>0</v>
      </c>
      <c r="I116" s="61">
        <f>'Secondary cum Calculation'!I130</f>
        <v>0</v>
      </c>
      <c r="J116" s="61" t="str">
        <f>'Secondary cum Calculation'!J130</f>
        <v>%</v>
      </c>
      <c r="K116" s="58">
        <f>'Secondary cum Calculation'!K130</f>
        <v>0</v>
      </c>
      <c r="L116" s="59"/>
      <c r="M116" s="62">
        <f>'Secondary cum Calculation'!M130</f>
        <v>-1.2259961533587327E-2</v>
      </c>
      <c r="N116" s="62">
        <f>'Secondary cum Calculation'!N130</f>
        <v>-0.15714053639871495</v>
      </c>
      <c r="O116" s="62">
        <f>'Secondary cum Calculation'!O130</f>
        <v>8.0802207624530054E-2</v>
      </c>
      <c r="P116" s="62">
        <f>'Secondary cum Calculation'!P130</f>
        <v>-0.10549528510902473</v>
      </c>
      <c r="Q116" s="62">
        <f>Q115/P115-1</f>
        <v>-4.4014081491008272E-2</v>
      </c>
      <c r="R116" s="62">
        <f t="shared" ref="R116" si="107">R115/Q115-1</f>
        <v>7.9521949886618426E-3</v>
      </c>
      <c r="S116" s="62">
        <f t="shared" ref="S116" si="108">S115/R115-1</f>
        <v>1.0036850862073177E-2</v>
      </c>
      <c r="T116" s="62">
        <f t="shared" ref="T116" si="109">T115/S115-1</f>
        <v>1.8326005599895501E-2</v>
      </c>
      <c r="U116" s="62">
        <f t="shared" ref="U116:V116" si="110">U115/T115-1</f>
        <v>1.5007872046292503E-2</v>
      </c>
      <c r="V116" s="62">
        <f t="shared" si="110"/>
        <v>1.9574732503543357E-2</v>
      </c>
      <c r="W116" s="259"/>
      <c r="X116" s="259"/>
    </row>
    <row r="117" spans="1:24">
      <c r="A117" s="55" t="str">
        <f>'Secondary cum Calculation'!A131</f>
        <v>Poland</v>
      </c>
      <c r="B117" s="56" t="str">
        <f>'Secondary cum Calculation'!B131</f>
        <v>Tourism Flows</v>
      </c>
      <c r="C117" s="56" t="str">
        <f>'Secondary cum Calculation'!C131</f>
        <v>Number of Domestic Tourists by Region</v>
      </c>
      <c r="D117" s="55" t="str">
        <f>'Secondary cum Calculation'!D131</f>
        <v>Region Pólnocny</v>
      </c>
      <c r="E117" s="57"/>
      <c r="F117" s="57">
        <f>'Secondary cum Calculation'!F131</f>
        <v>0</v>
      </c>
      <c r="G117" s="57" t="str">
        <f>'Secondary cum Calculation'!G131</f>
        <v>Tourism Demand &amp; Flows Database</v>
      </c>
      <c r="H117" s="57" t="str">
        <f>'Secondary cum Calculation'!H131</f>
        <v>New</v>
      </c>
      <c r="I117" s="57">
        <f>'Secondary cum Calculation'!I131</f>
        <v>0</v>
      </c>
      <c r="J117" s="57" t="str">
        <f>'Secondary cum Calculation'!J131</f>
        <v>Thousand</v>
      </c>
      <c r="K117" s="58">
        <f>'Secondary cum Calculation'!K131</f>
        <v>0</v>
      </c>
      <c r="L117" s="330">
        <f>'Secondary cum Calculation'!L131</f>
        <v>7914.1406450441445</v>
      </c>
      <c r="M117" s="330">
        <f>'Secondary cum Calculation'!M131</f>
        <v>7745.7164798947597</v>
      </c>
      <c r="N117" s="330">
        <f>'Secondary cum Calculation'!N131</f>
        <v>6685.6608520209584</v>
      </c>
      <c r="O117" s="330">
        <f>'Secondary cum Calculation'!O131</f>
        <v>7080.3568365941592</v>
      </c>
      <c r="P117" s="330">
        <f>'Secondary cum Calculation'!P131</f>
        <v>6172.6829586380773</v>
      </c>
      <c r="Q117" s="330">
        <f>Q105-SUM(Q107,Q109,Q111,Q113,Q115)</f>
        <v>5849.8429826846223</v>
      </c>
      <c r="R117" s="330">
        <f t="shared" ref="R117:U117" si="111">R105-SUM(R107,R109,R111,R113,R115)</f>
        <v>5882.3309631713018</v>
      </c>
      <c r="S117" s="330">
        <f t="shared" si="111"/>
        <v>5910.4114639956824</v>
      </c>
      <c r="T117" s="330">
        <f t="shared" si="111"/>
        <v>5977.5349846115714</v>
      </c>
      <c r="U117" s="330">
        <f t="shared" si="111"/>
        <v>6092.7650944181805</v>
      </c>
      <c r="V117" s="330">
        <f t="shared" ref="V117" si="112">V105-SUM(V107,V109,V111,V113,V115)</f>
        <v>6199.811336328421</v>
      </c>
      <c r="W117" s="106">
        <f>'Secondary cum Calculation'!W131</f>
        <v>-6.7775197976605694E-2</v>
      </c>
      <c r="X117" s="106">
        <f>'Secondary cum Calculation'!X131</f>
        <v>1.1688592235932216E-2</v>
      </c>
    </row>
    <row r="118" spans="1:24">
      <c r="A118" s="57"/>
      <c r="B118" s="57"/>
      <c r="C118" s="61" t="str">
        <f>'Secondary cum Calculation'!C132</f>
        <v>Growth Rate</v>
      </c>
      <c r="D118" s="61"/>
      <c r="E118" s="61"/>
      <c r="F118" s="61">
        <f>'Secondary cum Calculation'!F132</f>
        <v>0</v>
      </c>
      <c r="G118" s="61">
        <f>'Secondary cum Calculation'!G132</f>
        <v>0</v>
      </c>
      <c r="H118" s="61">
        <f>'Secondary cum Calculation'!H132</f>
        <v>0</v>
      </c>
      <c r="I118" s="61">
        <f>'Secondary cum Calculation'!I132</f>
        <v>0</v>
      </c>
      <c r="J118" s="61" t="str">
        <f>'Secondary cum Calculation'!J132</f>
        <v>%</v>
      </c>
      <c r="K118" s="58">
        <f>'Secondary cum Calculation'!K132</f>
        <v>0</v>
      </c>
      <c r="L118" s="59"/>
      <c r="M118" s="62">
        <f>'Secondary cum Calculation'!M132</f>
        <v>-2.128142178707082E-2</v>
      </c>
      <c r="N118" s="62">
        <f>'Secondary cum Calculation'!N132</f>
        <v>-0.13685701388959237</v>
      </c>
      <c r="O118" s="62">
        <f>'Secondary cum Calculation'!O132</f>
        <v>5.9036196018511955E-2</v>
      </c>
      <c r="P118" s="62">
        <f>'Secondary cum Calculation'!P132</f>
        <v>-0.1281960639702302</v>
      </c>
      <c r="Q118" s="62">
        <f>Q117/P117-1</f>
        <v>-5.2301402504671191E-2</v>
      </c>
      <c r="R118" s="62">
        <f t="shared" ref="R118" si="113">R117/Q117-1</f>
        <v>5.5536500010073819E-3</v>
      </c>
      <c r="S118" s="62">
        <f t="shared" ref="S118" si="114">S117/R117-1</f>
        <v>4.7737029759444827E-3</v>
      </c>
      <c r="T118" s="62">
        <f t="shared" ref="T118" si="115">T117/S117-1</f>
        <v>1.1356827020383209E-2</v>
      </c>
      <c r="U118" s="62">
        <f t="shared" ref="U118:V118" si="116">U117/T117-1</f>
        <v>1.9277195382922052E-2</v>
      </c>
      <c r="V118" s="62">
        <f t="shared" si="116"/>
        <v>1.7569402439018944E-2</v>
      </c>
      <c r="W118" s="259"/>
      <c r="X118" s="259"/>
    </row>
    <row r="119" spans="1:24" hidden="1">
      <c r="A119" s="55" t="str">
        <f>'Secondary cum Calculation'!A133</f>
        <v>Poland</v>
      </c>
      <c r="B119" s="56" t="str">
        <f>'Secondary cum Calculation'!B133</f>
        <v>Tourism Flows</v>
      </c>
      <c r="C119" s="56" t="str">
        <f>'Secondary cum Calculation'!C133</f>
        <v>Number of Domestic Tourists by Region</v>
      </c>
      <c r="D119" s="55" t="str">
        <f>'Secondary cum Calculation'!D133</f>
        <v>REGION 7</v>
      </c>
      <c r="E119" s="57"/>
      <c r="F119" s="57">
        <f>'Secondary cum Calculation'!F133</f>
        <v>0</v>
      </c>
      <c r="G119" s="57" t="str">
        <f>'Secondary cum Calculation'!G133</f>
        <v>Tourism Demand &amp; Flows Database</v>
      </c>
      <c r="H119" s="57" t="str">
        <f>'Secondary cum Calculation'!H133</f>
        <v>New</v>
      </c>
      <c r="I119" s="57">
        <f>'Secondary cum Calculation'!I133</f>
        <v>0</v>
      </c>
      <c r="J119" s="57" t="str">
        <f>'Secondary cum Calculation'!J133</f>
        <v>Thousand</v>
      </c>
      <c r="K119" s="58">
        <f>'Secondary cum Calculation'!K133</f>
        <v>0</v>
      </c>
      <c r="L119" s="59">
        <f>'Secondary cum Calculation'!L133</f>
        <v>0</v>
      </c>
      <c r="M119" s="59">
        <f>'Secondary cum Calculation'!M133</f>
        <v>0</v>
      </c>
      <c r="N119" s="59">
        <f>'Secondary cum Calculation'!N133</f>
        <v>0</v>
      </c>
      <c r="O119" s="59">
        <f>'Secondary cum Calculation'!O133</f>
        <v>0</v>
      </c>
      <c r="P119" s="59">
        <f>'Secondary cum Calculation'!P133</f>
        <v>0</v>
      </c>
      <c r="Q119" s="88" t="e">
        <f>Q$105*Q141</f>
        <v>#DIV/0!</v>
      </c>
      <c r="R119" s="88" t="e">
        <f t="shared" si="88"/>
        <v>#DIV/0!</v>
      </c>
      <c r="S119" s="88" t="e">
        <f t="shared" si="88"/>
        <v>#DIV/0!</v>
      </c>
      <c r="T119" s="88" t="e">
        <f t="shared" si="88"/>
        <v>#DIV/0!</v>
      </c>
      <c r="U119" s="88" t="e">
        <f t="shared" si="88"/>
        <v>#DIV/0!</v>
      </c>
      <c r="V119" s="88" t="e">
        <f t="shared" ref="V119" si="117">V$105*V141</f>
        <v>#DIV/0!</v>
      </c>
      <c r="W119" s="106" t="e">
        <f>'Secondary cum Calculation'!W133</f>
        <v>#DIV/0!</v>
      </c>
      <c r="X119" s="106" t="e">
        <f>'Secondary cum Calculation'!X133</f>
        <v>#DIV/0!</v>
      </c>
    </row>
    <row r="120" spans="1:24" hidden="1">
      <c r="A120" s="57"/>
      <c r="B120" s="57"/>
      <c r="C120" s="61" t="str">
        <f>'Secondary cum Calculation'!C134</f>
        <v>Growth Rate</v>
      </c>
      <c r="D120" s="61"/>
      <c r="E120" s="61"/>
      <c r="F120" s="61">
        <f>'Secondary cum Calculation'!F134</f>
        <v>0</v>
      </c>
      <c r="G120" s="61">
        <f>'Secondary cum Calculation'!G134</f>
        <v>0</v>
      </c>
      <c r="H120" s="61">
        <f>'Secondary cum Calculation'!H134</f>
        <v>0</v>
      </c>
      <c r="I120" s="61">
        <f>'Secondary cum Calculation'!I134</f>
        <v>0</v>
      </c>
      <c r="J120" s="61" t="str">
        <f>'Secondary cum Calculation'!J134</f>
        <v>%</v>
      </c>
      <c r="K120" s="58">
        <f>'Secondary cum Calculation'!K134</f>
        <v>0</v>
      </c>
      <c r="L120" s="59"/>
      <c r="M120" s="62" t="e">
        <f>'Secondary cum Calculation'!M134</f>
        <v>#DIV/0!</v>
      </c>
      <c r="N120" s="62" t="e">
        <f>'Secondary cum Calculation'!N134</f>
        <v>#DIV/0!</v>
      </c>
      <c r="O120" s="62" t="e">
        <f>'Secondary cum Calculation'!O134</f>
        <v>#DIV/0!</v>
      </c>
      <c r="P120" s="62" t="e">
        <f>'Secondary cum Calculation'!P134</f>
        <v>#DIV/0!</v>
      </c>
      <c r="Q120" s="62"/>
      <c r="R120" s="62"/>
      <c r="S120" s="62"/>
      <c r="T120" s="62"/>
      <c r="U120" s="62"/>
      <c r="V120" s="62"/>
      <c r="W120" s="259"/>
      <c r="X120" s="259"/>
    </row>
    <row r="121" spans="1:24" hidden="1">
      <c r="A121" s="55" t="str">
        <f>'Secondary cum Calculation'!A135</f>
        <v>Poland</v>
      </c>
      <c r="B121" s="56" t="str">
        <f>'Secondary cum Calculation'!B135</f>
        <v>Tourism Flows</v>
      </c>
      <c r="C121" s="56" t="str">
        <f>'Secondary cum Calculation'!C135</f>
        <v>Number of Domestic Tourists by Region</v>
      </c>
      <c r="D121" s="55" t="str">
        <f>'Secondary cum Calculation'!D135</f>
        <v>REGION 8</v>
      </c>
      <c r="E121" s="57"/>
      <c r="F121" s="57">
        <f>'Secondary cum Calculation'!F135</f>
        <v>0</v>
      </c>
      <c r="G121" s="57" t="str">
        <f>'Secondary cum Calculation'!G135</f>
        <v>Tourism Demand &amp; Flows Database</v>
      </c>
      <c r="H121" s="57" t="str">
        <f>'Secondary cum Calculation'!H135</f>
        <v>New</v>
      </c>
      <c r="I121" s="57">
        <f>'Secondary cum Calculation'!I135</f>
        <v>0</v>
      </c>
      <c r="J121" s="57" t="str">
        <f>'Secondary cum Calculation'!J135</f>
        <v>Thousand</v>
      </c>
      <c r="K121" s="58">
        <f>'Secondary cum Calculation'!K135</f>
        <v>0</v>
      </c>
      <c r="L121" s="59">
        <f>'Secondary cum Calculation'!L135</f>
        <v>0</v>
      </c>
      <c r="M121" s="59">
        <f>'Secondary cum Calculation'!M135</f>
        <v>0</v>
      </c>
      <c r="N121" s="59">
        <f>'Secondary cum Calculation'!N135</f>
        <v>0</v>
      </c>
      <c r="O121" s="59">
        <f>'Secondary cum Calculation'!O135</f>
        <v>0</v>
      </c>
      <c r="P121" s="59">
        <f>'Secondary cum Calculation'!P135</f>
        <v>0</v>
      </c>
      <c r="Q121" s="88" t="e">
        <f>Q$105*Q143</f>
        <v>#DIV/0!</v>
      </c>
      <c r="R121" s="88" t="e">
        <f t="shared" si="88"/>
        <v>#DIV/0!</v>
      </c>
      <c r="S121" s="88" t="e">
        <f t="shared" si="88"/>
        <v>#DIV/0!</v>
      </c>
      <c r="T121" s="88" t="e">
        <f t="shared" si="88"/>
        <v>#DIV/0!</v>
      </c>
      <c r="U121" s="88" t="e">
        <f t="shared" si="88"/>
        <v>#DIV/0!</v>
      </c>
      <c r="V121" s="88" t="e">
        <f t="shared" ref="V121" si="118">V$105*V143</f>
        <v>#DIV/0!</v>
      </c>
      <c r="W121" s="106" t="e">
        <f>'Secondary cum Calculation'!W135</f>
        <v>#DIV/0!</v>
      </c>
      <c r="X121" s="106" t="e">
        <f>'Secondary cum Calculation'!X135</f>
        <v>#DIV/0!</v>
      </c>
    </row>
    <row r="122" spans="1:24" hidden="1">
      <c r="A122" s="57"/>
      <c r="B122" s="57"/>
      <c r="C122" s="61" t="str">
        <f>'Secondary cum Calculation'!C136</f>
        <v>Growth Rate</v>
      </c>
      <c r="D122" s="61"/>
      <c r="E122" s="61"/>
      <c r="F122" s="61">
        <f>'Secondary cum Calculation'!F136</f>
        <v>0</v>
      </c>
      <c r="G122" s="61">
        <f>'Secondary cum Calculation'!G136</f>
        <v>0</v>
      </c>
      <c r="H122" s="61">
        <f>'Secondary cum Calculation'!H136</f>
        <v>0</v>
      </c>
      <c r="I122" s="61">
        <f>'Secondary cum Calculation'!I136</f>
        <v>0</v>
      </c>
      <c r="J122" s="61" t="str">
        <f>'Secondary cum Calculation'!J136</f>
        <v>%</v>
      </c>
      <c r="K122" s="58">
        <f>'Secondary cum Calculation'!K136</f>
        <v>0</v>
      </c>
      <c r="L122" s="59"/>
      <c r="M122" s="62" t="e">
        <f>'Secondary cum Calculation'!M136</f>
        <v>#DIV/0!</v>
      </c>
      <c r="N122" s="62" t="e">
        <f>'Secondary cum Calculation'!N136</f>
        <v>#DIV/0!</v>
      </c>
      <c r="O122" s="62" t="e">
        <f>'Secondary cum Calculation'!O136</f>
        <v>#DIV/0!</v>
      </c>
      <c r="P122" s="62" t="e">
        <f>'Secondary cum Calculation'!P136</f>
        <v>#DIV/0!</v>
      </c>
      <c r="Q122" s="62"/>
      <c r="R122" s="62"/>
      <c r="S122" s="62"/>
      <c r="T122" s="62"/>
      <c r="U122" s="62"/>
      <c r="V122" s="62"/>
      <c r="W122" s="259"/>
      <c r="X122" s="259"/>
    </row>
    <row r="123" spans="1:24" hidden="1">
      <c r="A123" s="55" t="str">
        <f>'Secondary cum Calculation'!A137</f>
        <v>Poland</v>
      </c>
      <c r="B123" s="56" t="str">
        <f>'Secondary cum Calculation'!B137</f>
        <v>Tourism Flows</v>
      </c>
      <c r="C123" s="56" t="str">
        <f>'Secondary cum Calculation'!C137</f>
        <v>Number of Domestic Tourists by Region</v>
      </c>
      <c r="D123" s="55" t="str">
        <f>'Secondary cum Calculation'!D137</f>
        <v>REGION 9</v>
      </c>
      <c r="E123" s="57"/>
      <c r="F123" s="57">
        <f>'Secondary cum Calculation'!F137</f>
        <v>0</v>
      </c>
      <c r="G123" s="57" t="str">
        <f>'Secondary cum Calculation'!G137</f>
        <v>Tourism Demand &amp; Flows Database</v>
      </c>
      <c r="H123" s="57" t="str">
        <f>'Secondary cum Calculation'!H137</f>
        <v>New</v>
      </c>
      <c r="I123" s="57">
        <f>'Secondary cum Calculation'!I137</f>
        <v>0</v>
      </c>
      <c r="J123" s="57" t="str">
        <f>'Secondary cum Calculation'!J137</f>
        <v>Thousand</v>
      </c>
      <c r="K123" s="58">
        <f>'Secondary cum Calculation'!K137</f>
        <v>0</v>
      </c>
      <c r="L123" s="59">
        <f>'Secondary cum Calculation'!L137</f>
        <v>0</v>
      </c>
      <c r="M123" s="59">
        <f>'Secondary cum Calculation'!M137</f>
        <v>0</v>
      </c>
      <c r="N123" s="59">
        <f>'Secondary cum Calculation'!N137</f>
        <v>0</v>
      </c>
      <c r="O123" s="59">
        <f>'Secondary cum Calculation'!O137</f>
        <v>0</v>
      </c>
      <c r="P123" s="59">
        <f>'Secondary cum Calculation'!P137</f>
        <v>0</v>
      </c>
      <c r="Q123" s="88" t="e">
        <f>Q$105*Q145</f>
        <v>#DIV/0!</v>
      </c>
      <c r="R123" s="88" t="e">
        <f t="shared" si="88"/>
        <v>#DIV/0!</v>
      </c>
      <c r="S123" s="88" t="e">
        <f t="shared" si="88"/>
        <v>#DIV/0!</v>
      </c>
      <c r="T123" s="88" t="e">
        <f t="shared" si="88"/>
        <v>#DIV/0!</v>
      </c>
      <c r="U123" s="88" t="e">
        <f t="shared" si="88"/>
        <v>#DIV/0!</v>
      </c>
      <c r="V123" s="88" t="e">
        <f t="shared" ref="V123" si="119">V$105*V145</f>
        <v>#DIV/0!</v>
      </c>
      <c r="W123" s="106" t="e">
        <f>'Secondary cum Calculation'!W137</f>
        <v>#DIV/0!</v>
      </c>
      <c r="X123" s="106" t="e">
        <f>'Secondary cum Calculation'!X137</f>
        <v>#DIV/0!</v>
      </c>
    </row>
    <row r="124" spans="1:24" hidden="1">
      <c r="A124" s="57"/>
      <c r="B124" s="57"/>
      <c r="C124" s="61" t="str">
        <f>'Secondary cum Calculation'!C138</f>
        <v>Growth Rate</v>
      </c>
      <c r="D124" s="61"/>
      <c r="E124" s="61"/>
      <c r="F124" s="61">
        <f>'Secondary cum Calculation'!F138</f>
        <v>0</v>
      </c>
      <c r="G124" s="61">
        <f>'Secondary cum Calculation'!G138</f>
        <v>0</v>
      </c>
      <c r="H124" s="61">
        <f>'Secondary cum Calculation'!H138</f>
        <v>0</v>
      </c>
      <c r="I124" s="61">
        <f>'Secondary cum Calculation'!I138</f>
        <v>0</v>
      </c>
      <c r="J124" s="61" t="str">
        <f>'Secondary cum Calculation'!J138</f>
        <v>%</v>
      </c>
      <c r="K124" s="58">
        <f>'Secondary cum Calculation'!K138</f>
        <v>0</v>
      </c>
      <c r="L124" s="59"/>
      <c r="M124" s="62" t="e">
        <f>'Secondary cum Calculation'!M138</f>
        <v>#DIV/0!</v>
      </c>
      <c r="N124" s="62" t="e">
        <f>'Secondary cum Calculation'!N138</f>
        <v>#DIV/0!</v>
      </c>
      <c r="O124" s="62" t="e">
        <f>'Secondary cum Calculation'!O138</f>
        <v>#DIV/0!</v>
      </c>
      <c r="P124" s="62" t="e">
        <f>'Secondary cum Calculation'!P138</f>
        <v>#DIV/0!</v>
      </c>
      <c r="Q124" s="62"/>
      <c r="R124" s="62"/>
      <c r="S124" s="62"/>
      <c r="T124" s="62"/>
      <c r="U124" s="62"/>
      <c r="V124" s="62"/>
      <c r="W124" s="259"/>
      <c r="X124" s="259"/>
    </row>
    <row r="125" spans="1:24" hidden="1">
      <c r="A125" s="55" t="str">
        <f>'Secondary cum Calculation'!A139</f>
        <v>Poland</v>
      </c>
      <c r="B125" s="56" t="str">
        <f>'Secondary cum Calculation'!B139</f>
        <v>Tourism Flows</v>
      </c>
      <c r="C125" s="56" t="str">
        <f>'Secondary cum Calculation'!C139</f>
        <v>Number of Domestic Tourists by Region</v>
      </c>
      <c r="D125" s="55" t="str">
        <f>'Secondary cum Calculation'!D139</f>
        <v>REGION 10</v>
      </c>
      <c r="E125" s="57"/>
      <c r="F125" s="57">
        <f>'Secondary cum Calculation'!F139</f>
        <v>0</v>
      </c>
      <c r="G125" s="57" t="str">
        <f>'Secondary cum Calculation'!G139</f>
        <v>Tourism Demand &amp; Flows Database</v>
      </c>
      <c r="H125" s="57" t="str">
        <f>'Secondary cum Calculation'!H139</f>
        <v>New</v>
      </c>
      <c r="I125" s="57">
        <f>'Secondary cum Calculation'!I139</f>
        <v>0</v>
      </c>
      <c r="J125" s="57" t="str">
        <f>'Secondary cum Calculation'!J139</f>
        <v>Thousand</v>
      </c>
      <c r="K125" s="58">
        <f>'Secondary cum Calculation'!K139</f>
        <v>0</v>
      </c>
      <c r="L125" s="59">
        <f>'Secondary cum Calculation'!L139</f>
        <v>0</v>
      </c>
      <c r="M125" s="59">
        <f>'Secondary cum Calculation'!M139</f>
        <v>0</v>
      </c>
      <c r="N125" s="59">
        <f>'Secondary cum Calculation'!N139</f>
        <v>0</v>
      </c>
      <c r="O125" s="59">
        <f>'Secondary cum Calculation'!O139</f>
        <v>0</v>
      </c>
      <c r="P125" s="59">
        <f>'Secondary cum Calculation'!P139</f>
        <v>0</v>
      </c>
      <c r="Q125" s="88" t="e">
        <f>Q$105*Q147</f>
        <v>#DIV/0!</v>
      </c>
      <c r="R125" s="88" t="e">
        <f t="shared" si="88"/>
        <v>#DIV/0!</v>
      </c>
      <c r="S125" s="88" t="e">
        <f t="shared" si="88"/>
        <v>#DIV/0!</v>
      </c>
      <c r="T125" s="88" t="e">
        <f t="shared" si="88"/>
        <v>#DIV/0!</v>
      </c>
      <c r="U125" s="88" t="e">
        <f t="shared" si="88"/>
        <v>#DIV/0!</v>
      </c>
      <c r="V125" s="88" t="e">
        <f t="shared" ref="V125" si="120">V$105*V147</f>
        <v>#DIV/0!</v>
      </c>
      <c r="W125" s="106" t="e">
        <f>'Secondary cum Calculation'!W139</f>
        <v>#DIV/0!</v>
      </c>
      <c r="X125" s="106" t="e">
        <f>'Secondary cum Calculation'!X139</f>
        <v>#DIV/0!</v>
      </c>
    </row>
    <row r="126" spans="1:24" hidden="1">
      <c r="A126" s="57"/>
      <c r="B126" s="57"/>
      <c r="C126" s="61" t="str">
        <f>'Secondary cum Calculation'!C140</f>
        <v>Growth Rate</v>
      </c>
      <c r="D126" s="61"/>
      <c r="E126" s="61"/>
      <c r="F126" s="61">
        <f>'Secondary cum Calculation'!F140</f>
        <v>0</v>
      </c>
      <c r="G126" s="61">
        <f>'Secondary cum Calculation'!G140</f>
        <v>0</v>
      </c>
      <c r="H126" s="61">
        <f>'Secondary cum Calculation'!H140</f>
        <v>0</v>
      </c>
      <c r="I126" s="61">
        <f>'Secondary cum Calculation'!I140</f>
        <v>0</v>
      </c>
      <c r="J126" s="61" t="str">
        <f>'Secondary cum Calculation'!J140</f>
        <v>%</v>
      </c>
      <c r="K126" s="58">
        <f>'Secondary cum Calculation'!K140</f>
        <v>0</v>
      </c>
      <c r="L126" s="59"/>
      <c r="M126" s="62" t="e">
        <f>'Secondary cum Calculation'!M140</f>
        <v>#DIV/0!</v>
      </c>
      <c r="N126" s="62" t="e">
        <f>'Secondary cum Calculation'!N140</f>
        <v>#DIV/0!</v>
      </c>
      <c r="O126" s="62" t="e">
        <f>'Secondary cum Calculation'!O140</f>
        <v>#DIV/0!</v>
      </c>
      <c r="P126" s="62" t="e">
        <f>'Secondary cum Calculation'!P140</f>
        <v>#DIV/0!</v>
      </c>
      <c r="Q126" s="62"/>
      <c r="R126" s="62"/>
      <c r="S126" s="62"/>
      <c r="T126" s="62"/>
      <c r="U126" s="62"/>
      <c r="V126" s="62"/>
      <c r="W126" s="259"/>
      <c r="X126" s="259"/>
    </row>
    <row r="127" spans="1:24" hidden="1">
      <c r="A127" s="55" t="str">
        <f>'Secondary cum Calculation'!A141</f>
        <v>Poland</v>
      </c>
      <c r="B127" s="56" t="str">
        <f>'Secondary cum Calculation'!B141</f>
        <v>Tourism Flows</v>
      </c>
      <c r="C127" s="56" t="str">
        <f>'Secondary cum Calculation'!C141</f>
        <v>Number of Domestic Tourists by Region</v>
      </c>
      <c r="D127" s="55" t="str">
        <f>'Secondary cum Calculation'!D141</f>
        <v>Other Regions</v>
      </c>
      <c r="E127" s="57"/>
      <c r="F127" s="57">
        <f>'Secondary cum Calculation'!F141</f>
        <v>0</v>
      </c>
      <c r="G127" s="57" t="str">
        <f>'Secondary cum Calculation'!G141</f>
        <v>Tourism Demand &amp; Flows Database</v>
      </c>
      <c r="H127" s="57" t="str">
        <f>'Secondary cum Calculation'!H141</f>
        <v>New</v>
      </c>
      <c r="I127" s="57">
        <f>'Secondary cum Calculation'!I141</f>
        <v>0</v>
      </c>
      <c r="J127" s="57" t="str">
        <f>'Secondary cum Calculation'!J141</f>
        <v>Thousand</v>
      </c>
      <c r="K127" s="58">
        <f>'Secondary cum Calculation'!K141</f>
        <v>0</v>
      </c>
      <c r="L127" s="59">
        <f>'Secondary cum Calculation'!L141</f>
        <v>0</v>
      </c>
      <c r="M127" s="59">
        <f>'Secondary cum Calculation'!M141</f>
        <v>0</v>
      </c>
      <c r="N127" s="59">
        <f>'Secondary cum Calculation'!N141</f>
        <v>0</v>
      </c>
      <c r="O127" s="59">
        <f>'Secondary cum Calculation'!O141</f>
        <v>0</v>
      </c>
      <c r="P127" s="59">
        <f>'Secondary cum Calculation'!P141</f>
        <v>0</v>
      </c>
      <c r="Q127" s="88" t="e">
        <f>Q$105*Q149</f>
        <v>#DIV/0!</v>
      </c>
      <c r="R127" s="88" t="e">
        <f t="shared" si="88"/>
        <v>#DIV/0!</v>
      </c>
      <c r="S127" s="88" t="e">
        <f t="shared" si="88"/>
        <v>#DIV/0!</v>
      </c>
      <c r="T127" s="88" t="e">
        <f t="shared" si="88"/>
        <v>#DIV/0!</v>
      </c>
      <c r="U127" s="88" t="e">
        <f t="shared" si="88"/>
        <v>#DIV/0!</v>
      </c>
      <c r="V127" s="88" t="e">
        <f t="shared" ref="V127" si="121">V$105*V149</f>
        <v>#DIV/0!</v>
      </c>
      <c r="W127" s="106" t="e">
        <f>'Secondary cum Calculation'!W141</f>
        <v>#DIV/0!</v>
      </c>
      <c r="X127" s="106" t="e">
        <f>'Secondary cum Calculation'!X141</f>
        <v>#DIV/0!</v>
      </c>
    </row>
    <row r="128" spans="1:24" hidden="1">
      <c r="A128" s="57"/>
      <c r="B128" s="57"/>
      <c r="C128" s="61" t="str">
        <f>'Secondary cum Calculation'!C142</f>
        <v>Growth Rate</v>
      </c>
      <c r="D128" s="61"/>
      <c r="E128" s="61"/>
      <c r="F128" s="61">
        <f>'Secondary cum Calculation'!F142</f>
        <v>0</v>
      </c>
      <c r="G128" s="61">
        <f>'Secondary cum Calculation'!G142</f>
        <v>0</v>
      </c>
      <c r="H128" s="61">
        <f>'Secondary cum Calculation'!H142</f>
        <v>0</v>
      </c>
      <c r="I128" s="61">
        <f>'Secondary cum Calculation'!I142</f>
        <v>0</v>
      </c>
      <c r="J128" s="61" t="str">
        <f>'Secondary cum Calculation'!J142</f>
        <v>%</v>
      </c>
      <c r="K128" s="58">
        <f>'Secondary cum Calculation'!K142</f>
        <v>0</v>
      </c>
      <c r="L128" s="59"/>
      <c r="M128" s="62" t="e">
        <f>'Secondary cum Calculation'!M142</f>
        <v>#DIV/0!</v>
      </c>
      <c r="N128" s="62" t="e">
        <f>'Secondary cum Calculation'!N142</f>
        <v>#DIV/0!</v>
      </c>
      <c r="O128" s="62" t="e">
        <f>'Secondary cum Calculation'!O142</f>
        <v>#DIV/0!</v>
      </c>
      <c r="P128" s="62" t="e">
        <f>'Secondary cum Calculation'!P142</f>
        <v>#DIV/0!</v>
      </c>
      <c r="Q128" s="62"/>
      <c r="R128" s="62"/>
      <c r="S128" s="62"/>
      <c r="T128" s="62"/>
      <c r="U128" s="62"/>
      <c r="V128" s="62"/>
      <c r="W128" s="259"/>
      <c r="X128" s="259"/>
    </row>
    <row r="129" spans="3:24" s="67" customFormat="1" outlineLevel="1">
      <c r="C129" s="68"/>
      <c r="D129" s="69" t="str">
        <f>'Secondary cum Calculation'!D143</f>
        <v>REGION 1</v>
      </c>
      <c r="E129" s="68"/>
      <c r="F129" s="68">
        <f>'Secondary cum Calculation'!F143</f>
        <v>0</v>
      </c>
      <c r="G129" s="68">
        <f>'Secondary cum Calculation'!G143</f>
        <v>0</v>
      </c>
      <c r="H129" s="68">
        <f>'Secondary cum Calculation'!H143</f>
        <v>0</v>
      </c>
      <c r="I129" s="68">
        <f>'Secondary cum Calculation'!I143</f>
        <v>0</v>
      </c>
      <c r="J129" s="68"/>
      <c r="K129" s="74">
        <f>'Secondary cum Calculation'!K143</f>
        <v>0</v>
      </c>
      <c r="L129" s="71">
        <f>'Secondary cum Calculation'!L143</f>
        <v>0.10769340330880305</v>
      </c>
      <c r="M129" s="71">
        <f>'Secondary cum Calculation'!M143</f>
        <v>0.11194186917573511</v>
      </c>
      <c r="N129" s="71">
        <f>'Secondary cum Calculation'!N143</f>
        <v>0.11289909717154269</v>
      </c>
      <c r="O129" s="71">
        <f>'Secondary cum Calculation'!O143</f>
        <v>0.1232801191362165</v>
      </c>
      <c r="P129" s="71">
        <f>'Secondary cum Calculation'!P143</f>
        <v>0.12026520209158406</v>
      </c>
      <c r="Q129" s="321">
        <f>P129*(1+(((P129/L129)^(1/4))-1)*0.8)</f>
        <v>0.12295791425954572</v>
      </c>
      <c r="R129" s="321">
        <f>Q129*(1+(((Q129/M129)^(1/4))-1)*0.6)</f>
        <v>0.12470955473765329</v>
      </c>
      <c r="S129" s="321">
        <f>R129*(1+(((R129/N129)^(1/4))-1)*0.6)</f>
        <v>0.1265940534897623</v>
      </c>
      <c r="T129" s="321">
        <f t="shared" ref="T129" si="122">S129*(1+(((S129/O129)^(1/4))-1)*0.8)</f>
        <v>0.12726790176735153</v>
      </c>
      <c r="U129" s="321">
        <f>T129*(1+(((T129/P129)^(1/4))-1)*0.6)</f>
        <v>0.1283559903063817</v>
      </c>
      <c r="V129" s="321">
        <f>U129*(1+(((U129/Q129)^(1/4))-1)*0.5)</f>
        <v>0.12904906489951473</v>
      </c>
      <c r="W129" s="305"/>
      <c r="X129" s="75"/>
    </row>
    <row r="130" spans="3:24" s="67" customFormat="1" outlineLevel="1">
      <c r="C130" s="68"/>
      <c r="D130" s="68"/>
      <c r="E130" s="68"/>
      <c r="F130" s="68">
        <f>'Secondary cum Calculation'!F144</f>
        <v>0</v>
      </c>
      <c r="G130" s="68">
        <f>'Secondary cum Calculation'!G144</f>
        <v>0</v>
      </c>
      <c r="H130" s="68">
        <f>'Secondary cum Calculation'!H144</f>
        <v>0</v>
      </c>
      <c r="I130" s="68">
        <f>'Secondary cum Calculation'!I144</f>
        <v>0</v>
      </c>
      <c r="J130" s="68"/>
      <c r="K130" s="74">
        <f>'Secondary cum Calculation'!K144</f>
        <v>0</v>
      </c>
      <c r="L130" s="71"/>
      <c r="M130" s="71"/>
      <c r="N130" s="71"/>
      <c r="O130" s="71"/>
      <c r="P130" s="71"/>
      <c r="Q130" s="163"/>
      <c r="R130" s="163"/>
      <c r="S130" s="163"/>
      <c r="T130" s="163"/>
      <c r="U130" s="163"/>
      <c r="V130" s="163"/>
      <c r="W130" s="75"/>
      <c r="X130" s="75"/>
    </row>
    <row r="131" spans="3:24" s="67" customFormat="1" outlineLevel="1">
      <c r="C131" s="68"/>
      <c r="D131" s="69" t="str">
        <f>'Secondary cum Calculation'!D145</f>
        <v>REGION 2</v>
      </c>
      <c r="E131" s="68"/>
      <c r="F131" s="68">
        <f>'Secondary cum Calculation'!F145</f>
        <v>0</v>
      </c>
      <c r="G131" s="68">
        <f>'Secondary cum Calculation'!G145</f>
        <v>0</v>
      </c>
      <c r="H131" s="68">
        <f>'Secondary cum Calculation'!H145</f>
        <v>0</v>
      </c>
      <c r="I131" s="68">
        <f>'Secondary cum Calculation'!I145</f>
        <v>0</v>
      </c>
      <c r="J131" s="68"/>
      <c r="K131" s="74">
        <f>'Secondary cum Calculation'!K145</f>
        <v>0</v>
      </c>
      <c r="L131" s="71">
        <f>'Secondary cum Calculation'!L145</f>
        <v>0.20971612482276281</v>
      </c>
      <c r="M131" s="71">
        <f>'Secondary cum Calculation'!M145</f>
        <v>0.20735642392935263</v>
      </c>
      <c r="N131" s="71">
        <f>'Secondary cum Calculation'!N145</f>
        <v>0.21692471937181215</v>
      </c>
      <c r="O131" s="71">
        <f>'Secondary cum Calculation'!O145</f>
        <v>0.21487574010483615</v>
      </c>
      <c r="P131" s="71">
        <f>'Secondary cum Calculation'!P145</f>
        <v>0.21960435470357423</v>
      </c>
      <c r="Q131" s="321">
        <f>P131*(1+(((P131/L131)^(1/4))-1)*0.8)</f>
        <v>0.22163960694745752</v>
      </c>
      <c r="R131" s="321">
        <f>Q131*(1+(((Q131/M131)^(1/4))-1)*0.6)</f>
        <v>0.2238727788656136</v>
      </c>
      <c r="S131" s="321">
        <f>R131*(1+(((R131/N131)^(1/4))-1)*0.51)</f>
        <v>0.22477625046361485</v>
      </c>
      <c r="T131" s="321">
        <f>S131*(1+(((S131/O131)^(1/4))-1)*0.5)</f>
        <v>0.22604905018387667</v>
      </c>
      <c r="U131" s="321">
        <f>T131*(1+(((T131/P131)^(1/4))-1)*0.1)</f>
        <v>0.22621310134314596</v>
      </c>
      <c r="V131" s="321">
        <f>U131*(1+(((U131/Q131)^(1/4))-1)*0.6)</f>
        <v>0.22690792776089833</v>
      </c>
      <c r="W131" s="75"/>
      <c r="X131" s="75"/>
    </row>
    <row r="132" spans="3:24" s="67" customFormat="1" outlineLevel="1">
      <c r="C132" s="68"/>
      <c r="D132" s="68"/>
      <c r="E132" s="68"/>
      <c r="F132" s="68">
        <f>'Secondary cum Calculation'!F146</f>
        <v>0</v>
      </c>
      <c r="G132" s="68">
        <f>'Secondary cum Calculation'!G146</f>
        <v>0</v>
      </c>
      <c r="H132" s="68">
        <f>'Secondary cum Calculation'!H146</f>
        <v>0</v>
      </c>
      <c r="I132" s="68">
        <f>'Secondary cum Calculation'!I146</f>
        <v>0</v>
      </c>
      <c r="J132" s="68"/>
      <c r="K132" s="74">
        <f>'Secondary cum Calculation'!K146</f>
        <v>0</v>
      </c>
      <c r="L132" s="71"/>
      <c r="M132" s="71"/>
      <c r="N132" s="71"/>
      <c r="O132" s="71"/>
      <c r="P132" s="71"/>
      <c r="Q132" s="163"/>
      <c r="R132" s="163"/>
      <c r="S132" s="163"/>
      <c r="T132" s="163"/>
      <c r="U132" s="163"/>
      <c r="V132" s="163"/>
      <c r="W132" s="75"/>
      <c r="X132" s="75"/>
    </row>
    <row r="133" spans="3:24" s="67" customFormat="1" outlineLevel="1">
      <c r="C133" s="68"/>
      <c r="D133" s="69" t="str">
        <f>'Secondary cum Calculation'!D147</f>
        <v>REGION 3</v>
      </c>
      <c r="E133" s="68"/>
      <c r="F133" s="68">
        <f>'Secondary cum Calculation'!F147</f>
        <v>0</v>
      </c>
      <c r="G133" s="68">
        <f>'Secondary cum Calculation'!G147</f>
        <v>0</v>
      </c>
      <c r="H133" s="68">
        <f>'Secondary cum Calculation'!H147</f>
        <v>0</v>
      </c>
      <c r="I133" s="68">
        <f>'Secondary cum Calculation'!I147</f>
        <v>0</v>
      </c>
      <c r="J133" s="68"/>
      <c r="K133" s="74">
        <f>'Secondary cum Calculation'!K147</f>
        <v>0</v>
      </c>
      <c r="L133" s="71">
        <f>'Secondary cum Calculation'!L147</f>
        <v>0.10735317875151168</v>
      </c>
      <c r="M133" s="71">
        <f>'Secondary cum Calculation'!M147</f>
        <v>0.1068528570826984</v>
      </c>
      <c r="N133" s="71">
        <f>'Secondary cum Calculation'!N147</f>
        <v>0.11236686484351018</v>
      </c>
      <c r="O133" s="71">
        <f>'Secondary cum Calculation'!O147</f>
        <v>0.11641954392185812</v>
      </c>
      <c r="P133" s="71">
        <f>'Secondary cum Calculation'!P147</f>
        <v>0.11273259628736587</v>
      </c>
      <c r="Q133" s="321">
        <f>P133*(1+(((P133/L133)^(1/4))-1)*0.8)</f>
        <v>0.11384176170262676</v>
      </c>
      <c r="R133" s="321">
        <f t="shared" ref="R133" si="123">Q133*(1+(((Q133/M133)^(1/4))-1)*0.8)</f>
        <v>0.11529577434411849</v>
      </c>
      <c r="S133" s="321">
        <f t="shared" ref="S133" si="124">R133*(1+(((R133/N133)^(1/4))-1)*0.8)</f>
        <v>0.11589103772968162</v>
      </c>
      <c r="T133" s="321">
        <f>S133*(1+(((S133/O133)^(1/4))-1)*-0.2)</f>
        <v>0.11591738797768013</v>
      </c>
      <c r="U133" s="321">
        <f t="shared" ref="U133:V133" si="125">T133*(1+(((T133/P133)^(1/4))-1)*0.8)</f>
        <v>0.11656551448488504</v>
      </c>
      <c r="V133" s="321">
        <f t="shared" si="125"/>
        <v>0.11711836280821687</v>
      </c>
      <c r="W133" s="75"/>
      <c r="X133" s="75"/>
    </row>
    <row r="134" spans="3:24" s="67" customFormat="1" outlineLevel="1">
      <c r="C134" s="68"/>
      <c r="D134" s="68"/>
      <c r="E134" s="68"/>
      <c r="F134" s="68">
        <f>'Secondary cum Calculation'!F148</f>
        <v>0</v>
      </c>
      <c r="G134" s="68">
        <f>'Secondary cum Calculation'!G148</f>
        <v>0</v>
      </c>
      <c r="H134" s="68">
        <f>'Secondary cum Calculation'!H148</f>
        <v>0</v>
      </c>
      <c r="I134" s="68">
        <f>'Secondary cum Calculation'!I148</f>
        <v>0</v>
      </c>
      <c r="J134" s="68"/>
      <c r="K134" s="74">
        <f>'Secondary cum Calculation'!K148</f>
        <v>0</v>
      </c>
      <c r="L134" s="71"/>
      <c r="M134" s="71"/>
      <c r="N134" s="71"/>
      <c r="O134" s="71"/>
      <c r="P134" s="71"/>
      <c r="Q134" s="163"/>
      <c r="R134" s="163"/>
      <c r="S134" s="163"/>
      <c r="T134" s="163"/>
      <c r="U134" s="163"/>
      <c r="V134" s="163"/>
      <c r="W134" s="75"/>
      <c r="X134" s="75"/>
    </row>
    <row r="135" spans="3:24" s="67" customFormat="1" outlineLevel="1">
      <c r="C135" s="68"/>
      <c r="D135" s="69" t="str">
        <f>'Secondary cum Calculation'!D149</f>
        <v>REGION 4</v>
      </c>
      <c r="E135" s="68"/>
      <c r="F135" s="68">
        <f>'Secondary cum Calculation'!F149</f>
        <v>0</v>
      </c>
      <c r="G135" s="68">
        <f>'Secondary cum Calculation'!G149</f>
        <v>0</v>
      </c>
      <c r="H135" s="68">
        <f>'Secondary cum Calculation'!H149</f>
        <v>0</v>
      </c>
      <c r="I135" s="68">
        <f>'Secondary cum Calculation'!I149</f>
        <v>0</v>
      </c>
      <c r="J135" s="68"/>
      <c r="K135" s="74">
        <f>'Secondary cum Calculation'!K149</f>
        <v>0</v>
      </c>
      <c r="L135" s="71">
        <f>'Secondary cum Calculation'!L149</f>
        <v>0.24747696308229733</v>
      </c>
      <c r="M135" s="71">
        <f>'Secondary cum Calculation'!M149</f>
        <v>0.25215261114469506</v>
      </c>
      <c r="N135" s="71">
        <f>'Secondary cum Calculation'!N149</f>
        <v>0.2454696720723038</v>
      </c>
      <c r="O135" s="71">
        <f>'Secondary cum Calculation'!O149</f>
        <v>0.24300975562148819</v>
      </c>
      <c r="P135" s="71">
        <f>'Secondary cum Calculation'!P149</f>
        <v>0.24301912124334452</v>
      </c>
      <c r="Q135" s="321">
        <f>P135*(1+(((P135/L135)^(1/4))-1)*0.8)</f>
        <v>0.24213763591363874</v>
      </c>
      <c r="R135" s="321">
        <f t="shared" ref="R135" si="126">Q135*(1+(((Q135/M135)^(1/4))-1)*0.8)</f>
        <v>0.24018486508770043</v>
      </c>
      <c r="S135" s="321">
        <f t="shared" ref="S135" si="127">R135*(1+(((R135/N135)^(1/4))-1)*0.8)</f>
        <v>0.23914220328936672</v>
      </c>
      <c r="T135" s="321">
        <f>S135*(1+(((S135/O135)^(1/4))-1)*-0.01)</f>
        <v>0.23915177560839793</v>
      </c>
      <c r="U135" s="321">
        <f t="shared" ref="U135" si="128">T135*(1+(((T135/P135)^(1/4))-1)*0.8)</f>
        <v>0.23838603029912461</v>
      </c>
      <c r="V135" s="321">
        <f>U135*(1+(((U135/Q135)^(1/4))-1)*0.4)</f>
        <v>0.23801451679413299</v>
      </c>
      <c r="W135" s="75"/>
      <c r="X135" s="75"/>
    </row>
    <row r="136" spans="3:24" s="67" customFormat="1" outlineLevel="1">
      <c r="C136" s="68"/>
      <c r="D136" s="68"/>
      <c r="E136" s="68"/>
      <c r="F136" s="68">
        <f>'Secondary cum Calculation'!F150</f>
        <v>0</v>
      </c>
      <c r="G136" s="68">
        <f>'Secondary cum Calculation'!G150</f>
        <v>0</v>
      </c>
      <c r="H136" s="68">
        <f>'Secondary cum Calculation'!H150</f>
        <v>0</v>
      </c>
      <c r="I136" s="68">
        <f>'Secondary cum Calculation'!I150</f>
        <v>0</v>
      </c>
      <c r="J136" s="68"/>
      <c r="K136" s="74">
        <f>'Secondary cum Calculation'!K150</f>
        <v>0</v>
      </c>
      <c r="L136" s="71"/>
      <c r="M136" s="71"/>
      <c r="N136" s="71"/>
      <c r="O136" s="71"/>
      <c r="P136" s="71"/>
      <c r="Q136" s="163"/>
      <c r="R136" s="163"/>
      <c r="S136" s="163"/>
      <c r="T136" s="163"/>
      <c r="U136" s="163"/>
      <c r="V136" s="163"/>
      <c r="W136" s="75"/>
      <c r="X136" s="75"/>
    </row>
    <row r="137" spans="3:24" s="67" customFormat="1" outlineLevel="1">
      <c r="C137" s="68"/>
      <c r="D137" s="69" t="str">
        <f>'Secondary cum Calculation'!D151</f>
        <v>REGION 5</v>
      </c>
      <c r="E137" s="68"/>
      <c r="F137" s="68">
        <f>'Secondary cum Calculation'!F151</f>
        <v>0</v>
      </c>
      <c r="G137" s="68">
        <f>'Secondary cum Calculation'!G151</f>
        <v>0</v>
      </c>
      <c r="H137" s="68">
        <f>'Secondary cum Calculation'!H151</f>
        <v>0</v>
      </c>
      <c r="I137" s="68">
        <f>'Secondary cum Calculation'!I151</f>
        <v>0</v>
      </c>
      <c r="J137" s="68"/>
      <c r="K137" s="74">
        <f>'Secondary cum Calculation'!K151</f>
        <v>0</v>
      </c>
      <c r="L137" s="71">
        <f>'Secondary cum Calculation'!L151</f>
        <v>0.10099412244023713</v>
      </c>
      <c r="M137" s="71">
        <f>'Secondary cum Calculation'!M151</f>
        <v>9.9755938384001416E-2</v>
      </c>
      <c r="N137" s="71">
        <f>'Secondary cum Calculation'!N151</f>
        <v>9.5272735760929927E-2</v>
      </c>
      <c r="O137" s="71">
        <f>'Secondary cum Calculation'!O151</f>
        <v>9.3554757540257244E-2</v>
      </c>
      <c r="P137" s="71">
        <f>'Secondary cum Calculation'!P151</f>
        <v>9.5842139233655685E-2</v>
      </c>
      <c r="Q137" s="321">
        <f>P137*(1+(((P137/L137)^(1/4))-1)*0.8)</f>
        <v>9.484502325604828E-2</v>
      </c>
      <c r="R137" s="321">
        <f>Q137*(1+(((Q137/M137)^(1/4))-1)*0.8)</f>
        <v>9.3893440508519194E-2</v>
      </c>
      <c r="S137" s="321">
        <f>R137*(1+(((R137/N137)^(1/4))-1)*1.2)</f>
        <v>9.3483409667685188E-2</v>
      </c>
      <c r="T137" s="321">
        <f>S137*(1+(((S137/O137)^(1/4))-1)*11)</f>
        <v>9.328729655689412E-2</v>
      </c>
      <c r="U137" s="321">
        <f>T137*(1+(((T137/P137)^(1/4))-1)*1)</f>
        <v>9.265929887282609E-2</v>
      </c>
      <c r="V137" s="321">
        <f>U137*(1+(((U137/Q137)^(1/4))-1)*0.7)</f>
        <v>9.228233844374617E-2</v>
      </c>
      <c r="W137" s="75"/>
      <c r="X137" s="75"/>
    </row>
    <row r="138" spans="3:24" s="67" customFormat="1" outlineLevel="1">
      <c r="C138" s="68"/>
      <c r="D138" s="68"/>
      <c r="E138" s="68"/>
      <c r="F138" s="68">
        <f>'Secondary cum Calculation'!F152</f>
        <v>0</v>
      </c>
      <c r="G138" s="68">
        <f>'Secondary cum Calculation'!G152</f>
        <v>0</v>
      </c>
      <c r="H138" s="68">
        <f>'Secondary cum Calculation'!H152</f>
        <v>0</v>
      </c>
      <c r="I138" s="68">
        <f>'Secondary cum Calculation'!I152</f>
        <v>0</v>
      </c>
      <c r="J138" s="68"/>
      <c r="K138" s="74">
        <f>'Secondary cum Calculation'!K152</f>
        <v>0</v>
      </c>
      <c r="L138" s="71"/>
      <c r="M138" s="71"/>
      <c r="N138" s="71"/>
      <c r="O138" s="71"/>
      <c r="P138" s="71"/>
      <c r="Q138" s="163"/>
      <c r="R138" s="163"/>
      <c r="S138" s="163"/>
      <c r="T138" s="163"/>
      <c r="U138" s="163"/>
      <c r="V138" s="163"/>
      <c r="W138" s="75"/>
      <c r="X138" s="75"/>
    </row>
    <row r="139" spans="3:24" s="67" customFormat="1" outlineLevel="1">
      <c r="C139" s="68"/>
      <c r="D139" s="69" t="str">
        <f>'Secondary cum Calculation'!D153</f>
        <v>REGION 6</v>
      </c>
      <c r="E139" s="68"/>
      <c r="F139" s="68">
        <f>'Secondary cum Calculation'!F153</f>
        <v>0</v>
      </c>
      <c r="G139" s="68">
        <f>'Secondary cum Calculation'!G153</f>
        <v>0</v>
      </c>
      <c r="H139" s="68">
        <f>'Secondary cum Calculation'!H153</f>
        <v>0</v>
      </c>
      <c r="I139" s="68">
        <f>'Secondary cum Calculation'!I153</f>
        <v>0</v>
      </c>
      <c r="J139" s="68"/>
      <c r="K139" s="74">
        <f>'Secondary cum Calculation'!K153</f>
        <v>0</v>
      </c>
      <c r="L139" s="71">
        <f>'Secondary cum Calculation'!L153</f>
        <v>0.22676620759438804</v>
      </c>
      <c r="M139" s="71">
        <f>'Secondary cum Calculation'!M153</f>
        <v>0.22194030028351741</v>
      </c>
      <c r="N139" s="71">
        <f>'Secondary cum Calculation'!N153</f>
        <v>0.21706691077990126</v>
      </c>
      <c r="O139" s="71">
        <f>'Secondary cum Calculation'!O153</f>
        <v>0.20886008367534392</v>
      </c>
      <c r="P139" s="71">
        <f>'Secondary cum Calculation'!P153</f>
        <v>0.20853658644047557</v>
      </c>
      <c r="Q139" s="321">
        <f>1-SUM(Q129:Q137)</f>
        <v>0.20457805792068295</v>
      </c>
      <c r="R139" s="321">
        <f t="shared" ref="R139:V139" si="129">1-SUM(R129:R137)</f>
        <v>0.20204358645639497</v>
      </c>
      <c r="S139" s="321">
        <f t="shared" si="129"/>
        <v>0.20011304535988927</v>
      </c>
      <c r="T139" s="321">
        <f t="shared" si="129"/>
        <v>0.1983265879057996</v>
      </c>
      <c r="U139" s="321">
        <f t="shared" si="129"/>
        <v>0.19782006469363655</v>
      </c>
      <c r="V139" s="321">
        <f t="shared" si="129"/>
        <v>0.1966277892934909</v>
      </c>
      <c r="W139" s="75"/>
      <c r="X139" s="75"/>
    </row>
    <row r="140" spans="3:24" s="67" customFormat="1" outlineLevel="1">
      <c r="C140" s="68"/>
      <c r="D140" s="68"/>
      <c r="E140" s="68"/>
      <c r="F140" s="68">
        <f>'Secondary cum Calculation'!F154</f>
        <v>0</v>
      </c>
      <c r="G140" s="68">
        <f>'Secondary cum Calculation'!G154</f>
        <v>0</v>
      </c>
      <c r="H140" s="68">
        <f>'Secondary cum Calculation'!H154</f>
        <v>0</v>
      </c>
      <c r="I140" s="68">
        <f>'Secondary cum Calculation'!I154</f>
        <v>0</v>
      </c>
      <c r="J140" s="68"/>
      <c r="K140" s="74">
        <f>'Secondary cum Calculation'!K154</f>
        <v>0</v>
      </c>
      <c r="L140" s="70"/>
      <c r="M140" s="71"/>
      <c r="N140" s="71"/>
      <c r="O140" s="71"/>
      <c r="P140" s="71"/>
      <c r="Q140" s="71"/>
      <c r="R140" s="71"/>
      <c r="S140" s="71"/>
      <c r="T140" s="71"/>
      <c r="U140" s="71"/>
      <c r="V140" s="71"/>
      <c r="W140" s="75"/>
      <c r="X140" s="75"/>
    </row>
    <row r="141" spans="3:24" s="67" customFormat="1" hidden="1" outlineLevel="1">
      <c r="C141" s="68"/>
      <c r="D141" s="69" t="str">
        <f>'Secondary cum Calculation'!D155</f>
        <v>REGION 7</v>
      </c>
      <c r="E141" s="68"/>
      <c r="F141" s="68">
        <f>'Secondary cum Calculation'!F155</f>
        <v>0</v>
      </c>
      <c r="G141" s="68">
        <f>'Secondary cum Calculation'!G155</f>
        <v>0</v>
      </c>
      <c r="H141" s="68">
        <f>'Secondary cum Calculation'!H155</f>
        <v>0</v>
      </c>
      <c r="I141" s="68">
        <f>'Secondary cum Calculation'!I155</f>
        <v>0</v>
      </c>
      <c r="J141" s="68"/>
      <c r="K141" s="74">
        <f>'Secondary cum Calculation'!K155</f>
        <v>0</v>
      </c>
      <c r="L141" s="70">
        <f>'Secondary cum Calculation'!L155</f>
        <v>0</v>
      </c>
      <c r="M141" s="71">
        <f>'Secondary cum Calculation'!M155</f>
        <v>0</v>
      </c>
      <c r="N141" s="71">
        <f>'Secondary cum Calculation'!N155</f>
        <v>0</v>
      </c>
      <c r="O141" s="71">
        <f>'Secondary cum Calculation'!O155</f>
        <v>0</v>
      </c>
      <c r="P141" s="71">
        <f>'Secondary cum Calculation'!P155</f>
        <v>0</v>
      </c>
      <c r="Q141" s="322" t="e">
        <f>P141*(1+(((P141/L141)^(1/4))-1)*0.8)</f>
        <v>#DIV/0!</v>
      </c>
      <c r="R141" s="322" t="e">
        <f t="shared" ref="R141" si="130">Q141*(1+(((Q141/M141)^(1/4))-1)*0.8)</f>
        <v>#DIV/0!</v>
      </c>
      <c r="S141" s="322" t="e">
        <f t="shared" ref="S141" si="131">R141*(1+(((R141/N141)^(1/4))-1)*0.8)</f>
        <v>#DIV/0!</v>
      </c>
      <c r="T141" s="322" t="e">
        <f t="shared" ref="T141" si="132">S141*(1+(((S141/O141)^(1/4))-1)*0.8)</f>
        <v>#DIV/0!</v>
      </c>
      <c r="U141" s="322" t="e">
        <f t="shared" ref="U141:V141" si="133">T141*(1+(((T141/P141)^(1/4))-1)*0.8)</f>
        <v>#DIV/0!</v>
      </c>
      <c r="V141" s="322" t="e">
        <f t="shared" si="133"/>
        <v>#DIV/0!</v>
      </c>
      <c r="W141" s="75"/>
      <c r="X141" s="75"/>
    </row>
    <row r="142" spans="3:24" s="67" customFormat="1" hidden="1" outlineLevel="1">
      <c r="C142" s="68"/>
      <c r="D142" s="68"/>
      <c r="E142" s="68"/>
      <c r="F142" s="68">
        <f>'Secondary cum Calculation'!F156</f>
        <v>0</v>
      </c>
      <c r="G142" s="68">
        <f>'Secondary cum Calculation'!G156</f>
        <v>0</v>
      </c>
      <c r="H142" s="68">
        <f>'Secondary cum Calculation'!H156</f>
        <v>0</v>
      </c>
      <c r="I142" s="68">
        <f>'Secondary cum Calculation'!I156</f>
        <v>0</v>
      </c>
      <c r="J142" s="68"/>
      <c r="K142" s="74">
        <f>'Secondary cum Calculation'!K156</f>
        <v>0</v>
      </c>
      <c r="L142" s="70"/>
      <c r="M142" s="71"/>
      <c r="N142" s="71"/>
      <c r="O142" s="71"/>
      <c r="P142" s="71"/>
      <c r="Q142" s="71"/>
      <c r="R142" s="71"/>
      <c r="S142" s="71"/>
      <c r="T142" s="71"/>
      <c r="U142" s="71"/>
      <c r="V142" s="71"/>
      <c r="W142" s="75"/>
      <c r="X142" s="75"/>
    </row>
    <row r="143" spans="3:24" s="67" customFormat="1" hidden="1" outlineLevel="1">
      <c r="C143" s="68"/>
      <c r="D143" s="69" t="str">
        <f>'Secondary cum Calculation'!D157</f>
        <v>REGION 8</v>
      </c>
      <c r="E143" s="68"/>
      <c r="F143" s="68">
        <f>'Secondary cum Calculation'!F157</f>
        <v>0</v>
      </c>
      <c r="G143" s="68">
        <f>'Secondary cum Calculation'!G157</f>
        <v>0</v>
      </c>
      <c r="H143" s="68">
        <f>'Secondary cum Calculation'!H157</f>
        <v>0</v>
      </c>
      <c r="I143" s="68">
        <f>'Secondary cum Calculation'!I157</f>
        <v>0</v>
      </c>
      <c r="J143" s="68"/>
      <c r="K143" s="74">
        <f>'Secondary cum Calculation'!K157</f>
        <v>0</v>
      </c>
      <c r="L143" s="70">
        <f>'Secondary cum Calculation'!L157</f>
        <v>0</v>
      </c>
      <c r="M143" s="71">
        <f>'Secondary cum Calculation'!M157</f>
        <v>0</v>
      </c>
      <c r="N143" s="71">
        <f>'Secondary cum Calculation'!N157</f>
        <v>0</v>
      </c>
      <c r="O143" s="71">
        <f>'Secondary cum Calculation'!O157</f>
        <v>0</v>
      </c>
      <c r="P143" s="71">
        <f>'Secondary cum Calculation'!P157</f>
        <v>0</v>
      </c>
      <c r="Q143" s="322" t="e">
        <f>P143*(1+(((P143/L143)^(1/4))-1)*0.8)</f>
        <v>#DIV/0!</v>
      </c>
      <c r="R143" s="322" t="e">
        <f t="shared" ref="R143" si="134">Q143*(1+(((Q143/M143)^(1/4))-1)*0.8)</f>
        <v>#DIV/0!</v>
      </c>
      <c r="S143" s="322" t="e">
        <f t="shared" ref="S143" si="135">R143*(1+(((R143/N143)^(1/4))-1)*0.8)</f>
        <v>#DIV/0!</v>
      </c>
      <c r="T143" s="322" t="e">
        <f t="shared" ref="T143" si="136">S143*(1+(((S143/O143)^(1/4))-1)*0.8)</f>
        <v>#DIV/0!</v>
      </c>
      <c r="U143" s="322" t="e">
        <f t="shared" ref="U143:V143" si="137">T143*(1+(((T143/P143)^(1/4))-1)*0.8)</f>
        <v>#DIV/0!</v>
      </c>
      <c r="V143" s="322" t="e">
        <f t="shared" si="137"/>
        <v>#DIV/0!</v>
      </c>
      <c r="W143" s="75"/>
      <c r="X143" s="75"/>
    </row>
    <row r="144" spans="3:24" s="67" customFormat="1" hidden="1" outlineLevel="1">
      <c r="C144" s="68"/>
      <c r="D144" s="68"/>
      <c r="E144" s="68"/>
      <c r="F144" s="68">
        <f>'Secondary cum Calculation'!F158</f>
        <v>0</v>
      </c>
      <c r="G144" s="68">
        <f>'Secondary cum Calculation'!G158</f>
        <v>0</v>
      </c>
      <c r="H144" s="68">
        <f>'Secondary cum Calculation'!H158</f>
        <v>0</v>
      </c>
      <c r="I144" s="68">
        <f>'Secondary cum Calculation'!I158</f>
        <v>0</v>
      </c>
      <c r="J144" s="68"/>
      <c r="K144" s="74">
        <f>'Secondary cum Calculation'!K158</f>
        <v>0</v>
      </c>
      <c r="L144" s="70"/>
      <c r="M144" s="71"/>
      <c r="N144" s="71"/>
      <c r="O144" s="71"/>
      <c r="P144" s="71"/>
      <c r="Q144" s="71"/>
      <c r="R144" s="71"/>
      <c r="S144" s="71"/>
      <c r="T144" s="71"/>
      <c r="U144" s="71"/>
      <c r="V144" s="71"/>
      <c r="W144" s="75"/>
      <c r="X144" s="75"/>
    </row>
    <row r="145" spans="1:24" s="67" customFormat="1" hidden="1" outlineLevel="1">
      <c r="C145" s="68"/>
      <c r="D145" s="69" t="str">
        <f>'Secondary cum Calculation'!D159</f>
        <v>REGION 9</v>
      </c>
      <c r="E145" s="68"/>
      <c r="F145" s="68">
        <f>'Secondary cum Calculation'!F159</f>
        <v>0</v>
      </c>
      <c r="G145" s="68">
        <f>'Secondary cum Calculation'!G159</f>
        <v>0</v>
      </c>
      <c r="H145" s="68">
        <f>'Secondary cum Calculation'!H159</f>
        <v>0</v>
      </c>
      <c r="I145" s="68">
        <f>'Secondary cum Calculation'!I159</f>
        <v>0</v>
      </c>
      <c r="J145" s="68"/>
      <c r="K145" s="74">
        <f>'Secondary cum Calculation'!K159</f>
        <v>0</v>
      </c>
      <c r="L145" s="70">
        <f>'Secondary cum Calculation'!L159</f>
        <v>0</v>
      </c>
      <c r="M145" s="71">
        <f>'Secondary cum Calculation'!M159</f>
        <v>0</v>
      </c>
      <c r="N145" s="71">
        <f>'Secondary cum Calculation'!N159</f>
        <v>0</v>
      </c>
      <c r="O145" s="71">
        <f>'Secondary cum Calculation'!O159</f>
        <v>0</v>
      </c>
      <c r="P145" s="71">
        <f>'Secondary cum Calculation'!P159</f>
        <v>0</v>
      </c>
      <c r="Q145" s="322" t="e">
        <f>P145*(1+(((P145/L145)^(1/4))-1)*0.8)</f>
        <v>#DIV/0!</v>
      </c>
      <c r="R145" s="322" t="e">
        <f t="shared" ref="R145" si="138">Q145*(1+(((Q145/M145)^(1/4))-1)*0.8)</f>
        <v>#DIV/0!</v>
      </c>
      <c r="S145" s="322" t="e">
        <f t="shared" ref="S145" si="139">R145*(1+(((R145/N145)^(1/4))-1)*0.8)</f>
        <v>#DIV/0!</v>
      </c>
      <c r="T145" s="322" t="e">
        <f t="shared" ref="T145" si="140">S145*(1+(((S145/O145)^(1/4))-1)*0.8)</f>
        <v>#DIV/0!</v>
      </c>
      <c r="U145" s="322" t="e">
        <f t="shared" ref="U145:V145" si="141">T145*(1+(((T145/P145)^(1/4))-1)*0.8)</f>
        <v>#DIV/0!</v>
      </c>
      <c r="V145" s="322" t="e">
        <f t="shared" si="141"/>
        <v>#DIV/0!</v>
      </c>
      <c r="W145" s="75"/>
      <c r="X145" s="75"/>
    </row>
    <row r="146" spans="1:24" s="67" customFormat="1" hidden="1" outlineLevel="1">
      <c r="C146" s="68"/>
      <c r="D146" s="68"/>
      <c r="E146" s="68"/>
      <c r="F146" s="68">
        <f>'Secondary cum Calculation'!F160</f>
        <v>0</v>
      </c>
      <c r="G146" s="68">
        <f>'Secondary cum Calculation'!G160</f>
        <v>0</v>
      </c>
      <c r="H146" s="68">
        <f>'Secondary cum Calculation'!H160</f>
        <v>0</v>
      </c>
      <c r="I146" s="68">
        <f>'Secondary cum Calculation'!I160</f>
        <v>0</v>
      </c>
      <c r="J146" s="68"/>
      <c r="K146" s="74">
        <f>'Secondary cum Calculation'!K160</f>
        <v>0</v>
      </c>
      <c r="L146" s="70"/>
      <c r="M146" s="71"/>
      <c r="N146" s="71"/>
      <c r="O146" s="71"/>
      <c r="P146" s="71"/>
      <c r="Q146" s="71"/>
      <c r="R146" s="71"/>
      <c r="S146" s="71"/>
      <c r="T146" s="71"/>
      <c r="U146" s="71"/>
      <c r="V146" s="71"/>
      <c r="W146" s="75"/>
      <c r="X146" s="75"/>
    </row>
    <row r="147" spans="1:24" s="67" customFormat="1" hidden="1" outlineLevel="1">
      <c r="C147" s="68"/>
      <c r="D147" s="69" t="str">
        <f>'Secondary cum Calculation'!D161</f>
        <v>REGION 10</v>
      </c>
      <c r="E147" s="68"/>
      <c r="F147" s="68">
        <f>'Secondary cum Calculation'!F161</f>
        <v>0</v>
      </c>
      <c r="G147" s="68">
        <f>'Secondary cum Calculation'!G161</f>
        <v>0</v>
      </c>
      <c r="H147" s="68">
        <f>'Secondary cum Calculation'!H161</f>
        <v>0</v>
      </c>
      <c r="I147" s="68">
        <f>'Secondary cum Calculation'!I161</f>
        <v>0</v>
      </c>
      <c r="J147" s="68"/>
      <c r="K147" s="74">
        <f>'Secondary cum Calculation'!K161</f>
        <v>0</v>
      </c>
      <c r="L147" s="70">
        <f>'Secondary cum Calculation'!L161</f>
        <v>0</v>
      </c>
      <c r="M147" s="71">
        <f>'Secondary cum Calculation'!M161</f>
        <v>0</v>
      </c>
      <c r="N147" s="71">
        <f>'Secondary cum Calculation'!N161</f>
        <v>0</v>
      </c>
      <c r="O147" s="71">
        <f>'Secondary cum Calculation'!O161</f>
        <v>0</v>
      </c>
      <c r="P147" s="71">
        <f>'Secondary cum Calculation'!P161</f>
        <v>0</v>
      </c>
      <c r="Q147" s="322" t="e">
        <f>P147*(1+(((P147/L147)^(1/4))-1)*0.8)</f>
        <v>#DIV/0!</v>
      </c>
      <c r="R147" s="322" t="e">
        <f t="shared" ref="R147" si="142">Q147*(1+(((Q147/M147)^(1/4))-1)*0.8)</f>
        <v>#DIV/0!</v>
      </c>
      <c r="S147" s="322" t="e">
        <f t="shared" ref="S147" si="143">R147*(1+(((R147/N147)^(1/4))-1)*0.8)</f>
        <v>#DIV/0!</v>
      </c>
      <c r="T147" s="322" t="e">
        <f t="shared" ref="T147" si="144">S147*(1+(((S147/O147)^(1/4))-1)*0.8)</f>
        <v>#DIV/0!</v>
      </c>
      <c r="U147" s="322" t="e">
        <f t="shared" ref="U147:V147" si="145">T147*(1+(((T147/P147)^(1/4))-1)*0.8)</f>
        <v>#DIV/0!</v>
      </c>
      <c r="V147" s="322" t="e">
        <f t="shared" si="145"/>
        <v>#DIV/0!</v>
      </c>
      <c r="W147" s="75"/>
      <c r="X147" s="75"/>
    </row>
    <row r="148" spans="1:24" s="67" customFormat="1" hidden="1" outlineLevel="1">
      <c r="C148" s="68"/>
      <c r="D148" s="68"/>
      <c r="E148" s="68"/>
      <c r="F148" s="68">
        <f>'Secondary cum Calculation'!F162</f>
        <v>0</v>
      </c>
      <c r="G148" s="68">
        <f>'Secondary cum Calculation'!G162</f>
        <v>0</v>
      </c>
      <c r="H148" s="68">
        <f>'Secondary cum Calculation'!H162</f>
        <v>0</v>
      </c>
      <c r="I148" s="68">
        <f>'Secondary cum Calculation'!I162</f>
        <v>0</v>
      </c>
      <c r="J148" s="68"/>
      <c r="K148" s="74">
        <f>'Secondary cum Calculation'!K162</f>
        <v>0</v>
      </c>
      <c r="L148" s="70"/>
      <c r="M148" s="71"/>
      <c r="N148" s="71"/>
      <c r="O148" s="71"/>
      <c r="P148" s="71"/>
      <c r="Q148" s="71"/>
      <c r="R148" s="71"/>
      <c r="S148" s="71"/>
      <c r="T148" s="71"/>
      <c r="U148" s="71"/>
      <c r="V148" s="71"/>
      <c r="W148" s="75"/>
      <c r="X148" s="75"/>
    </row>
    <row r="149" spans="1:24" s="67" customFormat="1" hidden="1" outlineLevel="1">
      <c r="C149" s="68"/>
      <c r="D149" s="69" t="str">
        <f>'Secondary cum Calculation'!D163</f>
        <v>Other Regions</v>
      </c>
      <c r="E149" s="68"/>
      <c r="F149" s="68">
        <f>'Secondary cum Calculation'!F163</f>
        <v>0</v>
      </c>
      <c r="G149" s="68">
        <f>'Secondary cum Calculation'!G163</f>
        <v>0</v>
      </c>
      <c r="H149" s="68">
        <f>'Secondary cum Calculation'!H163</f>
        <v>0</v>
      </c>
      <c r="I149" s="68">
        <f>'Secondary cum Calculation'!I163</f>
        <v>0</v>
      </c>
      <c r="J149" s="68"/>
      <c r="K149" s="74">
        <f>'Secondary cum Calculation'!K163</f>
        <v>0</v>
      </c>
      <c r="L149" s="70">
        <f>'Secondary cum Calculation'!L163</f>
        <v>0</v>
      </c>
      <c r="M149" s="71">
        <f>'Secondary cum Calculation'!M163</f>
        <v>0</v>
      </c>
      <c r="N149" s="71">
        <f>'Secondary cum Calculation'!N163</f>
        <v>0</v>
      </c>
      <c r="O149" s="71">
        <f>'Secondary cum Calculation'!O163</f>
        <v>0</v>
      </c>
      <c r="P149" s="71">
        <f>'Secondary cum Calculation'!P163</f>
        <v>0</v>
      </c>
      <c r="Q149" s="322" t="e">
        <f>1-SUM(Q129:Q147)</f>
        <v>#DIV/0!</v>
      </c>
      <c r="R149" s="322" t="e">
        <f t="shared" ref="R149:U149" si="146">1-SUM(R129:R147)</f>
        <v>#DIV/0!</v>
      </c>
      <c r="S149" s="322" t="e">
        <f t="shared" si="146"/>
        <v>#DIV/0!</v>
      </c>
      <c r="T149" s="322" t="e">
        <f t="shared" si="146"/>
        <v>#DIV/0!</v>
      </c>
      <c r="U149" s="322" t="e">
        <f t="shared" si="146"/>
        <v>#DIV/0!</v>
      </c>
      <c r="V149" s="322" t="e">
        <f t="shared" ref="V149" si="147">1-SUM(V129:V147)</f>
        <v>#DIV/0!</v>
      </c>
      <c r="W149" s="75"/>
      <c r="X149" s="75"/>
    </row>
    <row r="150" spans="1:24" collapsed="1">
      <c r="A150" s="46" t="str">
        <f>'Secondary cum Calculation'!A164</f>
        <v>Poland</v>
      </c>
      <c r="B150" s="47" t="str">
        <f>'Secondary cum Calculation'!B164</f>
        <v>Tourism Flows</v>
      </c>
      <c r="C150" s="46" t="str">
        <f>'Secondary cum Calculation'!C164</f>
        <v>Number of Domestic Trips by Purpose of Visit</v>
      </c>
      <c r="D150" s="48"/>
      <c r="E150" s="48"/>
      <c r="F150" s="48" t="str">
        <f>'Secondary cum Calculation'!F164</f>
        <v>The total number of domestic tourists, segmented by the purpose of the visit.</v>
      </c>
      <c r="G150" s="48" t="str">
        <f>'Secondary cum Calculation'!G164</f>
        <v>Tourism Demand &amp; Flows Database</v>
      </c>
      <c r="H150" s="48" t="str">
        <f>'Secondary cum Calculation'!H164</f>
        <v>Exists</v>
      </c>
      <c r="I150" s="48">
        <f>'Secondary cum Calculation'!I164</f>
        <v>0</v>
      </c>
      <c r="J150" s="46" t="str">
        <f>'Secondary cum Calculation'!J164</f>
        <v>Thousand</v>
      </c>
      <c r="K150" s="76">
        <f>'Secondary cum Calculation'!K164</f>
        <v>2004500</v>
      </c>
      <c r="L150" s="269">
        <f>'Secondary cum Calculation'!L164</f>
        <v>34900.000000000007</v>
      </c>
      <c r="M150" s="269">
        <f>'Secondary cum Calculation'!M164</f>
        <v>34900.000000000007</v>
      </c>
      <c r="N150" s="269">
        <f>'Secondary cum Calculation'!N164</f>
        <v>30800</v>
      </c>
      <c r="O150" s="269">
        <f>'Secondary cum Calculation'!O164</f>
        <v>33900</v>
      </c>
      <c r="P150" s="269">
        <f>'Secondary cum Calculation'!P164</f>
        <v>29600</v>
      </c>
      <c r="Q150" s="269">
        <f>Q83</f>
        <v>28594.674532264191</v>
      </c>
      <c r="R150" s="269">
        <f t="shared" ref="R150:U150" si="148">R83</f>
        <v>29114.168216573518</v>
      </c>
      <c r="S150" s="269">
        <f t="shared" si="148"/>
        <v>29535.363141199603</v>
      </c>
      <c r="T150" s="269">
        <f t="shared" si="148"/>
        <v>30139.856928566503</v>
      </c>
      <c r="U150" s="269">
        <f t="shared" si="148"/>
        <v>30799.53039068119</v>
      </c>
      <c r="V150" s="269">
        <f t="shared" ref="V150" si="149">V83</f>
        <v>31530.697459423951</v>
      </c>
      <c r="W150" s="262">
        <f>'Secondary cum Calculation'!W164</f>
        <v>-4.8596088299126095E-2</v>
      </c>
      <c r="X150" s="262">
        <f>'Secondary cum Calculation'!X164</f>
        <v>1.9740537256371926E-2</v>
      </c>
    </row>
    <row r="151" spans="1:24">
      <c r="A151" s="48"/>
      <c r="B151" s="48"/>
      <c r="C151" s="52" t="str">
        <f>'Secondary cum Calculation'!C165</f>
        <v>Growth Rate</v>
      </c>
      <c r="D151" s="52"/>
      <c r="E151" s="52"/>
      <c r="F151" s="52">
        <f>'Secondary cum Calculation'!F165</f>
        <v>0</v>
      </c>
      <c r="G151" s="52">
        <f>'Secondary cum Calculation'!G165</f>
        <v>0</v>
      </c>
      <c r="H151" s="52">
        <f>'Secondary cum Calculation'!H165</f>
        <v>0</v>
      </c>
      <c r="I151" s="52">
        <f>'Secondary cum Calculation'!I165</f>
        <v>0</v>
      </c>
      <c r="J151" s="52" t="str">
        <f>'Secondary cum Calculation'!J165</f>
        <v>%</v>
      </c>
      <c r="K151" s="49">
        <f>'Secondary cum Calculation'!K165</f>
        <v>0</v>
      </c>
      <c r="L151" s="53"/>
      <c r="M151" s="54">
        <f>'Secondary cum Calculation'!M165</f>
        <v>0</v>
      </c>
      <c r="N151" s="54">
        <f>'Secondary cum Calculation'!N165</f>
        <v>-0.1174785100286535</v>
      </c>
      <c r="O151" s="54">
        <f>'Secondary cum Calculation'!O165</f>
        <v>0.10064935064935066</v>
      </c>
      <c r="P151" s="54">
        <f>'Secondary cum Calculation'!P165</f>
        <v>-0.12684365781710916</v>
      </c>
      <c r="Q151" s="54">
        <f>Q150/P150-1</f>
        <v>-3.3963698234317885E-2</v>
      </c>
      <c r="R151" s="54">
        <f t="shared" ref="R151:V151" si="150">R150/Q150-1</f>
        <v>1.8167497717911374E-2</v>
      </c>
      <c r="S151" s="54">
        <f t="shared" si="150"/>
        <v>1.4467008691195105E-2</v>
      </c>
      <c r="T151" s="54">
        <f t="shared" si="150"/>
        <v>2.0466780261918505E-2</v>
      </c>
      <c r="U151" s="54">
        <f t="shared" si="150"/>
        <v>2.1887080077326093E-2</v>
      </c>
      <c r="V151" s="54">
        <f t="shared" si="150"/>
        <v>2.3739552501877981E-2</v>
      </c>
      <c r="W151" s="258"/>
      <c r="X151" s="258"/>
    </row>
    <row r="152" spans="1:24">
      <c r="A152" s="46" t="str">
        <f>'Secondary cum Calculation'!A166</f>
        <v>Poland</v>
      </c>
      <c r="B152" s="47" t="str">
        <f>'Secondary cum Calculation'!B166</f>
        <v>Tourism Flows</v>
      </c>
      <c r="C152" s="47" t="str">
        <f>'Secondary cum Calculation'!C166</f>
        <v>Number of Domestic Tourists by Purpose of Visit</v>
      </c>
      <c r="D152" s="46" t="str">
        <f>'Secondary cum Calculation'!D166</f>
        <v>Business</v>
      </c>
      <c r="E152" s="48"/>
      <c r="F152" s="48" t="str">
        <f>'Secondary cum Calculation'!F166</f>
        <v>The number of domestic tourists who are engaging in travel &amp; tourism activities on behalf of their business or employer.</v>
      </c>
      <c r="G152" s="48" t="str">
        <f>'Secondary cum Calculation'!G166</f>
        <v>Tourism Demand &amp; Flows Database</v>
      </c>
      <c r="H152" s="48" t="str">
        <f>'Secondary cum Calculation'!H166</f>
        <v>Exists</v>
      </c>
      <c r="I152" s="48" t="str">
        <f>'Secondary cum Calculation'!I166</f>
        <v>UNWTO</v>
      </c>
      <c r="J152" s="48" t="str">
        <f>'Secondary cum Calculation'!J166</f>
        <v>Thousand</v>
      </c>
      <c r="K152" s="49">
        <f>'Secondary cum Calculation'!K166</f>
        <v>494300</v>
      </c>
      <c r="L152" s="268">
        <f>'Secondary cum Calculation'!L166</f>
        <v>3839.0000000000009</v>
      </c>
      <c r="M152" s="268">
        <f>'Secondary cum Calculation'!M166</f>
        <v>3965.0000000000005</v>
      </c>
      <c r="N152" s="268">
        <f>'Secondary cum Calculation'!N166</f>
        <v>3555.9999999999995</v>
      </c>
      <c r="O152" s="268">
        <f>'Secondary cum Calculation'!O166</f>
        <v>3794</v>
      </c>
      <c r="P152" s="268">
        <f>'Secondary cum Calculation'!P166</f>
        <v>3356.7711490508509</v>
      </c>
      <c r="Q152" s="268">
        <f>Q158*Q$150</f>
        <v>3220.4389030282437</v>
      </c>
      <c r="R152" s="268">
        <f>R158*R$150</f>
        <v>3284.8915939641615</v>
      </c>
      <c r="S152" s="268">
        <f t="shared" ref="R152:U156" si="151">S158*S$150</f>
        <v>3322.8556023824449</v>
      </c>
      <c r="T152" s="268">
        <f t="shared" si="151"/>
        <v>3383.764913429025</v>
      </c>
      <c r="U152" s="268">
        <f t="shared" si="151"/>
        <v>3438.7086960077922</v>
      </c>
      <c r="V152" s="268">
        <f t="shared" ref="V152" si="152">V158*V$150</f>
        <v>3515.7527413635376</v>
      </c>
      <c r="W152" s="102">
        <f>'Secondary cum Calculation'!W166</f>
        <v>-5.0668332521499493E-2</v>
      </c>
      <c r="X152" s="102">
        <f>'Secondary cum Calculation'!X166</f>
        <v>1.7702056136942534E-2</v>
      </c>
    </row>
    <row r="153" spans="1:24">
      <c r="A153" s="48"/>
      <c r="B153" s="48"/>
      <c r="C153" s="52" t="str">
        <f>'Secondary cum Calculation'!C167</f>
        <v>Growth Rate</v>
      </c>
      <c r="D153" s="52"/>
      <c r="E153" s="52"/>
      <c r="F153" s="52">
        <f>'Secondary cum Calculation'!F167</f>
        <v>0</v>
      </c>
      <c r="G153" s="52">
        <f>'Secondary cum Calculation'!G167</f>
        <v>0</v>
      </c>
      <c r="H153" s="52">
        <f>'Secondary cum Calculation'!H167</f>
        <v>0</v>
      </c>
      <c r="I153" s="52">
        <f>'Secondary cum Calculation'!I167</f>
        <v>0</v>
      </c>
      <c r="J153" s="52" t="str">
        <f>'Secondary cum Calculation'!J167</f>
        <v>%</v>
      </c>
      <c r="K153" s="49">
        <f>'Secondary cum Calculation'!K167</f>
        <v>0</v>
      </c>
      <c r="L153" s="53"/>
      <c r="M153" s="54">
        <f>'Secondary cum Calculation'!M167</f>
        <v>3.2821047147694626E-2</v>
      </c>
      <c r="N153" s="54">
        <f>'Secondary cum Calculation'!N167</f>
        <v>-0.10315258511979841</v>
      </c>
      <c r="O153" s="54">
        <f>'Secondary cum Calculation'!O167</f>
        <v>6.692913385826782E-2</v>
      </c>
      <c r="P153" s="54">
        <f>'Secondary cum Calculation'!P167</f>
        <v>-0.11524218527916419</v>
      </c>
      <c r="Q153" s="54">
        <f>Q152/P152-1</f>
        <v>-4.0614102054933432E-2</v>
      </c>
      <c r="R153" s="54">
        <f t="shared" ref="R153" si="153">R152/Q152-1</f>
        <v>2.0013635680314223E-2</v>
      </c>
      <c r="S153" s="54">
        <f t="shared" ref="S153" si="154">S152/R152-1</f>
        <v>1.155715716404182E-2</v>
      </c>
      <c r="T153" s="54">
        <f t="shared" ref="T153" si="155">T152/S152-1</f>
        <v>1.8330411650421707E-2</v>
      </c>
      <c r="U153" s="54">
        <f t="shared" ref="U153:V153" si="156">U152/T152-1</f>
        <v>1.6237470387116426E-2</v>
      </c>
      <c r="V153" s="54">
        <f t="shared" si="156"/>
        <v>2.2404935156383088E-2</v>
      </c>
      <c r="W153" s="258"/>
      <c r="X153" s="258"/>
    </row>
    <row r="154" spans="1:24">
      <c r="A154" s="46" t="str">
        <f>'Secondary cum Calculation'!A168</f>
        <v>Poland</v>
      </c>
      <c r="B154" s="47" t="str">
        <f>'Secondary cum Calculation'!B168</f>
        <v>Tourism Flows</v>
      </c>
      <c r="C154" s="47" t="str">
        <f>'Secondary cum Calculation'!C168</f>
        <v>Number of Domestic Tourists by Purpose of Visit</v>
      </c>
      <c r="D154" s="46" t="str">
        <f>'Secondary cum Calculation'!D168</f>
        <v>Leisure</v>
      </c>
      <c r="E154" s="48"/>
      <c r="F154" s="48" t="str">
        <f>'Secondary cum Calculation'!F168</f>
        <v>The number of domestic tourists who are engaging in travel &amp; tourism activities for personal reasons related to leisure.</v>
      </c>
      <c r="G154" s="48" t="str">
        <f>'Secondary cum Calculation'!G168</f>
        <v>Tourism Demand &amp; Flows Database</v>
      </c>
      <c r="H154" s="48" t="str">
        <f>'Secondary cum Calculation'!H168</f>
        <v>Exists</v>
      </c>
      <c r="I154" s="48" t="str">
        <f>'Secondary cum Calculation'!I168</f>
        <v>UNWTO</v>
      </c>
      <c r="J154" s="48" t="str">
        <f>'Secondary cum Calculation'!J168</f>
        <v>Thousand</v>
      </c>
      <c r="K154" s="49" t="e">
        <f>'Secondary cum Calculation'!K168</f>
        <v>#DIV/0!</v>
      </c>
      <c r="L154" s="268">
        <f>'Secondary cum Calculation'!L168</f>
        <v>27920.000000000007</v>
      </c>
      <c r="M154" s="268">
        <f>'Secondary cum Calculation'!M168</f>
        <v>28555.000000000007</v>
      </c>
      <c r="N154" s="268">
        <f>'Secondary cum Calculation'!N168</f>
        <v>25438</v>
      </c>
      <c r="O154" s="268">
        <f>'Secondary cum Calculation'!O168</f>
        <v>28000</v>
      </c>
      <c r="P154" s="268">
        <f>'Secondary cum Calculation'!P168</f>
        <v>24500.702984863146</v>
      </c>
      <c r="Q154" s="268">
        <f>Q160*Q$150</f>
        <v>23790.046899990954</v>
      </c>
      <c r="R154" s="268">
        <f t="shared" si="151"/>
        <v>24232.38741230431</v>
      </c>
      <c r="S154" s="268">
        <f t="shared" si="151"/>
        <v>24606.751358298268</v>
      </c>
      <c r="T154" s="268">
        <f t="shared" si="151"/>
        <v>25126.667211865977</v>
      </c>
      <c r="U154" s="268">
        <f t="shared" si="151"/>
        <v>25713.386667194212</v>
      </c>
      <c r="V154" s="268">
        <f t="shared" ref="V154" si="157">V160*V$150</f>
        <v>26345.486294386741</v>
      </c>
      <c r="W154" s="102">
        <f>'Secondary cum Calculation'!W168</f>
        <v>-4.4615296854443875E-2</v>
      </c>
      <c r="X154" s="102">
        <f>'Secondary cum Calculation'!X168</f>
        <v>2.0615557781778815E-2</v>
      </c>
    </row>
    <row r="155" spans="1:24">
      <c r="A155" s="48"/>
      <c r="B155" s="48"/>
      <c r="C155" s="52" t="str">
        <f>'Secondary cum Calculation'!C169</f>
        <v>Growth Rate</v>
      </c>
      <c r="D155" s="52"/>
      <c r="E155" s="52"/>
      <c r="F155" s="52">
        <f>'Secondary cum Calculation'!F169</f>
        <v>0</v>
      </c>
      <c r="G155" s="52">
        <f>'Secondary cum Calculation'!G169</f>
        <v>0</v>
      </c>
      <c r="H155" s="52">
        <f>'Secondary cum Calculation'!H169</f>
        <v>0</v>
      </c>
      <c r="I155" s="52">
        <f>'Secondary cum Calculation'!I169</f>
        <v>0</v>
      </c>
      <c r="J155" s="52" t="str">
        <f>'Secondary cum Calculation'!J169</f>
        <v>%</v>
      </c>
      <c r="K155" s="49">
        <f>'Secondary cum Calculation'!K169</f>
        <v>0</v>
      </c>
      <c r="L155" s="53"/>
      <c r="M155" s="54">
        <f>'Secondary cum Calculation'!M169</f>
        <v>2.2743553008595985E-2</v>
      </c>
      <c r="N155" s="54">
        <f>'Secondary cum Calculation'!N169</f>
        <v>-0.10915776571528657</v>
      </c>
      <c r="O155" s="54">
        <f>'Secondary cum Calculation'!O169</f>
        <v>0.1007154650522839</v>
      </c>
      <c r="P155" s="54">
        <f>'Secondary cum Calculation'!P169</f>
        <v>-0.12497489339774481</v>
      </c>
      <c r="Q155" s="54">
        <f>Q154/P154-1</f>
        <v>-2.9005538547659082E-2</v>
      </c>
      <c r="R155" s="54">
        <f t="shared" ref="R155" si="158">R154/Q154-1</f>
        <v>1.8593511571157295E-2</v>
      </c>
      <c r="S155" s="54">
        <f t="shared" ref="S155" si="159">S154/R154-1</f>
        <v>1.5448908917817583E-2</v>
      </c>
      <c r="T155" s="54">
        <f t="shared" ref="T155" si="160">T154/S154-1</f>
        <v>2.1128992039511019E-2</v>
      </c>
      <c r="U155" s="54">
        <f t="shared" ref="U155:V155" si="161">U154/T154-1</f>
        <v>2.3350468662678869E-2</v>
      </c>
      <c r="V155" s="54">
        <f t="shared" si="161"/>
        <v>2.4582511645538263E-2</v>
      </c>
      <c r="W155" s="258"/>
      <c r="X155" s="258"/>
    </row>
    <row r="156" spans="1:24">
      <c r="A156" s="46" t="str">
        <f>'Secondary cum Calculation'!A170</f>
        <v>Poland</v>
      </c>
      <c r="B156" s="47" t="str">
        <f>'Secondary cum Calculation'!B170</f>
        <v>Tourism Flows</v>
      </c>
      <c r="C156" s="47" t="str">
        <f>'Secondary cum Calculation'!C170</f>
        <v>Number of Domestic Tourists by Purpose of Visit</v>
      </c>
      <c r="D156" s="46" t="str">
        <f>'Secondary cum Calculation'!D170</f>
        <v>Other Personal</v>
      </c>
      <c r="E156" s="46"/>
      <c r="F156" s="48" t="str">
        <f>'Secondary cum Calculation'!F170</f>
        <v>The number of domestic tourists who are engaging in travel &amp; tourism activities for non-business or non-leisure related personal reasons, including for the purpose of pilgrimage, health and medical, education and training, transit, volunteer work (not included elsewhere), investigative work and migration possibilities, and the undertaking any other temporary non-remunerated activities not included elsewhere.</v>
      </c>
      <c r="G156" s="48" t="str">
        <f>'Secondary cum Calculation'!G170</f>
        <v>Tourism Demand &amp; Flows Database</v>
      </c>
      <c r="H156" s="48" t="str">
        <f>'Secondary cum Calculation'!H170</f>
        <v>Exists</v>
      </c>
      <c r="I156" s="48" t="str">
        <f>'Secondary cum Calculation'!I170</f>
        <v>UNWTO</v>
      </c>
      <c r="J156" s="48" t="str">
        <f>'Secondary cum Calculation'!J170</f>
        <v>Thousand</v>
      </c>
      <c r="K156" s="49" t="e">
        <f>'Secondary cum Calculation'!K170</f>
        <v>#DIV/0!</v>
      </c>
      <c r="L156" s="268">
        <f>'Secondary cum Calculation'!L170</f>
        <v>3140.9999999999995</v>
      </c>
      <c r="M156" s="268">
        <f>'Secondary cum Calculation'!M170</f>
        <v>2380.0000000000005</v>
      </c>
      <c r="N156" s="268">
        <f>'Secondary cum Calculation'!N170</f>
        <v>1805.9999999999989</v>
      </c>
      <c r="O156" s="268">
        <f>'Secondary cum Calculation'!O170</f>
        <v>2105.9999999999986</v>
      </c>
      <c r="P156" s="268">
        <f>'Secondary cum Calculation'!P170</f>
        <v>1742.5258660860059</v>
      </c>
      <c r="Q156" s="268">
        <f>Q162*Q$150</f>
        <v>1584.1887292449933</v>
      </c>
      <c r="R156" s="268">
        <f t="shared" si="151"/>
        <v>1596.8892103050491</v>
      </c>
      <c r="S156" s="268">
        <f t="shared" si="151"/>
        <v>1605.7561805188886</v>
      </c>
      <c r="T156" s="268">
        <f t="shared" si="151"/>
        <v>1629.4248032715009</v>
      </c>
      <c r="U156" s="268">
        <f t="shared" si="151"/>
        <v>1647.4350274791877</v>
      </c>
      <c r="V156" s="268">
        <f t="shared" ref="V156" si="162">V162*V$150</f>
        <v>1669.4584236736732</v>
      </c>
      <c r="W156" s="102">
        <f>'Secondary cum Calculation'!W170</f>
        <v>-9.6750997711433917E-2</v>
      </c>
      <c r="X156" s="102">
        <f>'Secondary cum Calculation'!X170</f>
        <v>1.0540532731523999E-2</v>
      </c>
    </row>
    <row r="157" spans="1:24">
      <c r="A157" s="48"/>
      <c r="B157" s="48"/>
      <c r="C157" s="52" t="str">
        <f>'Secondary cum Calculation'!C171</f>
        <v>Growth Rate</v>
      </c>
      <c r="D157" s="52"/>
      <c r="E157" s="52"/>
      <c r="F157" s="52">
        <f>'Secondary cum Calculation'!F171</f>
        <v>0</v>
      </c>
      <c r="G157" s="52">
        <f>'Secondary cum Calculation'!G171</f>
        <v>0</v>
      </c>
      <c r="H157" s="52">
        <f>'Secondary cum Calculation'!H171</f>
        <v>0</v>
      </c>
      <c r="I157" s="52">
        <f>'Secondary cum Calculation'!I171</f>
        <v>0</v>
      </c>
      <c r="J157" s="52" t="str">
        <f>'Secondary cum Calculation'!J171</f>
        <v>%</v>
      </c>
      <c r="K157" s="49">
        <f>'Secondary cum Calculation'!K171</f>
        <v>0</v>
      </c>
      <c r="L157" s="53"/>
      <c r="M157" s="54">
        <f>'Secondary cum Calculation'!M171</f>
        <v>-0.24227952881247983</v>
      </c>
      <c r="N157" s="54">
        <f>'Secondary cum Calculation'!N171</f>
        <v>-0.24117647058823588</v>
      </c>
      <c r="O157" s="54">
        <f>'Secondary cum Calculation'!O171</f>
        <v>0.16611295681063121</v>
      </c>
      <c r="P157" s="54">
        <f>'Secondary cum Calculation'!P171</f>
        <v>-0.17258980717663486</v>
      </c>
      <c r="Q157" s="54">
        <f>Q156/P156-1</f>
        <v>-9.0866448483007733E-2</v>
      </c>
      <c r="R157" s="54">
        <f t="shared" ref="R157" si="163">R156/Q156-1</f>
        <v>8.0170252606890369E-3</v>
      </c>
      <c r="S157" s="54">
        <f t="shared" ref="S157" si="164">S156/R156-1</f>
        <v>5.5526520917164035E-3</v>
      </c>
      <c r="T157" s="54">
        <f t="shared" ref="T157" si="165">T156/S156-1</f>
        <v>1.4739860907752478E-2</v>
      </c>
      <c r="U157" s="54">
        <f t="shared" ref="U157:V157" si="166">U156/T156-1</f>
        <v>1.1053117745309038E-2</v>
      </c>
      <c r="V157" s="54">
        <f t="shared" si="166"/>
        <v>1.3368294243557788E-2</v>
      </c>
      <c r="W157" s="258"/>
      <c r="X157" s="258"/>
    </row>
    <row r="158" spans="1:24" outlineLevel="1">
      <c r="A158" s="67"/>
      <c r="B158" s="67"/>
      <c r="C158" s="68"/>
      <c r="D158" s="69" t="str">
        <f>'Secondary cum Calculation'!D172</f>
        <v>Business</v>
      </c>
      <c r="E158" s="68"/>
      <c r="F158" s="68">
        <f>'Secondary cum Calculation'!F172</f>
        <v>0</v>
      </c>
      <c r="G158" s="68">
        <f>'Secondary cum Calculation'!G172</f>
        <v>0</v>
      </c>
      <c r="H158" s="68">
        <f>'Secondary cum Calculation'!H172</f>
        <v>0</v>
      </c>
      <c r="I158" s="68">
        <f>'Secondary cum Calculation'!I172</f>
        <v>0</v>
      </c>
      <c r="J158" s="68"/>
      <c r="K158" s="74">
        <f>'Secondary cum Calculation'!K172</f>
        <v>0</v>
      </c>
      <c r="L158" s="163">
        <f>'Secondary cum Calculation'!L172</f>
        <v>0.11</v>
      </c>
      <c r="M158" s="163">
        <f>'Secondary cum Calculation'!M172</f>
        <v>0.11361031518624641</v>
      </c>
      <c r="N158" s="163">
        <f>'Secondary cum Calculation'!N172</f>
        <v>0.11545454545454543</v>
      </c>
      <c r="O158" s="163">
        <f>'Secondary cum Calculation'!O172</f>
        <v>0.11191740412979351</v>
      </c>
      <c r="P158" s="163">
        <f>'Secondary cum Calculation'!P172</f>
        <v>0.1134044307111774</v>
      </c>
      <c r="Q158" s="321">
        <f>P158*(1+(((P158/L158)^(1/4))-1)*-0.9)</f>
        <v>0.11262372996742907</v>
      </c>
      <c r="R158" s="321">
        <f>Q158*(1+((Q158/M158)^(1/4))-1)*1.004</f>
        <v>0.1128279389446615</v>
      </c>
      <c r="S158" s="321">
        <f>R158*(1+(((R158/N158)^(1/4))-1)*0.5)</f>
        <v>0.11250430836068889</v>
      </c>
      <c r="T158" s="321">
        <f>S158*(1+(((S158/O158)^(1/4))-1)*-1.6)</f>
        <v>0.11226877823105719</v>
      </c>
      <c r="U158" s="321">
        <f>T158*(1+(((T158/P158)^(1/4))-1)*2.2)</f>
        <v>0.11164808853865575</v>
      </c>
      <c r="V158" s="321">
        <f>U158*(1+(((U158/Q158)^(1/4))-1)*0.6)</f>
        <v>0.11150253640560505</v>
      </c>
      <c r="W158" s="82"/>
      <c r="X158" s="82"/>
    </row>
    <row r="159" spans="1:24" outlineLevel="1">
      <c r="A159" s="67"/>
      <c r="B159" s="67"/>
      <c r="C159" s="68"/>
      <c r="D159" s="68"/>
      <c r="E159" s="68"/>
      <c r="F159" s="68">
        <f>'Secondary cum Calculation'!F173</f>
        <v>0</v>
      </c>
      <c r="G159" s="68">
        <f>'Secondary cum Calculation'!G173</f>
        <v>0</v>
      </c>
      <c r="H159" s="68">
        <f>'Secondary cum Calculation'!H173</f>
        <v>0</v>
      </c>
      <c r="I159" s="68">
        <f>'Secondary cum Calculation'!I173</f>
        <v>0</v>
      </c>
      <c r="J159" s="68"/>
      <c r="K159" s="74">
        <f>'Secondary cum Calculation'!K173</f>
        <v>0</v>
      </c>
      <c r="L159" s="163"/>
      <c r="M159" s="163"/>
      <c r="N159" s="163"/>
      <c r="O159" s="163"/>
      <c r="P159" s="163"/>
      <c r="Q159" s="163"/>
      <c r="R159" s="163"/>
      <c r="S159" s="163"/>
      <c r="T159" s="163"/>
      <c r="U159" s="163"/>
      <c r="V159" s="163"/>
      <c r="W159" s="75"/>
      <c r="X159" s="75"/>
    </row>
    <row r="160" spans="1:24" outlineLevel="1">
      <c r="A160" s="67"/>
      <c r="B160" s="67"/>
      <c r="C160" s="68"/>
      <c r="D160" s="69" t="str">
        <f>'Secondary cum Calculation'!D174</f>
        <v>Leisure</v>
      </c>
      <c r="E160" s="68"/>
      <c r="F160" s="68">
        <f>'Secondary cum Calculation'!F174</f>
        <v>0</v>
      </c>
      <c r="G160" s="68">
        <f>'Secondary cum Calculation'!G174</f>
        <v>0</v>
      </c>
      <c r="H160" s="68">
        <f>'Secondary cum Calculation'!H174</f>
        <v>0</v>
      </c>
      <c r="I160" s="68">
        <f>'Secondary cum Calculation'!I174</f>
        <v>0</v>
      </c>
      <c r="J160" s="68"/>
      <c r="K160" s="74">
        <f>'Secondary cum Calculation'!K174</f>
        <v>0</v>
      </c>
      <c r="L160" s="163">
        <f>'Secondary cum Calculation'!L174</f>
        <v>0.8</v>
      </c>
      <c r="M160" s="163">
        <f>'Secondary cum Calculation'!M174</f>
        <v>0.81819484240687679</v>
      </c>
      <c r="N160" s="163">
        <f>'Secondary cum Calculation'!N174</f>
        <v>0.82590909090909093</v>
      </c>
      <c r="O160" s="163">
        <f>'Secondary cum Calculation'!O174</f>
        <v>0.82595870206489674</v>
      </c>
      <c r="P160" s="163">
        <f>'Secondary cum Calculation'!P174</f>
        <v>0.82772645219132246</v>
      </c>
      <c r="Q160" s="321">
        <f>P160*(1+(((P160/L160)^(1/4))-1)*0.6)</f>
        <v>0.83197473967217084</v>
      </c>
      <c r="R160" s="321">
        <f>Q160*(1+(((Q160/M160)^(1/4))-1)*0.1)</f>
        <v>0.83232284817636626</v>
      </c>
      <c r="S160" s="321">
        <f>R160*(1+(((R160/N160)^(1/4))-1)*0.5)</f>
        <v>0.83312845149933867</v>
      </c>
      <c r="T160" s="321">
        <f>S160*(1+(((S160/O160)^(1/4))-1)*0.3)</f>
        <v>0.83366909376570286</v>
      </c>
      <c r="U160" s="321">
        <f t="shared" ref="U160" si="167">T160*(1+(((T160/P160)^(1/4))-1)*0.8)</f>
        <v>0.83486294566926711</v>
      </c>
      <c r="V160" s="321">
        <f>U160*(1+(((U160/Q160)^(1/4))-1)*0.95)</f>
        <v>0.83555038160161454</v>
      </c>
      <c r="W160" s="75"/>
      <c r="X160" s="75"/>
    </row>
    <row r="161" spans="1:26" outlineLevel="1">
      <c r="A161" s="67"/>
      <c r="B161" s="67"/>
      <c r="C161" s="68"/>
      <c r="D161" s="68"/>
      <c r="E161" s="68"/>
      <c r="F161" s="68">
        <f>'Secondary cum Calculation'!F175</f>
        <v>0</v>
      </c>
      <c r="G161" s="68">
        <f>'Secondary cum Calculation'!G175</f>
        <v>0</v>
      </c>
      <c r="H161" s="68">
        <f>'Secondary cum Calculation'!H175</f>
        <v>0</v>
      </c>
      <c r="I161" s="68">
        <f>'Secondary cum Calculation'!I175</f>
        <v>0</v>
      </c>
      <c r="J161" s="68"/>
      <c r="K161" s="74">
        <f>'Secondary cum Calculation'!K175</f>
        <v>0</v>
      </c>
      <c r="L161" s="163"/>
      <c r="M161" s="163"/>
      <c r="N161" s="163"/>
      <c r="O161" s="163"/>
      <c r="P161" s="163"/>
      <c r="Q161" s="163"/>
      <c r="R161" s="163"/>
      <c r="S161" s="163"/>
      <c r="T161" s="163"/>
      <c r="U161" s="163"/>
      <c r="V161" s="163"/>
      <c r="W161" s="75"/>
      <c r="X161" s="75"/>
    </row>
    <row r="162" spans="1:26" outlineLevel="1">
      <c r="A162" s="67"/>
      <c r="B162" s="67"/>
      <c r="C162" s="68"/>
      <c r="D162" s="69" t="str">
        <f>'Secondary cum Calculation'!D176</f>
        <v>Other Personal</v>
      </c>
      <c r="E162" s="68"/>
      <c r="F162" s="68">
        <f>'Secondary cum Calculation'!F176</f>
        <v>0</v>
      </c>
      <c r="G162" s="68">
        <f>'Secondary cum Calculation'!G176</f>
        <v>0</v>
      </c>
      <c r="H162" s="68">
        <f>'Secondary cum Calculation'!H176</f>
        <v>0</v>
      </c>
      <c r="I162" s="68">
        <f>'Secondary cum Calculation'!I176</f>
        <v>0</v>
      </c>
      <c r="J162" s="68"/>
      <c r="K162" s="74">
        <f>'Secondary cum Calculation'!K176</f>
        <v>0</v>
      </c>
      <c r="L162" s="163">
        <f>'Secondary cum Calculation'!L176</f>
        <v>8.9999999999999969E-2</v>
      </c>
      <c r="M162" s="163">
        <f>'Secondary cum Calculation'!M176</f>
        <v>6.8194842406876788E-2</v>
      </c>
      <c r="N162" s="163">
        <f>'Secondary cum Calculation'!N176</f>
        <v>5.8636363636363598E-2</v>
      </c>
      <c r="O162" s="163">
        <f>'Secondary cum Calculation'!O176</f>
        <v>6.2123893805309693E-2</v>
      </c>
      <c r="P162" s="163">
        <f>'Secondary cum Calculation'!P176</f>
        <v>5.8869117097500201E-2</v>
      </c>
      <c r="Q162" s="321">
        <f>1-SUM(Q158:Q160)</f>
        <v>5.5401530360400075E-2</v>
      </c>
      <c r="R162" s="321">
        <f t="shared" ref="R162:U162" si="168">1-SUM(R158:R160)</f>
        <v>5.4849212878972264E-2</v>
      </c>
      <c r="S162" s="321">
        <f t="shared" si="168"/>
        <v>5.4367240139972406E-2</v>
      </c>
      <c r="T162" s="321">
        <f t="shared" si="168"/>
        <v>5.4062128003239951E-2</v>
      </c>
      <c r="U162" s="321">
        <f t="shared" si="168"/>
        <v>5.3488965792077181E-2</v>
      </c>
      <c r="V162" s="321">
        <f t="shared" ref="V162" si="169">1-SUM(V158:V160)</f>
        <v>5.294708199278042E-2</v>
      </c>
      <c r="W162" s="75"/>
      <c r="X162" s="75"/>
    </row>
    <row r="163" spans="1:26">
      <c r="A163" s="55" t="str">
        <f>'Secondary cum Calculation'!A177</f>
        <v>Poland</v>
      </c>
      <c r="B163" s="56" t="str">
        <f>'Secondary cum Calculation'!B177</f>
        <v>Tourism Flows</v>
      </c>
      <c r="C163" s="55" t="str">
        <f>'Secondary cum Calculation'!C177</f>
        <v>International Arrivals by Place of Origin</v>
      </c>
      <c r="D163" s="57"/>
      <c r="E163" s="57"/>
      <c r="F163" s="57" t="str">
        <f>'Secondary cum Calculation'!F177</f>
        <v>The number of international arrivals to a country, segmented by their region and/or country of origin</v>
      </c>
      <c r="G163" s="57" t="str">
        <f>'Secondary cum Calculation'!G177</f>
        <v>Tourism Demand &amp; Flows Database</v>
      </c>
      <c r="H163" s="57" t="str">
        <f>'Secondary cum Calculation'!H177</f>
        <v>N/A</v>
      </c>
      <c r="I163" s="57">
        <f>'Secondary cum Calculation'!I177</f>
        <v>0</v>
      </c>
      <c r="J163" s="55" t="str">
        <f>'Secondary cum Calculation'!J177</f>
        <v>Thousand</v>
      </c>
      <c r="K163" s="86">
        <f>'Secondary cum Calculation'!K177</f>
        <v>0</v>
      </c>
      <c r="L163" s="267">
        <f>'Secondary cum Calculation'!L177</f>
        <v>14975.131262212246</v>
      </c>
      <c r="M163" s="267">
        <f>'Secondary cum Calculation'!M177</f>
        <v>12959.850226300863</v>
      </c>
      <c r="N163" s="267">
        <f>'Secondary cum Calculation'!N177</f>
        <v>11890</v>
      </c>
      <c r="O163" s="267">
        <f>'Secondary cum Calculation'!O177</f>
        <v>12470</v>
      </c>
      <c r="P163" s="267">
        <f>'Secondary cum Calculation'!P177</f>
        <v>13350</v>
      </c>
      <c r="Q163" s="267">
        <f t="shared" ref="Q163:V163" si="170">(Q165+Q287+Q389+Q491+Q533+Q551)</f>
        <v>14840.000000000002</v>
      </c>
      <c r="R163" s="267">
        <f t="shared" si="170"/>
        <v>15491.394687244565</v>
      </c>
      <c r="S163" s="267">
        <f t="shared" si="170"/>
        <v>16075.885905664962</v>
      </c>
      <c r="T163" s="267">
        <f t="shared" si="170"/>
        <v>16743.512843757366</v>
      </c>
      <c r="U163" s="267">
        <f t="shared" si="170"/>
        <v>17530.93536460535</v>
      </c>
      <c r="V163" s="267">
        <f t="shared" si="170"/>
        <v>18417.93995094355</v>
      </c>
      <c r="W163" s="260">
        <f>'Secondary cum Calculation'!W177</f>
        <v>3.4447560113938902E-2</v>
      </c>
      <c r="X163" s="260">
        <f>'Secondary cum Calculation'!X177</f>
        <v>4.4146483873642506E-2</v>
      </c>
    </row>
    <row r="164" spans="1:26">
      <c r="A164" s="57"/>
      <c r="B164" s="57"/>
      <c r="C164" s="61" t="str">
        <f>'Secondary cum Calculation'!C178</f>
        <v>Growth Rate</v>
      </c>
      <c r="D164" s="61"/>
      <c r="E164" s="61"/>
      <c r="F164" s="61">
        <f>'Secondary cum Calculation'!F178</f>
        <v>0</v>
      </c>
      <c r="G164" s="61">
        <f>'Secondary cum Calculation'!G178</f>
        <v>0</v>
      </c>
      <c r="H164" s="61">
        <f>'Secondary cum Calculation'!H178</f>
        <v>0</v>
      </c>
      <c r="I164" s="61">
        <f>'Secondary cum Calculation'!I178</f>
        <v>0</v>
      </c>
      <c r="J164" s="61" t="str">
        <f>'Secondary cum Calculation'!J178</f>
        <v>%</v>
      </c>
      <c r="K164" s="58">
        <f>'Secondary cum Calculation'!K178</f>
        <v>0</v>
      </c>
      <c r="L164" s="59"/>
      <c r="M164" s="62">
        <f>'Secondary cum Calculation'!M178</f>
        <v>-9.4746858385693522E-2</v>
      </c>
      <c r="N164" s="62">
        <f>'Secondary cum Calculation'!N178</f>
        <v>-8.2551125793853486E-2</v>
      </c>
      <c r="O164" s="62">
        <f>'Secondary cum Calculation'!O178</f>
        <v>4.8780487804878092E-2</v>
      </c>
      <c r="P164" s="62">
        <f>'Secondary cum Calculation'!P178</f>
        <v>7.0569366479551032E-2</v>
      </c>
      <c r="Q164" s="62">
        <f>Q163/P163-1</f>
        <v>0.11161048689138586</v>
      </c>
      <c r="R164" s="62">
        <f t="shared" ref="R164:V164" si="171">R163/Q163-1</f>
        <v>4.3894520703811502E-2</v>
      </c>
      <c r="S164" s="62">
        <f t="shared" si="171"/>
        <v>3.7730057894765245E-2</v>
      </c>
      <c r="T164" s="62">
        <f t="shared" si="171"/>
        <v>4.1529713635074961E-2</v>
      </c>
      <c r="U164" s="62">
        <f t="shared" si="171"/>
        <v>4.7028513561989227E-2</v>
      </c>
      <c r="V164" s="62">
        <f t="shared" si="171"/>
        <v>5.0596535090138284E-2</v>
      </c>
      <c r="W164" s="259"/>
      <c r="X164" s="259"/>
    </row>
    <row r="165" spans="1:26">
      <c r="A165" s="55" t="str">
        <f>'Secondary cum Calculation'!A179</f>
        <v>Poland</v>
      </c>
      <c r="B165" s="56" t="str">
        <f>'Secondary cum Calculation'!B179</f>
        <v>Tourism Flows</v>
      </c>
      <c r="C165" s="56" t="str">
        <f>'Secondary cum Calculation'!C179</f>
        <v>International Arrivals by Place of Origin</v>
      </c>
      <c r="D165" s="55" t="str">
        <f>'Secondary cum Calculation'!D179</f>
        <v>Africa</v>
      </c>
      <c r="E165" s="57"/>
      <c r="F165" s="57" t="str">
        <f>'Secondary cum Calculation'!F179</f>
        <v>The number of international arrivals to a country originating from Africa</v>
      </c>
      <c r="G165" s="57" t="str">
        <f>'Secondary cum Calculation'!G179</f>
        <v>Tourism Demand &amp; Flows Database</v>
      </c>
      <c r="H165" s="57" t="str">
        <f>'Secondary cum Calculation'!H179</f>
        <v>New</v>
      </c>
      <c r="I165" s="57">
        <f>'Secondary cum Calculation'!I179</f>
        <v>0</v>
      </c>
      <c r="J165" s="55" t="str">
        <f>'Secondary cum Calculation'!J179</f>
        <v>Thousand</v>
      </c>
      <c r="K165" s="86">
        <f>'Secondary cum Calculation'!K179</f>
        <v>0</v>
      </c>
      <c r="L165" s="80">
        <f>'Secondary cum Calculation'!L179</f>
        <v>52.253451508886499</v>
      </c>
      <c r="M165" s="80">
        <f>'Secondary cum Calculation'!M179</f>
        <v>42.750283164627255</v>
      </c>
      <c r="N165" s="80">
        <f>'Secondary cum Calculation'!N179</f>
        <v>39.565883515656104</v>
      </c>
      <c r="O165" s="80">
        <f>'Secondary cum Calculation'!O179</f>
        <v>44.038197332752539</v>
      </c>
      <c r="P165" s="80">
        <f>'Secondary cum Calculation'!P179</f>
        <v>46.305151599135741</v>
      </c>
      <c r="Q165" s="80">
        <f>'Secondary cum Calculation'!Q179</f>
        <v>54.452575819274571</v>
      </c>
      <c r="R165" s="80">
        <f t="shared" ref="R165:V165" si="172">Q165*(1+R166)</f>
        <v>57.643282241106128</v>
      </c>
      <c r="S165" s="80">
        <f t="shared" si="172"/>
        <v>60.729873221480887</v>
      </c>
      <c r="T165" s="80">
        <f t="shared" si="172"/>
        <v>63.527399252827827</v>
      </c>
      <c r="U165" s="80">
        <f t="shared" si="172"/>
        <v>67.172008960251631</v>
      </c>
      <c r="V165" s="80">
        <f t="shared" si="172"/>
        <v>71.438310817389905</v>
      </c>
      <c r="W165" s="106">
        <f>'Secondary cum Calculation'!W179</f>
        <v>6.2355469466307545E-2</v>
      </c>
      <c r="X165" s="106">
        <f>'Secondary cum Calculation'!X179</f>
        <v>5.5802168632161697E-2</v>
      </c>
      <c r="Z165" s="11"/>
    </row>
    <row r="166" spans="1:26">
      <c r="A166" s="57"/>
      <c r="B166" s="57"/>
      <c r="C166" s="61" t="str">
        <f>'Secondary cum Calculation'!C180</f>
        <v>Growth Rate</v>
      </c>
      <c r="D166" s="61"/>
      <c r="E166" s="61"/>
      <c r="F166" s="61">
        <f>'Secondary cum Calculation'!F180</f>
        <v>0</v>
      </c>
      <c r="G166" s="61">
        <f>'Secondary cum Calculation'!G180</f>
        <v>0</v>
      </c>
      <c r="H166" s="61">
        <f>'Secondary cum Calculation'!H180</f>
        <v>0</v>
      </c>
      <c r="I166" s="61">
        <f>'Secondary cum Calculation'!I180</f>
        <v>0</v>
      </c>
      <c r="J166" s="61" t="str">
        <f>'Secondary cum Calculation'!J180</f>
        <v>%</v>
      </c>
      <c r="K166" s="58">
        <f>'Secondary cum Calculation'!K180</f>
        <v>0</v>
      </c>
      <c r="L166" s="59"/>
      <c r="M166" s="62">
        <f>'Secondary cum Calculation'!M180</f>
        <v>8.1167050564878718E-3</v>
      </c>
      <c r="N166" s="62">
        <f>'Secondary cum Calculation'!N180</f>
        <v>-7.4488387286426483E-2</v>
      </c>
      <c r="O166" s="62">
        <f>'Secondary cum Calculation'!O180</f>
        <v>0.11303460000651211</v>
      </c>
      <c r="P166" s="62">
        <f>'Secondary cum Calculation'!P180</f>
        <v>5.1476999597737771E-2</v>
      </c>
      <c r="Q166" s="62">
        <f>'Secondary cum Calculation'!Q180</f>
        <v>0.17595070826397841</v>
      </c>
      <c r="R166" s="62">
        <f>0.99*((L165/O165)^(1/3)-1)+0.01*($E168*R169+$E170*R171+$E172*R173+$E174*R175)</f>
        <v>5.859606040348498E-2</v>
      </c>
      <c r="S166" s="62">
        <f>0.38*((L165/P165)^(1/4)-1)+0.62*($E168*S169+$E170*S171+$E172*S173+$E174*S175)</f>
        <v>5.354641270190668E-2</v>
      </c>
      <c r="T166" s="62">
        <f>0.6*((L165/P165)^(1/4)-1)+0.4*($E168*T169+$E170*T171+$E172*T173+$E174*T175)</f>
        <v>4.6065072804357995E-2</v>
      </c>
      <c r="U166" s="62">
        <f>0.45*((L165/P165)^(1/4)-1)+0.55*($E168*U169+$E170*U171+$E172*U173+$E174*U175)</f>
        <v>5.7370673918491273E-2</v>
      </c>
      <c r="V166" s="62">
        <f>0.3*((L165/P165)^(1/4)-1)+0.7*($E168*V169+$E170*V171+$E172*V173+$E174*V175)</f>
        <v>6.3513090097734329E-2</v>
      </c>
      <c r="W166" s="259"/>
      <c r="X166" s="259"/>
    </row>
    <row r="167" spans="1:26" outlineLevel="1">
      <c r="A167" s="306"/>
      <c r="B167" s="306"/>
      <c r="C167" s="306"/>
      <c r="D167" s="307" t="s">
        <v>912</v>
      </c>
      <c r="E167" s="112" t="s">
        <v>914</v>
      </c>
      <c r="F167" s="112"/>
      <c r="G167" s="112"/>
      <c r="H167" s="112"/>
      <c r="I167" s="112"/>
      <c r="J167" s="112"/>
      <c r="K167" s="113"/>
      <c r="L167" s="114"/>
      <c r="M167" s="115"/>
      <c r="N167" s="115"/>
      <c r="O167" s="115"/>
      <c r="P167" s="115"/>
      <c r="Q167" s="115"/>
      <c r="R167" s="115"/>
      <c r="S167" s="115"/>
      <c r="T167" s="115"/>
      <c r="U167" s="115"/>
      <c r="V167" s="115"/>
      <c r="W167" s="303"/>
      <c r="X167" s="303"/>
    </row>
    <row r="168" spans="1:26" ht="15.75" customHeight="1" outlineLevel="1">
      <c r="A168" s="310"/>
      <c r="B168" s="310"/>
      <c r="C168" s="310"/>
      <c r="D168" s="310" t="s">
        <v>926</v>
      </c>
      <c r="E168" s="309">
        <v>0.3</v>
      </c>
      <c r="F168" s="310"/>
      <c r="G168" s="310"/>
      <c r="H168" s="310"/>
      <c r="I168" s="310"/>
      <c r="J168" s="310"/>
      <c r="K168" s="310"/>
      <c r="L168" s="311">
        <f>L1186</f>
        <v>23.539000000000001</v>
      </c>
      <c r="M168" s="311">
        <f t="shared" ref="M168:U168" si="173">M1186</f>
        <v>26.902999999999999</v>
      </c>
      <c r="N168" s="311">
        <f t="shared" si="173"/>
        <v>24.872</v>
      </c>
      <c r="O168" s="311">
        <f t="shared" si="173"/>
        <v>26.065000000000001</v>
      </c>
      <c r="P168" s="311">
        <f t="shared" si="173"/>
        <v>25.431000000000001</v>
      </c>
      <c r="Q168" s="311">
        <f t="shared" si="173"/>
        <v>26.670999999999999</v>
      </c>
      <c r="R168" s="311">
        <f t="shared" si="173"/>
        <v>28.353000000000002</v>
      </c>
      <c r="S168" s="311">
        <f t="shared" si="173"/>
        <v>30.544</v>
      </c>
      <c r="T168" s="311">
        <f t="shared" si="173"/>
        <v>33.360999999999997</v>
      </c>
      <c r="U168" s="311">
        <f t="shared" si="173"/>
        <v>36.417000000000002</v>
      </c>
      <c r="V168" s="311">
        <f t="shared" ref="V168" si="174">V1186</f>
        <v>39.365917939214128</v>
      </c>
      <c r="W168" s="315"/>
      <c r="X168" s="315"/>
    </row>
    <row r="169" spans="1:26" outlineLevel="1">
      <c r="A169" s="312"/>
      <c r="B169" s="312"/>
      <c r="C169" s="312"/>
      <c r="D169" s="312" t="s">
        <v>892</v>
      </c>
      <c r="E169" s="312"/>
      <c r="F169" s="312"/>
      <c r="G169" s="312"/>
      <c r="H169" s="312"/>
      <c r="I169" s="312"/>
      <c r="J169" s="312"/>
      <c r="K169" s="312"/>
      <c r="L169" s="312"/>
      <c r="M169" s="316">
        <f>M168/L168-1</f>
        <v>0.14291176345639145</v>
      </c>
      <c r="N169" s="316">
        <f t="shared" ref="N169" si="175">N168/M168-1</f>
        <v>-7.549343939337616E-2</v>
      </c>
      <c r="O169" s="316">
        <f t="shared" ref="O169" si="176">O168/N168-1</f>
        <v>4.7965583788999844E-2</v>
      </c>
      <c r="P169" s="316">
        <f t="shared" ref="P169" si="177">P168/O168-1</f>
        <v>-2.432380586994054E-2</v>
      </c>
      <c r="Q169" s="316">
        <f t="shared" ref="Q169" si="178">Q168/P168-1</f>
        <v>4.8759388148322813E-2</v>
      </c>
      <c r="R169" s="316">
        <f t="shared" ref="R169" si="179">R168/Q168-1</f>
        <v>6.306475197780359E-2</v>
      </c>
      <c r="S169" s="316">
        <f t="shared" ref="S169" si="180">S168/R168-1</f>
        <v>7.7275773286777483E-2</v>
      </c>
      <c r="T169" s="316">
        <f t="shared" ref="T169" si="181">T168/S168-1</f>
        <v>9.2227606076479729E-2</v>
      </c>
      <c r="U169" s="316">
        <f t="shared" ref="U169:V169" si="182">U168/T168-1</f>
        <v>9.1603968705974204E-2</v>
      </c>
      <c r="V169" s="316">
        <f t="shared" si="182"/>
        <v>8.0976410446058855E-2</v>
      </c>
      <c r="W169" s="304">
        <f>CORREL(M169:P169,M$166:P$166)</f>
        <v>0.38913213844222022</v>
      </c>
      <c r="X169" s="317"/>
    </row>
    <row r="170" spans="1:26" ht="16.5" customHeight="1" outlineLevel="1">
      <c r="A170" s="310"/>
      <c r="B170" s="310"/>
      <c r="C170" s="310"/>
      <c r="D170" s="310" t="s">
        <v>925</v>
      </c>
      <c r="E170" s="309">
        <v>0.2</v>
      </c>
      <c r="F170" s="310"/>
      <c r="G170" s="310"/>
      <c r="H170" s="310"/>
      <c r="I170" s="310"/>
      <c r="J170" s="310"/>
      <c r="K170" s="310"/>
      <c r="L170" s="311">
        <f>L1178</f>
        <v>0.25700000000000001</v>
      </c>
      <c r="M170" s="311">
        <f t="shared" ref="M170:U170" si="183">M1178</f>
        <v>0.33200000000000002</v>
      </c>
      <c r="N170" s="311">
        <f t="shared" si="183"/>
        <v>0.27100000000000002</v>
      </c>
      <c r="O170" s="311">
        <f t="shared" si="183"/>
        <v>0.30199999999999999</v>
      </c>
      <c r="P170" s="311">
        <f t="shared" si="183"/>
        <v>0.317</v>
      </c>
      <c r="Q170" s="311">
        <f t="shared" si="183"/>
        <v>0.3</v>
      </c>
      <c r="R170" s="311">
        <f t="shared" si="183"/>
        <v>0.315</v>
      </c>
      <c r="S170" s="311">
        <f t="shared" si="183"/>
        <v>0.33100000000000002</v>
      </c>
      <c r="T170" s="311">
        <f t="shared" si="183"/>
        <v>0.34</v>
      </c>
      <c r="U170" s="311">
        <f t="shared" si="183"/>
        <v>0.35599999999999998</v>
      </c>
      <c r="V170" s="311">
        <f t="shared" ref="V170" si="184">V1178</f>
        <v>0.373</v>
      </c>
      <c r="W170" s="304"/>
      <c r="X170" s="315"/>
    </row>
    <row r="171" spans="1:26" outlineLevel="1">
      <c r="A171" s="312"/>
      <c r="B171" s="312"/>
      <c r="C171" s="312"/>
      <c r="D171" s="312" t="s">
        <v>892</v>
      </c>
      <c r="E171" s="312"/>
      <c r="F171" s="312"/>
      <c r="G171" s="312"/>
      <c r="H171" s="312"/>
      <c r="I171" s="312"/>
      <c r="J171" s="312"/>
      <c r="K171" s="312"/>
      <c r="L171" s="312"/>
      <c r="M171" s="316">
        <f>M170/L170-1</f>
        <v>0.29182879377431914</v>
      </c>
      <c r="N171" s="316">
        <f t="shared" ref="N171" si="185">N170/M170-1</f>
        <v>-0.1837349397590361</v>
      </c>
      <c r="O171" s="316">
        <f t="shared" ref="O171" si="186">O170/N170-1</f>
        <v>0.1143911439114389</v>
      </c>
      <c r="P171" s="316">
        <f t="shared" ref="P171" si="187">P170/O170-1</f>
        <v>4.9668874172185573E-2</v>
      </c>
      <c r="Q171" s="316">
        <f t="shared" ref="Q171" si="188">Q170/P170-1</f>
        <v>-5.362776025236593E-2</v>
      </c>
      <c r="R171" s="316">
        <f t="shared" ref="R171" si="189">R170/Q170-1</f>
        <v>5.0000000000000044E-2</v>
      </c>
      <c r="S171" s="316">
        <f t="shared" ref="S171" si="190">S170/R170-1</f>
        <v>5.0793650793650835E-2</v>
      </c>
      <c r="T171" s="316">
        <f t="shared" ref="T171" si="191">T170/S170-1</f>
        <v>2.7190332326284095E-2</v>
      </c>
      <c r="U171" s="316">
        <f t="shared" ref="U171:V171" si="192">U170/T170-1</f>
        <v>4.7058823529411598E-2</v>
      </c>
      <c r="V171" s="316">
        <f t="shared" si="192"/>
        <v>4.7752808988763995E-2</v>
      </c>
      <c r="W171" s="304">
        <f>CORREL(M171:P171,M$166:P$166)</f>
        <v>0.53491510106964046</v>
      </c>
      <c r="X171" s="317"/>
    </row>
    <row r="172" spans="1:26" ht="18" customHeight="1" outlineLevel="1">
      <c r="A172" s="310"/>
      <c r="B172" s="310"/>
      <c r="C172" s="310"/>
      <c r="D172" s="310" t="s">
        <v>965</v>
      </c>
      <c r="E172" s="309">
        <v>0.3</v>
      </c>
      <c r="F172" s="310"/>
      <c r="G172" s="310"/>
      <c r="H172" s="310"/>
      <c r="I172" s="310"/>
      <c r="J172" s="310"/>
      <c r="K172" s="310"/>
      <c r="L172" s="311">
        <f>L1180</f>
        <v>24.585000000000001</v>
      </c>
      <c r="M172" s="311">
        <f t="shared" ref="M172:U172" si="193">M1180</f>
        <v>28.137</v>
      </c>
      <c r="N172" s="311">
        <f t="shared" si="193"/>
        <v>21.861999999999998</v>
      </c>
      <c r="O172" s="311">
        <f t="shared" si="193"/>
        <v>22.283999999999999</v>
      </c>
      <c r="P172" s="311">
        <f t="shared" si="193"/>
        <v>24.861000000000001</v>
      </c>
      <c r="Q172" s="311">
        <f t="shared" si="193"/>
        <v>24.689</v>
      </c>
      <c r="R172" s="311">
        <f t="shared" si="193"/>
        <v>25.759</v>
      </c>
      <c r="S172" s="311">
        <f t="shared" si="193"/>
        <v>27.472000000000001</v>
      </c>
      <c r="T172" s="311">
        <f t="shared" si="193"/>
        <v>29.088999999999999</v>
      </c>
      <c r="U172" s="311">
        <f t="shared" si="193"/>
        <v>31.286000000000001</v>
      </c>
      <c r="V172" s="311">
        <f t="shared" ref="V172" si="194">V1180</f>
        <v>33.866</v>
      </c>
      <c r="W172" s="304"/>
      <c r="X172" s="315"/>
    </row>
    <row r="173" spans="1:26" outlineLevel="1">
      <c r="A173" s="312"/>
      <c r="B173" s="312"/>
      <c r="C173" s="312"/>
      <c r="D173" s="312" t="s">
        <v>892</v>
      </c>
      <c r="E173" s="312"/>
      <c r="F173" s="312"/>
      <c r="G173" s="312"/>
      <c r="H173" s="312"/>
      <c r="I173" s="312"/>
      <c r="J173" s="312"/>
      <c r="K173" s="312"/>
      <c r="L173" s="312"/>
      <c r="M173" s="316">
        <f t="shared" ref="M173" si="195">M172/L172-1</f>
        <v>0.14447834045149488</v>
      </c>
      <c r="N173" s="316">
        <f t="shared" ref="N173" si="196">N172/M172-1</f>
        <v>-0.22301595763585325</v>
      </c>
      <c r="O173" s="316">
        <f t="shared" ref="O173" si="197">O172/N172-1</f>
        <v>1.9302900009148249E-2</v>
      </c>
      <c r="P173" s="316">
        <f t="shared" ref="P173" si="198">P172/O172-1</f>
        <v>0.11564351103931081</v>
      </c>
      <c r="Q173" s="316">
        <f t="shared" ref="Q173" si="199">Q172/P172-1</f>
        <v>-6.9184666747114099E-3</v>
      </c>
      <c r="R173" s="316">
        <f t="shared" ref="R173" si="200">R172/Q172-1</f>
        <v>4.3339138887763751E-2</v>
      </c>
      <c r="S173" s="316">
        <f t="shared" ref="S173" si="201">S172/R172-1</f>
        <v>6.6501028766644765E-2</v>
      </c>
      <c r="T173" s="316">
        <f t="shared" ref="T173" si="202">T172/S172-1</f>
        <v>5.8859930110658043E-2</v>
      </c>
      <c r="U173" s="316">
        <f t="shared" ref="U173:V173" si="203">U172/T172-1</f>
        <v>7.5526831448313958E-2</v>
      </c>
      <c r="V173" s="316">
        <f t="shared" si="203"/>
        <v>8.2465000319631665E-2</v>
      </c>
      <c r="W173" s="304">
        <f>CORREL(M173:P173,M$166:P$166)</f>
        <v>0.62180313647921337</v>
      </c>
      <c r="X173" s="317"/>
    </row>
    <row r="174" spans="1:26" ht="18.75" customHeight="1" outlineLevel="1">
      <c r="A174" s="310"/>
      <c r="B174" s="310"/>
      <c r="C174" s="310"/>
      <c r="D174" s="310" t="s">
        <v>966</v>
      </c>
      <c r="E174" s="309">
        <f>1-SUM(E172,E170,E168)</f>
        <v>0.19999999999999996</v>
      </c>
      <c r="F174" s="310"/>
      <c r="G174" s="310"/>
      <c r="H174" s="310"/>
      <c r="I174" s="310"/>
      <c r="J174" s="310"/>
      <c r="K174" s="310"/>
      <c r="L174" s="311">
        <f>L1182</f>
        <v>3.43</v>
      </c>
      <c r="M174" s="311">
        <f t="shared" ref="M174:U174" si="204">M1182</f>
        <v>4.0599999999999996</v>
      </c>
      <c r="N174" s="311">
        <f t="shared" si="204"/>
        <v>3.06</v>
      </c>
      <c r="O174" s="311">
        <f t="shared" si="204"/>
        <v>3.0670000000000002</v>
      </c>
      <c r="P174" s="311">
        <f t="shared" si="204"/>
        <v>3.4830000000000001</v>
      </c>
      <c r="Q174" s="311">
        <f t="shared" si="204"/>
        <v>3.2440000000000002</v>
      </c>
      <c r="R174" s="311">
        <f t="shared" si="204"/>
        <v>3.391</v>
      </c>
      <c r="S174" s="311">
        <f t="shared" si="204"/>
        <v>3.633</v>
      </c>
      <c r="T174" s="311">
        <f t="shared" si="204"/>
        <v>3.9670000000000001</v>
      </c>
      <c r="U174" s="311">
        <f t="shared" si="204"/>
        <v>4.3570000000000002</v>
      </c>
      <c r="V174" s="311">
        <f t="shared" ref="V174" si="205">V1182</f>
        <v>4.7709999999999999</v>
      </c>
      <c r="W174" s="304"/>
      <c r="X174" s="315"/>
    </row>
    <row r="175" spans="1:26" outlineLevel="1">
      <c r="A175" s="312"/>
      <c r="B175" s="312"/>
      <c r="C175" s="312"/>
      <c r="D175" s="312" t="s">
        <v>892</v>
      </c>
      <c r="E175" s="312"/>
      <c r="F175" s="312"/>
      <c r="G175" s="312"/>
      <c r="H175" s="312"/>
      <c r="I175" s="312"/>
      <c r="J175" s="312"/>
      <c r="K175" s="312"/>
      <c r="L175" s="312"/>
      <c r="M175" s="316">
        <f t="shared" ref="M175" si="206">M174/L174-1</f>
        <v>0.18367346938775486</v>
      </c>
      <c r="N175" s="316">
        <f t="shared" ref="N175" si="207">N174/M174-1</f>
        <v>-0.24630541871921174</v>
      </c>
      <c r="O175" s="316">
        <f t="shared" ref="O175" si="208">O174/N174-1</f>
        <v>2.2875816993463971E-3</v>
      </c>
      <c r="P175" s="316">
        <f t="shared" ref="P175" si="209">P174/O174-1</f>
        <v>0.13563743071405288</v>
      </c>
      <c r="Q175" s="316">
        <f t="shared" ref="Q175" si="210">Q174/P174-1</f>
        <v>-6.861900660350273E-2</v>
      </c>
      <c r="R175" s="316">
        <f t="shared" ref="R175" si="211">R174/Q174-1</f>
        <v>4.5314426633785487E-2</v>
      </c>
      <c r="S175" s="316">
        <f t="shared" ref="S175" si="212">S174/R174-1</f>
        <v>7.1365378944264313E-2</v>
      </c>
      <c r="T175" s="316">
        <f t="shared" ref="T175" si="213">T174/S174-1</f>
        <v>9.1935039911918537E-2</v>
      </c>
      <c r="U175" s="316">
        <f t="shared" ref="U175:V175" si="214">U174/T174-1</f>
        <v>9.8311066296949967E-2</v>
      </c>
      <c r="V175" s="316">
        <f t="shared" si="214"/>
        <v>9.5019508836355238E-2</v>
      </c>
      <c r="W175" s="304">
        <f>CORREL(M175:P175,M$166:P$166)</f>
        <v>0.55382770653073243</v>
      </c>
      <c r="X175" s="317"/>
    </row>
    <row r="176" spans="1:26" outlineLevel="1">
      <c r="A176" s="116"/>
      <c r="B176" s="318"/>
      <c r="C176" s="310"/>
      <c r="D176" s="319" t="s">
        <v>919</v>
      </c>
      <c r="E176" s="350">
        <f>E168+E170+E172+E174</f>
        <v>1</v>
      </c>
      <c r="F176" s="310"/>
      <c r="G176" s="310"/>
      <c r="H176" s="310"/>
      <c r="I176" s="310"/>
      <c r="J176" s="310"/>
      <c r="K176" s="310"/>
      <c r="L176" s="310"/>
      <c r="M176" s="310"/>
      <c r="N176" s="310"/>
      <c r="O176" s="310"/>
      <c r="P176" s="310"/>
      <c r="Q176" s="310"/>
      <c r="R176" s="310"/>
      <c r="S176" s="310"/>
      <c r="T176" s="310"/>
      <c r="U176" s="310"/>
      <c r="V176" s="310"/>
      <c r="W176" s="320">
        <f>SUM(W168:W175)</f>
        <v>2.0996780825218062</v>
      </c>
      <c r="X176" s="315"/>
    </row>
    <row r="177" spans="1:24">
      <c r="A177" s="55" t="str">
        <f>'Secondary cum Calculation'!A181</f>
        <v>Poland</v>
      </c>
      <c r="B177" s="56" t="str">
        <f>'Secondary cum Calculation'!B181</f>
        <v>Tourism Flows</v>
      </c>
      <c r="C177" s="56" t="str">
        <f>'Secondary cum Calculation'!C181</f>
        <v>International Arrivals by Place of Origin</v>
      </c>
      <c r="D177" s="56" t="str">
        <f>'Secondary cum Calculation'!D181</f>
        <v>Africa</v>
      </c>
      <c r="E177" s="55" t="str">
        <f>'Secondary cum Calculation'!E181</f>
        <v>Algeria</v>
      </c>
      <c r="F177" s="57" t="str">
        <f>'Secondary cum Calculation'!F181</f>
        <v>The number of international arrivals to a country originating from Algeria</v>
      </c>
      <c r="G177" s="57" t="str">
        <f>'Secondary cum Calculation'!G181</f>
        <v>Tourism Demand &amp; Flows Database</v>
      </c>
      <c r="H177" s="57" t="str">
        <f>'Secondary cum Calculation'!H181</f>
        <v>New</v>
      </c>
      <c r="I177" s="57">
        <f>'Secondary cum Calculation'!I181</f>
        <v>0</v>
      </c>
      <c r="J177" s="57" t="str">
        <f>'Secondary cum Calculation'!J181</f>
        <v>Thousand</v>
      </c>
      <c r="K177" s="58">
        <f>'Secondary cum Calculation'!K181</f>
        <v>0</v>
      </c>
      <c r="L177" s="59">
        <f>'Secondary cum Calculation'!L181</f>
        <v>0</v>
      </c>
      <c r="M177" s="59">
        <f>'Secondary cum Calculation'!M181</f>
        <v>0</v>
      </c>
      <c r="N177" s="59">
        <f>'Secondary cum Calculation'!N181</f>
        <v>0</v>
      </c>
      <c r="O177" s="59">
        <f>'Secondary cum Calculation'!O181</f>
        <v>0</v>
      </c>
      <c r="P177" s="59">
        <f>'Secondary cum Calculation'!P181</f>
        <v>0</v>
      </c>
      <c r="Q177" s="59"/>
      <c r="R177" s="59"/>
      <c r="S177" s="59"/>
      <c r="T177" s="59"/>
      <c r="U177" s="59"/>
      <c r="V177" s="59"/>
      <c r="W177" s="106" t="e">
        <f>'Secondary cum Calculation'!W181</f>
        <v>#DIV/0!</v>
      </c>
      <c r="X177" s="106" t="e">
        <f>'Secondary cum Calculation'!X181</f>
        <v>#DIV/0!</v>
      </c>
    </row>
    <row r="178" spans="1:24">
      <c r="A178" s="57"/>
      <c r="B178" s="57"/>
      <c r="C178" s="61" t="str">
        <f>'Secondary cum Calculation'!C182</f>
        <v>Growth Rate</v>
      </c>
      <c r="D178" s="61"/>
      <c r="E178" s="61"/>
      <c r="F178" s="61">
        <f>'Secondary cum Calculation'!F182</f>
        <v>0</v>
      </c>
      <c r="G178" s="61">
        <f>'Secondary cum Calculation'!G182</f>
        <v>0</v>
      </c>
      <c r="H178" s="61">
        <f>'Secondary cum Calculation'!H182</f>
        <v>0</v>
      </c>
      <c r="I178" s="61">
        <f>'Secondary cum Calculation'!I182</f>
        <v>0</v>
      </c>
      <c r="J178" s="61" t="str">
        <f>'Secondary cum Calculation'!J182</f>
        <v>%</v>
      </c>
      <c r="K178" s="58">
        <f>'Secondary cum Calculation'!K182</f>
        <v>0</v>
      </c>
      <c r="L178" s="59"/>
      <c r="M178" s="62" t="e">
        <f>'Secondary cum Calculation'!M182</f>
        <v>#DIV/0!</v>
      </c>
      <c r="N178" s="62" t="e">
        <f>'Secondary cum Calculation'!N182</f>
        <v>#DIV/0!</v>
      </c>
      <c r="O178" s="62" t="e">
        <f>'Secondary cum Calculation'!O182</f>
        <v>#DIV/0!</v>
      </c>
      <c r="P178" s="62" t="e">
        <f>'Secondary cum Calculation'!P182</f>
        <v>#DIV/0!</v>
      </c>
      <c r="Q178" s="62"/>
      <c r="R178" s="62"/>
      <c r="S178" s="62"/>
      <c r="T178" s="62"/>
      <c r="U178" s="62"/>
      <c r="V178" s="62"/>
      <c r="W178" s="259"/>
      <c r="X178" s="259"/>
    </row>
    <row r="179" spans="1:24">
      <c r="A179" s="55" t="str">
        <f>'Secondary cum Calculation'!A183</f>
        <v>Poland</v>
      </c>
      <c r="B179" s="56" t="str">
        <f>'Secondary cum Calculation'!B183</f>
        <v>Tourism Flows</v>
      </c>
      <c r="C179" s="56" t="str">
        <f>'Secondary cum Calculation'!C183</f>
        <v>International Arrivals by Place of Origin</v>
      </c>
      <c r="D179" s="56" t="str">
        <f>'Secondary cum Calculation'!D183</f>
        <v>Africa</v>
      </c>
      <c r="E179" s="55" t="str">
        <f>'Secondary cum Calculation'!E183</f>
        <v>Angola</v>
      </c>
      <c r="F179" s="57" t="str">
        <f>'Secondary cum Calculation'!F183</f>
        <v>The number of international arrivals to a country originating from Angola</v>
      </c>
      <c r="G179" s="57" t="str">
        <f>'Secondary cum Calculation'!G183</f>
        <v>Tourism Demand &amp; Flows Database</v>
      </c>
      <c r="H179" s="57" t="str">
        <f>'Secondary cum Calculation'!H183</f>
        <v>New</v>
      </c>
      <c r="I179" s="57">
        <f>'Secondary cum Calculation'!I183</f>
        <v>0</v>
      </c>
      <c r="J179" s="57" t="str">
        <f>'Secondary cum Calculation'!J183</f>
        <v>Thousand</v>
      </c>
      <c r="K179" s="58">
        <f>'Secondary cum Calculation'!K183</f>
        <v>0</v>
      </c>
      <c r="L179" s="59">
        <f>'Secondary cum Calculation'!L183</f>
        <v>0</v>
      </c>
      <c r="M179" s="59">
        <f>'Secondary cum Calculation'!M183</f>
        <v>0</v>
      </c>
      <c r="N179" s="59">
        <f>'Secondary cum Calculation'!N183</f>
        <v>0</v>
      </c>
      <c r="O179" s="59">
        <f>'Secondary cum Calculation'!O183</f>
        <v>0</v>
      </c>
      <c r="P179" s="59">
        <f>'Secondary cum Calculation'!P183</f>
        <v>0</v>
      </c>
      <c r="Q179" s="59"/>
      <c r="R179" s="59"/>
      <c r="S179" s="59"/>
      <c r="T179" s="59"/>
      <c r="U179" s="59"/>
      <c r="V179" s="59"/>
      <c r="W179" s="106" t="e">
        <f>'Secondary cum Calculation'!W183</f>
        <v>#DIV/0!</v>
      </c>
      <c r="X179" s="106" t="e">
        <f>'Secondary cum Calculation'!X183</f>
        <v>#DIV/0!</v>
      </c>
    </row>
    <row r="180" spans="1:24">
      <c r="A180" s="57"/>
      <c r="B180" s="57"/>
      <c r="C180" s="61" t="str">
        <f>'Secondary cum Calculation'!C184</f>
        <v>Growth Rate</v>
      </c>
      <c r="D180" s="61"/>
      <c r="E180" s="61"/>
      <c r="F180" s="61">
        <f>'Secondary cum Calculation'!F184</f>
        <v>0</v>
      </c>
      <c r="G180" s="61">
        <f>'Secondary cum Calculation'!G184</f>
        <v>0</v>
      </c>
      <c r="H180" s="61">
        <f>'Secondary cum Calculation'!H184</f>
        <v>0</v>
      </c>
      <c r="I180" s="61">
        <f>'Secondary cum Calculation'!I184</f>
        <v>0</v>
      </c>
      <c r="J180" s="61" t="str">
        <f>'Secondary cum Calculation'!J184</f>
        <v>%</v>
      </c>
      <c r="K180" s="58">
        <f>'Secondary cum Calculation'!K184</f>
        <v>0</v>
      </c>
      <c r="L180" s="59"/>
      <c r="M180" s="62" t="e">
        <f>'Secondary cum Calculation'!M184</f>
        <v>#DIV/0!</v>
      </c>
      <c r="N180" s="62" t="e">
        <f>'Secondary cum Calculation'!N184</f>
        <v>#DIV/0!</v>
      </c>
      <c r="O180" s="62" t="e">
        <f>'Secondary cum Calculation'!O184</f>
        <v>#DIV/0!</v>
      </c>
      <c r="P180" s="62" t="e">
        <f>'Secondary cum Calculation'!P184</f>
        <v>#DIV/0!</v>
      </c>
      <c r="Q180" s="62"/>
      <c r="R180" s="62"/>
      <c r="S180" s="62"/>
      <c r="T180" s="62"/>
      <c r="U180" s="62"/>
      <c r="V180" s="62"/>
      <c r="W180" s="259"/>
      <c r="X180" s="259"/>
    </row>
    <row r="181" spans="1:24">
      <c r="A181" s="55" t="str">
        <f>'Secondary cum Calculation'!A185</f>
        <v>Poland</v>
      </c>
      <c r="B181" s="56" t="str">
        <f>'Secondary cum Calculation'!B185</f>
        <v>Tourism Flows</v>
      </c>
      <c r="C181" s="56" t="str">
        <f>'Secondary cum Calculation'!C185</f>
        <v>International Arrivals by Place of Origin</v>
      </c>
      <c r="D181" s="56" t="str">
        <f>'Secondary cum Calculation'!D185</f>
        <v>Africa</v>
      </c>
      <c r="E181" s="55" t="str">
        <f>'Secondary cum Calculation'!E185</f>
        <v>Benin</v>
      </c>
      <c r="F181" s="57" t="str">
        <f>'Secondary cum Calculation'!F185</f>
        <v>The number of international arrivals to a country originating from Benin</v>
      </c>
      <c r="G181" s="57" t="str">
        <f>'Secondary cum Calculation'!G185</f>
        <v>Tourism Demand &amp; Flows Database</v>
      </c>
      <c r="H181" s="57" t="str">
        <f>'Secondary cum Calculation'!H185</f>
        <v>New</v>
      </c>
      <c r="I181" s="57">
        <f>'Secondary cum Calculation'!I185</f>
        <v>0</v>
      </c>
      <c r="J181" s="57" t="str">
        <f>'Secondary cum Calculation'!J185</f>
        <v>Thousand</v>
      </c>
      <c r="K181" s="58">
        <f>'Secondary cum Calculation'!K185</f>
        <v>0</v>
      </c>
      <c r="L181" s="59">
        <f>'Secondary cum Calculation'!L185</f>
        <v>0</v>
      </c>
      <c r="M181" s="59">
        <f>'Secondary cum Calculation'!M185</f>
        <v>0</v>
      </c>
      <c r="N181" s="59">
        <f>'Secondary cum Calculation'!N185</f>
        <v>0</v>
      </c>
      <c r="O181" s="59">
        <f>'Secondary cum Calculation'!O185</f>
        <v>0</v>
      </c>
      <c r="P181" s="59">
        <f>'Secondary cum Calculation'!P185</f>
        <v>0</v>
      </c>
      <c r="Q181" s="59"/>
      <c r="R181" s="59"/>
      <c r="S181" s="59"/>
      <c r="T181" s="59"/>
      <c r="U181" s="59"/>
      <c r="V181" s="59"/>
      <c r="W181" s="106" t="e">
        <f>'Secondary cum Calculation'!W185</f>
        <v>#DIV/0!</v>
      </c>
      <c r="X181" s="106" t="e">
        <f>'Secondary cum Calculation'!X185</f>
        <v>#DIV/0!</v>
      </c>
    </row>
    <row r="182" spans="1:24">
      <c r="A182" s="57"/>
      <c r="B182" s="57"/>
      <c r="C182" s="61" t="str">
        <f>'Secondary cum Calculation'!C186</f>
        <v>Growth Rate</v>
      </c>
      <c r="D182" s="61"/>
      <c r="E182" s="61"/>
      <c r="F182" s="61">
        <f>'Secondary cum Calculation'!F186</f>
        <v>0</v>
      </c>
      <c r="G182" s="61">
        <f>'Secondary cum Calculation'!G186</f>
        <v>0</v>
      </c>
      <c r="H182" s="61">
        <f>'Secondary cum Calculation'!H186</f>
        <v>0</v>
      </c>
      <c r="I182" s="61">
        <f>'Secondary cum Calculation'!I186</f>
        <v>0</v>
      </c>
      <c r="J182" s="61" t="str">
        <f>'Secondary cum Calculation'!J186</f>
        <v>%</v>
      </c>
      <c r="K182" s="58">
        <f>'Secondary cum Calculation'!K186</f>
        <v>0</v>
      </c>
      <c r="L182" s="59"/>
      <c r="M182" s="62" t="e">
        <f>'Secondary cum Calculation'!M186</f>
        <v>#DIV/0!</v>
      </c>
      <c r="N182" s="62" t="e">
        <f>'Secondary cum Calculation'!N186</f>
        <v>#DIV/0!</v>
      </c>
      <c r="O182" s="62" t="e">
        <f>'Secondary cum Calculation'!O186</f>
        <v>#DIV/0!</v>
      </c>
      <c r="P182" s="62" t="e">
        <f>'Secondary cum Calculation'!P186</f>
        <v>#DIV/0!</v>
      </c>
      <c r="Q182" s="62"/>
      <c r="R182" s="62"/>
      <c r="S182" s="62"/>
      <c r="T182" s="62"/>
      <c r="U182" s="62"/>
      <c r="V182" s="62"/>
      <c r="W182" s="259"/>
      <c r="X182" s="259"/>
    </row>
    <row r="183" spans="1:24">
      <c r="A183" s="55" t="str">
        <f>'Secondary cum Calculation'!A187</f>
        <v>Poland</v>
      </c>
      <c r="B183" s="56" t="str">
        <f>'Secondary cum Calculation'!B187</f>
        <v>Tourism Flows</v>
      </c>
      <c r="C183" s="56" t="str">
        <f>'Secondary cum Calculation'!C187</f>
        <v>International Arrivals by Place of Origin</v>
      </c>
      <c r="D183" s="56" t="str">
        <f>'Secondary cum Calculation'!D187</f>
        <v>Africa</v>
      </c>
      <c r="E183" s="55" t="str">
        <f>'Secondary cum Calculation'!E187</f>
        <v>Botswana</v>
      </c>
      <c r="F183" s="57" t="str">
        <f>'Secondary cum Calculation'!F187</f>
        <v>The number of international arrivals to a country originating from Botswana</v>
      </c>
      <c r="G183" s="57" t="str">
        <f>'Secondary cum Calculation'!G187</f>
        <v>Tourism Demand &amp; Flows Database</v>
      </c>
      <c r="H183" s="57" t="str">
        <f>'Secondary cum Calculation'!H187</f>
        <v>New</v>
      </c>
      <c r="I183" s="57">
        <f>'Secondary cum Calculation'!I187</f>
        <v>0</v>
      </c>
      <c r="J183" s="57" t="str">
        <f>'Secondary cum Calculation'!J187</f>
        <v>Thousand</v>
      </c>
      <c r="K183" s="58">
        <f>'Secondary cum Calculation'!K187</f>
        <v>0</v>
      </c>
      <c r="L183" s="59">
        <f>'Secondary cum Calculation'!L187</f>
        <v>0</v>
      </c>
      <c r="M183" s="59">
        <f>'Secondary cum Calculation'!M187</f>
        <v>0</v>
      </c>
      <c r="N183" s="59">
        <f>'Secondary cum Calculation'!N187</f>
        <v>0</v>
      </c>
      <c r="O183" s="59">
        <f>'Secondary cum Calculation'!O187</f>
        <v>0</v>
      </c>
      <c r="P183" s="59">
        <f>'Secondary cum Calculation'!P187</f>
        <v>0</v>
      </c>
      <c r="Q183" s="59"/>
      <c r="R183" s="59"/>
      <c r="S183" s="59"/>
      <c r="T183" s="59"/>
      <c r="U183" s="59"/>
      <c r="V183" s="59"/>
      <c r="W183" s="106" t="e">
        <f>'Secondary cum Calculation'!W187</f>
        <v>#DIV/0!</v>
      </c>
      <c r="X183" s="106" t="e">
        <f>'Secondary cum Calculation'!X187</f>
        <v>#DIV/0!</v>
      </c>
    </row>
    <row r="184" spans="1:24">
      <c r="A184" s="57"/>
      <c r="B184" s="57"/>
      <c r="C184" s="61" t="str">
        <f>'Secondary cum Calculation'!C188</f>
        <v>Growth Rate</v>
      </c>
      <c r="D184" s="61"/>
      <c r="E184" s="61"/>
      <c r="F184" s="61">
        <f>'Secondary cum Calculation'!F188</f>
        <v>0</v>
      </c>
      <c r="G184" s="61">
        <f>'Secondary cum Calculation'!G188</f>
        <v>0</v>
      </c>
      <c r="H184" s="61">
        <f>'Secondary cum Calculation'!H188</f>
        <v>0</v>
      </c>
      <c r="I184" s="61">
        <f>'Secondary cum Calculation'!I188</f>
        <v>0</v>
      </c>
      <c r="J184" s="61" t="str">
        <f>'Secondary cum Calculation'!J188</f>
        <v>%</v>
      </c>
      <c r="K184" s="58">
        <f>'Secondary cum Calculation'!K188</f>
        <v>0</v>
      </c>
      <c r="L184" s="59"/>
      <c r="M184" s="62" t="e">
        <f>'Secondary cum Calculation'!M188</f>
        <v>#DIV/0!</v>
      </c>
      <c r="N184" s="62" t="e">
        <f>'Secondary cum Calculation'!N188</f>
        <v>#DIV/0!</v>
      </c>
      <c r="O184" s="62" t="e">
        <f>'Secondary cum Calculation'!O188</f>
        <v>#DIV/0!</v>
      </c>
      <c r="P184" s="62" t="e">
        <f>'Secondary cum Calculation'!P188</f>
        <v>#DIV/0!</v>
      </c>
      <c r="Q184" s="62"/>
      <c r="R184" s="62"/>
      <c r="S184" s="62"/>
      <c r="T184" s="62"/>
      <c r="U184" s="62"/>
      <c r="V184" s="62"/>
      <c r="W184" s="259"/>
      <c r="X184" s="259"/>
    </row>
    <row r="185" spans="1:24">
      <c r="A185" s="55" t="str">
        <f>'Secondary cum Calculation'!A189</f>
        <v>Poland</v>
      </c>
      <c r="B185" s="56" t="str">
        <f>'Secondary cum Calculation'!B189</f>
        <v>Tourism Flows</v>
      </c>
      <c r="C185" s="56" t="str">
        <f>'Secondary cum Calculation'!C189</f>
        <v>International Arrivals by Place of Origin</v>
      </c>
      <c r="D185" s="56" t="str">
        <f>'Secondary cum Calculation'!D189</f>
        <v>Africa</v>
      </c>
      <c r="E185" s="55" t="str">
        <f>'Secondary cum Calculation'!E189</f>
        <v>Burkina Faso</v>
      </c>
      <c r="F185" s="57" t="str">
        <f>'Secondary cum Calculation'!F189</f>
        <v>The number of international arrivals to a country originating from Burkina Faso</v>
      </c>
      <c r="G185" s="57" t="str">
        <f>'Secondary cum Calculation'!G189</f>
        <v>Tourism Demand &amp; Flows Database</v>
      </c>
      <c r="H185" s="57" t="str">
        <f>'Secondary cum Calculation'!H189</f>
        <v>New</v>
      </c>
      <c r="I185" s="57">
        <f>'Secondary cum Calculation'!I189</f>
        <v>0</v>
      </c>
      <c r="J185" s="57" t="str">
        <f>'Secondary cum Calculation'!J189</f>
        <v>Thousand</v>
      </c>
      <c r="K185" s="58">
        <f>'Secondary cum Calculation'!K189</f>
        <v>0</v>
      </c>
      <c r="L185" s="59">
        <f>'Secondary cum Calculation'!L189</f>
        <v>0</v>
      </c>
      <c r="M185" s="59">
        <f>'Secondary cum Calculation'!M189</f>
        <v>0</v>
      </c>
      <c r="N185" s="59">
        <f>'Secondary cum Calculation'!N189</f>
        <v>0</v>
      </c>
      <c r="O185" s="59">
        <f>'Secondary cum Calculation'!O189</f>
        <v>0</v>
      </c>
      <c r="P185" s="59">
        <f>'Secondary cum Calculation'!P189</f>
        <v>0</v>
      </c>
      <c r="Q185" s="59"/>
      <c r="R185" s="59"/>
      <c r="S185" s="59"/>
      <c r="T185" s="59"/>
      <c r="U185" s="59"/>
      <c r="V185" s="59"/>
      <c r="W185" s="106" t="e">
        <f>'Secondary cum Calculation'!W189</f>
        <v>#DIV/0!</v>
      </c>
      <c r="X185" s="106" t="e">
        <f>'Secondary cum Calculation'!X189</f>
        <v>#DIV/0!</v>
      </c>
    </row>
    <row r="186" spans="1:24">
      <c r="A186" s="57"/>
      <c r="B186" s="57"/>
      <c r="C186" s="61" t="str">
        <f>'Secondary cum Calculation'!C190</f>
        <v>Growth Rate</v>
      </c>
      <c r="D186" s="61"/>
      <c r="E186" s="61"/>
      <c r="F186" s="61">
        <f>'Secondary cum Calculation'!F190</f>
        <v>0</v>
      </c>
      <c r="G186" s="61">
        <f>'Secondary cum Calculation'!G190</f>
        <v>0</v>
      </c>
      <c r="H186" s="61">
        <f>'Secondary cum Calculation'!H190</f>
        <v>0</v>
      </c>
      <c r="I186" s="61">
        <f>'Secondary cum Calculation'!I190</f>
        <v>0</v>
      </c>
      <c r="J186" s="61" t="str">
        <f>'Secondary cum Calculation'!J190</f>
        <v>%</v>
      </c>
      <c r="K186" s="58">
        <f>'Secondary cum Calculation'!K190</f>
        <v>0</v>
      </c>
      <c r="L186" s="59"/>
      <c r="M186" s="62" t="e">
        <f>'Secondary cum Calculation'!M190</f>
        <v>#DIV/0!</v>
      </c>
      <c r="N186" s="62" t="e">
        <f>'Secondary cum Calculation'!N190</f>
        <v>#DIV/0!</v>
      </c>
      <c r="O186" s="62" t="e">
        <f>'Secondary cum Calculation'!O190</f>
        <v>#DIV/0!</v>
      </c>
      <c r="P186" s="62" t="e">
        <f>'Secondary cum Calculation'!P190</f>
        <v>#DIV/0!</v>
      </c>
      <c r="Q186" s="62"/>
      <c r="R186" s="62"/>
      <c r="S186" s="62"/>
      <c r="T186" s="62"/>
      <c r="U186" s="62"/>
      <c r="V186" s="62"/>
      <c r="W186" s="259"/>
      <c r="X186" s="259"/>
    </row>
    <row r="187" spans="1:24">
      <c r="A187" s="55" t="str">
        <f>'Secondary cum Calculation'!A191</f>
        <v>Poland</v>
      </c>
      <c r="B187" s="56" t="str">
        <f>'Secondary cum Calculation'!B191</f>
        <v>Tourism Flows</v>
      </c>
      <c r="C187" s="56" t="str">
        <f>'Secondary cum Calculation'!C191</f>
        <v>International Arrivals by Place of Origin</v>
      </c>
      <c r="D187" s="56" t="str">
        <f>'Secondary cum Calculation'!D191</f>
        <v>Africa</v>
      </c>
      <c r="E187" s="55" t="str">
        <f>'Secondary cum Calculation'!E191</f>
        <v>Burundi</v>
      </c>
      <c r="F187" s="57" t="str">
        <f>'Secondary cum Calculation'!F191</f>
        <v>The number of international arrivals to a country originating from Burundi</v>
      </c>
      <c r="G187" s="57" t="str">
        <f>'Secondary cum Calculation'!G191</f>
        <v>Tourism Demand &amp; Flows Database</v>
      </c>
      <c r="H187" s="57" t="str">
        <f>'Secondary cum Calculation'!H191</f>
        <v>New</v>
      </c>
      <c r="I187" s="57">
        <f>'Secondary cum Calculation'!I191</f>
        <v>0</v>
      </c>
      <c r="J187" s="57" t="str">
        <f>'Secondary cum Calculation'!J191</f>
        <v>Thousand</v>
      </c>
      <c r="K187" s="58">
        <f>'Secondary cum Calculation'!K191</f>
        <v>0</v>
      </c>
      <c r="L187" s="59">
        <f>'Secondary cum Calculation'!L191</f>
        <v>0</v>
      </c>
      <c r="M187" s="59">
        <f>'Secondary cum Calculation'!M191</f>
        <v>0</v>
      </c>
      <c r="N187" s="59">
        <f>'Secondary cum Calculation'!N191</f>
        <v>0</v>
      </c>
      <c r="O187" s="59">
        <f>'Secondary cum Calculation'!O191</f>
        <v>0</v>
      </c>
      <c r="P187" s="59">
        <f>'Secondary cum Calculation'!P191</f>
        <v>0</v>
      </c>
      <c r="Q187" s="59"/>
      <c r="R187" s="59"/>
      <c r="S187" s="59"/>
      <c r="T187" s="59"/>
      <c r="U187" s="59"/>
      <c r="V187" s="59"/>
      <c r="W187" s="106" t="e">
        <f>'Secondary cum Calculation'!W191</f>
        <v>#DIV/0!</v>
      </c>
      <c r="X187" s="106" t="e">
        <f>'Secondary cum Calculation'!X191</f>
        <v>#DIV/0!</v>
      </c>
    </row>
    <row r="188" spans="1:24">
      <c r="A188" s="57"/>
      <c r="B188" s="57"/>
      <c r="C188" s="61" t="str">
        <f>'Secondary cum Calculation'!C192</f>
        <v>Growth Rate</v>
      </c>
      <c r="D188" s="61"/>
      <c r="E188" s="61"/>
      <c r="F188" s="61">
        <f>'Secondary cum Calculation'!F192</f>
        <v>0</v>
      </c>
      <c r="G188" s="61">
        <f>'Secondary cum Calculation'!G192</f>
        <v>0</v>
      </c>
      <c r="H188" s="61">
        <f>'Secondary cum Calculation'!H192</f>
        <v>0</v>
      </c>
      <c r="I188" s="61">
        <f>'Secondary cum Calculation'!I192</f>
        <v>0</v>
      </c>
      <c r="J188" s="61" t="str">
        <f>'Secondary cum Calculation'!J192</f>
        <v>%</v>
      </c>
      <c r="K188" s="58">
        <f>'Secondary cum Calculation'!K192</f>
        <v>0</v>
      </c>
      <c r="L188" s="59"/>
      <c r="M188" s="62" t="e">
        <f>'Secondary cum Calculation'!M192</f>
        <v>#DIV/0!</v>
      </c>
      <c r="N188" s="62" t="e">
        <f>'Secondary cum Calculation'!N192</f>
        <v>#DIV/0!</v>
      </c>
      <c r="O188" s="62" t="e">
        <f>'Secondary cum Calculation'!O192</f>
        <v>#DIV/0!</v>
      </c>
      <c r="P188" s="62" t="e">
        <f>'Secondary cum Calculation'!P192</f>
        <v>#DIV/0!</v>
      </c>
      <c r="Q188" s="62"/>
      <c r="R188" s="62"/>
      <c r="S188" s="62"/>
      <c r="T188" s="62"/>
      <c r="U188" s="62"/>
      <c r="V188" s="62"/>
      <c r="W188" s="259"/>
      <c r="X188" s="259"/>
    </row>
    <row r="189" spans="1:24">
      <c r="A189" s="55" t="str">
        <f>'Secondary cum Calculation'!A193</f>
        <v>Poland</v>
      </c>
      <c r="B189" s="56" t="str">
        <f>'Secondary cum Calculation'!B193</f>
        <v>Tourism Flows</v>
      </c>
      <c r="C189" s="56" t="str">
        <f>'Secondary cum Calculation'!C193</f>
        <v>International Arrivals by Place of Origin</v>
      </c>
      <c r="D189" s="56" t="str">
        <f>'Secondary cum Calculation'!D193</f>
        <v>Africa</v>
      </c>
      <c r="E189" s="55" t="str">
        <f>'Secondary cum Calculation'!E193</f>
        <v>Cameroon</v>
      </c>
      <c r="F189" s="57" t="str">
        <f>'Secondary cum Calculation'!F193</f>
        <v>The number of international arrivals to a country originating from Cameroon</v>
      </c>
      <c r="G189" s="57" t="str">
        <f>'Secondary cum Calculation'!G193</f>
        <v>Tourism Demand &amp; Flows Database</v>
      </c>
      <c r="H189" s="57" t="str">
        <f>'Secondary cum Calculation'!H193</f>
        <v>New</v>
      </c>
      <c r="I189" s="57">
        <f>'Secondary cum Calculation'!I193</f>
        <v>0</v>
      </c>
      <c r="J189" s="57" t="str">
        <f>'Secondary cum Calculation'!J193</f>
        <v>Thousand</v>
      </c>
      <c r="K189" s="58">
        <f>'Secondary cum Calculation'!K193</f>
        <v>0</v>
      </c>
      <c r="L189" s="59">
        <f>'Secondary cum Calculation'!L193</f>
        <v>0</v>
      </c>
      <c r="M189" s="59">
        <f>'Secondary cum Calculation'!M193</f>
        <v>0</v>
      </c>
      <c r="N189" s="59">
        <f>'Secondary cum Calculation'!N193</f>
        <v>0</v>
      </c>
      <c r="O189" s="59">
        <f>'Secondary cum Calculation'!O193</f>
        <v>0</v>
      </c>
      <c r="P189" s="59">
        <f>'Secondary cum Calculation'!P193</f>
        <v>0</v>
      </c>
      <c r="Q189" s="59"/>
      <c r="R189" s="59"/>
      <c r="S189" s="59"/>
      <c r="T189" s="59"/>
      <c r="U189" s="59"/>
      <c r="V189" s="59"/>
      <c r="W189" s="106" t="e">
        <f>'Secondary cum Calculation'!W193</f>
        <v>#DIV/0!</v>
      </c>
      <c r="X189" s="106" t="e">
        <f>'Secondary cum Calculation'!X193</f>
        <v>#DIV/0!</v>
      </c>
    </row>
    <row r="190" spans="1:24">
      <c r="A190" s="57"/>
      <c r="B190" s="57"/>
      <c r="C190" s="61" t="str">
        <f>'Secondary cum Calculation'!C194</f>
        <v>Growth Rate</v>
      </c>
      <c r="D190" s="61"/>
      <c r="E190" s="61"/>
      <c r="F190" s="61">
        <f>'Secondary cum Calculation'!F194</f>
        <v>0</v>
      </c>
      <c r="G190" s="61">
        <f>'Secondary cum Calculation'!G194</f>
        <v>0</v>
      </c>
      <c r="H190" s="61">
        <f>'Secondary cum Calculation'!H194</f>
        <v>0</v>
      </c>
      <c r="I190" s="61">
        <f>'Secondary cum Calculation'!I194</f>
        <v>0</v>
      </c>
      <c r="J190" s="61" t="str">
        <f>'Secondary cum Calculation'!J194</f>
        <v>%</v>
      </c>
      <c r="K190" s="58">
        <f>'Secondary cum Calculation'!K194</f>
        <v>0</v>
      </c>
      <c r="L190" s="59"/>
      <c r="M190" s="62" t="e">
        <f>'Secondary cum Calculation'!M194</f>
        <v>#DIV/0!</v>
      </c>
      <c r="N190" s="62" t="e">
        <f>'Secondary cum Calculation'!N194</f>
        <v>#DIV/0!</v>
      </c>
      <c r="O190" s="62" t="e">
        <f>'Secondary cum Calculation'!O194</f>
        <v>#DIV/0!</v>
      </c>
      <c r="P190" s="62" t="e">
        <f>'Secondary cum Calculation'!P194</f>
        <v>#DIV/0!</v>
      </c>
      <c r="Q190" s="62"/>
      <c r="R190" s="62"/>
      <c r="S190" s="62"/>
      <c r="T190" s="62"/>
      <c r="U190" s="62"/>
      <c r="V190" s="62"/>
      <c r="W190" s="259"/>
      <c r="X190" s="259"/>
    </row>
    <row r="191" spans="1:24">
      <c r="A191" s="55" t="str">
        <f>'Secondary cum Calculation'!A195</f>
        <v>Poland</v>
      </c>
      <c r="B191" s="56" t="str">
        <f>'Secondary cum Calculation'!B195</f>
        <v>Tourism Flows</v>
      </c>
      <c r="C191" s="56" t="str">
        <f>'Secondary cum Calculation'!C195</f>
        <v>International Arrivals by Place of Origin</v>
      </c>
      <c r="D191" s="56" t="str">
        <f>'Secondary cum Calculation'!D195</f>
        <v>Africa</v>
      </c>
      <c r="E191" s="55" t="str">
        <f>'Secondary cum Calculation'!E195</f>
        <v>Cape Verde</v>
      </c>
      <c r="F191" s="57" t="str">
        <f>'Secondary cum Calculation'!F195</f>
        <v>The number of international arrivals to a country originating from Cape Verde</v>
      </c>
      <c r="G191" s="57" t="str">
        <f>'Secondary cum Calculation'!G195</f>
        <v>Tourism Demand &amp; Flows Database</v>
      </c>
      <c r="H191" s="57" t="str">
        <f>'Secondary cum Calculation'!H195</f>
        <v>New</v>
      </c>
      <c r="I191" s="57">
        <f>'Secondary cum Calculation'!I195</f>
        <v>0</v>
      </c>
      <c r="J191" s="57" t="str">
        <f>'Secondary cum Calculation'!J195</f>
        <v>Thousand</v>
      </c>
      <c r="K191" s="58">
        <f>'Secondary cum Calculation'!K195</f>
        <v>0</v>
      </c>
      <c r="L191" s="59">
        <f>'Secondary cum Calculation'!L195</f>
        <v>0</v>
      </c>
      <c r="M191" s="59">
        <f>'Secondary cum Calculation'!M195</f>
        <v>0</v>
      </c>
      <c r="N191" s="59">
        <f>'Secondary cum Calculation'!N195</f>
        <v>0</v>
      </c>
      <c r="O191" s="59">
        <f>'Secondary cum Calculation'!O195</f>
        <v>0</v>
      </c>
      <c r="P191" s="59">
        <f>'Secondary cum Calculation'!P195</f>
        <v>0</v>
      </c>
      <c r="Q191" s="59"/>
      <c r="R191" s="59"/>
      <c r="S191" s="59"/>
      <c r="T191" s="59"/>
      <c r="U191" s="59"/>
      <c r="V191" s="59"/>
      <c r="W191" s="106" t="e">
        <f>'Secondary cum Calculation'!W195</f>
        <v>#DIV/0!</v>
      </c>
      <c r="X191" s="106" t="e">
        <f>'Secondary cum Calculation'!X195</f>
        <v>#DIV/0!</v>
      </c>
    </row>
    <row r="192" spans="1:24">
      <c r="A192" s="57"/>
      <c r="B192" s="57"/>
      <c r="C192" s="61" t="str">
        <f>'Secondary cum Calculation'!C196</f>
        <v>Growth Rate</v>
      </c>
      <c r="D192" s="61"/>
      <c r="E192" s="61"/>
      <c r="F192" s="61">
        <f>'Secondary cum Calculation'!F196</f>
        <v>0</v>
      </c>
      <c r="G192" s="61">
        <f>'Secondary cum Calculation'!G196</f>
        <v>0</v>
      </c>
      <c r="H192" s="61">
        <f>'Secondary cum Calculation'!H196</f>
        <v>0</v>
      </c>
      <c r="I192" s="61">
        <f>'Secondary cum Calculation'!I196</f>
        <v>0</v>
      </c>
      <c r="J192" s="61" t="str">
        <f>'Secondary cum Calculation'!J196</f>
        <v>%</v>
      </c>
      <c r="K192" s="58">
        <f>'Secondary cum Calculation'!K196</f>
        <v>0</v>
      </c>
      <c r="L192" s="59"/>
      <c r="M192" s="62" t="e">
        <f>'Secondary cum Calculation'!M196</f>
        <v>#DIV/0!</v>
      </c>
      <c r="N192" s="62" t="e">
        <f>'Secondary cum Calculation'!N196</f>
        <v>#DIV/0!</v>
      </c>
      <c r="O192" s="62" t="e">
        <f>'Secondary cum Calculation'!O196</f>
        <v>#DIV/0!</v>
      </c>
      <c r="P192" s="62" t="e">
        <f>'Secondary cum Calculation'!P196</f>
        <v>#DIV/0!</v>
      </c>
      <c r="Q192" s="62"/>
      <c r="R192" s="62"/>
      <c r="S192" s="62"/>
      <c r="T192" s="62"/>
      <c r="U192" s="62"/>
      <c r="V192" s="62"/>
      <c r="W192" s="259"/>
      <c r="X192" s="259"/>
    </row>
    <row r="193" spans="1:24">
      <c r="A193" s="55" t="str">
        <f>'Secondary cum Calculation'!A197</f>
        <v>Poland</v>
      </c>
      <c r="B193" s="56" t="str">
        <f>'Secondary cum Calculation'!B197</f>
        <v>Tourism Flows</v>
      </c>
      <c r="C193" s="56" t="str">
        <f>'Secondary cum Calculation'!C197</f>
        <v>International Arrivals by Place of Origin</v>
      </c>
      <c r="D193" s="56" t="str">
        <f>'Secondary cum Calculation'!D197</f>
        <v>Africa</v>
      </c>
      <c r="E193" s="55" t="str">
        <f>'Secondary cum Calculation'!E197</f>
        <v>Central African Republic</v>
      </c>
      <c r="F193" s="57" t="str">
        <f>'Secondary cum Calculation'!F197</f>
        <v>The number of international arrivals to a country originating from Central African Republic</v>
      </c>
      <c r="G193" s="57" t="str">
        <f>'Secondary cum Calculation'!G197</f>
        <v>Tourism Demand &amp; Flows Database</v>
      </c>
      <c r="H193" s="57" t="str">
        <f>'Secondary cum Calculation'!H197</f>
        <v>New</v>
      </c>
      <c r="I193" s="57">
        <f>'Secondary cum Calculation'!I197</f>
        <v>0</v>
      </c>
      <c r="J193" s="57" t="str">
        <f>'Secondary cum Calculation'!J197</f>
        <v>Thousand</v>
      </c>
      <c r="K193" s="58">
        <f>'Secondary cum Calculation'!K197</f>
        <v>0</v>
      </c>
      <c r="L193" s="59">
        <f>'Secondary cum Calculation'!L197</f>
        <v>0</v>
      </c>
      <c r="M193" s="59">
        <f>'Secondary cum Calculation'!M197</f>
        <v>0</v>
      </c>
      <c r="N193" s="59">
        <f>'Secondary cum Calculation'!N197</f>
        <v>0</v>
      </c>
      <c r="O193" s="59">
        <f>'Secondary cum Calculation'!O197</f>
        <v>0</v>
      </c>
      <c r="P193" s="59">
        <f>'Secondary cum Calculation'!P197</f>
        <v>0</v>
      </c>
      <c r="Q193" s="59"/>
      <c r="R193" s="59"/>
      <c r="S193" s="59"/>
      <c r="T193" s="59"/>
      <c r="U193" s="59"/>
      <c r="V193" s="59"/>
      <c r="W193" s="106" t="e">
        <f>'Secondary cum Calculation'!W197</f>
        <v>#DIV/0!</v>
      </c>
      <c r="X193" s="106" t="e">
        <f>'Secondary cum Calculation'!X197</f>
        <v>#DIV/0!</v>
      </c>
    </row>
    <row r="194" spans="1:24">
      <c r="A194" s="57"/>
      <c r="B194" s="57"/>
      <c r="C194" s="61" t="str">
        <f>'Secondary cum Calculation'!C198</f>
        <v>Growth Rate</v>
      </c>
      <c r="D194" s="61"/>
      <c r="E194" s="61"/>
      <c r="F194" s="61">
        <f>'Secondary cum Calculation'!F198</f>
        <v>0</v>
      </c>
      <c r="G194" s="61">
        <f>'Secondary cum Calculation'!G198</f>
        <v>0</v>
      </c>
      <c r="H194" s="61">
        <f>'Secondary cum Calculation'!H198</f>
        <v>0</v>
      </c>
      <c r="I194" s="61">
        <f>'Secondary cum Calculation'!I198</f>
        <v>0</v>
      </c>
      <c r="J194" s="61" t="str">
        <f>'Secondary cum Calculation'!J198</f>
        <v>%</v>
      </c>
      <c r="K194" s="58">
        <f>'Secondary cum Calculation'!K198</f>
        <v>0</v>
      </c>
      <c r="L194" s="59"/>
      <c r="M194" s="62" t="e">
        <f>'Secondary cum Calculation'!M198</f>
        <v>#DIV/0!</v>
      </c>
      <c r="N194" s="62" t="e">
        <f>'Secondary cum Calculation'!N198</f>
        <v>#DIV/0!</v>
      </c>
      <c r="O194" s="62" t="e">
        <f>'Secondary cum Calculation'!O198</f>
        <v>#DIV/0!</v>
      </c>
      <c r="P194" s="62" t="e">
        <f>'Secondary cum Calculation'!P198</f>
        <v>#DIV/0!</v>
      </c>
      <c r="Q194" s="62"/>
      <c r="R194" s="62"/>
      <c r="S194" s="62"/>
      <c r="T194" s="62"/>
      <c r="U194" s="62"/>
      <c r="V194" s="62"/>
      <c r="W194" s="259"/>
      <c r="X194" s="259"/>
    </row>
    <row r="195" spans="1:24">
      <c r="A195" s="55" t="str">
        <f>'Secondary cum Calculation'!A199</f>
        <v>Poland</v>
      </c>
      <c r="B195" s="56" t="str">
        <f>'Secondary cum Calculation'!B199</f>
        <v>Tourism Flows</v>
      </c>
      <c r="C195" s="56" t="str">
        <f>'Secondary cum Calculation'!C199</f>
        <v>International Arrivals by Place of Origin</v>
      </c>
      <c r="D195" s="56" t="str">
        <f>'Secondary cum Calculation'!D199</f>
        <v>Africa</v>
      </c>
      <c r="E195" s="55" t="str">
        <f>'Secondary cum Calculation'!E199</f>
        <v>Chad</v>
      </c>
      <c r="F195" s="57" t="str">
        <f>'Secondary cum Calculation'!F199</f>
        <v>The number of international arrivals to a country originating from Chad</v>
      </c>
      <c r="G195" s="57" t="str">
        <f>'Secondary cum Calculation'!G199</f>
        <v>Tourism Demand &amp; Flows Database</v>
      </c>
      <c r="H195" s="57" t="str">
        <f>'Secondary cum Calculation'!H199</f>
        <v>New</v>
      </c>
      <c r="I195" s="57">
        <f>'Secondary cum Calculation'!I199</f>
        <v>0</v>
      </c>
      <c r="J195" s="57" t="str">
        <f>'Secondary cum Calculation'!J199</f>
        <v>Thousand</v>
      </c>
      <c r="K195" s="58">
        <f>'Secondary cum Calculation'!K199</f>
        <v>0</v>
      </c>
      <c r="L195" s="59">
        <f>'Secondary cum Calculation'!L199</f>
        <v>0</v>
      </c>
      <c r="M195" s="59">
        <f>'Secondary cum Calculation'!M199</f>
        <v>0</v>
      </c>
      <c r="N195" s="59">
        <f>'Secondary cum Calculation'!N199</f>
        <v>0</v>
      </c>
      <c r="O195" s="59">
        <f>'Secondary cum Calculation'!O199</f>
        <v>0</v>
      </c>
      <c r="P195" s="59">
        <f>'Secondary cum Calculation'!P199</f>
        <v>0</v>
      </c>
      <c r="Q195" s="59"/>
      <c r="R195" s="59"/>
      <c r="S195" s="59"/>
      <c r="T195" s="59"/>
      <c r="U195" s="59"/>
      <c r="V195" s="59"/>
      <c r="W195" s="106" t="e">
        <f>'Secondary cum Calculation'!W199</f>
        <v>#DIV/0!</v>
      </c>
      <c r="X195" s="106" t="e">
        <f>'Secondary cum Calculation'!X199</f>
        <v>#DIV/0!</v>
      </c>
    </row>
    <row r="196" spans="1:24">
      <c r="A196" s="57"/>
      <c r="B196" s="57"/>
      <c r="C196" s="61" t="str">
        <f>'Secondary cum Calculation'!C200</f>
        <v>Growth Rate</v>
      </c>
      <c r="D196" s="61"/>
      <c r="E196" s="61"/>
      <c r="F196" s="61">
        <f>'Secondary cum Calculation'!F200</f>
        <v>0</v>
      </c>
      <c r="G196" s="61">
        <f>'Secondary cum Calculation'!G200</f>
        <v>0</v>
      </c>
      <c r="H196" s="61">
        <f>'Secondary cum Calculation'!H200</f>
        <v>0</v>
      </c>
      <c r="I196" s="61">
        <f>'Secondary cum Calculation'!I200</f>
        <v>0</v>
      </c>
      <c r="J196" s="61" t="str">
        <f>'Secondary cum Calculation'!J200</f>
        <v>%</v>
      </c>
      <c r="K196" s="58">
        <f>'Secondary cum Calculation'!K200</f>
        <v>0</v>
      </c>
      <c r="L196" s="59"/>
      <c r="M196" s="62" t="e">
        <f>'Secondary cum Calculation'!M200</f>
        <v>#DIV/0!</v>
      </c>
      <c r="N196" s="62" t="e">
        <f>'Secondary cum Calculation'!N200</f>
        <v>#DIV/0!</v>
      </c>
      <c r="O196" s="62" t="e">
        <f>'Secondary cum Calculation'!O200</f>
        <v>#DIV/0!</v>
      </c>
      <c r="P196" s="62" t="e">
        <f>'Secondary cum Calculation'!P200</f>
        <v>#DIV/0!</v>
      </c>
      <c r="Q196" s="62"/>
      <c r="R196" s="62"/>
      <c r="S196" s="62"/>
      <c r="T196" s="62"/>
      <c r="U196" s="62"/>
      <c r="V196" s="62"/>
      <c r="W196" s="259"/>
      <c r="X196" s="259"/>
    </row>
    <row r="197" spans="1:24">
      <c r="A197" s="55" t="str">
        <f>'Secondary cum Calculation'!A201</f>
        <v>Poland</v>
      </c>
      <c r="B197" s="56" t="str">
        <f>'Secondary cum Calculation'!B201</f>
        <v>Tourism Flows</v>
      </c>
      <c r="C197" s="56" t="str">
        <f>'Secondary cum Calculation'!C201</f>
        <v>International Arrivals by Place of Origin</v>
      </c>
      <c r="D197" s="56" t="str">
        <f>'Secondary cum Calculation'!D201</f>
        <v>Africa</v>
      </c>
      <c r="E197" s="55" t="str">
        <f>'Secondary cum Calculation'!E201</f>
        <v>Comoros</v>
      </c>
      <c r="F197" s="57" t="str">
        <f>'Secondary cum Calculation'!F201</f>
        <v>The number of international arrivals to a country originating from Comoros</v>
      </c>
      <c r="G197" s="57" t="str">
        <f>'Secondary cum Calculation'!G201</f>
        <v>Tourism Demand &amp; Flows Database</v>
      </c>
      <c r="H197" s="57" t="str">
        <f>'Secondary cum Calculation'!H201</f>
        <v>New</v>
      </c>
      <c r="I197" s="57">
        <f>'Secondary cum Calculation'!I201</f>
        <v>0</v>
      </c>
      <c r="J197" s="57" t="str">
        <f>'Secondary cum Calculation'!J201</f>
        <v>Thousand</v>
      </c>
      <c r="K197" s="58">
        <f>'Secondary cum Calculation'!K201</f>
        <v>0</v>
      </c>
      <c r="L197" s="59">
        <f>'Secondary cum Calculation'!L201</f>
        <v>0</v>
      </c>
      <c r="M197" s="59">
        <f>'Secondary cum Calculation'!M201</f>
        <v>0</v>
      </c>
      <c r="N197" s="59">
        <f>'Secondary cum Calculation'!N201</f>
        <v>0</v>
      </c>
      <c r="O197" s="59">
        <f>'Secondary cum Calculation'!O201</f>
        <v>0</v>
      </c>
      <c r="P197" s="59">
        <f>'Secondary cum Calculation'!P201</f>
        <v>0</v>
      </c>
      <c r="Q197" s="59"/>
      <c r="R197" s="59"/>
      <c r="S197" s="59"/>
      <c r="T197" s="59"/>
      <c r="U197" s="59"/>
      <c r="V197" s="59"/>
      <c r="W197" s="106" t="e">
        <f>'Secondary cum Calculation'!W201</f>
        <v>#DIV/0!</v>
      </c>
      <c r="X197" s="106" t="e">
        <f>'Secondary cum Calculation'!X201</f>
        <v>#DIV/0!</v>
      </c>
    </row>
    <row r="198" spans="1:24">
      <c r="A198" s="57"/>
      <c r="B198" s="57"/>
      <c r="C198" s="61" t="str">
        <f>'Secondary cum Calculation'!C202</f>
        <v>Growth Rate</v>
      </c>
      <c r="D198" s="61"/>
      <c r="E198" s="61"/>
      <c r="F198" s="61">
        <f>'Secondary cum Calculation'!F202</f>
        <v>0</v>
      </c>
      <c r="G198" s="61">
        <f>'Secondary cum Calculation'!G202</f>
        <v>0</v>
      </c>
      <c r="H198" s="61">
        <f>'Secondary cum Calculation'!H202</f>
        <v>0</v>
      </c>
      <c r="I198" s="61">
        <f>'Secondary cum Calculation'!I202</f>
        <v>0</v>
      </c>
      <c r="J198" s="61" t="str">
        <f>'Secondary cum Calculation'!J202</f>
        <v>%</v>
      </c>
      <c r="K198" s="58">
        <f>'Secondary cum Calculation'!K202</f>
        <v>0</v>
      </c>
      <c r="L198" s="59"/>
      <c r="M198" s="62" t="e">
        <f>'Secondary cum Calculation'!M202</f>
        <v>#DIV/0!</v>
      </c>
      <c r="N198" s="62" t="e">
        <f>'Secondary cum Calculation'!N202</f>
        <v>#DIV/0!</v>
      </c>
      <c r="O198" s="62" t="e">
        <f>'Secondary cum Calculation'!O202</f>
        <v>#DIV/0!</v>
      </c>
      <c r="P198" s="62" t="e">
        <f>'Secondary cum Calculation'!P202</f>
        <v>#DIV/0!</v>
      </c>
      <c r="Q198" s="62"/>
      <c r="R198" s="62"/>
      <c r="S198" s="62"/>
      <c r="T198" s="62"/>
      <c r="U198" s="62"/>
      <c r="V198" s="62"/>
      <c r="W198" s="259"/>
      <c r="X198" s="259"/>
    </row>
    <row r="199" spans="1:24">
      <c r="A199" s="55" t="str">
        <f>'Secondary cum Calculation'!A203</f>
        <v>Poland</v>
      </c>
      <c r="B199" s="56" t="str">
        <f>'Secondary cum Calculation'!B203</f>
        <v>Tourism Flows</v>
      </c>
      <c r="C199" s="56" t="str">
        <f>'Secondary cum Calculation'!C203</f>
        <v>International Arrivals by Place of Origin</v>
      </c>
      <c r="D199" s="56" t="str">
        <f>'Secondary cum Calculation'!D203</f>
        <v>Africa</v>
      </c>
      <c r="E199" s="55" t="str">
        <f>'Secondary cum Calculation'!E203</f>
        <v>Congo</v>
      </c>
      <c r="F199" s="57" t="str">
        <f>'Secondary cum Calculation'!F203</f>
        <v>The number of international arrivals to a country originating from Congo</v>
      </c>
      <c r="G199" s="57" t="str">
        <f>'Secondary cum Calculation'!G203</f>
        <v>Tourism Demand &amp; Flows Database</v>
      </c>
      <c r="H199" s="57" t="str">
        <f>'Secondary cum Calculation'!H203</f>
        <v>New</v>
      </c>
      <c r="I199" s="57">
        <f>'Secondary cum Calculation'!I203</f>
        <v>0</v>
      </c>
      <c r="J199" s="57" t="str">
        <f>'Secondary cum Calculation'!J203</f>
        <v>Thousand</v>
      </c>
      <c r="K199" s="58">
        <f>'Secondary cum Calculation'!K203</f>
        <v>0</v>
      </c>
      <c r="L199" s="59">
        <f>'Secondary cum Calculation'!L203</f>
        <v>0</v>
      </c>
      <c r="M199" s="59">
        <f>'Secondary cum Calculation'!M203</f>
        <v>0</v>
      </c>
      <c r="N199" s="59">
        <f>'Secondary cum Calculation'!N203</f>
        <v>0</v>
      </c>
      <c r="O199" s="59">
        <f>'Secondary cum Calculation'!O203</f>
        <v>0</v>
      </c>
      <c r="P199" s="59">
        <f>'Secondary cum Calculation'!P203</f>
        <v>0</v>
      </c>
      <c r="Q199" s="59"/>
      <c r="R199" s="59"/>
      <c r="S199" s="59"/>
      <c r="T199" s="59"/>
      <c r="U199" s="59"/>
      <c r="V199" s="59"/>
      <c r="W199" s="106" t="e">
        <f>'Secondary cum Calculation'!W203</f>
        <v>#DIV/0!</v>
      </c>
      <c r="X199" s="106" t="e">
        <f>'Secondary cum Calculation'!X203</f>
        <v>#DIV/0!</v>
      </c>
    </row>
    <row r="200" spans="1:24">
      <c r="A200" s="57"/>
      <c r="B200" s="57"/>
      <c r="C200" s="61" t="str">
        <f>'Secondary cum Calculation'!C204</f>
        <v>Growth Rate</v>
      </c>
      <c r="D200" s="61"/>
      <c r="E200" s="61"/>
      <c r="F200" s="61">
        <f>'Secondary cum Calculation'!F204</f>
        <v>0</v>
      </c>
      <c r="G200" s="61">
        <f>'Secondary cum Calculation'!G204</f>
        <v>0</v>
      </c>
      <c r="H200" s="61">
        <f>'Secondary cum Calculation'!H204</f>
        <v>0</v>
      </c>
      <c r="I200" s="61">
        <f>'Secondary cum Calculation'!I204</f>
        <v>0</v>
      </c>
      <c r="J200" s="61" t="str">
        <f>'Secondary cum Calculation'!J204</f>
        <v>%</v>
      </c>
      <c r="K200" s="58">
        <f>'Secondary cum Calculation'!K204</f>
        <v>0</v>
      </c>
      <c r="L200" s="59"/>
      <c r="M200" s="62" t="e">
        <f>'Secondary cum Calculation'!M204</f>
        <v>#DIV/0!</v>
      </c>
      <c r="N200" s="62" t="e">
        <f>'Secondary cum Calculation'!N204</f>
        <v>#DIV/0!</v>
      </c>
      <c r="O200" s="62" t="e">
        <f>'Secondary cum Calculation'!O204</f>
        <v>#DIV/0!</v>
      </c>
      <c r="P200" s="62" t="e">
        <f>'Secondary cum Calculation'!P204</f>
        <v>#DIV/0!</v>
      </c>
      <c r="Q200" s="62"/>
      <c r="R200" s="62"/>
      <c r="S200" s="62"/>
      <c r="T200" s="62"/>
      <c r="U200" s="62"/>
      <c r="V200" s="62"/>
      <c r="W200" s="259"/>
      <c r="X200" s="259"/>
    </row>
    <row r="201" spans="1:24">
      <c r="A201" s="55" t="str">
        <f>'Secondary cum Calculation'!A205</f>
        <v>Poland</v>
      </c>
      <c r="B201" s="56" t="str">
        <f>'Secondary cum Calculation'!B205</f>
        <v>Tourism Flows</v>
      </c>
      <c r="C201" s="56" t="str">
        <f>'Secondary cum Calculation'!C205</f>
        <v>International Arrivals by Place of Origin</v>
      </c>
      <c r="D201" s="56" t="str">
        <f>'Secondary cum Calculation'!D205</f>
        <v>Africa</v>
      </c>
      <c r="E201" s="55" t="str">
        <f>'Secondary cum Calculation'!E205</f>
        <v>Côte d'Ivoire</v>
      </c>
      <c r="F201" s="57" t="str">
        <f>'Secondary cum Calculation'!F205</f>
        <v>The number of international arrivals to a country originating from Côte d'Ivoire</v>
      </c>
      <c r="G201" s="57" t="str">
        <f>'Secondary cum Calculation'!G205</f>
        <v>Tourism Demand &amp; Flows Database</v>
      </c>
      <c r="H201" s="57" t="str">
        <f>'Secondary cum Calculation'!H205</f>
        <v>New</v>
      </c>
      <c r="I201" s="57">
        <f>'Secondary cum Calculation'!I205</f>
        <v>0</v>
      </c>
      <c r="J201" s="57" t="str">
        <f>'Secondary cum Calculation'!J205</f>
        <v>Thousand</v>
      </c>
      <c r="K201" s="58">
        <f>'Secondary cum Calculation'!K205</f>
        <v>0</v>
      </c>
      <c r="L201" s="59">
        <f>'Secondary cum Calculation'!L205</f>
        <v>0</v>
      </c>
      <c r="M201" s="59">
        <f>'Secondary cum Calculation'!M205</f>
        <v>0</v>
      </c>
      <c r="N201" s="59">
        <f>'Secondary cum Calculation'!N205</f>
        <v>0</v>
      </c>
      <c r="O201" s="59">
        <f>'Secondary cum Calculation'!O205</f>
        <v>0</v>
      </c>
      <c r="P201" s="59">
        <f>'Secondary cum Calculation'!P205</f>
        <v>0</v>
      </c>
      <c r="Q201" s="59"/>
      <c r="R201" s="59"/>
      <c r="S201" s="59"/>
      <c r="T201" s="59"/>
      <c r="U201" s="59"/>
      <c r="V201" s="59"/>
      <c r="W201" s="106" t="e">
        <f>'Secondary cum Calculation'!W205</f>
        <v>#DIV/0!</v>
      </c>
      <c r="X201" s="106" t="e">
        <f>'Secondary cum Calculation'!X205</f>
        <v>#DIV/0!</v>
      </c>
    </row>
    <row r="202" spans="1:24">
      <c r="A202" s="57"/>
      <c r="B202" s="57"/>
      <c r="C202" s="61" t="str">
        <f>'Secondary cum Calculation'!C206</f>
        <v>Growth Rate</v>
      </c>
      <c r="D202" s="61"/>
      <c r="E202" s="61"/>
      <c r="F202" s="61">
        <f>'Secondary cum Calculation'!F206</f>
        <v>0</v>
      </c>
      <c r="G202" s="61">
        <f>'Secondary cum Calculation'!G206</f>
        <v>0</v>
      </c>
      <c r="H202" s="61">
        <f>'Secondary cum Calculation'!H206</f>
        <v>0</v>
      </c>
      <c r="I202" s="61">
        <f>'Secondary cum Calculation'!I206</f>
        <v>0</v>
      </c>
      <c r="J202" s="61" t="str">
        <f>'Secondary cum Calculation'!J206</f>
        <v>%</v>
      </c>
      <c r="K202" s="58">
        <f>'Secondary cum Calculation'!K206</f>
        <v>0</v>
      </c>
      <c r="L202" s="59"/>
      <c r="M202" s="62" t="e">
        <f>'Secondary cum Calculation'!M206</f>
        <v>#DIV/0!</v>
      </c>
      <c r="N202" s="62" t="e">
        <f>'Secondary cum Calculation'!N206</f>
        <v>#DIV/0!</v>
      </c>
      <c r="O202" s="62" t="e">
        <f>'Secondary cum Calculation'!O206</f>
        <v>#DIV/0!</v>
      </c>
      <c r="P202" s="62" t="e">
        <f>'Secondary cum Calculation'!P206</f>
        <v>#DIV/0!</v>
      </c>
      <c r="Q202" s="62"/>
      <c r="R202" s="62"/>
      <c r="S202" s="62"/>
      <c r="T202" s="62"/>
      <c r="U202" s="62"/>
      <c r="V202" s="62"/>
      <c r="W202" s="259"/>
      <c r="X202" s="259"/>
    </row>
    <row r="203" spans="1:24">
      <c r="A203" s="55" t="str">
        <f>'Secondary cum Calculation'!A207</f>
        <v>Poland</v>
      </c>
      <c r="B203" s="56" t="str">
        <f>'Secondary cum Calculation'!B207</f>
        <v>Tourism Flows</v>
      </c>
      <c r="C203" s="56" t="str">
        <f>'Secondary cum Calculation'!C207</f>
        <v>International Arrivals by Place of Origin</v>
      </c>
      <c r="D203" s="56" t="str">
        <f>'Secondary cum Calculation'!D207</f>
        <v>Africa</v>
      </c>
      <c r="E203" s="55" t="str">
        <f>'Secondary cum Calculation'!E207</f>
        <v>Dem. Republic of the Congo</v>
      </c>
      <c r="F203" s="57" t="str">
        <f>'Secondary cum Calculation'!F207</f>
        <v>The number of international arrivals to a country originating from Dem. Republic of the Congo</v>
      </c>
      <c r="G203" s="57" t="str">
        <f>'Secondary cum Calculation'!G207</f>
        <v>Tourism Demand &amp; Flows Database</v>
      </c>
      <c r="H203" s="57" t="str">
        <f>'Secondary cum Calculation'!H207</f>
        <v>New</v>
      </c>
      <c r="I203" s="57">
        <f>'Secondary cum Calculation'!I207</f>
        <v>0</v>
      </c>
      <c r="J203" s="57" t="str">
        <f>'Secondary cum Calculation'!J207</f>
        <v>Thousand</v>
      </c>
      <c r="K203" s="58">
        <f>'Secondary cum Calculation'!K207</f>
        <v>0</v>
      </c>
      <c r="L203" s="59">
        <f>'Secondary cum Calculation'!L207</f>
        <v>0</v>
      </c>
      <c r="M203" s="59">
        <f>'Secondary cum Calculation'!M207</f>
        <v>0</v>
      </c>
      <c r="N203" s="59">
        <f>'Secondary cum Calculation'!N207</f>
        <v>0</v>
      </c>
      <c r="O203" s="59">
        <f>'Secondary cum Calculation'!O207</f>
        <v>0</v>
      </c>
      <c r="P203" s="59">
        <f>'Secondary cum Calculation'!P207</f>
        <v>0</v>
      </c>
      <c r="Q203" s="59"/>
      <c r="R203" s="59"/>
      <c r="S203" s="59"/>
      <c r="T203" s="59"/>
      <c r="U203" s="59"/>
      <c r="V203" s="59"/>
      <c r="W203" s="106" t="e">
        <f>'Secondary cum Calculation'!W207</f>
        <v>#DIV/0!</v>
      </c>
      <c r="X203" s="106" t="e">
        <f>'Secondary cum Calculation'!X207</f>
        <v>#DIV/0!</v>
      </c>
    </row>
    <row r="204" spans="1:24">
      <c r="A204" s="57"/>
      <c r="B204" s="57"/>
      <c r="C204" s="61" t="str">
        <f>'Secondary cum Calculation'!C208</f>
        <v>Growth Rate</v>
      </c>
      <c r="D204" s="61"/>
      <c r="E204" s="61"/>
      <c r="F204" s="61">
        <f>'Secondary cum Calculation'!F208</f>
        <v>0</v>
      </c>
      <c r="G204" s="61">
        <f>'Secondary cum Calculation'!G208</f>
        <v>0</v>
      </c>
      <c r="H204" s="61">
        <f>'Secondary cum Calculation'!H208</f>
        <v>0</v>
      </c>
      <c r="I204" s="61">
        <f>'Secondary cum Calculation'!I208</f>
        <v>0</v>
      </c>
      <c r="J204" s="61" t="str">
        <f>'Secondary cum Calculation'!J208</f>
        <v>%</v>
      </c>
      <c r="K204" s="58">
        <f>'Secondary cum Calculation'!K208</f>
        <v>0</v>
      </c>
      <c r="L204" s="59"/>
      <c r="M204" s="62" t="e">
        <f>'Secondary cum Calculation'!M208</f>
        <v>#DIV/0!</v>
      </c>
      <c r="N204" s="62" t="e">
        <f>'Secondary cum Calculation'!N208</f>
        <v>#DIV/0!</v>
      </c>
      <c r="O204" s="62" t="e">
        <f>'Secondary cum Calculation'!O208</f>
        <v>#DIV/0!</v>
      </c>
      <c r="P204" s="62" t="e">
        <f>'Secondary cum Calculation'!P208</f>
        <v>#DIV/0!</v>
      </c>
      <c r="Q204" s="62"/>
      <c r="R204" s="62"/>
      <c r="S204" s="62"/>
      <c r="T204" s="62"/>
      <c r="U204" s="62"/>
      <c r="V204" s="62"/>
      <c r="W204" s="259"/>
      <c r="X204" s="259"/>
    </row>
    <row r="205" spans="1:24">
      <c r="A205" s="55" t="str">
        <f>'Secondary cum Calculation'!A209</f>
        <v>Poland</v>
      </c>
      <c r="B205" s="56" t="str">
        <f>'Secondary cum Calculation'!B209</f>
        <v>Tourism Flows</v>
      </c>
      <c r="C205" s="56" t="str">
        <f>'Secondary cum Calculation'!C209</f>
        <v>International Arrivals by Place of Origin</v>
      </c>
      <c r="D205" s="56" t="str">
        <f>'Secondary cum Calculation'!D209</f>
        <v>Africa</v>
      </c>
      <c r="E205" s="55" t="str">
        <f>'Secondary cum Calculation'!E209</f>
        <v>Djibouti</v>
      </c>
      <c r="F205" s="57" t="str">
        <f>'Secondary cum Calculation'!F209</f>
        <v>The number of international arrivals to a country originating from Djibouti</v>
      </c>
      <c r="G205" s="57" t="str">
        <f>'Secondary cum Calculation'!G209</f>
        <v>Tourism Demand &amp; Flows Database</v>
      </c>
      <c r="H205" s="57" t="str">
        <f>'Secondary cum Calculation'!H209</f>
        <v>New</v>
      </c>
      <c r="I205" s="57">
        <f>'Secondary cum Calculation'!I209</f>
        <v>0</v>
      </c>
      <c r="J205" s="57" t="str">
        <f>'Secondary cum Calculation'!J209</f>
        <v>Thousand</v>
      </c>
      <c r="K205" s="58">
        <f>'Secondary cum Calculation'!K209</f>
        <v>0</v>
      </c>
      <c r="L205" s="59">
        <f>'Secondary cum Calculation'!L209</f>
        <v>0</v>
      </c>
      <c r="M205" s="59">
        <f>'Secondary cum Calculation'!M209</f>
        <v>0</v>
      </c>
      <c r="N205" s="59">
        <f>'Secondary cum Calculation'!N209</f>
        <v>0</v>
      </c>
      <c r="O205" s="59">
        <f>'Secondary cum Calculation'!O209</f>
        <v>0</v>
      </c>
      <c r="P205" s="59">
        <f>'Secondary cum Calculation'!P209</f>
        <v>0</v>
      </c>
      <c r="Q205" s="59"/>
      <c r="R205" s="59"/>
      <c r="S205" s="59"/>
      <c r="T205" s="59"/>
      <c r="U205" s="59"/>
      <c r="V205" s="59"/>
      <c r="W205" s="106" t="e">
        <f>'Secondary cum Calculation'!W209</f>
        <v>#DIV/0!</v>
      </c>
      <c r="X205" s="106" t="e">
        <f>'Secondary cum Calculation'!X209</f>
        <v>#DIV/0!</v>
      </c>
    </row>
    <row r="206" spans="1:24">
      <c r="A206" s="57"/>
      <c r="B206" s="57"/>
      <c r="C206" s="61" t="str">
        <f>'Secondary cum Calculation'!C210</f>
        <v>Growth Rate</v>
      </c>
      <c r="D206" s="61"/>
      <c r="E206" s="61"/>
      <c r="F206" s="61">
        <f>'Secondary cum Calculation'!F210</f>
        <v>0</v>
      </c>
      <c r="G206" s="61">
        <f>'Secondary cum Calculation'!G210</f>
        <v>0</v>
      </c>
      <c r="H206" s="61">
        <f>'Secondary cum Calculation'!H210</f>
        <v>0</v>
      </c>
      <c r="I206" s="61">
        <f>'Secondary cum Calculation'!I210</f>
        <v>0</v>
      </c>
      <c r="J206" s="61" t="str">
        <f>'Secondary cum Calculation'!J210</f>
        <v>%</v>
      </c>
      <c r="K206" s="58">
        <f>'Secondary cum Calculation'!K210</f>
        <v>0</v>
      </c>
      <c r="L206" s="59"/>
      <c r="M206" s="62" t="e">
        <f>'Secondary cum Calculation'!M210</f>
        <v>#DIV/0!</v>
      </c>
      <c r="N206" s="62" t="e">
        <f>'Secondary cum Calculation'!N210</f>
        <v>#DIV/0!</v>
      </c>
      <c r="O206" s="62" t="e">
        <f>'Secondary cum Calculation'!O210</f>
        <v>#DIV/0!</v>
      </c>
      <c r="P206" s="62" t="e">
        <f>'Secondary cum Calculation'!P210</f>
        <v>#DIV/0!</v>
      </c>
      <c r="Q206" s="62"/>
      <c r="R206" s="62"/>
      <c r="S206" s="62"/>
      <c r="T206" s="62"/>
      <c r="U206" s="62"/>
      <c r="V206" s="62"/>
      <c r="W206" s="259"/>
      <c r="X206" s="259"/>
    </row>
    <row r="207" spans="1:24">
      <c r="A207" s="55" t="str">
        <f>'Secondary cum Calculation'!A211</f>
        <v>Poland</v>
      </c>
      <c r="B207" s="56" t="str">
        <f>'Secondary cum Calculation'!B211</f>
        <v>Tourism Flows</v>
      </c>
      <c r="C207" s="56" t="str">
        <f>'Secondary cum Calculation'!C211</f>
        <v>International Arrivals by Place of Origin</v>
      </c>
      <c r="D207" s="56" t="str">
        <f>'Secondary cum Calculation'!D211</f>
        <v>Africa</v>
      </c>
      <c r="E207" s="55" t="str">
        <f>'Secondary cum Calculation'!E211</f>
        <v>Egypt</v>
      </c>
      <c r="F207" s="57" t="str">
        <f>'Secondary cum Calculation'!F211</f>
        <v>The number of international arrivals to a country originating from Egypt</v>
      </c>
      <c r="G207" s="57" t="str">
        <f>'Secondary cum Calculation'!G211</f>
        <v>Tourism Demand &amp; Flows Database</v>
      </c>
      <c r="H207" s="57" t="str">
        <f>'Secondary cum Calculation'!H211</f>
        <v>New</v>
      </c>
      <c r="I207" s="57">
        <f>'Secondary cum Calculation'!I211</f>
        <v>0</v>
      </c>
      <c r="J207" s="57" t="str">
        <f>'Secondary cum Calculation'!J211</f>
        <v>Thousand</v>
      </c>
      <c r="K207" s="58">
        <f>'Secondary cum Calculation'!K211</f>
        <v>0</v>
      </c>
      <c r="L207" s="59">
        <f>'Secondary cum Calculation'!L211</f>
        <v>0</v>
      </c>
      <c r="M207" s="59">
        <f>'Secondary cum Calculation'!M211</f>
        <v>0</v>
      </c>
      <c r="N207" s="59">
        <f>'Secondary cum Calculation'!N211</f>
        <v>0</v>
      </c>
      <c r="O207" s="59">
        <f>'Secondary cum Calculation'!O211</f>
        <v>0</v>
      </c>
      <c r="P207" s="59">
        <f>'Secondary cum Calculation'!P211</f>
        <v>0</v>
      </c>
      <c r="Q207" s="59"/>
      <c r="R207" s="59"/>
      <c r="S207" s="59"/>
      <c r="T207" s="59"/>
      <c r="U207" s="59"/>
      <c r="V207" s="59"/>
      <c r="W207" s="106" t="e">
        <f>'Secondary cum Calculation'!W211</f>
        <v>#DIV/0!</v>
      </c>
      <c r="X207" s="106" t="e">
        <f>'Secondary cum Calculation'!X211</f>
        <v>#DIV/0!</v>
      </c>
    </row>
    <row r="208" spans="1:24">
      <c r="A208" s="57"/>
      <c r="B208" s="57"/>
      <c r="C208" s="61" t="str">
        <f>'Secondary cum Calculation'!C212</f>
        <v>Growth Rate</v>
      </c>
      <c r="D208" s="61"/>
      <c r="E208" s="61"/>
      <c r="F208" s="61">
        <f>'Secondary cum Calculation'!F212</f>
        <v>0</v>
      </c>
      <c r="G208" s="61">
        <f>'Secondary cum Calculation'!G212</f>
        <v>0</v>
      </c>
      <c r="H208" s="61">
        <f>'Secondary cum Calculation'!H212</f>
        <v>0</v>
      </c>
      <c r="I208" s="61">
        <f>'Secondary cum Calculation'!I212</f>
        <v>0</v>
      </c>
      <c r="J208" s="61" t="str">
        <f>'Secondary cum Calculation'!J212</f>
        <v>%</v>
      </c>
      <c r="K208" s="58">
        <f>'Secondary cum Calculation'!K212</f>
        <v>0</v>
      </c>
      <c r="L208" s="59"/>
      <c r="M208" s="62" t="e">
        <f>'Secondary cum Calculation'!M212</f>
        <v>#DIV/0!</v>
      </c>
      <c r="N208" s="62" t="e">
        <f>'Secondary cum Calculation'!N212</f>
        <v>#DIV/0!</v>
      </c>
      <c r="O208" s="62" t="e">
        <f>'Secondary cum Calculation'!O212</f>
        <v>#DIV/0!</v>
      </c>
      <c r="P208" s="62" t="e">
        <f>'Secondary cum Calculation'!P212</f>
        <v>#DIV/0!</v>
      </c>
      <c r="Q208" s="62"/>
      <c r="R208" s="62"/>
      <c r="S208" s="62"/>
      <c r="T208" s="62"/>
      <c r="U208" s="62"/>
      <c r="V208" s="62"/>
      <c r="W208" s="259"/>
      <c r="X208" s="259"/>
    </row>
    <row r="209" spans="1:27">
      <c r="A209" s="55" t="str">
        <f>'Secondary cum Calculation'!A213</f>
        <v>Poland</v>
      </c>
      <c r="B209" s="56" t="str">
        <f>'Secondary cum Calculation'!B213</f>
        <v>Tourism Flows</v>
      </c>
      <c r="C209" s="56" t="str">
        <f>'Secondary cum Calculation'!C213</f>
        <v>International Arrivals by Place of Origin</v>
      </c>
      <c r="D209" s="56" t="str">
        <f>'Secondary cum Calculation'!D213</f>
        <v>Africa</v>
      </c>
      <c r="E209" s="55" t="str">
        <f>'Secondary cum Calculation'!E213</f>
        <v>Equatorial Guinea</v>
      </c>
      <c r="F209" s="57" t="str">
        <f>'Secondary cum Calculation'!F213</f>
        <v>The number of international arrivals to a country originating from Equatorial Guinea</v>
      </c>
      <c r="G209" s="57" t="str">
        <f>'Secondary cum Calculation'!G213</f>
        <v>Tourism Demand &amp; Flows Database</v>
      </c>
      <c r="H209" s="57" t="str">
        <f>'Secondary cum Calculation'!H213</f>
        <v>New</v>
      </c>
      <c r="I209" s="57">
        <f>'Secondary cum Calculation'!I213</f>
        <v>0</v>
      </c>
      <c r="J209" s="57" t="str">
        <f>'Secondary cum Calculation'!J213</f>
        <v>Thousand</v>
      </c>
      <c r="K209" s="58">
        <f>'Secondary cum Calculation'!K213</f>
        <v>0</v>
      </c>
      <c r="L209" s="59">
        <f>'Secondary cum Calculation'!L213</f>
        <v>0</v>
      </c>
      <c r="M209" s="59">
        <f>'Secondary cum Calculation'!M213</f>
        <v>0</v>
      </c>
      <c r="N209" s="59">
        <f>'Secondary cum Calculation'!N213</f>
        <v>0</v>
      </c>
      <c r="O209" s="59">
        <f>'Secondary cum Calculation'!O213</f>
        <v>0</v>
      </c>
      <c r="P209" s="59">
        <f>'Secondary cum Calculation'!P213</f>
        <v>0</v>
      </c>
      <c r="Q209" s="59"/>
      <c r="R209" s="59"/>
      <c r="S209" s="59"/>
      <c r="T209" s="59"/>
      <c r="U209" s="59"/>
      <c r="V209" s="59"/>
      <c r="W209" s="106" t="e">
        <f>'Secondary cum Calculation'!W213</f>
        <v>#DIV/0!</v>
      </c>
      <c r="X209" s="106" t="e">
        <f>'Secondary cum Calculation'!X213</f>
        <v>#DIV/0!</v>
      </c>
    </row>
    <row r="210" spans="1:27">
      <c r="A210" s="57"/>
      <c r="B210" s="57"/>
      <c r="C210" s="61" t="str">
        <f>'Secondary cum Calculation'!C214</f>
        <v>Growth Rate</v>
      </c>
      <c r="D210" s="61"/>
      <c r="E210" s="61"/>
      <c r="F210" s="61">
        <f>'Secondary cum Calculation'!F214</f>
        <v>0</v>
      </c>
      <c r="G210" s="61">
        <f>'Secondary cum Calculation'!G214</f>
        <v>0</v>
      </c>
      <c r="H210" s="61">
        <f>'Secondary cum Calculation'!H214</f>
        <v>0</v>
      </c>
      <c r="I210" s="61">
        <f>'Secondary cum Calculation'!I214</f>
        <v>0</v>
      </c>
      <c r="J210" s="61" t="str">
        <f>'Secondary cum Calculation'!J214</f>
        <v>%</v>
      </c>
      <c r="K210" s="58">
        <f>'Secondary cum Calculation'!K214</f>
        <v>0</v>
      </c>
      <c r="L210" s="59"/>
      <c r="M210" s="62" t="e">
        <f>'Secondary cum Calculation'!M214</f>
        <v>#DIV/0!</v>
      </c>
      <c r="N210" s="62" t="e">
        <f>'Secondary cum Calculation'!N214</f>
        <v>#DIV/0!</v>
      </c>
      <c r="O210" s="62" t="e">
        <f>'Secondary cum Calculation'!O214</f>
        <v>#DIV/0!</v>
      </c>
      <c r="P210" s="62" t="e">
        <f>'Secondary cum Calculation'!P214</f>
        <v>#DIV/0!</v>
      </c>
      <c r="Q210" s="62"/>
      <c r="R210" s="62"/>
      <c r="S210" s="62"/>
      <c r="T210" s="62"/>
      <c r="U210" s="62"/>
      <c r="V210" s="62"/>
      <c r="W210" s="259"/>
      <c r="X210" s="259"/>
    </row>
    <row r="211" spans="1:27">
      <c r="A211" s="55" t="str">
        <f>'Secondary cum Calculation'!A215</f>
        <v>Poland</v>
      </c>
      <c r="B211" s="56" t="str">
        <f>'Secondary cum Calculation'!B215</f>
        <v>Tourism Flows</v>
      </c>
      <c r="C211" s="56" t="str">
        <f>'Secondary cum Calculation'!C215</f>
        <v>International Arrivals by Place of Origin</v>
      </c>
      <c r="D211" s="56" t="str">
        <f>'Secondary cum Calculation'!D215</f>
        <v>Africa</v>
      </c>
      <c r="E211" s="55" t="str">
        <f>'Secondary cum Calculation'!E215</f>
        <v>Eritrea</v>
      </c>
      <c r="F211" s="57" t="str">
        <f>'Secondary cum Calculation'!F215</f>
        <v>The number of international arrivals to a country originating from Eritrea</v>
      </c>
      <c r="G211" s="57" t="str">
        <f>'Secondary cum Calculation'!G215</f>
        <v>Tourism Demand &amp; Flows Database</v>
      </c>
      <c r="H211" s="57" t="str">
        <f>'Secondary cum Calculation'!H215</f>
        <v>New</v>
      </c>
      <c r="I211" s="57">
        <f>'Secondary cum Calculation'!I215</f>
        <v>0</v>
      </c>
      <c r="J211" s="57" t="str">
        <f>'Secondary cum Calculation'!J215</f>
        <v>Thousand</v>
      </c>
      <c r="K211" s="58">
        <f>'Secondary cum Calculation'!K215</f>
        <v>0</v>
      </c>
      <c r="L211" s="59">
        <f>'Secondary cum Calculation'!L215</f>
        <v>0</v>
      </c>
      <c r="M211" s="59">
        <f>'Secondary cum Calculation'!M215</f>
        <v>0</v>
      </c>
      <c r="N211" s="59">
        <f>'Secondary cum Calculation'!N215</f>
        <v>0</v>
      </c>
      <c r="O211" s="59">
        <f>'Secondary cum Calculation'!O215</f>
        <v>0</v>
      </c>
      <c r="P211" s="59">
        <f>'Secondary cum Calculation'!P215</f>
        <v>0</v>
      </c>
      <c r="Q211" s="59"/>
      <c r="R211" s="59"/>
      <c r="S211" s="59"/>
      <c r="T211" s="59"/>
      <c r="U211" s="59"/>
      <c r="V211" s="59"/>
      <c r="W211" s="106" t="e">
        <f>'Secondary cum Calculation'!W215</f>
        <v>#DIV/0!</v>
      </c>
      <c r="X211" s="106" t="e">
        <f>'Secondary cum Calculation'!X215</f>
        <v>#DIV/0!</v>
      </c>
    </row>
    <row r="212" spans="1:27">
      <c r="A212" s="57"/>
      <c r="B212" s="57"/>
      <c r="C212" s="61" t="str">
        <f>'Secondary cum Calculation'!C216</f>
        <v>Growth Rate</v>
      </c>
      <c r="D212" s="61"/>
      <c r="E212" s="61"/>
      <c r="F212" s="61">
        <f>'Secondary cum Calculation'!F216</f>
        <v>0</v>
      </c>
      <c r="G212" s="61">
        <f>'Secondary cum Calculation'!G216</f>
        <v>0</v>
      </c>
      <c r="H212" s="61">
        <f>'Secondary cum Calculation'!H216</f>
        <v>0</v>
      </c>
      <c r="I212" s="61">
        <f>'Secondary cum Calculation'!I216</f>
        <v>0</v>
      </c>
      <c r="J212" s="61" t="str">
        <f>'Secondary cum Calculation'!J216</f>
        <v>%</v>
      </c>
      <c r="K212" s="58">
        <f>'Secondary cum Calculation'!K216</f>
        <v>0</v>
      </c>
      <c r="L212" s="59"/>
      <c r="M212" s="62" t="e">
        <f>'Secondary cum Calculation'!M216</f>
        <v>#DIV/0!</v>
      </c>
      <c r="N212" s="62" t="e">
        <f>'Secondary cum Calculation'!N216</f>
        <v>#DIV/0!</v>
      </c>
      <c r="O212" s="62" t="e">
        <f>'Secondary cum Calculation'!O216</f>
        <v>#DIV/0!</v>
      </c>
      <c r="P212" s="62" t="e">
        <f>'Secondary cum Calculation'!P216</f>
        <v>#DIV/0!</v>
      </c>
      <c r="Q212" s="62"/>
      <c r="R212" s="62"/>
      <c r="S212" s="62"/>
      <c r="T212" s="62"/>
      <c r="U212" s="62"/>
      <c r="V212" s="62"/>
      <c r="W212" s="259"/>
      <c r="X212" s="259"/>
    </row>
    <row r="213" spans="1:27">
      <c r="A213" s="55" t="str">
        <f>'Secondary cum Calculation'!A217</f>
        <v>Poland</v>
      </c>
      <c r="B213" s="56" t="str">
        <f>'Secondary cum Calculation'!B217</f>
        <v>Tourism Flows</v>
      </c>
      <c r="C213" s="56" t="str">
        <f>'Secondary cum Calculation'!C217</f>
        <v>International Arrivals by Place of Origin</v>
      </c>
      <c r="D213" s="56" t="str">
        <f>'Secondary cum Calculation'!D217</f>
        <v>Africa</v>
      </c>
      <c r="E213" s="55" t="str">
        <f>'Secondary cum Calculation'!E217</f>
        <v>Ethiopia</v>
      </c>
      <c r="F213" s="57" t="str">
        <f>'Secondary cum Calculation'!F217</f>
        <v>The number of international arrivals to a country originating from Ethiopia</v>
      </c>
      <c r="G213" s="57" t="str">
        <f>'Secondary cum Calculation'!G217</f>
        <v>Tourism Demand &amp; Flows Database</v>
      </c>
      <c r="H213" s="57" t="str">
        <f>'Secondary cum Calculation'!H217</f>
        <v>New</v>
      </c>
      <c r="I213" s="57">
        <f>'Secondary cum Calculation'!I217</f>
        <v>0</v>
      </c>
      <c r="J213" s="57" t="str">
        <f>'Secondary cum Calculation'!J217</f>
        <v>Thousand</v>
      </c>
      <c r="K213" s="58">
        <f>'Secondary cum Calculation'!K217</f>
        <v>0</v>
      </c>
      <c r="L213" s="59">
        <f>'Secondary cum Calculation'!L217</f>
        <v>0</v>
      </c>
      <c r="M213" s="59">
        <f>'Secondary cum Calculation'!M217</f>
        <v>0</v>
      </c>
      <c r="N213" s="59">
        <f>'Secondary cum Calculation'!N217</f>
        <v>0</v>
      </c>
      <c r="O213" s="59">
        <f>'Secondary cum Calculation'!O217</f>
        <v>0</v>
      </c>
      <c r="P213" s="59">
        <f>'Secondary cum Calculation'!P217</f>
        <v>0</v>
      </c>
      <c r="Q213" s="59"/>
      <c r="R213" s="59"/>
      <c r="S213" s="59"/>
      <c r="T213" s="59"/>
      <c r="U213" s="59"/>
      <c r="V213" s="59"/>
      <c r="W213" s="106" t="e">
        <f>'Secondary cum Calculation'!W217</f>
        <v>#DIV/0!</v>
      </c>
      <c r="X213" s="106" t="e">
        <f>'Secondary cum Calculation'!X217</f>
        <v>#DIV/0!</v>
      </c>
    </row>
    <row r="214" spans="1:27">
      <c r="A214" s="57"/>
      <c r="B214" s="57"/>
      <c r="C214" s="61" t="str">
        <f>'Secondary cum Calculation'!C218</f>
        <v>Growth Rate</v>
      </c>
      <c r="D214" s="61"/>
      <c r="E214" s="61"/>
      <c r="F214" s="61">
        <f>'Secondary cum Calculation'!F218</f>
        <v>0</v>
      </c>
      <c r="G214" s="61">
        <f>'Secondary cum Calculation'!G218</f>
        <v>0</v>
      </c>
      <c r="H214" s="61">
        <f>'Secondary cum Calculation'!H218</f>
        <v>0</v>
      </c>
      <c r="I214" s="61">
        <f>'Secondary cum Calculation'!I218</f>
        <v>0</v>
      </c>
      <c r="J214" s="61" t="str">
        <f>'Secondary cum Calculation'!J218</f>
        <v>%</v>
      </c>
      <c r="K214" s="58">
        <f>'Secondary cum Calculation'!K218</f>
        <v>0</v>
      </c>
      <c r="L214" s="59"/>
      <c r="M214" s="62" t="e">
        <f>'Secondary cum Calculation'!M218</f>
        <v>#DIV/0!</v>
      </c>
      <c r="N214" s="62" t="e">
        <f>'Secondary cum Calculation'!N218</f>
        <v>#DIV/0!</v>
      </c>
      <c r="O214" s="62" t="e">
        <f>'Secondary cum Calculation'!O218</f>
        <v>#DIV/0!</v>
      </c>
      <c r="P214" s="62" t="e">
        <f>'Secondary cum Calculation'!P218</f>
        <v>#DIV/0!</v>
      </c>
      <c r="Q214" s="62"/>
      <c r="R214" s="62"/>
      <c r="S214" s="62"/>
      <c r="T214" s="62"/>
      <c r="U214" s="62"/>
      <c r="V214" s="62"/>
      <c r="W214" s="259"/>
      <c r="X214" s="259"/>
    </row>
    <row r="215" spans="1:27">
      <c r="A215" s="55" t="str">
        <f>'Secondary cum Calculation'!A219</f>
        <v>Poland</v>
      </c>
      <c r="B215" s="56" t="str">
        <f>'Secondary cum Calculation'!B219</f>
        <v>Tourism Flows</v>
      </c>
      <c r="C215" s="56" t="str">
        <f>'Secondary cum Calculation'!C219</f>
        <v>International Arrivals by Place of Origin</v>
      </c>
      <c r="D215" s="56" t="str">
        <f>'Secondary cum Calculation'!D219</f>
        <v>Africa</v>
      </c>
      <c r="E215" s="55" t="str">
        <f>'Secondary cum Calculation'!E219</f>
        <v>Gabon</v>
      </c>
      <c r="F215" s="57" t="str">
        <f>'Secondary cum Calculation'!F219</f>
        <v>The number of international arrivals to a country originating from Gabon</v>
      </c>
      <c r="G215" s="57" t="str">
        <f>'Secondary cum Calculation'!G219</f>
        <v>Tourism Demand &amp; Flows Database</v>
      </c>
      <c r="H215" s="57" t="str">
        <f>'Secondary cum Calculation'!H219</f>
        <v>New</v>
      </c>
      <c r="I215" s="57">
        <f>'Secondary cum Calculation'!I219</f>
        <v>0</v>
      </c>
      <c r="J215" s="57" t="str">
        <f>'Secondary cum Calculation'!J219</f>
        <v>Thousand</v>
      </c>
      <c r="K215" s="58">
        <f>'Secondary cum Calculation'!K219</f>
        <v>0</v>
      </c>
      <c r="L215" s="59">
        <f>'Secondary cum Calculation'!L219</f>
        <v>0</v>
      </c>
      <c r="M215" s="59">
        <f>'Secondary cum Calculation'!M219</f>
        <v>0</v>
      </c>
      <c r="N215" s="59">
        <f>'Secondary cum Calculation'!N219</f>
        <v>0</v>
      </c>
      <c r="O215" s="59">
        <f>'Secondary cum Calculation'!O219</f>
        <v>0</v>
      </c>
      <c r="P215" s="59">
        <f>'Secondary cum Calculation'!P219</f>
        <v>0</v>
      </c>
      <c r="Q215" s="59"/>
      <c r="R215" s="59"/>
      <c r="S215" s="59"/>
      <c r="T215" s="59"/>
      <c r="U215" s="59"/>
      <c r="V215" s="59"/>
      <c r="W215" s="106" t="e">
        <f>'Secondary cum Calculation'!W219</f>
        <v>#DIV/0!</v>
      </c>
      <c r="X215" s="106" t="e">
        <f>'Secondary cum Calculation'!X219</f>
        <v>#DIV/0!</v>
      </c>
    </row>
    <row r="216" spans="1:27">
      <c r="A216" s="57"/>
      <c r="B216" s="57"/>
      <c r="C216" s="61" t="str">
        <f>'Secondary cum Calculation'!C220</f>
        <v>Growth Rate</v>
      </c>
      <c r="D216" s="61"/>
      <c r="E216" s="61"/>
      <c r="F216" s="61">
        <f>'Secondary cum Calculation'!F220</f>
        <v>0</v>
      </c>
      <c r="G216" s="61">
        <f>'Secondary cum Calculation'!G220</f>
        <v>0</v>
      </c>
      <c r="H216" s="61">
        <f>'Secondary cum Calculation'!H220</f>
        <v>0</v>
      </c>
      <c r="I216" s="61">
        <f>'Secondary cum Calculation'!I220</f>
        <v>0</v>
      </c>
      <c r="J216" s="61" t="str">
        <f>'Secondary cum Calculation'!J220</f>
        <v>%</v>
      </c>
      <c r="K216" s="58">
        <f>'Secondary cum Calculation'!K220</f>
        <v>0</v>
      </c>
      <c r="L216" s="59"/>
      <c r="M216" s="62" t="e">
        <f>'Secondary cum Calculation'!M220</f>
        <v>#DIV/0!</v>
      </c>
      <c r="N216" s="62" t="e">
        <f>'Secondary cum Calculation'!N220</f>
        <v>#DIV/0!</v>
      </c>
      <c r="O216" s="62" t="e">
        <f>'Secondary cum Calculation'!O220</f>
        <v>#DIV/0!</v>
      </c>
      <c r="P216" s="62" t="e">
        <f>'Secondary cum Calculation'!P220</f>
        <v>#DIV/0!</v>
      </c>
      <c r="Q216" s="62"/>
      <c r="R216" s="62"/>
      <c r="S216" s="62"/>
      <c r="T216" s="62"/>
      <c r="U216" s="62"/>
      <c r="V216" s="62"/>
      <c r="W216" s="259"/>
      <c r="X216" s="259"/>
    </row>
    <row r="217" spans="1:27">
      <c r="A217" s="55" t="str">
        <f>'Secondary cum Calculation'!A221</f>
        <v>Poland</v>
      </c>
      <c r="B217" s="56" t="str">
        <f>'Secondary cum Calculation'!B221</f>
        <v>Tourism Flows</v>
      </c>
      <c r="C217" s="56" t="str">
        <f>'Secondary cum Calculation'!C221</f>
        <v>International Arrivals by Place of Origin</v>
      </c>
      <c r="D217" s="56" t="str">
        <f>'Secondary cum Calculation'!D221</f>
        <v>Africa</v>
      </c>
      <c r="E217" s="55" t="str">
        <f>'Secondary cum Calculation'!E221</f>
        <v>Gambia</v>
      </c>
      <c r="F217" s="57" t="str">
        <f>'Secondary cum Calculation'!F221</f>
        <v>The number of international arrivals to a country originating from Gambia</v>
      </c>
      <c r="G217" s="57" t="str">
        <f>'Secondary cum Calculation'!G221</f>
        <v>Tourism Demand &amp; Flows Database</v>
      </c>
      <c r="H217" s="57" t="str">
        <f>'Secondary cum Calculation'!H221</f>
        <v>New</v>
      </c>
      <c r="I217" s="57">
        <f>'Secondary cum Calculation'!I221</f>
        <v>0</v>
      </c>
      <c r="J217" s="57" t="str">
        <f>'Secondary cum Calculation'!J221</f>
        <v>Thousand</v>
      </c>
      <c r="K217" s="58">
        <f>'Secondary cum Calculation'!K221</f>
        <v>0</v>
      </c>
      <c r="L217" s="59">
        <f>'Secondary cum Calculation'!L221</f>
        <v>0</v>
      </c>
      <c r="M217" s="59">
        <f>'Secondary cum Calculation'!M221</f>
        <v>0</v>
      </c>
      <c r="N217" s="59">
        <f>'Secondary cum Calculation'!N221</f>
        <v>0</v>
      </c>
      <c r="O217" s="59">
        <f>'Secondary cum Calculation'!O221</f>
        <v>0</v>
      </c>
      <c r="P217" s="59">
        <f>'Secondary cum Calculation'!P221</f>
        <v>0</v>
      </c>
      <c r="Q217" s="59"/>
      <c r="R217" s="59"/>
      <c r="S217" s="59"/>
      <c r="T217" s="59"/>
      <c r="U217" s="59"/>
      <c r="V217" s="59"/>
      <c r="W217" s="106" t="e">
        <f>'Secondary cum Calculation'!W221</f>
        <v>#DIV/0!</v>
      </c>
      <c r="X217" s="106" t="e">
        <f>'Secondary cum Calculation'!X221</f>
        <v>#DIV/0!</v>
      </c>
    </row>
    <row r="218" spans="1:27">
      <c r="A218" s="57"/>
      <c r="B218" s="57"/>
      <c r="C218" s="61" t="str">
        <f>'Secondary cum Calculation'!C222</f>
        <v>Growth Rate</v>
      </c>
      <c r="D218" s="61"/>
      <c r="E218" s="61"/>
      <c r="F218" s="61">
        <f>'Secondary cum Calculation'!F222</f>
        <v>0</v>
      </c>
      <c r="G218" s="61">
        <f>'Secondary cum Calculation'!G222</f>
        <v>0</v>
      </c>
      <c r="H218" s="61">
        <f>'Secondary cum Calculation'!H222</f>
        <v>0</v>
      </c>
      <c r="I218" s="61">
        <f>'Secondary cum Calculation'!I222</f>
        <v>0</v>
      </c>
      <c r="J218" s="61" t="str">
        <f>'Secondary cum Calculation'!J222</f>
        <v>%</v>
      </c>
      <c r="K218" s="58">
        <f>'Secondary cum Calculation'!K222</f>
        <v>0</v>
      </c>
      <c r="L218" s="59"/>
      <c r="M218" s="62" t="e">
        <f>'Secondary cum Calculation'!M222</f>
        <v>#DIV/0!</v>
      </c>
      <c r="N218" s="62" t="e">
        <f>'Secondary cum Calculation'!N222</f>
        <v>#DIV/0!</v>
      </c>
      <c r="O218" s="62" t="e">
        <f>'Secondary cum Calculation'!O222</f>
        <v>#DIV/0!</v>
      </c>
      <c r="P218" s="62" t="e">
        <f>'Secondary cum Calculation'!P222</f>
        <v>#DIV/0!</v>
      </c>
      <c r="Q218" s="62"/>
      <c r="R218" s="62"/>
      <c r="S218" s="62"/>
      <c r="T218" s="62"/>
      <c r="U218" s="62"/>
      <c r="V218" s="62"/>
      <c r="W218" s="259"/>
      <c r="X218" s="259"/>
    </row>
    <row r="219" spans="1:27">
      <c r="A219" s="55" t="str">
        <f>'Secondary cum Calculation'!A223</f>
        <v>Poland</v>
      </c>
      <c r="B219" s="56" t="str">
        <f>'Secondary cum Calculation'!B223</f>
        <v>Tourism Flows</v>
      </c>
      <c r="C219" s="56" t="str">
        <f>'Secondary cum Calculation'!C223</f>
        <v>International Arrivals by Place of Origin</v>
      </c>
      <c r="D219" s="56" t="str">
        <f>'Secondary cum Calculation'!D223</f>
        <v>Africa</v>
      </c>
      <c r="E219" s="55" t="str">
        <f>'Secondary cum Calculation'!E223</f>
        <v>Ghana</v>
      </c>
      <c r="F219" s="57" t="str">
        <f>'Secondary cum Calculation'!F223</f>
        <v>The number of international arrivals to a country originating from Ghana</v>
      </c>
      <c r="G219" s="57" t="str">
        <f>'Secondary cum Calculation'!G223</f>
        <v>Tourism Demand &amp; Flows Database</v>
      </c>
      <c r="H219" s="57" t="str">
        <f>'Secondary cum Calculation'!H223</f>
        <v>New</v>
      </c>
      <c r="I219" s="57">
        <f>'Secondary cum Calculation'!I223</f>
        <v>0</v>
      </c>
      <c r="J219" s="57" t="str">
        <f>'Secondary cum Calculation'!J223</f>
        <v>Thousand</v>
      </c>
      <c r="K219" s="58">
        <f>'Secondary cum Calculation'!K223</f>
        <v>0</v>
      </c>
      <c r="L219" s="59">
        <f>'Secondary cum Calculation'!L223</f>
        <v>0</v>
      </c>
      <c r="M219" s="59">
        <f>'Secondary cum Calculation'!M223</f>
        <v>0</v>
      </c>
      <c r="N219" s="59">
        <f>'Secondary cum Calculation'!N223</f>
        <v>0</v>
      </c>
      <c r="O219" s="59">
        <f>'Secondary cum Calculation'!O223</f>
        <v>0</v>
      </c>
      <c r="P219" s="59">
        <f>'Secondary cum Calculation'!P223</f>
        <v>0</v>
      </c>
      <c r="Q219" s="59"/>
      <c r="R219" s="59"/>
      <c r="S219" s="59"/>
      <c r="T219" s="59"/>
      <c r="U219" s="59"/>
      <c r="V219" s="59"/>
      <c r="W219" s="106" t="e">
        <f>'Secondary cum Calculation'!W223</f>
        <v>#DIV/0!</v>
      </c>
      <c r="X219" s="106" t="e">
        <f>'Secondary cum Calculation'!X223</f>
        <v>#DIV/0!</v>
      </c>
    </row>
    <row r="220" spans="1:27">
      <c r="A220" s="57"/>
      <c r="B220" s="57"/>
      <c r="C220" s="61" t="str">
        <f>'Secondary cum Calculation'!C224</f>
        <v>Growth Rate</v>
      </c>
      <c r="D220" s="61"/>
      <c r="E220" s="61"/>
      <c r="F220" s="61">
        <f>'Secondary cum Calculation'!F224</f>
        <v>0</v>
      </c>
      <c r="G220" s="61">
        <f>'Secondary cum Calculation'!G224</f>
        <v>0</v>
      </c>
      <c r="H220" s="61">
        <f>'Secondary cum Calculation'!H224</f>
        <v>0</v>
      </c>
      <c r="I220" s="61">
        <f>'Secondary cum Calculation'!I224</f>
        <v>0</v>
      </c>
      <c r="J220" s="61" t="str">
        <f>'Secondary cum Calculation'!J224</f>
        <v>%</v>
      </c>
      <c r="K220" s="58">
        <f>'Secondary cum Calculation'!K224</f>
        <v>0</v>
      </c>
      <c r="L220" s="59"/>
      <c r="M220" s="62" t="e">
        <f>'Secondary cum Calculation'!M224</f>
        <v>#DIV/0!</v>
      </c>
      <c r="N220" s="62" t="e">
        <f>'Secondary cum Calculation'!N224</f>
        <v>#DIV/0!</v>
      </c>
      <c r="O220" s="62" t="e">
        <f>'Secondary cum Calculation'!O224</f>
        <v>#DIV/0!</v>
      </c>
      <c r="P220" s="62" t="e">
        <f>'Secondary cum Calculation'!P224</f>
        <v>#DIV/0!</v>
      </c>
      <c r="Q220" s="62"/>
      <c r="R220" s="62"/>
      <c r="S220" s="62"/>
      <c r="T220" s="62"/>
      <c r="U220" s="62"/>
      <c r="V220" s="62"/>
      <c r="W220" s="259"/>
      <c r="X220" s="259"/>
    </row>
    <row r="221" spans="1:27">
      <c r="A221" s="55" t="str">
        <f>'Secondary cum Calculation'!A225</f>
        <v>Poland</v>
      </c>
      <c r="B221" s="56" t="str">
        <f>'Secondary cum Calculation'!B225</f>
        <v>Tourism Flows</v>
      </c>
      <c r="C221" s="56" t="str">
        <f>'Secondary cum Calculation'!C225</f>
        <v>International Arrivals by Place of Origin</v>
      </c>
      <c r="D221" s="56" t="str">
        <f>'Secondary cum Calculation'!D225</f>
        <v>Africa</v>
      </c>
      <c r="E221" s="55" t="str">
        <f>'Secondary cum Calculation'!E225</f>
        <v>Guinea</v>
      </c>
      <c r="F221" s="57" t="str">
        <f>'Secondary cum Calculation'!F225</f>
        <v>The number of international arrivals to a country originating from Guinea</v>
      </c>
      <c r="G221" s="57" t="str">
        <f>'Secondary cum Calculation'!G225</f>
        <v>Tourism Demand &amp; Flows Database</v>
      </c>
      <c r="H221" s="57" t="str">
        <f>'Secondary cum Calculation'!H225</f>
        <v>New</v>
      </c>
      <c r="I221" s="57">
        <f>'Secondary cum Calculation'!I225</f>
        <v>0</v>
      </c>
      <c r="J221" s="57" t="str">
        <f>'Secondary cum Calculation'!J225</f>
        <v>Thousand</v>
      </c>
      <c r="K221" s="58">
        <f>'Secondary cum Calculation'!K225</f>
        <v>0</v>
      </c>
      <c r="L221" s="59">
        <f>'Secondary cum Calculation'!L225</f>
        <v>0</v>
      </c>
      <c r="M221" s="59">
        <f>'Secondary cum Calculation'!M225</f>
        <v>0</v>
      </c>
      <c r="N221" s="59">
        <f>'Secondary cum Calculation'!N225</f>
        <v>0</v>
      </c>
      <c r="O221" s="59">
        <f>'Secondary cum Calculation'!O225</f>
        <v>0</v>
      </c>
      <c r="P221" s="59">
        <f>'Secondary cum Calculation'!P225</f>
        <v>0</v>
      </c>
      <c r="Q221" s="59"/>
      <c r="R221" s="59"/>
      <c r="S221" s="59"/>
      <c r="T221" s="59"/>
      <c r="U221" s="59"/>
      <c r="V221" s="59"/>
      <c r="W221" s="106" t="e">
        <f>'Secondary cum Calculation'!W225</f>
        <v>#DIV/0!</v>
      </c>
      <c r="X221" s="106" t="e">
        <f>'Secondary cum Calculation'!X225</f>
        <v>#DIV/0!</v>
      </c>
    </row>
    <row r="222" spans="1:27" s="42" customFormat="1">
      <c r="A222" s="57"/>
      <c r="B222" s="57"/>
      <c r="C222" s="61" t="str">
        <f>'Secondary cum Calculation'!C226</f>
        <v>Growth Rate</v>
      </c>
      <c r="D222" s="61"/>
      <c r="E222" s="61"/>
      <c r="F222" s="61">
        <f>'Secondary cum Calculation'!F226</f>
        <v>0</v>
      </c>
      <c r="G222" s="61">
        <f>'Secondary cum Calculation'!G226</f>
        <v>0</v>
      </c>
      <c r="H222" s="61">
        <f>'Secondary cum Calculation'!H226</f>
        <v>0</v>
      </c>
      <c r="I222" s="61">
        <f>'Secondary cum Calculation'!I226</f>
        <v>0</v>
      </c>
      <c r="J222" s="61" t="str">
        <f>'Secondary cum Calculation'!J226</f>
        <v>%</v>
      </c>
      <c r="K222" s="58">
        <f>'Secondary cum Calculation'!K226</f>
        <v>0</v>
      </c>
      <c r="L222" s="59"/>
      <c r="M222" s="62" t="e">
        <f>'Secondary cum Calculation'!M226</f>
        <v>#DIV/0!</v>
      </c>
      <c r="N222" s="62" t="e">
        <f>'Secondary cum Calculation'!N226</f>
        <v>#DIV/0!</v>
      </c>
      <c r="O222" s="62" t="e">
        <f>'Secondary cum Calculation'!O226</f>
        <v>#DIV/0!</v>
      </c>
      <c r="P222" s="62" t="e">
        <f>'Secondary cum Calculation'!P226</f>
        <v>#DIV/0!</v>
      </c>
      <c r="Q222" s="62"/>
      <c r="R222" s="62"/>
      <c r="S222" s="62"/>
      <c r="T222" s="62"/>
      <c r="U222" s="62"/>
      <c r="V222" s="62"/>
      <c r="W222" s="259"/>
      <c r="X222" s="259"/>
      <c r="Y222" s="7"/>
      <c r="Z222" s="7"/>
      <c r="AA222" s="7"/>
    </row>
    <row r="223" spans="1:27">
      <c r="A223" s="55" t="str">
        <f>'Secondary cum Calculation'!A227</f>
        <v>Poland</v>
      </c>
      <c r="B223" s="56" t="str">
        <f>'Secondary cum Calculation'!B227</f>
        <v>Tourism Flows</v>
      </c>
      <c r="C223" s="56" t="str">
        <f>'Secondary cum Calculation'!C227</f>
        <v>International Arrivals by Place of Origin</v>
      </c>
      <c r="D223" s="56" t="str">
        <f>'Secondary cum Calculation'!D227</f>
        <v>Africa</v>
      </c>
      <c r="E223" s="55" t="str">
        <f>'Secondary cum Calculation'!E227</f>
        <v>Guinea-Bissau</v>
      </c>
      <c r="F223" s="57" t="str">
        <f>'Secondary cum Calculation'!F227</f>
        <v>The number of international arrivals to a country originating from Guinea-Bissau</v>
      </c>
      <c r="G223" s="57" t="str">
        <f>'Secondary cum Calculation'!G227</f>
        <v>Tourism Demand &amp; Flows Database</v>
      </c>
      <c r="H223" s="57" t="str">
        <f>'Secondary cum Calculation'!H227</f>
        <v>New</v>
      </c>
      <c r="I223" s="57">
        <f>'Secondary cum Calculation'!I227</f>
        <v>0</v>
      </c>
      <c r="J223" s="57" t="str">
        <f>'Secondary cum Calculation'!J227</f>
        <v>Thousand</v>
      </c>
      <c r="K223" s="58">
        <f>'Secondary cum Calculation'!K227</f>
        <v>0</v>
      </c>
      <c r="L223" s="59">
        <f>'Secondary cum Calculation'!L227</f>
        <v>0</v>
      </c>
      <c r="M223" s="59">
        <f>'Secondary cum Calculation'!M227</f>
        <v>0</v>
      </c>
      <c r="N223" s="59">
        <f>'Secondary cum Calculation'!N227</f>
        <v>0</v>
      </c>
      <c r="O223" s="59">
        <f>'Secondary cum Calculation'!O227</f>
        <v>0</v>
      </c>
      <c r="P223" s="59">
        <f>'Secondary cum Calculation'!P227</f>
        <v>0</v>
      </c>
      <c r="Q223" s="59"/>
      <c r="R223" s="59"/>
      <c r="S223" s="59"/>
      <c r="T223" s="59"/>
      <c r="U223" s="59"/>
      <c r="V223" s="59"/>
      <c r="W223" s="106" t="e">
        <f>'Secondary cum Calculation'!W227</f>
        <v>#DIV/0!</v>
      </c>
      <c r="X223" s="106" t="e">
        <f>'Secondary cum Calculation'!X227</f>
        <v>#DIV/0!</v>
      </c>
    </row>
    <row r="224" spans="1:27">
      <c r="A224" s="57"/>
      <c r="B224" s="57"/>
      <c r="C224" s="61" t="str">
        <f>'Secondary cum Calculation'!C228</f>
        <v>Growth Rate</v>
      </c>
      <c r="D224" s="61"/>
      <c r="E224" s="61"/>
      <c r="F224" s="61">
        <f>'Secondary cum Calculation'!F228</f>
        <v>0</v>
      </c>
      <c r="G224" s="61">
        <f>'Secondary cum Calculation'!G228</f>
        <v>0</v>
      </c>
      <c r="H224" s="61">
        <f>'Secondary cum Calculation'!H228</f>
        <v>0</v>
      </c>
      <c r="I224" s="61">
        <f>'Secondary cum Calculation'!I228</f>
        <v>0</v>
      </c>
      <c r="J224" s="61" t="str">
        <f>'Secondary cum Calculation'!J228</f>
        <v>%</v>
      </c>
      <c r="K224" s="58">
        <f>'Secondary cum Calculation'!K228</f>
        <v>0</v>
      </c>
      <c r="L224" s="59"/>
      <c r="M224" s="62" t="e">
        <f>'Secondary cum Calculation'!M228</f>
        <v>#DIV/0!</v>
      </c>
      <c r="N224" s="62" t="e">
        <f>'Secondary cum Calculation'!N228</f>
        <v>#DIV/0!</v>
      </c>
      <c r="O224" s="62" t="e">
        <f>'Secondary cum Calculation'!O228</f>
        <v>#DIV/0!</v>
      </c>
      <c r="P224" s="62" t="e">
        <f>'Secondary cum Calculation'!P228</f>
        <v>#DIV/0!</v>
      </c>
      <c r="Q224" s="62"/>
      <c r="R224" s="62"/>
      <c r="S224" s="62"/>
      <c r="T224" s="62"/>
      <c r="U224" s="62"/>
      <c r="V224" s="62"/>
      <c r="W224" s="259"/>
      <c r="X224" s="259"/>
    </row>
    <row r="225" spans="1:24">
      <c r="A225" s="55" t="str">
        <f>'Secondary cum Calculation'!A229</f>
        <v>Poland</v>
      </c>
      <c r="B225" s="56" t="str">
        <f>'Secondary cum Calculation'!B229</f>
        <v>Tourism Flows</v>
      </c>
      <c r="C225" s="56" t="str">
        <f>'Secondary cum Calculation'!C229</f>
        <v>International Arrivals by Place of Origin</v>
      </c>
      <c r="D225" s="56" t="str">
        <f>'Secondary cum Calculation'!D229</f>
        <v>Africa</v>
      </c>
      <c r="E225" s="55" t="str">
        <f>'Secondary cum Calculation'!E229</f>
        <v>Kenya</v>
      </c>
      <c r="F225" s="57" t="str">
        <f>'Secondary cum Calculation'!F229</f>
        <v>The number of international arrivals to a country originating from Kenya</v>
      </c>
      <c r="G225" s="57" t="str">
        <f>'Secondary cum Calculation'!G229</f>
        <v>Tourism Demand &amp; Flows Database</v>
      </c>
      <c r="H225" s="57" t="str">
        <f>'Secondary cum Calculation'!H229</f>
        <v>New</v>
      </c>
      <c r="I225" s="57">
        <f>'Secondary cum Calculation'!I229</f>
        <v>0</v>
      </c>
      <c r="J225" s="57" t="str">
        <f>'Secondary cum Calculation'!J229</f>
        <v>Thousand</v>
      </c>
      <c r="K225" s="58">
        <f>'Secondary cum Calculation'!K229</f>
        <v>0</v>
      </c>
      <c r="L225" s="59">
        <f>'Secondary cum Calculation'!L229</f>
        <v>0</v>
      </c>
      <c r="M225" s="59">
        <f>'Secondary cum Calculation'!M229</f>
        <v>0</v>
      </c>
      <c r="N225" s="59">
        <f>'Secondary cum Calculation'!N229</f>
        <v>0</v>
      </c>
      <c r="O225" s="59">
        <f>'Secondary cum Calculation'!O229</f>
        <v>0</v>
      </c>
      <c r="P225" s="59">
        <f>'Secondary cum Calculation'!P229</f>
        <v>0</v>
      </c>
      <c r="Q225" s="59"/>
      <c r="R225" s="59"/>
      <c r="S225" s="59"/>
      <c r="T225" s="59"/>
      <c r="U225" s="59"/>
      <c r="V225" s="59"/>
      <c r="W225" s="106" t="e">
        <f>'Secondary cum Calculation'!W229</f>
        <v>#DIV/0!</v>
      </c>
      <c r="X225" s="106" t="e">
        <f>'Secondary cum Calculation'!X229</f>
        <v>#DIV/0!</v>
      </c>
    </row>
    <row r="226" spans="1:24">
      <c r="A226" s="57"/>
      <c r="B226" s="57"/>
      <c r="C226" s="61" t="str">
        <f>'Secondary cum Calculation'!C230</f>
        <v>Growth Rate</v>
      </c>
      <c r="D226" s="61"/>
      <c r="E226" s="61"/>
      <c r="F226" s="61">
        <f>'Secondary cum Calculation'!F230</f>
        <v>0</v>
      </c>
      <c r="G226" s="61">
        <f>'Secondary cum Calculation'!G230</f>
        <v>0</v>
      </c>
      <c r="H226" s="61">
        <f>'Secondary cum Calculation'!H230</f>
        <v>0</v>
      </c>
      <c r="I226" s="61">
        <f>'Secondary cum Calculation'!I230</f>
        <v>0</v>
      </c>
      <c r="J226" s="61" t="str">
        <f>'Secondary cum Calculation'!J230</f>
        <v>%</v>
      </c>
      <c r="K226" s="58">
        <f>'Secondary cum Calculation'!K230</f>
        <v>0</v>
      </c>
      <c r="L226" s="59"/>
      <c r="M226" s="62" t="e">
        <f>'Secondary cum Calculation'!M230</f>
        <v>#DIV/0!</v>
      </c>
      <c r="N226" s="62" t="e">
        <f>'Secondary cum Calculation'!N230</f>
        <v>#DIV/0!</v>
      </c>
      <c r="O226" s="62" t="e">
        <f>'Secondary cum Calculation'!O230</f>
        <v>#DIV/0!</v>
      </c>
      <c r="P226" s="62" t="e">
        <f>'Secondary cum Calculation'!P230</f>
        <v>#DIV/0!</v>
      </c>
      <c r="Q226" s="62"/>
      <c r="R226" s="62"/>
      <c r="S226" s="62"/>
      <c r="T226" s="62"/>
      <c r="U226" s="62"/>
      <c r="V226" s="62"/>
      <c r="W226" s="259"/>
      <c r="X226" s="259"/>
    </row>
    <row r="227" spans="1:24">
      <c r="A227" s="55" t="str">
        <f>'Secondary cum Calculation'!A231</f>
        <v>Poland</v>
      </c>
      <c r="B227" s="56" t="str">
        <f>'Secondary cum Calculation'!B231</f>
        <v>Tourism Flows</v>
      </c>
      <c r="C227" s="56" t="str">
        <f>'Secondary cum Calculation'!C231</f>
        <v>International Arrivals by Place of Origin</v>
      </c>
      <c r="D227" s="56" t="str">
        <f>'Secondary cum Calculation'!D231</f>
        <v>Africa</v>
      </c>
      <c r="E227" s="55" t="str">
        <f>'Secondary cum Calculation'!E231</f>
        <v>Lesotho</v>
      </c>
      <c r="F227" s="57" t="str">
        <f>'Secondary cum Calculation'!F231</f>
        <v>The number of international arrivals to a country originating from Lesotho</v>
      </c>
      <c r="G227" s="57" t="str">
        <f>'Secondary cum Calculation'!G231</f>
        <v>Tourism Demand &amp; Flows Database</v>
      </c>
      <c r="H227" s="57" t="str">
        <f>'Secondary cum Calculation'!H231</f>
        <v>New</v>
      </c>
      <c r="I227" s="57">
        <f>'Secondary cum Calculation'!I231</f>
        <v>0</v>
      </c>
      <c r="J227" s="57" t="str">
        <f>'Secondary cum Calculation'!J231</f>
        <v>Thousand</v>
      </c>
      <c r="K227" s="58">
        <f>'Secondary cum Calculation'!K231</f>
        <v>0</v>
      </c>
      <c r="L227" s="59">
        <f>'Secondary cum Calculation'!L231</f>
        <v>0</v>
      </c>
      <c r="M227" s="59">
        <f>'Secondary cum Calculation'!M231</f>
        <v>0</v>
      </c>
      <c r="N227" s="59">
        <f>'Secondary cum Calculation'!N231</f>
        <v>0</v>
      </c>
      <c r="O227" s="59">
        <f>'Secondary cum Calculation'!O231</f>
        <v>0</v>
      </c>
      <c r="P227" s="59">
        <f>'Secondary cum Calculation'!P231</f>
        <v>0</v>
      </c>
      <c r="Q227" s="59"/>
      <c r="R227" s="59"/>
      <c r="S227" s="59"/>
      <c r="T227" s="59"/>
      <c r="U227" s="59"/>
      <c r="V227" s="59"/>
      <c r="W227" s="106" t="e">
        <f>'Secondary cum Calculation'!W231</f>
        <v>#DIV/0!</v>
      </c>
      <c r="X227" s="106" t="e">
        <f>'Secondary cum Calculation'!X231</f>
        <v>#DIV/0!</v>
      </c>
    </row>
    <row r="228" spans="1:24">
      <c r="A228" s="57"/>
      <c r="B228" s="57"/>
      <c r="C228" s="61" t="str">
        <f>'Secondary cum Calculation'!C232</f>
        <v>Growth Rate</v>
      </c>
      <c r="D228" s="61"/>
      <c r="E228" s="61"/>
      <c r="F228" s="61">
        <f>'Secondary cum Calculation'!F232</f>
        <v>0</v>
      </c>
      <c r="G228" s="61">
        <f>'Secondary cum Calculation'!G232</f>
        <v>0</v>
      </c>
      <c r="H228" s="61">
        <f>'Secondary cum Calculation'!H232</f>
        <v>0</v>
      </c>
      <c r="I228" s="61">
        <f>'Secondary cum Calculation'!I232</f>
        <v>0</v>
      </c>
      <c r="J228" s="61" t="str">
        <f>'Secondary cum Calculation'!J232</f>
        <v>%</v>
      </c>
      <c r="K228" s="58">
        <f>'Secondary cum Calculation'!K232</f>
        <v>0</v>
      </c>
      <c r="L228" s="59"/>
      <c r="M228" s="62" t="e">
        <f>'Secondary cum Calculation'!M232</f>
        <v>#DIV/0!</v>
      </c>
      <c r="N228" s="62" t="e">
        <f>'Secondary cum Calculation'!N232</f>
        <v>#DIV/0!</v>
      </c>
      <c r="O228" s="62" t="e">
        <f>'Secondary cum Calculation'!O232</f>
        <v>#DIV/0!</v>
      </c>
      <c r="P228" s="62" t="e">
        <f>'Secondary cum Calculation'!P232</f>
        <v>#DIV/0!</v>
      </c>
      <c r="Q228" s="62"/>
      <c r="R228" s="62"/>
      <c r="S228" s="62"/>
      <c r="T228" s="62"/>
      <c r="U228" s="62"/>
      <c r="V228" s="62"/>
      <c r="W228" s="259"/>
      <c r="X228" s="259"/>
    </row>
    <row r="229" spans="1:24">
      <c r="A229" s="55" t="str">
        <f>'Secondary cum Calculation'!A233</f>
        <v>Poland</v>
      </c>
      <c r="B229" s="56" t="str">
        <f>'Secondary cum Calculation'!B233</f>
        <v>Tourism Flows</v>
      </c>
      <c r="C229" s="56" t="str">
        <f>'Secondary cum Calculation'!C233</f>
        <v>International Arrivals by Place of Origin</v>
      </c>
      <c r="D229" s="56" t="str">
        <f>'Secondary cum Calculation'!D233</f>
        <v>Africa</v>
      </c>
      <c r="E229" s="55" t="str">
        <f>'Secondary cum Calculation'!E233</f>
        <v>Liberia</v>
      </c>
      <c r="F229" s="57" t="str">
        <f>'Secondary cum Calculation'!F233</f>
        <v>The number of international arrivals to a country originating from Liberia</v>
      </c>
      <c r="G229" s="57" t="str">
        <f>'Secondary cum Calculation'!G233</f>
        <v>Tourism Demand &amp; Flows Database</v>
      </c>
      <c r="H229" s="57" t="str">
        <f>'Secondary cum Calculation'!H233</f>
        <v>New</v>
      </c>
      <c r="I229" s="57">
        <f>'Secondary cum Calculation'!I233</f>
        <v>0</v>
      </c>
      <c r="J229" s="57" t="str">
        <f>'Secondary cum Calculation'!J233</f>
        <v>Thousand</v>
      </c>
      <c r="K229" s="58">
        <f>'Secondary cum Calculation'!K233</f>
        <v>0</v>
      </c>
      <c r="L229" s="59">
        <f>'Secondary cum Calculation'!L233</f>
        <v>0</v>
      </c>
      <c r="M229" s="59">
        <f>'Secondary cum Calculation'!M233</f>
        <v>0</v>
      </c>
      <c r="N229" s="59">
        <f>'Secondary cum Calculation'!N233</f>
        <v>0</v>
      </c>
      <c r="O229" s="59">
        <f>'Secondary cum Calculation'!O233</f>
        <v>0</v>
      </c>
      <c r="P229" s="59">
        <f>'Secondary cum Calculation'!P233</f>
        <v>0</v>
      </c>
      <c r="Q229" s="59"/>
      <c r="R229" s="59"/>
      <c r="S229" s="59"/>
      <c r="T229" s="59"/>
      <c r="U229" s="59"/>
      <c r="V229" s="59"/>
      <c r="W229" s="106" t="e">
        <f>'Secondary cum Calculation'!W233</f>
        <v>#DIV/0!</v>
      </c>
      <c r="X229" s="106" t="e">
        <f>'Secondary cum Calculation'!X233</f>
        <v>#DIV/0!</v>
      </c>
    </row>
    <row r="230" spans="1:24">
      <c r="A230" s="57"/>
      <c r="B230" s="57"/>
      <c r="C230" s="61" t="str">
        <f>'Secondary cum Calculation'!C234</f>
        <v>Growth Rate</v>
      </c>
      <c r="D230" s="61"/>
      <c r="E230" s="61"/>
      <c r="F230" s="61">
        <f>'Secondary cum Calculation'!F234</f>
        <v>0</v>
      </c>
      <c r="G230" s="61">
        <f>'Secondary cum Calculation'!G234</f>
        <v>0</v>
      </c>
      <c r="H230" s="61">
        <f>'Secondary cum Calculation'!H234</f>
        <v>0</v>
      </c>
      <c r="I230" s="61">
        <f>'Secondary cum Calculation'!I234</f>
        <v>0</v>
      </c>
      <c r="J230" s="61" t="str">
        <f>'Secondary cum Calculation'!J234</f>
        <v>%</v>
      </c>
      <c r="K230" s="58">
        <f>'Secondary cum Calculation'!K234</f>
        <v>0</v>
      </c>
      <c r="L230" s="59"/>
      <c r="M230" s="62" t="e">
        <f>'Secondary cum Calculation'!M234</f>
        <v>#DIV/0!</v>
      </c>
      <c r="N230" s="62" t="e">
        <f>'Secondary cum Calculation'!N234</f>
        <v>#DIV/0!</v>
      </c>
      <c r="O230" s="62" t="e">
        <f>'Secondary cum Calculation'!O234</f>
        <v>#DIV/0!</v>
      </c>
      <c r="P230" s="62" t="e">
        <f>'Secondary cum Calculation'!P234</f>
        <v>#DIV/0!</v>
      </c>
      <c r="Q230" s="62"/>
      <c r="R230" s="62"/>
      <c r="S230" s="62"/>
      <c r="T230" s="62"/>
      <c r="U230" s="62"/>
      <c r="V230" s="62"/>
      <c r="W230" s="259"/>
      <c r="X230" s="259"/>
    </row>
    <row r="231" spans="1:24">
      <c r="A231" s="55" t="str">
        <f>'Secondary cum Calculation'!A235</f>
        <v>Poland</v>
      </c>
      <c r="B231" s="56" t="str">
        <f>'Secondary cum Calculation'!B235</f>
        <v>Tourism Flows</v>
      </c>
      <c r="C231" s="56" t="str">
        <f>'Secondary cum Calculation'!C235</f>
        <v>International Arrivals by Place of Origin</v>
      </c>
      <c r="D231" s="56" t="str">
        <f>'Secondary cum Calculation'!D235</f>
        <v>Africa</v>
      </c>
      <c r="E231" s="55" t="str">
        <f>'Secondary cum Calculation'!E235</f>
        <v>Libyan Arab Jamahiriya</v>
      </c>
      <c r="F231" s="57" t="str">
        <f>'Secondary cum Calculation'!F235</f>
        <v>The number of international arrivals to a country originating from Libyan Arab Jamahiriya</v>
      </c>
      <c r="G231" s="57" t="str">
        <f>'Secondary cum Calculation'!G235</f>
        <v>Tourism Demand &amp; Flows Database</v>
      </c>
      <c r="H231" s="57" t="str">
        <f>'Secondary cum Calculation'!H235</f>
        <v>New</v>
      </c>
      <c r="I231" s="57">
        <f>'Secondary cum Calculation'!I235</f>
        <v>0</v>
      </c>
      <c r="J231" s="57" t="str">
        <f>'Secondary cum Calculation'!J235</f>
        <v>Thousand</v>
      </c>
      <c r="K231" s="58">
        <f>'Secondary cum Calculation'!K235</f>
        <v>0</v>
      </c>
      <c r="L231" s="59">
        <f>'Secondary cum Calculation'!L235</f>
        <v>0</v>
      </c>
      <c r="M231" s="59">
        <f>'Secondary cum Calculation'!M235</f>
        <v>0</v>
      </c>
      <c r="N231" s="59">
        <f>'Secondary cum Calculation'!N235</f>
        <v>0</v>
      </c>
      <c r="O231" s="59">
        <f>'Secondary cum Calculation'!O235</f>
        <v>0</v>
      </c>
      <c r="P231" s="59">
        <f>'Secondary cum Calculation'!P235</f>
        <v>0</v>
      </c>
      <c r="Q231" s="59"/>
      <c r="R231" s="59"/>
      <c r="S231" s="59"/>
      <c r="T231" s="59"/>
      <c r="U231" s="59"/>
      <c r="V231" s="59"/>
      <c r="W231" s="106" t="e">
        <f>'Secondary cum Calculation'!W235</f>
        <v>#DIV/0!</v>
      </c>
      <c r="X231" s="106" t="e">
        <f>'Secondary cum Calculation'!X235</f>
        <v>#DIV/0!</v>
      </c>
    </row>
    <row r="232" spans="1:24">
      <c r="A232" s="57"/>
      <c r="B232" s="57"/>
      <c r="C232" s="61" t="str">
        <f>'Secondary cum Calculation'!C236</f>
        <v>Growth Rate</v>
      </c>
      <c r="D232" s="61"/>
      <c r="E232" s="61"/>
      <c r="F232" s="61">
        <f>'Secondary cum Calculation'!F236</f>
        <v>0</v>
      </c>
      <c r="G232" s="61">
        <f>'Secondary cum Calculation'!G236</f>
        <v>0</v>
      </c>
      <c r="H232" s="61">
        <f>'Secondary cum Calculation'!H236</f>
        <v>0</v>
      </c>
      <c r="I232" s="61">
        <f>'Secondary cum Calculation'!I236</f>
        <v>0</v>
      </c>
      <c r="J232" s="61" t="str">
        <f>'Secondary cum Calculation'!J236</f>
        <v>%</v>
      </c>
      <c r="K232" s="58">
        <f>'Secondary cum Calculation'!K236</f>
        <v>0</v>
      </c>
      <c r="L232" s="59"/>
      <c r="M232" s="62" t="e">
        <f>'Secondary cum Calculation'!M236</f>
        <v>#DIV/0!</v>
      </c>
      <c r="N232" s="62" t="e">
        <f>'Secondary cum Calculation'!N236</f>
        <v>#DIV/0!</v>
      </c>
      <c r="O232" s="62" t="e">
        <f>'Secondary cum Calculation'!O236</f>
        <v>#DIV/0!</v>
      </c>
      <c r="P232" s="62" t="e">
        <f>'Secondary cum Calculation'!P236</f>
        <v>#DIV/0!</v>
      </c>
      <c r="Q232" s="62"/>
      <c r="R232" s="62"/>
      <c r="S232" s="62"/>
      <c r="T232" s="62"/>
      <c r="U232" s="62"/>
      <c r="V232" s="62"/>
      <c r="W232" s="259"/>
      <c r="X232" s="259"/>
    </row>
    <row r="233" spans="1:24">
      <c r="A233" s="55" t="str">
        <f>'Secondary cum Calculation'!A237</f>
        <v>Poland</v>
      </c>
      <c r="B233" s="56" t="str">
        <f>'Secondary cum Calculation'!B237</f>
        <v>Tourism Flows</v>
      </c>
      <c r="C233" s="56" t="str">
        <f>'Secondary cum Calculation'!C237</f>
        <v>International Arrivals by Place of Origin</v>
      </c>
      <c r="D233" s="56" t="str">
        <f>'Secondary cum Calculation'!D237</f>
        <v>Africa</v>
      </c>
      <c r="E233" s="55" t="str">
        <f>'Secondary cum Calculation'!E237</f>
        <v>Madagascar</v>
      </c>
      <c r="F233" s="57" t="str">
        <f>'Secondary cum Calculation'!F237</f>
        <v>The number of international arrivals to a country originating from Madagascar</v>
      </c>
      <c r="G233" s="57" t="str">
        <f>'Secondary cum Calculation'!G237</f>
        <v>Tourism Demand &amp; Flows Database</v>
      </c>
      <c r="H233" s="57" t="str">
        <f>'Secondary cum Calculation'!H237</f>
        <v>New</v>
      </c>
      <c r="I233" s="57">
        <f>'Secondary cum Calculation'!I237</f>
        <v>0</v>
      </c>
      <c r="J233" s="57" t="str">
        <f>'Secondary cum Calculation'!J237</f>
        <v>Thousand</v>
      </c>
      <c r="K233" s="58">
        <f>'Secondary cum Calculation'!K237</f>
        <v>0</v>
      </c>
      <c r="L233" s="59">
        <f>'Secondary cum Calculation'!L237</f>
        <v>0</v>
      </c>
      <c r="M233" s="59">
        <f>'Secondary cum Calculation'!M237</f>
        <v>0</v>
      </c>
      <c r="N233" s="59">
        <f>'Secondary cum Calculation'!N237</f>
        <v>0</v>
      </c>
      <c r="O233" s="59">
        <f>'Secondary cum Calculation'!O237</f>
        <v>0</v>
      </c>
      <c r="P233" s="59">
        <f>'Secondary cum Calculation'!P237</f>
        <v>0</v>
      </c>
      <c r="Q233" s="59"/>
      <c r="R233" s="59"/>
      <c r="S233" s="59"/>
      <c r="T233" s="59"/>
      <c r="U233" s="59"/>
      <c r="V233" s="59"/>
      <c r="W233" s="106" t="e">
        <f>'Secondary cum Calculation'!W237</f>
        <v>#DIV/0!</v>
      </c>
      <c r="X233" s="106" t="e">
        <f>'Secondary cum Calculation'!X237</f>
        <v>#DIV/0!</v>
      </c>
    </row>
    <row r="234" spans="1:24">
      <c r="A234" s="57"/>
      <c r="B234" s="57"/>
      <c r="C234" s="61" t="str">
        <f>'Secondary cum Calculation'!C238</f>
        <v>Growth Rate</v>
      </c>
      <c r="D234" s="61"/>
      <c r="E234" s="61"/>
      <c r="F234" s="61">
        <f>'Secondary cum Calculation'!F238</f>
        <v>0</v>
      </c>
      <c r="G234" s="61">
        <f>'Secondary cum Calculation'!G238</f>
        <v>0</v>
      </c>
      <c r="H234" s="61">
        <f>'Secondary cum Calculation'!H238</f>
        <v>0</v>
      </c>
      <c r="I234" s="61">
        <f>'Secondary cum Calculation'!I238</f>
        <v>0</v>
      </c>
      <c r="J234" s="61" t="str">
        <f>'Secondary cum Calculation'!J238</f>
        <v>%</v>
      </c>
      <c r="K234" s="58">
        <f>'Secondary cum Calculation'!K238</f>
        <v>0</v>
      </c>
      <c r="L234" s="59"/>
      <c r="M234" s="62" t="e">
        <f>'Secondary cum Calculation'!M238</f>
        <v>#DIV/0!</v>
      </c>
      <c r="N234" s="62" t="e">
        <f>'Secondary cum Calculation'!N238</f>
        <v>#DIV/0!</v>
      </c>
      <c r="O234" s="62" t="e">
        <f>'Secondary cum Calculation'!O238</f>
        <v>#DIV/0!</v>
      </c>
      <c r="P234" s="62" t="e">
        <f>'Secondary cum Calculation'!P238</f>
        <v>#DIV/0!</v>
      </c>
      <c r="Q234" s="62"/>
      <c r="R234" s="62"/>
      <c r="S234" s="62"/>
      <c r="T234" s="62"/>
      <c r="U234" s="62"/>
      <c r="V234" s="62"/>
      <c r="W234" s="259"/>
      <c r="X234" s="259"/>
    </row>
    <row r="235" spans="1:24">
      <c r="A235" s="55" t="str">
        <f>'Secondary cum Calculation'!A239</f>
        <v>Poland</v>
      </c>
      <c r="B235" s="56" t="str">
        <f>'Secondary cum Calculation'!B239</f>
        <v>Tourism Flows</v>
      </c>
      <c r="C235" s="56" t="str">
        <f>'Secondary cum Calculation'!C239</f>
        <v>International Arrivals by Place of Origin</v>
      </c>
      <c r="D235" s="56" t="str">
        <f>'Secondary cum Calculation'!D239</f>
        <v>Africa</v>
      </c>
      <c r="E235" s="55" t="str">
        <f>'Secondary cum Calculation'!E239</f>
        <v>Malawi</v>
      </c>
      <c r="F235" s="57" t="str">
        <f>'Secondary cum Calculation'!F239</f>
        <v>The number of international arrivals to a country originating from Malawi</v>
      </c>
      <c r="G235" s="57" t="str">
        <f>'Secondary cum Calculation'!G239</f>
        <v>Tourism Demand &amp; Flows Database</v>
      </c>
      <c r="H235" s="57" t="str">
        <f>'Secondary cum Calculation'!H239</f>
        <v>New</v>
      </c>
      <c r="I235" s="57">
        <f>'Secondary cum Calculation'!I239</f>
        <v>0</v>
      </c>
      <c r="J235" s="57" t="str">
        <f>'Secondary cum Calculation'!J239</f>
        <v>Thousand</v>
      </c>
      <c r="K235" s="58">
        <f>'Secondary cum Calculation'!K239</f>
        <v>0</v>
      </c>
      <c r="L235" s="59">
        <f>'Secondary cum Calculation'!L239</f>
        <v>0</v>
      </c>
      <c r="M235" s="59">
        <f>'Secondary cum Calculation'!M239</f>
        <v>0</v>
      </c>
      <c r="N235" s="59">
        <f>'Secondary cum Calculation'!N239</f>
        <v>0</v>
      </c>
      <c r="O235" s="59">
        <f>'Secondary cum Calculation'!O239</f>
        <v>0</v>
      </c>
      <c r="P235" s="59">
        <f>'Secondary cum Calculation'!P239</f>
        <v>0</v>
      </c>
      <c r="Q235" s="59"/>
      <c r="R235" s="59"/>
      <c r="S235" s="59"/>
      <c r="T235" s="59"/>
      <c r="U235" s="59"/>
      <c r="V235" s="59"/>
      <c r="W235" s="106" t="e">
        <f>'Secondary cum Calculation'!W239</f>
        <v>#DIV/0!</v>
      </c>
      <c r="X235" s="106" t="e">
        <f>'Secondary cum Calculation'!X239</f>
        <v>#DIV/0!</v>
      </c>
    </row>
    <row r="236" spans="1:24">
      <c r="A236" s="57"/>
      <c r="B236" s="57"/>
      <c r="C236" s="61" t="str">
        <f>'Secondary cum Calculation'!C240</f>
        <v>Growth Rate</v>
      </c>
      <c r="D236" s="61"/>
      <c r="E236" s="61"/>
      <c r="F236" s="61">
        <f>'Secondary cum Calculation'!F240</f>
        <v>0</v>
      </c>
      <c r="G236" s="61">
        <f>'Secondary cum Calculation'!G240</f>
        <v>0</v>
      </c>
      <c r="H236" s="61">
        <f>'Secondary cum Calculation'!H240</f>
        <v>0</v>
      </c>
      <c r="I236" s="61">
        <f>'Secondary cum Calculation'!I240</f>
        <v>0</v>
      </c>
      <c r="J236" s="61" t="str">
        <f>'Secondary cum Calculation'!J240</f>
        <v>%</v>
      </c>
      <c r="K236" s="58">
        <f>'Secondary cum Calculation'!K240</f>
        <v>0</v>
      </c>
      <c r="L236" s="59"/>
      <c r="M236" s="62" t="e">
        <f>'Secondary cum Calculation'!M240</f>
        <v>#DIV/0!</v>
      </c>
      <c r="N236" s="62" t="e">
        <f>'Secondary cum Calculation'!N240</f>
        <v>#DIV/0!</v>
      </c>
      <c r="O236" s="62" t="e">
        <f>'Secondary cum Calculation'!O240</f>
        <v>#DIV/0!</v>
      </c>
      <c r="P236" s="62" t="e">
        <f>'Secondary cum Calculation'!P240</f>
        <v>#DIV/0!</v>
      </c>
      <c r="Q236" s="62"/>
      <c r="R236" s="62"/>
      <c r="S236" s="62"/>
      <c r="T236" s="62"/>
      <c r="U236" s="62"/>
      <c r="V236" s="62"/>
      <c r="W236" s="259"/>
      <c r="X236" s="259"/>
    </row>
    <row r="237" spans="1:24">
      <c r="A237" s="55" t="str">
        <f>'Secondary cum Calculation'!A241</f>
        <v>Poland</v>
      </c>
      <c r="B237" s="56" t="str">
        <f>'Secondary cum Calculation'!B241</f>
        <v>Tourism Flows</v>
      </c>
      <c r="C237" s="56" t="str">
        <f>'Secondary cum Calculation'!C241</f>
        <v>International Arrivals by Place of Origin</v>
      </c>
      <c r="D237" s="56" t="str">
        <f>'Secondary cum Calculation'!D241</f>
        <v>Africa</v>
      </c>
      <c r="E237" s="55" t="str">
        <f>'Secondary cum Calculation'!E241</f>
        <v>Mali</v>
      </c>
      <c r="F237" s="57" t="str">
        <f>'Secondary cum Calculation'!F241</f>
        <v>The number of international arrivals to a country originating from Mali</v>
      </c>
      <c r="G237" s="57" t="str">
        <f>'Secondary cum Calculation'!G241</f>
        <v>Tourism Demand &amp; Flows Database</v>
      </c>
      <c r="H237" s="57" t="str">
        <f>'Secondary cum Calculation'!H241</f>
        <v>New</v>
      </c>
      <c r="I237" s="57">
        <f>'Secondary cum Calculation'!I241</f>
        <v>0</v>
      </c>
      <c r="J237" s="57" t="str">
        <f>'Secondary cum Calculation'!J241</f>
        <v>Thousand</v>
      </c>
      <c r="K237" s="58">
        <f>'Secondary cum Calculation'!K241</f>
        <v>0</v>
      </c>
      <c r="L237" s="59">
        <f>'Secondary cum Calculation'!L241</f>
        <v>0</v>
      </c>
      <c r="M237" s="59">
        <f>'Secondary cum Calculation'!M241</f>
        <v>0</v>
      </c>
      <c r="N237" s="59">
        <f>'Secondary cum Calculation'!N241</f>
        <v>0</v>
      </c>
      <c r="O237" s="59">
        <f>'Secondary cum Calculation'!O241</f>
        <v>0</v>
      </c>
      <c r="P237" s="59">
        <f>'Secondary cum Calculation'!P241</f>
        <v>0</v>
      </c>
      <c r="Q237" s="59"/>
      <c r="R237" s="59"/>
      <c r="S237" s="59"/>
      <c r="T237" s="59"/>
      <c r="U237" s="59"/>
      <c r="V237" s="59"/>
      <c r="W237" s="106" t="e">
        <f>'Secondary cum Calculation'!W241</f>
        <v>#DIV/0!</v>
      </c>
      <c r="X237" s="106" t="e">
        <f>'Secondary cum Calculation'!X241</f>
        <v>#DIV/0!</v>
      </c>
    </row>
    <row r="238" spans="1:24">
      <c r="A238" s="57"/>
      <c r="B238" s="57"/>
      <c r="C238" s="61" t="str">
        <f>'Secondary cum Calculation'!C242</f>
        <v>Growth Rate</v>
      </c>
      <c r="D238" s="61"/>
      <c r="E238" s="61"/>
      <c r="F238" s="61">
        <f>'Secondary cum Calculation'!F242</f>
        <v>0</v>
      </c>
      <c r="G238" s="61">
        <f>'Secondary cum Calculation'!G242</f>
        <v>0</v>
      </c>
      <c r="H238" s="61">
        <f>'Secondary cum Calculation'!H242</f>
        <v>0</v>
      </c>
      <c r="I238" s="61">
        <f>'Secondary cum Calculation'!I242</f>
        <v>0</v>
      </c>
      <c r="J238" s="61" t="str">
        <f>'Secondary cum Calculation'!J242</f>
        <v>%</v>
      </c>
      <c r="K238" s="58">
        <f>'Secondary cum Calculation'!K242</f>
        <v>0</v>
      </c>
      <c r="L238" s="59"/>
      <c r="M238" s="62" t="e">
        <f>'Secondary cum Calculation'!M242</f>
        <v>#DIV/0!</v>
      </c>
      <c r="N238" s="62" t="e">
        <f>'Secondary cum Calculation'!N242</f>
        <v>#DIV/0!</v>
      </c>
      <c r="O238" s="62" t="e">
        <f>'Secondary cum Calculation'!O242</f>
        <v>#DIV/0!</v>
      </c>
      <c r="P238" s="62" t="e">
        <f>'Secondary cum Calculation'!P242</f>
        <v>#DIV/0!</v>
      </c>
      <c r="Q238" s="62"/>
      <c r="R238" s="62"/>
      <c r="S238" s="62"/>
      <c r="T238" s="62"/>
      <c r="U238" s="62"/>
      <c r="V238" s="62"/>
      <c r="W238" s="259"/>
      <c r="X238" s="259"/>
    </row>
    <row r="239" spans="1:24">
      <c r="A239" s="55" t="str">
        <f>'Secondary cum Calculation'!A243</f>
        <v>Poland</v>
      </c>
      <c r="B239" s="56" t="str">
        <f>'Secondary cum Calculation'!B243</f>
        <v>Tourism Flows</v>
      </c>
      <c r="C239" s="56" t="str">
        <f>'Secondary cum Calculation'!C243</f>
        <v>International Arrivals by Place of Origin</v>
      </c>
      <c r="D239" s="56" t="str">
        <f>'Secondary cum Calculation'!D243</f>
        <v>Africa</v>
      </c>
      <c r="E239" s="55" t="str">
        <f>'Secondary cum Calculation'!E243</f>
        <v>Mauritania</v>
      </c>
      <c r="F239" s="57" t="str">
        <f>'Secondary cum Calculation'!F243</f>
        <v>The number of international arrivals to a country originating from Mauritania</v>
      </c>
      <c r="G239" s="57" t="str">
        <f>'Secondary cum Calculation'!G243</f>
        <v>Tourism Demand &amp; Flows Database</v>
      </c>
      <c r="H239" s="57" t="str">
        <f>'Secondary cum Calculation'!H243</f>
        <v>New</v>
      </c>
      <c r="I239" s="57">
        <f>'Secondary cum Calculation'!I243</f>
        <v>0</v>
      </c>
      <c r="J239" s="57" t="str">
        <f>'Secondary cum Calculation'!J243</f>
        <v>Thousand</v>
      </c>
      <c r="K239" s="58">
        <f>'Secondary cum Calculation'!K243</f>
        <v>0</v>
      </c>
      <c r="L239" s="59">
        <f>'Secondary cum Calculation'!L243</f>
        <v>0</v>
      </c>
      <c r="M239" s="59">
        <f>'Secondary cum Calculation'!M243</f>
        <v>0</v>
      </c>
      <c r="N239" s="59">
        <f>'Secondary cum Calculation'!N243</f>
        <v>0</v>
      </c>
      <c r="O239" s="59">
        <f>'Secondary cum Calculation'!O243</f>
        <v>0</v>
      </c>
      <c r="P239" s="59">
        <f>'Secondary cum Calculation'!P243</f>
        <v>0</v>
      </c>
      <c r="Q239" s="59"/>
      <c r="R239" s="59"/>
      <c r="S239" s="59"/>
      <c r="T239" s="59"/>
      <c r="U239" s="59"/>
      <c r="V239" s="59"/>
      <c r="W239" s="106" t="e">
        <f>'Secondary cum Calculation'!W243</f>
        <v>#DIV/0!</v>
      </c>
      <c r="X239" s="106" t="e">
        <f>'Secondary cum Calculation'!X243</f>
        <v>#DIV/0!</v>
      </c>
    </row>
    <row r="240" spans="1:24">
      <c r="A240" s="57"/>
      <c r="B240" s="57"/>
      <c r="C240" s="61" t="str">
        <f>'Secondary cum Calculation'!C244</f>
        <v>Growth Rate</v>
      </c>
      <c r="D240" s="61"/>
      <c r="E240" s="61"/>
      <c r="F240" s="61">
        <f>'Secondary cum Calculation'!F244</f>
        <v>0</v>
      </c>
      <c r="G240" s="61">
        <f>'Secondary cum Calculation'!G244</f>
        <v>0</v>
      </c>
      <c r="H240" s="61">
        <f>'Secondary cum Calculation'!H244</f>
        <v>0</v>
      </c>
      <c r="I240" s="61">
        <f>'Secondary cum Calculation'!I244</f>
        <v>0</v>
      </c>
      <c r="J240" s="61" t="str">
        <f>'Secondary cum Calculation'!J244</f>
        <v>%</v>
      </c>
      <c r="K240" s="58">
        <f>'Secondary cum Calculation'!K244</f>
        <v>0</v>
      </c>
      <c r="L240" s="59"/>
      <c r="M240" s="62" t="e">
        <f>'Secondary cum Calculation'!M244</f>
        <v>#DIV/0!</v>
      </c>
      <c r="N240" s="62" t="e">
        <f>'Secondary cum Calculation'!N244</f>
        <v>#DIV/0!</v>
      </c>
      <c r="O240" s="62" t="e">
        <f>'Secondary cum Calculation'!O244</f>
        <v>#DIV/0!</v>
      </c>
      <c r="P240" s="62" t="e">
        <f>'Secondary cum Calculation'!P244</f>
        <v>#DIV/0!</v>
      </c>
      <c r="Q240" s="62"/>
      <c r="R240" s="62"/>
      <c r="S240" s="62"/>
      <c r="T240" s="62"/>
      <c r="U240" s="62"/>
      <c r="V240" s="62"/>
      <c r="W240" s="259"/>
      <c r="X240" s="259"/>
    </row>
    <row r="241" spans="1:24">
      <c r="A241" s="55" t="str">
        <f>'Secondary cum Calculation'!A245</f>
        <v>Poland</v>
      </c>
      <c r="B241" s="56" t="str">
        <f>'Secondary cum Calculation'!B245</f>
        <v>Tourism Flows</v>
      </c>
      <c r="C241" s="56" t="str">
        <f>'Secondary cum Calculation'!C245</f>
        <v>International Arrivals by Place of Origin</v>
      </c>
      <c r="D241" s="56" t="str">
        <f>'Secondary cum Calculation'!D245</f>
        <v>Africa</v>
      </c>
      <c r="E241" s="55" t="str">
        <f>'Secondary cum Calculation'!E245</f>
        <v>Mayotte</v>
      </c>
      <c r="F241" s="57" t="str">
        <f>'Secondary cum Calculation'!F245</f>
        <v>The number of international arrivals to a country originating from Mayotte</v>
      </c>
      <c r="G241" s="57" t="str">
        <f>'Secondary cum Calculation'!G245</f>
        <v>Tourism Demand &amp; Flows Database</v>
      </c>
      <c r="H241" s="57" t="str">
        <f>'Secondary cum Calculation'!H245</f>
        <v>New</v>
      </c>
      <c r="I241" s="57">
        <f>'Secondary cum Calculation'!I245</f>
        <v>0</v>
      </c>
      <c r="J241" s="57" t="str">
        <f>'Secondary cum Calculation'!J245</f>
        <v>Thousand</v>
      </c>
      <c r="K241" s="58">
        <f>'Secondary cum Calculation'!K245</f>
        <v>0</v>
      </c>
      <c r="L241" s="59">
        <f>'Secondary cum Calculation'!L245</f>
        <v>0</v>
      </c>
      <c r="M241" s="59">
        <f>'Secondary cum Calculation'!M245</f>
        <v>0</v>
      </c>
      <c r="N241" s="59">
        <f>'Secondary cum Calculation'!N245</f>
        <v>0</v>
      </c>
      <c r="O241" s="59">
        <f>'Secondary cum Calculation'!O245</f>
        <v>0</v>
      </c>
      <c r="P241" s="59">
        <f>'Secondary cum Calculation'!P245</f>
        <v>0</v>
      </c>
      <c r="Q241" s="59"/>
      <c r="R241" s="59"/>
      <c r="S241" s="59"/>
      <c r="T241" s="59"/>
      <c r="U241" s="59"/>
      <c r="V241" s="59"/>
      <c r="W241" s="106" t="e">
        <f>'Secondary cum Calculation'!W245</f>
        <v>#DIV/0!</v>
      </c>
      <c r="X241" s="106" t="e">
        <f>'Secondary cum Calculation'!X245</f>
        <v>#DIV/0!</v>
      </c>
    </row>
    <row r="242" spans="1:24">
      <c r="A242" s="57"/>
      <c r="B242" s="57"/>
      <c r="C242" s="61" t="str">
        <f>'Secondary cum Calculation'!C246</f>
        <v>Growth Rate</v>
      </c>
      <c r="D242" s="61"/>
      <c r="E242" s="61"/>
      <c r="F242" s="61">
        <f>'Secondary cum Calculation'!F246</f>
        <v>0</v>
      </c>
      <c r="G242" s="61">
        <f>'Secondary cum Calculation'!G246</f>
        <v>0</v>
      </c>
      <c r="H242" s="61">
        <f>'Secondary cum Calculation'!H246</f>
        <v>0</v>
      </c>
      <c r="I242" s="61">
        <f>'Secondary cum Calculation'!I246</f>
        <v>0</v>
      </c>
      <c r="J242" s="61" t="str">
        <f>'Secondary cum Calculation'!J246</f>
        <v>%</v>
      </c>
      <c r="K242" s="58">
        <f>'Secondary cum Calculation'!K246</f>
        <v>0</v>
      </c>
      <c r="L242" s="59"/>
      <c r="M242" s="62" t="e">
        <f>'Secondary cum Calculation'!M246</f>
        <v>#DIV/0!</v>
      </c>
      <c r="N242" s="62" t="e">
        <f>'Secondary cum Calculation'!N246</f>
        <v>#DIV/0!</v>
      </c>
      <c r="O242" s="62" t="e">
        <f>'Secondary cum Calculation'!O246</f>
        <v>#DIV/0!</v>
      </c>
      <c r="P242" s="62" t="e">
        <f>'Secondary cum Calculation'!P246</f>
        <v>#DIV/0!</v>
      </c>
      <c r="Q242" s="62"/>
      <c r="R242" s="62"/>
      <c r="S242" s="62"/>
      <c r="T242" s="62"/>
      <c r="U242" s="62"/>
      <c r="V242" s="62"/>
      <c r="W242" s="259"/>
      <c r="X242" s="259"/>
    </row>
    <row r="243" spans="1:24">
      <c r="A243" s="55" t="str">
        <f>'Secondary cum Calculation'!A247</f>
        <v>Poland</v>
      </c>
      <c r="B243" s="56" t="str">
        <f>'Secondary cum Calculation'!B247</f>
        <v>Tourism Flows</v>
      </c>
      <c r="C243" s="56" t="str">
        <f>'Secondary cum Calculation'!C247</f>
        <v>International Arrivals by Place of Origin</v>
      </c>
      <c r="D243" s="56" t="str">
        <f>'Secondary cum Calculation'!D247</f>
        <v>Africa</v>
      </c>
      <c r="E243" s="55" t="str">
        <f>'Secondary cum Calculation'!E247</f>
        <v>Morocco</v>
      </c>
      <c r="F243" s="57" t="str">
        <f>'Secondary cum Calculation'!F247</f>
        <v>The number of international arrivals to a country originating from Morocco</v>
      </c>
      <c r="G243" s="57" t="str">
        <f>'Secondary cum Calculation'!G247</f>
        <v>Tourism Demand &amp; Flows Database</v>
      </c>
      <c r="H243" s="57" t="str">
        <f>'Secondary cum Calculation'!H247</f>
        <v>New</v>
      </c>
      <c r="I243" s="57">
        <f>'Secondary cum Calculation'!I247</f>
        <v>0</v>
      </c>
      <c r="J243" s="57" t="str">
        <f>'Secondary cum Calculation'!J247</f>
        <v>Thousand</v>
      </c>
      <c r="K243" s="58">
        <f>'Secondary cum Calculation'!K247</f>
        <v>0</v>
      </c>
      <c r="L243" s="59">
        <f>'Secondary cum Calculation'!L247</f>
        <v>0</v>
      </c>
      <c r="M243" s="59">
        <f>'Secondary cum Calculation'!M247</f>
        <v>0</v>
      </c>
      <c r="N243" s="59">
        <f>'Secondary cum Calculation'!N247</f>
        <v>0</v>
      </c>
      <c r="O243" s="59">
        <f>'Secondary cum Calculation'!O247</f>
        <v>0</v>
      </c>
      <c r="P243" s="59">
        <f>'Secondary cum Calculation'!P247</f>
        <v>0</v>
      </c>
      <c r="Q243" s="59"/>
      <c r="R243" s="59"/>
      <c r="S243" s="59"/>
      <c r="T243" s="59"/>
      <c r="U243" s="59"/>
      <c r="V243" s="59"/>
      <c r="W243" s="106" t="e">
        <f>'Secondary cum Calculation'!W247</f>
        <v>#DIV/0!</v>
      </c>
      <c r="X243" s="106" t="e">
        <f>'Secondary cum Calculation'!X247</f>
        <v>#DIV/0!</v>
      </c>
    </row>
    <row r="244" spans="1:24">
      <c r="A244" s="57"/>
      <c r="B244" s="57"/>
      <c r="C244" s="61" t="str">
        <f>'Secondary cum Calculation'!C248</f>
        <v>Growth Rate</v>
      </c>
      <c r="D244" s="61"/>
      <c r="E244" s="61"/>
      <c r="F244" s="61">
        <f>'Secondary cum Calculation'!F248</f>
        <v>0</v>
      </c>
      <c r="G244" s="61">
        <f>'Secondary cum Calculation'!G248</f>
        <v>0</v>
      </c>
      <c r="H244" s="61">
        <f>'Secondary cum Calculation'!H248</f>
        <v>0</v>
      </c>
      <c r="I244" s="61">
        <f>'Secondary cum Calculation'!I248</f>
        <v>0</v>
      </c>
      <c r="J244" s="61" t="str">
        <f>'Secondary cum Calculation'!J248</f>
        <v>%</v>
      </c>
      <c r="K244" s="58">
        <f>'Secondary cum Calculation'!K248</f>
        <v>0</v>
      </c>
      <c r="L244" s="59"/>
      <c r="M244" s="62" t="e">
        <f>'Secondary cum Calculation'!M248</f>
        <v>#DIV/0!</v>
      </c>
      <c r="N244" s="62" t="e">
        <f>'Secondary cum Calculation'!N248</f>
        <v>#DIV/0!</v>
      </c>
      <c r="O244" s="62" t="e">
        <f>'Secondary cum Calculation'!O248</f>
        <v>#DIV/0!</v>
      </c>
      <c r="P244" s="62" t="e">
        <f>'Secondary cum Calculation'!P248</f>
        <v>#DIV/0!</v>
      </c>
      <c r="Q244" s="62"/>
      <c r="R244" s="62"/>
      <c r="S244" s="62"/>
      <c r="T244" s="62"/>
      <c r="U244" s="62"/>
      <c r="V244" s="62"/>
      <c r="W244" s="259"/>
      <c r="X244" s="259"/>
    </row>
    <row r="245" spans="1:24">
      <c r="A245" s="55" t="str">
        <f>'Secondary cum Calculation'!A249</f>
        <v>Poland</v>
      </c>
      <c r="B245" s="56" t="str">
        <f>'Secondary cum Calculation'!B249</f>
        <v>Tourism Flows</v>
      </c>
      <c r="C245" s="56" t="str">
        <f>'Secondary cum Calculation'!C249</f>
        <v>International Arrivals by Place of Origin</v>
      </c>
      <c r="D245" s="56" t="str">
        <f>'Secondary cum Calculation'!D249</f>
        <v>Africa</v>
      </c>
      <c r="E245" s="55" t="str">
        <f>'Secondary cum Calculation'!E249</f>
        <v>Mozambique</v>
      </c>
      <c r="F245" s="57" t="str">
        <f>'Secondary cum Calculation'!F249</f>
        <v>The number of international arrivals to a country originating from Mozambique</v>
      </c>
      <c r="G245" s="57" t="str">
        <f>'Secondary cum Calculation'!G249</f>
        <v>Tourism Demand &amp; Flows Database</v>
      </c>
      <c r="H245" s="57" t="str">
        <f>'Secondary cum Calculation'!H249</f>
        <v>New</v>
      </c>
      <c r="I245" s="57">
        <f>'Secondary cum Calculation'!I249</f>
        <v>0</v>
      </c>
      <c r="J245" s="57" t="str">
        <f>'Secondary cum Calculation'!J249</f>
        <v>Thousand</v>
      </c>
      <c r="K245" s="58">
        <f>'Secondary cum Calculation'!K249</f>
        <v>0</v>
      </c>
      <c r="L245" s="59">
        <f>'Secondary cum Calculation'!L249</f>
        <v>0</v>
      </c>
      <c r="M245" s="59">
        <f>'Secondary cum Calculation'!M249</f>
        <v>0</v>
      </c>
      <c r="N245" s="59">
        <f>'Secondary cum Calculation'!N249</f>
        <v>0</v>
      </c>
      <c r="O245" s="59">
        <f>'Secondary cum Calculation'!O249</f>
        <v>0</v>
      </c>
      <c r="P245" s="59">
        <f>'Secondary cum Calculation'!P249</f>
        <v>0</v>
      </c>
      <c r="Q245" s="59"/>
      <c r="R245" s="59"/>
      <c r="S245" s="59"/>
      <c r="T245" s="59"/>
      <c r="U245" s="59"/>
      <c r="V245" s="59"/>
      <c r="W245" s="106" t="e">
        <f>'Secondary cum Calculation'!W249</f>
        <v>#DIV/0!</v>
      </c>
      <c r="X245" s="106" t="e">
        <f>'Secondary cum Calculation'!X249</f>
        <v>#DIV/0!</v>
      </c>
    </row>
    <row r="246" spans="1:24">
      <c r="A246" s="57"/>
      <c r="B246" s="57"/>
      <c r="C246" s="61" t="str">
        <f>'Secondary cum Calculation'!C250</f>
        <v>Growth Rate</v>
      </c>
      <c r="D246" s="61"/>
      <c r="E246" s="61"/>
      <c r="F246" s="61">
        <f>'Secondary cum Calculation'!F250</f>
        <v>0</v>
      </c>
      <c r="G246" s="61">
        <f>'Secondary cum Calculation'!G250</f>
        <v>0</v>
      </c>
      <c r="H246" s="61">
        <f>'Secondary cum Calculation'!H250</f>
        <v>0</v>
      </c>
      <c r="I246" s="61">
        <f>'Secondary cum Calculation'!I250</f>
        <v>0</v>
      </c>
      <c r="J246" s="61" t="str">
        <f>'Secondary cum Calculation'!J250</f>
        <v>%</v>
      </c>
      <c r="K246" s="58">
        <f>'Secondary cum Calculation'!K250</f>
        <v>0</v>
      </c>
      <c r="L246" s="59"/>
      <c r="M246" s="62" t="e">
        <f>'Secondary cum Calculation'!M250</f>
        <v>#DIV/0!</v>
      </c>
      <c r="N246" s="62" t="e">
        <f>'Secondary cum Calculation'!N250</f>
        <v>#DIV/0!</v>
      </c>
      <c r="O246" s="62" t="e">
        <f>'Secondary cum Calculation'!O250</f>
        <v>#DIV/0!</v>
      </c>
      <c r="P246" s="62" t="e">
        <f>'Secondary cum Calculation'!P250</f>
        <v>#DIV/0!</v>
      </c>
      <c r="Q246" s="62"/>
      <c r="R246" s="62"/>
      <c r="S246" s="62"/>
      <c r="T246" s="62"/>
      <c r="U246" s="62"/>
      <c r="V246" s="62"/>
      <c r="W246" s="259"/>
      <c r="X246" s="259"/>
    </row>
    <row r="247" spans="1:24">
      <c r="A247" s="55" t="str">
        <f>'Secondary cum Calculation'!A251</f>
        <v>Poland</v>
      </c>
      <c r="B247" s="56" t="str">
        <f>'Secondary cum Calculation'!B251</f>
        <v>Tourism Flows</v>
      </c>
      <c r="C247" s="56" t="str">
        <f>'Secondary cum Calculation'!C251</f>
        <v>International Arrivals by Place of Origin</v>
      </c>
      <c r="D247" s="56" t="str">
        <f>'Secondary cum Calculation'!D251</f>
        <v>Africa</v>
      </c>
      <c r="E247" s="55" t="str">
        <f>'Secondary cum Calculation'!E251</f>
        <v>Namibia</v>
      </c>
      <c r="F247" s="57" t="str">
        <f>'Secondary cum Calculation'!F251</f>
        <v>The number of international arrivals to a country originating from Namibia</v>
      </c>
      <c r="G247" s="57" t="str">
        <f>'Secondary cum Calculation'!G251</f>
        <v>Tourism Demand &amp; Flows Database</v>
      </c>
      <c r="H247" s="57" t="str">
        <f>'Secondary cum Calculation'!H251</f>
        <v>New</v>
      </c>
      <c r="I247" s="57">
        <f>'Secondary cum Calculation'!I251</f>
        <v>0</v>
      </c>
      <c r="J247" s="57" t="str">
        <f>'Secondary cum Calculation'!J251</f>
        <v>Thousand</v>
      </c>
      <c r="K247" s="58">
        <f>'Secondary cum Calculation'!K251</f>
        <v>0</v>
      </c>
      <c r="L247" s="59">
        <f>'Secondary cum Calculation'!L251</f>
        <v>0</v>
      </c>
      <c r="M247" s="59">
        <f>'Secondary cum Calculation'!M251</f>
        <v>0</v>
      </c>
      <c r="N247" s="59">
        <f>'Secondary cum Calculation'!N251</f>
        <v>0</v>
      </c>
      <c r="O247" s="59">
        <f>'Secondary cum Calculation'!O251</f>
        <v>0</v>
      </c>
      <c r="P247" s="59">
        <f>'Secondary cum Calculation'!P251</f>
        <v>0</v>
      </c>
      <c r="Q247" s="59"/>
      <c r="R247" s="59"/>
      <c r="S247" s="59"/>
      <c r="T247" s="59"/>
      <c r="U247" s="59"/>
      <c r="V247" s="59"/>
      <c r="W247" s="106" t="e">
        <f>'Secondary cum Calculation'!W251</f>
        <v>#DIV/0!</v>
      </c>
      <c r="X247" s="106" t="e">
        <f>'Secondary cum Calculation'!X251</f>
        <v>#DIV/0!</v>
      </c>
    </row>
    <row r="248" spans="1:24">
      <c r="A248" s="57"/>
      <c r="B248" s="57"/>
      <c r="C248" s="61" t="str">
        <f>'Secondary cum Calculation'!C252</f>
        <v>Growth Rate</v>
      </c>
      <c r="D248" s="61"/>
      <c r="E248" s="61"/>
      <c r="F248" s="61">
        <f>'Secondary cum Calculation'!F252</f>
        <v>0</v>
      </c>
      <c r="G248" s="61">
        <f>'Secondary cum Calculation'!G252</f>
        <v>0</v>
      </c>
      <c r="H248" s="61">
        <f>'Secondary cum Calculation'!H252</f>
        <v>0</v>
      </c>
      <c r="I248" s="61">
        <f>'Secondary cum Calculation'!I252</f>
        <v>0</v>
      </c>
      <c r="J248" s="61" t="str">
        <f>'Secondary cum Calculation'!J252</f>
        <v>%</v>
      </c>
      <c r="K248" s="58">
        <f>'Secondary cum Calculation'!K252</f>
        <v>0</v>
      </c>
      <c r="L248" s="59"/>
      <c r="M248" s="62" t="e">
        <f>'Secondary cum Calculation'!M252</f>
        <v>#DIV/0!</v>
      </c>
      <c r="N248" s="62" t="e">
        <f>'Secondary cum Calculation'!N252</f>
        <v>#DIV/0!</v>
      </c>
      <c r="O248" s="62" t="e">
        <f>'Secondary cum Calculation'!O252</f>
        <v>#DIV/0!</v>
      </c>
      <c r="P248" s="62" t="e">
        <f>'Secondary cum Calculation'!P252</f>
        <v>#DIV/0!</v>
      </c>
      <c r="Q248" s="62"/>
      <c r="R248" s="62"/>
      <c r="S248" s="62"/>
      <c r="T248" s="62"/>
      <c r="U248" s="62"/>
      <c r="V248" s="62"/>
      <c r="W248" s="259"/>
      <c r="X248" s="259"/>
    </row>
    <row r="249" spans="1:24">
      <c r="A249" s="55" t="str">
        <f>'Secondary cum Calculation'!A253</f>
        <v>Poland</v>
      </c>
      <c r="B249" s="56" t="str">
        <f>'Secondary cum Calculation'!B253</f>
        <v>Tourism Flows</v>
      </c>
      <c r="C249" s="56" t="str">
        <f>'Secondary cum Calculation'!C253</f>
        <v>International Arrivals by Place of Origin</v>
      </c>
      <c r="D249" s="56" t="str">
        <f>'Secondary cum Calculation'!D253</f>
        <v>Africa</v>
      </c>
      <c r="E249" s="55" t="str">
        <f>'Secondary cum Calculation'!E253</f>
        <v>Niger</v>
      </c>
      <c r="F249" s="57" t="str">
        <f>'Secondary cum Calculation'!F253</f>
        <v>The number of international arrivals to a country originating from Niger</v>
      </c>
      <c r="G249" s="57" t="str">
        <f>'Secondary cum Calculation'!G253</f>
        <v>Tourism Demand &amp; Flows Database</v>
      </c>
      <c r="H249" s="57" t="str">
        <f>'Secondary cum Calculation'!H253</f>
        <v>New</v>
      </c>
      <c r="I249" s="57">
        <f>'Secondary cum Calculation'!I253</f>
        <v>0</v>
      </c>
      <c r="J249" s="57" t="str">
        <f>'Secondary cum Calculation'!J253</f>
        <v>Thousand</v>
      </c>
      <c r="K249" s="58">
        <f>'Secondary cum Calculation'!K253</f>
        <v>0</v>
      </c>
      <c r="L249" s="59">
        <f>'Secondary cum Calculation'!L253</f>
        <v>0</v>
      </c>
      <c r="M249" s="59">
        <f>'Secondary cum Calculation'!M253</f>
        <v>0</v>
      </c>
      <c r="N249" s="59">
        <f>'Secondary cum Calculation'!N253</f>
        <v>0</v>
      </c>
      <c r="O249" s="59">
        <f>'Secondary cum Calculation'!O253</f>
        <v>0</v>
      </c>
      <c r="P249" s="59">
        <f>'Secondary cum Calculation'!P253</f>
        <v>0</v>
      </c>
      <c r="Q249" s="59"/>
      <c r="R249" s="59"/>
      <c r="S249" s="59"/>
      <c r="T249" s="59"/>
      <c r="U249" s="59"/>
      <c r="V249" s="59"/>
      <c r="W249" s="106" t="e">
        <f>'Secondary cum Calculation'!W253</f>
        <v>#DIV/0!</v>
      </c>
      <c r="X249" s="106" t="e">
        <f>'Secondary cum Calculation'!X253</f>
        <v>#DIV/0!</v>
      </c>
    </row>
    <row r="250" spans="1:24">
      <c r="A250" s="57"/>
      <c r="B250" s="57"/>
      <c r="C250" s="61" t="str">
        <f>'Secondary cum Calculation'!C254</f>
        <v>Growth Rate</v>
      </c>
      <c r="D250" s="61"/>
      <c r="E250" s="61"/>
      <c r="F250" s="61">
        <f>'Secondary cum Calculation'!F254</f>
        <v>0</v>
      </c>
      <c r="G250" s="61">
        <f>'Secondary cum Calculation'!G254</f>
        <v>0</v>
      </c>
      <c r="H250" s="61">
        <f>'Secondary cum Calculation'!H254</f>
        <v>0</v>
      </c>
      <c r="I250" s="61">
        <f>'Secondary cum Calculation'!I254</f>
        <v>0</v>
      </c>
      <c r="J250" s="61" t="str">
        <f>'Secondary cum Calculation'!J254</f>
        <v>%</v>
      </c>
      <c r="K250" s="58">
        <f>'Secondary cum Calculation'!K254</f>
        <v>0</v>
      </c>
      <c r="L250" s="59"/>
      <c r="M250" s="62" t="e">
        <f>'Secondary cum Calculation'!M254</f>
        <v>#DIV/0!</v>
      </c>
      <c r="N250" s="62" t="e">
        <f>'Secondary cum Calculation'!N254</f>
        <v>#DIV/0!</v>
      </c>
      <c r="O250" s="62" t="e">
        <f>'Secondary cum Calculation'!O254</f>
        <v>#DIV/0!</v>
      </c>
      <c r="P250" s="62" t="e">
        <f>'Secondary cum Calculation'!P254</f>
        <v>#DIV/0!</v>
      </c>
      <c r="Q250" s="62"/>
      <c r="R250" s="62"/>
      <c r="S250" s="62"/>
      <c r="T250" s="62"/>
      <c r="U250" s="62"/>
      <c r="V250" s="62"/>
      <c r="W250" s="259"/>
      <c r="X250" s="259"/>
    </row>
    <row r="251" spans="1:24">
      <c r="A251" s="55" t="str">
        <f>'Secondary cum Calculation'!A255</f>
        <v>Poland</v>
      </c>
      <c r="B251" s="56" t="str">
        <f>'Secondary cum Calculation'!B255</f>
        <v>Tourism Flows</v>
      </c>
      <c r="C251" s="56" t="str">
        <f>'Secondary cum Calculation'!C255</f>
        <v>International Arrivals by Place of Origin</v>
      </c>
      <c r="D251" s="56" t="str">
        <f>'Secondary cum Calculation'!D255</f>
        <v>Africa</v>
      </c>
      <c r="E251" s="55" t="str">
        <f>'Secondary cum Calculation'!E255</f>
        <v>Nigeria</v>
      </c>
      <c r="F251" s="57" t="str">
        <f>'Secondary cum Calculation'!F255</f>
        <v>The number of international arrivals to a country originating from Nigeria</v>
      </c>
      <c r="G251" s="57" t="str">
        <f>'Secondary cum Calculation'!G255</f>
        <v>Tourism Demand &amp; Flows Database</v>
      </c>
      <c r="H251" s="57" t="str">
        <f>'Secondary cum Calculation'!H255</f>
        <v>New</v>
      </c>
      <c r="I251" s="57">
        <f>'Secondary cum Calculation'!I255</f>
        <v>0</v>
      </c>
      <c r="J251" s="57" t="str">
        <f>'Secondary cum Calculation'!J255</f>
        <v>Thousand</v>
      </c>
      <c r="K251" s="58">
        <f>'Secondary cum Calculation'!K255</f>
        <v>0</v>
      </c>
      <c r="L251" s="59">
        <f>'Secondary cum Calculation'!L255</f>
        <v>0</v>
      </c>
      <c r="M251" s="59">
        <f>'Secondary cum Calculation'!M255</f>
        <v>0</v>
      </c>
      <c r="N251" s="59">
        <f>'Secondary cum Calculation'!N255</f>
        <v>0</v>
      </c>
      <c r="O251" s="59">
        <f>'Secondary cum Calculation'!O255</f>
        <v>0</v>
      </c>
      <c r="P251" s="59">
        <f>'Secondary cum Calculation'!P255</f>
        <v>0</v>
      </c>
      <c r="Q251" s="59"/>
      <c r="R251" s="59"/>
      <c r="S251" s="59"/>
      <c r="T251" s="59"/>
      <c r="U251" s="59"/>
      <c r="V251" s="59"/>
      <c r="W251" s="106" t="e">
        <f>'Secondary cum Calculation'!W255</f>
        <v>#DIV/0!</v>
      </c>
      <c r="X251" s="106" t="e">
        <f>'Secondary cum Calculation'!X255</f>
        <v>#DIV/0!</v>
      </c>
    </row>
    <row r="252" spans="1:24">
      <c r="A252" s="57"/>
      <c r="B252" s="57"/>
      <c r="C252" s="61" t="str">
        <f>'Secondary cum Calculation'!C256</f>
        <v>Growth Rate</v>
      </c>
      <c r="D252" s="61"/>
      <c r="E252" s="61"/>
      <c r="F252" s="61">
        <f>'Secondary cum Calculation'!F256</f>
        <v>0</v>
      </c>
      <c r="G252" s="61">
        <f>'Secondary cum Calculation'!G256</f>
        <v>0</v>
      </c>
      <c r="H252" s="61">
        <f>'Secondary cum Calculation'!H256</f>
        <v>0</v>
      </c>
      <c r="I252" s="61">
        <f>'Secondary cum Calculation'!I256</f>
        <v>0</v>
      </c>
      <c r="J252" s="61" t="str">
        <f>'Secondary cum Calculation'!J256</f>
        <v>%</v>
      </c>
      <c r="K252" s="58">
        <f>'Secondary cum Calculation'!K256</f>
        <v>0</v>
      </c>
      <c r="L252" s="59"/>
      <c r="M252" s="62" t="e">
        <f>'Secondary cum Calculation'!M256</f>
        <v>#DIV/0!</v>
      </c>
      <c r="N252" s="62" t="e">
        <f>'Secondary cum Calculation'!N256</f>
        <v>#DIV/0!</v>
      </c>
      <c r="O252" s="62" t="e">
        <f>'Secondary cum Calculation'!O256</f>
        <v>#DIV/0!</v>
      </c>
      <c r="P252" s="62" t="e">
        <f>'Secondary cum Calculation'!P256</f>
        <v>#DIV/0!</v>
      </c>
      <c r="Q252" s="62"/>
      <c r="R252" s="62"/>
      <c r="S252" s="62"/>
      <c r="T252" s="62"/>
      <c r="U252" s="62"/>
      <c r="V252" s="62"/>
      <c r="W252" s="259"/>
      <c r="X252" s="259"/>
    </row>
    <row r="253" spans="1:24">
      <c r="A253" s="55" t="str">
        <f>'Secondary cum Calculation'!A257</f>
        <v>Poland</v>
      </c>
      <c r="B253" s="56" t="str">
        <f>'Secondary cum Calculation'!B257</f>
        <v>Tourism Flows</v>
      </c>
      <c r="C253" s="56" t="str">
        <f>'Secondary cum Calculation'!C257</f>
        <v>International Arrivals by Place of Origin</v>
      </c>
      <c r="D253" s="56" t="str">
        <f>'Secondary cum Calculation'!D257</f>
        <v>Africa</v>
      </c>
      <c r="E253" s="55" t="str">
        <f>'Secondary cum Calculation'!E257</f>
        <v>Réunion</v>
      </c>
      <c r="F253" s="57" t="str">
        <f>'Secondary cum Calculation'!F257</f>
        <v>The number of international arrivals to a country originating from Réunion</v>
      </c>
      <c r="G253" s="57" t="str">
        <f>'Secondary cum Calculation'!G257</f>
        <v>Tourism Demand &amp; Flows Database</v>
      </c>
      <c r="H253" s="57" t="str">
        <f>'Secondary cum Calculation'!H257</f>
        <v>New</v>
      </c>
      <c r="I253" s="57">
        <f>'Secondary cum Calculation'!I257</f>
        <v>0</v>
      </c>
      <c r="J253" s="57" t="str">
        <f>'Secondary cum Calculation'!J257</f>
        <v>Thousand</v>
      </c>
      <c r="K253" s="58">
        <f>'Secondary cum Calculation'!K257</f>
        <v>0</v>
      </c>
      <c r="L253" s="59">
        <f>'Secondary cum Calculation'!L257</f>
        <v>0</v>
      </c>
      <c r="M253" s="59">
        <f>'Secondary cum Calculation'!M257</f>
        <v>0</v>
      </c>
      <c r="N253" s="59">
        <f>'Secondary cum Calculation'!N257</f>
        <v>0</v>
      </c>
      <c r="O253" s="59">
        <f>'Secondary cum Calculation'!O257</f>
        <v>0</v>
      </c>
      <c r="P253" s="59">
        <f>'Secondary cum Calculation'!P257</f>
        <v>0</v>
      </c>
      <c r="Q253" s="59"/>
      <c r="R253" s="59"/>
      <c r="S253" s="59"/>
      <c r="T253" s="59"/>
      <c r="U253" s="59"/>
      <c r="V253" s="59"/>
      <c r="W253" s="106" t="e">
        <f>'Secondary cum Calculation'!W257</f>
        <v>#DIV/0!</v>
      </c>
      <c r="X253" s="106" t="e">
        <f>'Secondary cum Calculation'!X257</f>
        <v>#DIV/0!</v>
      </c>
    </row>
    <row r="254" spans="1:24">
      <c r="A254" s="57"/>
      <c r="B254" s="57"/>
      <c r="C254" s="61" t="str">
        <f>'Secondary cum Calculation'!C258</f>
        <v>Growth Rate</v>
      </c>
      <c r="D254" s="61"/>
      <c r="E254" s="61"/>
      <c r="F254" s="61">
        <f>'Secondary cum Calculation'!F258</f>
        <v>0</v>
      </c>
      <c r="G254" s="61">
        <f>'Secondary cum Calculation'!G258</f>
        <v>0</v>
      </c>
      <c r="H254" s="61">
        <f>'Secondary cum Calculation'!H258</f>
        <v>0</v>
      </c>
      <c r="I254" s="61">
        <f>'Secondary cum Calculation'!I258</f>
        <v>0</v>
      </c>
      <c r="J254" s="61" t="str">
        <f>'Secondary cum Calculation'!J258</f>
        <v>%</v>
      </c>
      <c r="K254" s="58">
        <f>'Secondary cum Calculation'!K258</f>
        <v>0</v>
      </c>
      <c r="L254" s="59"/>
      <c r="M254" s="62" t="e">
        <f>'Secondary cum Calculation'!M258</f>
        <v>#DIV/0!</v>
      </c>
      <c r="N254" s="62" t="e">
        <f>'Secondary cum Calculation'!N258</f>
        <v>#DIV/0!</v>
      </c>
      <c r="O254" s="62" t="e">
        <f>'Secondary cum Calculation'!O258</f>
        <v>#DIV/0!</v>
      </c>
      <c r="P254" s="62" t="e">
        <f>'Secondary cum Calculation'!P258</f>
        <v>#DIV/0!</v>
      </c>
      <c r="Q254" s="62"/>
      <c r="R254" s="62"/>
      <c r="S254" s="62"/>
      <c r="T254" s="62"/>
      <c r="U254" s="62"/>
      <c r="V254" s="62"/>
      <c r="W254" s="259"/>
      <c r="X254" s="259"/>
    </row>
    <row r="255" spans="1:24">
      <c r="A255" s="55" t="str">
        <f>'Secondary cum Calculation'!A259</f>
        <v>Poland</v>
      </c>
      <c r="B255" s="56" t="str">
        <f>'Secondary cum Calculation'!B259</f>
        <v>Tourism Flows</v>
      </c>
      <c r="C255" s="56" t="str">
        <f>'Secondary cum Calculation'!C259</f>
        <v>International Arrivals by Place of Origin</v>
      </c>
      <c r="D255" s="56" t="str">
        <f>'Secondary cum Calculation'!D259</f>
        <v>Africa</v>
      </c>
      <c r="E255" s="55" t="str">
        <f>'Secondary cum Calculation'!E259</f>
        <v>Rwanda</v>
      </c>
      <c r="F255" s="57" t="str">
        <f>'Secondary cum Calculation'!F259</f>
        <v>The number of international arrivals to a country originating from Rwanda</v>
      </c>
      <c r="G255" s="57" t="str">
        <f>'Secondary cum Calculation'!G259</f>
        <v>Tourism Demand &amp; Flows Database</v>
      </c>
      <c r="H255" s="57" t="str">
        <f>'Secondary cum Calculation'!H259</f>
        <v>New</v>
      </c>
      <c r="I255" s="57">
        <f>'Secondary cum Calculation'!I259</f>
        <v>0</v>
      </c>
      <c r="J255" s="57" t="str">
        <f>'Secondary cum Calculation'!J259</f>
        <v>Thousand</v>
      </c>
      <c r="K255" s="58">
        <f>'Secondary cum Calculation'!K259</f>
        <v>0</v>
      </c>
      <c r="L255" s="59">
        <f>'Secondary cum Calculation'!L259</f>
        <v>0</v>
      </c>
      <c r="M255" s="59">
        <f>'Secondary cum Calculation'!M259</f>
        <v>0</v>
      </c>
      <c r="N255" s="59">
        <f>'Secondary cum Calculation'!N259</f>
        <v>0</v>
      </c>
      <c r="O255" s="59">
        <f>'Secondary cum Calculation'!O259</f>
        <v>0</v>
      </c>
      <c r="P255" s="59">
        <f>'Secondary cum Calculation'!P259</f>
        <v>0</v>
      </c>
      <c r="Q255" s="59"/>
      <c r="R255" s="59"/>
      <c r="S255" s="59"/>
      <c r="T255" s="59"/>
      <c r="U255" s="59"/>
      <c r="V255" s="59"/>
      <c r="W255" s="106" t="e">
        <f>'Secondary cum Calculation'!W259</f>
        <v>#DIV/0!</v>
      </c>
      <c r="X255" s="106" t="e">
        <f>'Secondary cum Calculation'!X259</f>
        <v>#DIV/0!</v>
      </c>
    </row>
    <row r="256" spans="1:24">
      <c r="A256" s="57"/>
      <c r="B256" s="57"/>
      <c r="C256" s="61" t="str">
        <f>'Secondary cum Calculation'!C260</f>
        <v>Growth Rate</v>
      </c>
      <c r="D256" s="61"/>
      <c r="E256" s="61"/>
      <c r="F256" s="61">
        <f>'Secondary cum Calculation'!F260</f>
        <v>0</v>
      </c>
      <c r="G256" s="61">
        <f>'Secondary cum Calculation'!G260</f>
        <v>0</v>
      </c>
      <c r="H256" s="61">
        <f>'Secondary cum Calculation'!H260</f>
        <v>0</v>
      </c>
      <c r="I256" s="61">
        <f>'Secondary cum Calculation'!I260</f>
        <v>0</v>
      </c>
      <c r="J256" s="61" t="str">
        <f>'Secondary cum Calculation'!J260</f>
        <v>%</v>
      </c>
      <c r="K256" s="58">
        <f>'Secondary cum Calculation'!K260</f>
        <v>0</v>
      </c>
      <c r="L256" s="59"/>
      <c r="M256" s="62" t="e">
        <f>'Secondary cum Calculation'!M260</f>
        <v>#DIV/0!</v>
      </c>
      <c r="N256" s="62" t="e">
        <f>'Secondary cum Calculation'!N260</f>
        <v>#DIV/0!</v>
      </c>
      <c r="O256" s="62" t="e">
        <f>'Secondary cum Calculation'!O260</f>
        <v>#DIV/0!</v>
      </c>
      <c r="P256" s="62" t="e">
        <f>'Secondary cum Calculation'!P260</f>
        <v>#DIV/0!</v>
      </c>
      <c r="Q256" s="62"/>
      <c r="R256" s="62"/>
      <c r="S256" s="62"/>
      <c r="T256" s="62"/>
      <c r="U256" s="62"/>
      <c r="V256" s="62"/>
      <c r="W256" s="259"/>
      <c r="X256" s="259"/>
    </row>
    <row r="257" spans="1:27">
      <c r="A257" s="55" t="str">
        <f>'Secondary cum Calculation'!A261</f>
        <v>Poland</v>
      </c>
      <c r="B257" s="56" t="str">
        <f>'Secondary cum Calculation'!B261</f>
        <v>Tourism Flows</v>
      </c>
      <c r="C257" s="56" t="str">
        <f>'Secondary cum Calculation'!C261</f>
        <v>International Arrivals by Place of Origin</v>
      </c>
      <c r="D257" s="56" t="str">
        <f>'Secondary cum Calculation'!D261</f>
        <v>Africa</v>
      </c>
      <c r="E257" s="55" t="str">
        <f>'Secondary cum Calculation'!E261</f>
        <v>Senegal</v>
      </c>
      <c r="F257" s="57" t="str">
        <f>'Secondary cum Calculation'!F261</f>
        <v>The number of international arrivals to a country originating from Senegal</v>
      </c>
      <c r="G257" s="57" t="str">
        <f>'Secondary cum Calculation'!G261</f>
        <v>Tourism Demand &amp; Flows Database</v>
      </c>
      <c r="H257" s="57" t="str">
        <f>'Secondary cum Calculation'!H261</f>
        <v>New</v>
      </c>
      <c r="I257" s="57">
        <f>'Secondary cum Calculation'!I261</f>
        <v>0</v>
      </c>
      <c r="J257" s="57" t="str">
        <f>'Secondary cum Calculation'!J261</f>
        <v>Thousand</v>
      </c>
      <c r="K257" s="58">
        <f>'Secondary cum Calculation'!K261</f>
        <v>0</v>
      </c>
      <c r="L257" s="59">
        <f>'Secondary cum Calculation'!L261</f>
        <v>0</v>
      </c>
      <c r="M257" s="59">
        <f>'Secondary cum Calculation'!M261</f>
        <v>0</v>
      </c>
      <c r="N257" s="59">
        <f>'Secondary cum Calculation'!N261</f>
        <v>0</v>
      </c>
      <c r="O257" s="59">
        <f>'Secondary cum Calculation'!O261</f>
        <v>0</v>
      </c>
      <c r="P257" s="59">
        <f>'Secondary cum Calculation'!P261</f>
        <v>0</v>
      </c>
      <c r="Q257" s="59"/>
      <c r="R257" s="59"/>
      <c r="S257" s="59"/>
      <c r="T257" s="59"/>
      <c r="U257" s="59"/>
      <c r="V257" s="59"/>
      <c r="W257" s="106" t="e">
        <f>'Secondary cum Calculation'!W261</f>
        <v>#DIV/0!</v>
      </c>
      <c r="X257" s="106" t="e">
        <f>'Secondary cum Calculation'!X261</f>
        <v>#DIV/0!</v>
      </c>
    </row>
    <row r="258" spans="1:27">
      <c r="A258" s="57"/>
      <c r="B258" s="57"/>
      <c r="C258" s="61" t="str">
        <f>'Secondary cum Calculation'!C262</f>
        <v>Growth Rate</v>
      </c>
      <c r="D258" s="61"/>
      <c r="E258" s="61"/>
      <c r="F258" s="61">
        <f>'Secondary cum Calculation'!F262</f>
        <v>0</v>
      </c>
      <c r="G258" s="61">
        <f>'Secondary cum Calculation'!G262</f>
        <v>0</v>
      </c>
      <c r="H258" s="61">
        <f>'Secondary cum Calculation'!H262</f>
        <v>0</v>
      </c>
      <c r="I258" s="61">
        <f>'Secondary cum Calculation'!I262</f>
        <v>0</v>
      </c>
      <c r="J258" s="61" t="str">
        <f>'Secondary cum Calculation'!J262</f>
        <v>%</v>
      </c>
      <c r="K258" s="58">
        <f>'Secondary cum Calculation'!K262</f>
        <v>0</v>
      </c>
      <c r="L258" s="59"/>
      <c r="M258" s="62" t="e">
        <f>'Secondary cum Calculation'!M262</f>
        <v>#DIV/0!</v>
      </c>
      <c r="N258" s="62" t="e">
        <f>'Secondary cum Calculation'!N262</f>
        <v>#DIV/0!</v>
      </c>
      <c r="O258" s="62" t="e">
        <f>'Secondary cum Calculation'!O262</f>
        <v>#DIV/0!</v>
      </c>
      <c r="P258" s="62" t="e">
        <f>'Secondary cum Calculation'!P262</f>
        <v>#DIV/0!</v>
      </c>
      <c r="Q258" s="62"/>
      <c r="R258" s="62"/>
      <c r="S258" s="62"/>
      <c r="T258" s="62"/>
      <c r="U258" s="62"/>
      <c r="V258" s="62"/>
      <c r="W258" s="259"/>
      <c r="X258" s="259"/>
    </row>
    <row r="259" spans="1:27">
      <c r="A259" s="55" t="str">
        <f>'Secondary cum Calculation'!A263</f>
        <v>Poland</v>
      </c>
      <c r="B259" s="56" t="str">
        <f>'Secondary cum Calculation'!B263</f>
        <v>Tourism Flows</v>
      </c>
      <c r="C259" s="56" t="str">
        <f>'Secondary cum Calculation'!C263</f>
        <v>International Arrivals by Place of Origin</v>
      </c>
      <c r="D259" s="56" t="str">
        <f>'Secondary cum Calculation'!D263</f>
        <v>Africa</v>
      </c>
      <c r="E259" s="55" t="str">
        <f>'Secondary cum Calculation'!E263</f>
        <v>Sierra Leone</v>
      </c>
      <c r="F259" s="57" t="str">
        <f>'Secondary cum Calculation'!F263</f>
        <v>The number of international arrivals to a country originating from Sierra Leone</v>
      </c>
      <c r="G259" s="57" t="str">
        <f>'Secondary cum Calculation'!G263</f>
        <v>Tourism Demand &amp; Flows Database</v>
      </c>
      <c r="H259" s="57" t="str">
        <f>'Secondary cum Calculation'!H263</f>
        <v>New</v>
      </c>
      <c r="I259" s="57">
        <f>'Secondary cum Calculation'!I263</f>
        <v>0</v>
      </c>
      <c r="J259" s="57" t="str">
        <f>'Secondary cum Calculation'!J263</f>
        <v>Thousand</v>
      </c>
      <c r="K259" s="58">
        <f>'Secondary cum Calculation'!K263</f>
        <v>0</v>
      </c>
      <c r="L259" s="59">
        <f>'Secondary cum Calculation'!L263</f>
        <v>0</v>
      </c>
      <c r="M259" s="59">
        <f>'Secondary cum Calculation'!M263</f>
        <v>0</v>
      </c>
      <c r="N259" s="59">
        <f>'Secondary cum Calculation'!N263</f>
        <v>0</v>
      </c>
      <c r="O259" s="59">
        <f>'Secondary cum Calculation'!O263</f>
        <v>0</v>
      </c>
      <c r="P259" s="59">
        <f>'Secondary cum Calculation'!P263</f>
        <v>0</v>
      </c>
      <c r="Q259" s="59"/>
      <c r="R259" s="59"/>
      <c r="S259" s="59"/>
      <c r="T259" s="59"/>
      <c r="U259" s="59"/>
      <c r="V259" s="59"/>
      <c r="W259" s="106" t="e">
        <f>'Secondary cum Calculation'!W263</f>
        <v>#DIV/0!</v>
      </c>
      <c r="X259" s="106" t="e">
        <f>'Secondary cum Calculation'!X263</f>
        <v>#DIV/0!</v>
      </c>
    </row>
    <row r="260" spans="1:27">
      <c r="A260" s="57"/>
      <c r="B260" s="57"/>
      <c r="C260" s="61" t="str">
        <f>'Secondary cum Calculation'!C264</f>
        <v>Growth Rate</v>
      </c>
      <c r="D260" s="61"/>
      <c r="E260" s="61"/>
      <c r="F260" s="61">
        <f>'Secondary cum Calculation'!F264</f>
        <v>0</v>
      </c>
      <c r="G260" s="61">
        <f>'Secondary cum Calculation'!G264</f>
        <v>0</v>
      </c>
      <c r="H260" s="61">
        <f>'Secondary cum Calculation'!H264</f>
        <v>0</v>
      </c>
      <c r="I260" s="61">
        <f>'Secondary cum Calculation'!I264</f>
        <v>0</v>
      </c>
      <c r="J260" s="61" t="str">
        <f>'Secondary cum Calculation'!J264</f>
        <v>%</v>
      </c>
      <c r="K260" s="58">
        <f>'Secondary cum Calculation'!K264</f>
        <v>0</v>
      </c>
      <c r="L260" s="59"/>
      <c r="M260" s="62" t="e">
        <f>'Secondary cum Calculation'!M264</f>
        <v>#DIV/0!</v>
      </c>
      <c r="N260" s="62" t="e">
        <f>'Secondary cum Calculation'!N264</f>
        <v>#DIV/0!</v>
      </c>
      <c r="O260" s="62" t="e">
        <f>'Secondary cum Calculation'!O264</f>
        <v>#DIV/0!</v>
      </c>
      <c r="P260" s="62" t="e">
        <f>'Secondary cum Calculation'!P264</f>
        <v>#DIV/0!</v>
      </c>
      <c r="Q260" s="62"/>
      <c r="R260" s="62"/>
      <c r="S260" s="62"/>
      <c r="T260" s="62"/>
      <c r="U260" s="62"/>
      <c r="V260" s="62"/>
      <c r="W260" s="259"/>
      <c r="X260" s="259"/>
    </row>
    <row r="261" spans="1:27">
      <c r="A261" s="55" t="str">
        <f>'Secondary cum Calculation'!A265</f>
        <v>Poland</v>
      </c>
      <c r="B261" s="56" t="str">
        <f>'Secondary cum Calculation'!B265</f>
        <v>Tourism Flows</v>
      </c>
      <c r="C261" s="56" t="str">
        <f>'Secondary cum Calculation'!C265</f>
        <v>International Arrivals by Place of Origin</v>
      </c>
      <c r="D261" s="56" t="str">
        <f>'Secondary cum Calculation'!D265</f>
        <v>Africa</v>
      </c>
      <c r="E261" s="55" t="str">
        <f>'Secondary cum Calculation'!E265</f>
        <v>Somalia</v>
      </c>
      <c r="F261" s="57" t="str">
        <f>'Secondary cum Calculation'!F265</f>
        <v>The number of international arrivals to a country originating from Somalia</v>
      </c>
      <c r="G261" s="57" t="str">
        <f>'Secondary cum Calculation'!G265</f>
        <v>Tourism Demand &amp; Flows Database</v>
      </c>
      <c r="H261" s="57" t="str">
        <f>'Secondary cum Calculation'!H265</f>
        <v>New</v>
      </c>
      <c r="I261" s="57">
        <f>'Secondary cum Calculation'!I265</f>
        <v>0</v>
      </c>
      <c r="J261" s="57" t="str">
        <f>'Secondary cum Calculation'!J265</f>
        <v>Thousand</v>
      </c>
      <c r="K261" s="58">
        <f>'Secondary cum Calculation'!K265</f>
        <v>0</v>
      </c>
      <c r="L261" s="59">
        <f>'Secondary cum Calculation'!L265</f>
        <v>0</v>
      </c>
      <c r="M261" s="59">
        <f>'Secondary cum Calculation'!M265</f>
        <v>0</v>
      </c>
      <c r="N261" s="59">
        <f>'Secondary cum Calculation'!N265</f>
        <v>0</v>
      </c>
      <c r="O261" s="59">
        <f>'Secondary cum Calculation'!O265</f>
        <v>0</v>
      </c>
      <c r="P261" s="59">
        <f>'Secondary cum Calculation'!P265</f>
        <v>0</v>
      </c>
      <c r="Q261" s="59"/>
      <c r="R261" s="59"/>
      <c r="S261" s="59"/>
      <c r="T261" s="59"/>
      <c r="U261" s="59"/>
      <c r="V261" s="59"/>
      <c r="W261" s="106" t="e">
        <f>'Secondary cum Calculation'!W265</f>
        <v>#DIV/0!</v>
      </c>
      <c r="X261" s="106" t="e">
        <f>'Secondary cum Calculation'!X265</f>
        <v>#DIV/0!</v>
      </c>
    </row>
    <row r="262" spans="1:27">
      <c r="A262" s="57"/>
      <c r="B262" s="57"/>
      <c r="C262" s="61" t="str">
        <f>'Secondary cum Calculation'!C266</f>
        <v>Growth Rate</v>
      </c>
      <c r="D262" s="61"/>
      <c r="E262" s="61"/>
      <c r="F262" s="61">
        <f>'Secondary cum Calculation'!F266</f>
        <v>0</v>
      </c>
      <c r="G262" s="61">
        <f>'Secondary cum Calculation'!G266</f>
        <v>0</v>
      </c>
      <c r="H262" s="61">
        <f>'Secondary cum Calculation'!H266</f>
        <v>0</v>
      </c>
      <c r="I262" s="61">
        <f>'Secondary cum Calculation'!I266</f>
        <v>0</v>
      </c>
      <c r="J262" s="61" t="str">
        <f>'Secondary cum Calculation'!J266</f>
        <v>%</v>
      </c>
      <c r="K262" s="58">
        <f>'Secondary cum Calculation'!K266</f>
        <v>0</v>
      </c>
      <c r="L262" s="59"/>
      <c r="M262" s="62" t="e">
        <f>'Secondary cum Calculation'!M266</f>
        <v>#DIV/0!</v>
      </c>
      <c r="N262" s="62" t="e">
        <f>'Secondary cum Calculation'!N266</f>
        <v>#DIV/0!</v>
      </c>
      <c r="O262" s="62" t="e">
        <f>'Secondary cum Calculation'!O266</f>
        <v>#DIV/0!</v>
      </c>
      <c r="P262" s="62" t="e">
        <f>'Secondary cum Calculation'!P266</f>
        <v>#DIV/0!</v>
      </c>
      <c r="Q262" s="62"/>
      <c r="R262" s="62"/>
      <c r="S262" s="62"/>
      <c r="T262" s="62"/>
      <c r="U262" s="62"/>
      <c r="V262" s="62"/>
      <c r="W262" s="259"/>
      <c r="X262" s="259"/>
    </row>
    <row r="263" spans="1:27">
      <c r="A263" s="55" t="str">
        <f>'Secondary cum Calculation'!A267</f>
        <v>Poland</v>
      </c>
      <c r="B263" s="56" t="str">
        <f>'Secondary cum Calculation'!B267</f>
        <v>Tourism Flows</v>
      </c>
      <c r="C263" s="56" t="str">
        <f>'Secondary cum Calculation'!C267</f>
        <v>International Arrivals by Place of Origin</v>
      </c>
      <c r="D263" s="56" t="str">
        <f>'Secondary cum Calculation'!D267</f>
        <v>Africa</v>
      </c>
      <c r="E263" s="55" t="str">
        <f>'Secondary cum Calculation'!E267</f>
        <v>South Africa</v>
      </c>
      <c r="F263" s="57" t="str">
        <f>'Secondary cum Calculation'!F267</f>
        <v>The number of international arrivals to a country originating from South Africa</v>
      </c>
      <c r="G263" s="57" t="str">
        <f>'Secondary cum Calculation'!G267</f>
        <v>Tourism Demand &amp; Flows Database</v>
      </c>
      <c r="H263" s="57" t="str">
        <f>'Secondary cum Calculation'!H267</f>
        <v>New</v>
      </c>
      <c r="I263" s="57">
        <f>'Secondary cum Calculation'!I267</f>
        <v>0</v>
      </c>
      <c r="J263" s="57" t="str">
        <f>'Secondary cum Calculation'!J267</f>
        <v>Thousand</v>
      </c>
      <c r="K263" s="58">
        <f>'Secondary cum Calculation'!K267</f>
        <v>89.016999999999996</v>
      </c>
      <c r="L263" s="59">
        <f>'Secondary cum Calculation'!L267</f>
        <v>0</v>
      </c>
      <c r="M263" s="59">
        <f>'Secondary cum Calculation'!M267</f>
        <v>0</v>
      </c>
      <c r="N263" s="59">
        <f>'Secondary cum Calculation'!N267</f>
        <v>0</v>
      </c>
      <c r="O263" s="59">
        <f>'Secondary cum Calculation'!O267</f>
        <v>0</v>
      </c>
      <c r="P263" s="59">
        <f>'Secondary cum Calculation'!P267</f>
        <v>0</v>
      </c>
      <c r="Q263" s="59"/>
      <c r="R263" s="59"/>
      <c r="S263" s="59"/>
      <c r="T263" s="59"/>
      <c r="U263" s="59"/>
      <c r="V263" s="59"/>
      <c r="W263" s="106" t="e">
        <f>'Secondary cum Calculation'!W267</f>
        <v>#DIV/0!</v>
      </c>
      <c r="X263" s="106" t="e">
        <f>'Secondary cum Calculation'!X267</f>
        <v>#DIV/0!</v>
      </c>
      <c r="Z263" s="12"/>
    </row>
    <row r="264" spans="1:27">
      <c r="A264" s="57"/>
      <c r="B264" s="57"/>
      <c r="C264" s="61" t="str">
        <f>'Secondary cum Calculation'!C268</f>
        <v>Growth Rate</v>
      </c>
      <c r="D264" s="61"/>
      <c r="E264" s="61"/>
      <c r="F264" s="61">
        <f>'Secondary cum Calculation'!F268</f>
        <v>0</v>
      </c>
      <c r="G264" s="61">
        <f>'Secondary cum Calculation'!G268</f>
        <v>0</v>
      </c>
      <c r="H264" s="61">
        <f>'Secondary cum Calculation'!H268</f>
        <v>0</v>
      </c>
      <c r="I264" s="61">
        <f>'Secondary cum Calculation'!I268</f>
        <v>0</v>
      </c>
      <c r="J264" s="61" t="str">
        <f>'Secondary cum Calculation'!J268</f>
        <v>%</v>
      </c>
      <c r="K264" s="58">
        <f>'Secondary cum Calculation'!K268</f>
        <v>0</v>
      </c>
      <c r="L264" s="59"/>
      <c r="M264" s="62" t="e">
        <f>'Secondary cum Calculation'!M268</f>
        <v>#DIV/0!</v>
      </c>
      <c r="N264" s="62" t="e">
        <f>'Secondary cum Calculation'!N268</f>
        <v>#DIV/0!</v>
      </c>
      <c r="O264" s="62" t="e">
        <f>'Secondary cum Calculation'!O268</f>
        <v>#DIV/0!</v>
      </c>
      <c r="P264" s="62" t="e">
        <f>'Secondary cum Calculation'!P268</f>
        <v>#DIV/0!</v>
      </c>
      <c r="Q264" s="62"/>
      <c r="R264" s="62"/>
      <c r="S264" s="62"/>
      <c r="T264" s="62"/>
      <c r="U264" s="62"/>
      <c r="V264" s="62"/>
      <c r="W264" s="259"/>
      <c r="X264" s="259"/>
    </row>
    <row r="265" spans="1:27" s="42" customFormat="1">
      <c r="A265" s="55" t="str">
        <f>'Secondary cum Calculation'!A269</f>
        <v>Poland</v>
      </c>
      <c r="B265" s="56" t="str">
        <f>'Secondary cum Calculation'!B269</f>
        <v>Tourism Flows</v>
      </c>
      <c r="C265" s="56" t="str">
        <f>'Secondary cum Calculation'!C269</f>
        <v>International Arrivals by Place of Origin</v>
      </c>
      <c r="D265" s="56" t="str">
        <f>'Secondary cum Calculation'!D269</f>
        <v>Africa</v>
      </c>
      <c r="E265" s="55" t="str">
        <f>'Secondary cum Calculation'!E269</f>
        <v>Sudan</v>
      </c>
      <c r="F265" s="57" t="str">
        <f>'Secondary cum Calculation'!F269</f>
        <v>The number of international arrivals to a country originating from Sudan</v>
      </c>
      <c r="G265" s="57" t="str">
        <f>'Secondary cum Calculation'!G269</f>
        <v>Tourism Demand &amp; Flows Database</v>
      </c>
      <c r="H265" s="57" t="str">
        <f>'Secondary cum Calculation'!H269</f>
        <v>New</v>
      </c>
      <c r="I265" s="57">
        <f>'Secondary cum Calculation'!I269</f>
        <v>0</v>
      </c>
      <c r="J265" s="57" t="str">
        <f>'Secondary cum Calculation'!J269</f>
        <v>Thousand</v>
      </c>
      <c r="K265" s="58">
        <f>'Secondary cum Calculation'!K269</f>
        <v>0</v>
      </c>
      <c r="L265" s="59">
        <f>'Secondary cum Calculation'!L269</f>
        <v>0</v>
      </c>
      <c r="M265" s="59">
        <f>'Secondary cum Calculation'!M269</f>
        <v>0</v>
      </c>
      <c r="N265" s="59">
        <f>'Secondary cum Calculation'!N269</f>
        <v>0</v>
      </c>
      <c r="O265" s="96">
        <f>'Secondary cum Calculation'!O269</f>
        <v>0</v>
      </c>
      <c r="P265" s="96">
        <f>'Secondary cum Calculation'!P269</f>
        <v>0</v>
      </c>
      <c r="Q265" s="96"/>
      <c r="R265" s="96"/>
      <c r="S265" s="96"/>
      <c r="T265" s="96"/>
      <c r="U265" s="96"/>
      <c r="V265" s="96"/>
      <c r="W265" s="106" t="e">
        <f>'Secondary cum Calculation'!W269</f>
        <v>#DIV/0!</v>
      </c>
      <c r="X265" s="106" t="e">
        <f>'Secondary cum Calculation'!X269</f>
        <v>#DIV/0!</v>
      </c>
      <c r="Y265" s="7"/>
      <c r="Z265" s="7"/>
      <c r="AA265" s="7"/>
    </row>
    <row r="266" spans="1:27">
      <c r="A266" s="57"/>
      <c r="B266" s="57"/>
      <c r="C266" s="61" t="str">
        <f>'Secondary cum Calculation'!C270</f>
        <v>Growth Rate</v>
      </c>
      <c r="D266" s="61"/>
      <c r="E266" s="61"/>
      <c r="F266" s="61">
        <f>'Secondary cum Calculation'!F270</f>
        <v>0</v>
      </c>
      <c r="G266" s="61">
        <f>'Secondary cum Calculation'!G270</f>
        <v>0</v>
      </c>
      <c r="H266" s="61">
        <f>'Secondary cum Calculation'!H270</f>
        <v>0</v>
      </c>
      <c r="I266" s="61">
        <f>'Secondary cum Calculation'!I270</f>
        <v>0</v>
      </c>
      <c r="J266" s="61" t="str">
        <f>'Secondary cum Calculation'!J270</f>
        <v>%</v>
      </c>
      <c r="K266" s="58">
        <f>'Secondary cum Calculation'!K270</f>
        <v>0</v>
      </c>
      <c r="L266" s="59"/>
      <c r="M266" s="62" t="e">
        <f>'Secondary cum Calculation'!M270</f>
        <v>#DIV/0!</v>
      </c>
      <c r="N266" s="62" t="e">
        <f>'Secondary cum Calculation'!N270</f>
        <v>#DIV/0!</v>
      </c>
      <c r="O266" s="62" t="e">
        <f>'Secondary cum Calculation'!O270</f>
        <v>#DIV/0!</v>
      </c>
      <c r="P266" s="62" t="e">
        <f>'Secondary cum Calculation'!P270</f>
        <v>#DIV/0!</v>
      </c>
      <c r="Q266" s="62"/>
      <c r="R266" s="62"/>
      <c r="S266" s="62"/>
      <c r="T266" s="62"/>
      <c r="U266" s="62"/>
      <c r="V266" s="62"/>
      <c r="W266" s="259"/>
      <c r="X266" s="259"/>
    </row>
    <row r="267" spans="1:27">
      <c r="A267" s="55" t="str">
        <f>'Secondary cum Calculation'!A271</f>
        <v>Poland</v>
      </c>
      <c r="B267" s="56" t="str">
        <f>'Secondary cum Calculation'!B271</f>
        <v>Tourism Flows</v>
      </c>
      <c r="C267" s="56" t="str">
        <f>'Secondary cum Calculation'!C271</f>
        <v>International Arrivals by Place of Origin</v>
      </c>
      <c r="D267" s="56" t="str">
        <f>'Secondary cum Calculation'!D271</f>
        <v>Africa</v>
      </c>
      <c r="E267" s="55" t="str">
        <f>'Secondary cum Calculation'!E271</f>
        <v>Swaziland</v>
      </c>
      <c r="F267" s="57" t="str">
        <f>'Secondary cum Calculation'!F271</f>
        <v>The number of international arrivals to a country originating from Swaziland</v>
      </c>
      <c r="G267" s="57" t="str">
        <f>'Secondary cum Calculation'!G271</f>
        <v>Tourism Demand &amp; Flows Database</v>
      </c>
      <c r="H267" s="57" t="str">
        <f>'Secondary cum Calculation'!H271</f>
        <v>New</v>
      </c>
      <c r="I267" s="57">
        <f>'Secondary cum Calculation'!I271</f>
        <v>0</v>
      </c>
      <c r="J267" s="57" t="str">
        <f>'Secondary cum Calculation'!J271</f>
        <v>Thousand</v>
      </c>
      <c r="K267" s="58">
        <f>'Secondary cum Calculation'!K271</f>
        <v>0</v>
      </c>
      <c r="L267" s="59">
        <f>'Secondary cum Calculation'!L271</f>
        <v>0</v>
      </c>
      <c r="M267" s="59">
        <f>'Secondary cum Calculation'!M271</f>
        <v>0</v>
      </c>
      <c r="N267" s="59">
        <f>'Secondary cum Calculation'!N271</f>
        <v>0</v>
      </c>
      <c r="O267" s="59">
        <f>'Secondary cum Calculation'!O271</f>
        <v>0</v>
      </c>
      <c r="P267" s="59">
        <f>'Secondary cum Calculation'!P271</f>
        <v>0</v>
      </c>
      <c r="Q267" s="59"/>
      <c r="R267" s="59"/>
      <c r="S267" s="59"/>
      <c r="T267" s="59"/>
      <c r="U267" s="59"/>
      <c r="V267" s="59"/>
      <c r="W267" s="106" t="e">
        <f>'Secondary cum Calculation'!W271</f>
        <v>#DIV/0!</v>
      </c>
      <c r="X267" s="106" t="e">
        <f>'Secondary cum Calculation'!X271</f>
        <v>#DIV/0!</v>
      </c>
    </row>
    <row r="268" spans="1:27">
      <c r="A268" s="57"/>
      <c r="B268" s="57"/>
      <c r="C268" s="61" t="str">
        <f>'Secondary cum Calculation'!C272</f>
        <v>Growth Rate</v>
      </c>
      <c r="D268" s="61"/>
      <c r="E268" s="61"/>
      <c r="F268" s="61">
        <f>'Secondary cum Calculation'!F272</f>
        <v>0</v>
      </c>
      <c r="G268" s="61">
        <f>'Secondary cum Calculation'!G272</f>
        <v>0</v>
      </c>
      <c r="H268" s="61">
        <f>'Secondary cum Calculation'!H272</f>
        <v>0</v>
      </c>
      <c r="I268" s="61">
        <f>'Secondary cum Calculation'!I272</f>
        <v>0</v>
      </c>
      <c r="J268" s="61" t="str">
        <f>'Secondary cum Calculation'!J272</f>
        <v>%</v>
      </c>
      <c r="K268" s="58">
        <f>'Secondary cum Calculation'!K272</f>
        <v>0</v>
      </c>
      <c r="L268" s="59"/>
      <c r="M268" s="62" t="e">
        <f>'Secondary cum Calculation'!M272</f>
        <v>#DIV/0!</v>
      </c>
      <c r="N268" s="62" t="e">
        <f>'Secondary cum Calculation'!N272</f>
        <v>#DIV/0!</v>
      </c>
      <c r="O268" s="62" t="e">
        <f>'Secondary cum Calculation'!O272</f>
        <v>#DIV/0!</v>
      </c>
      <c r="P268" s="62" t="e">
        <f>'Secondary cum Calculation'!P272</f>
        <v>#DIV/0!</v>
      </c>
      <c r="Q268" s="62"/>
      <c r="R268" s="62"/>
      <c r="S268" s="62"/>
      <c r="T268" s="62"/>
      <c r="U268" s="62"/>
      <c r="V268" s="62"/>
      <c r="W268" s="259"/>
      <c r="X268" s="259"/>
    </row>
    <row r="269" spans="1:27">
      <c r="A269" s="55" t="str">
        <f>'Secondary cum Calculation'!A273</f>
        <v>Poland</v>
      </c>
      <c r="B269" s="56" t="str">
        <f>'Secondary cum Calculation'!B273</f>
        <v>Tourism Flows</v>
      </c>
      <c r="C269" s="56" t="str">
        <f>'Secondary cum Calculation'!C273</f>
        <v>International Arrivals by Place of Origin</v>
      </c>
      <c r="D269" s="56" t="str">
        <f>'Secondary cum Calculation'!D273</f>
        <v>Africa</v>
      </c>
      <c r="E269" s="55" t="str">
        <f>'Secondary cum Calculation'!E273</f>
        <v>Togo</v>
      </c>
      <c r="F269" s="57" t="str">
        <f>'Secondary cum Calculation'!F273</f>
        <v>The number of international arrivals to a country originating from Togo</v>
      </c>
      <c r="G269" s="57" t="str">
        <f>'Secondary cum Calculation'!G273</f>
        <v>Tourism Demand &amp; Flows Database</v>
      </c>
      <c r="H269" s="57" t="str">
        <f>'Secondary cum Calculation'!H273</f>
        <v>New</v>
      </c>
      <c r="I269" s="57">
        <f>'Secondary cum Calculation'!I273</f>
        <v>0</v>
      </c>
      <c r="J269" s="57" t="str">
        <f>'Secondary cum Calculation'!J273</f>
        <v>Thousand</v>
      </c>
      <c r="K269" s="58">
        <f>'Secondary cum Calculation'!K273</f>
        <v>0</v>
      </c>
      <c r="L269" s="59">
        <f>'Secondary cum Calculation'!L273</f>
        <v>0</v>
      </c>
      <c r="M269" s="59">
        <f>'Secondary cum Calculation'!M273</f>
        <v>0</v>
      </c>
      <c r="N269" s="59">
        <f>'Secondary cum Calculation'!N273</f>
        <v>0</v>
      </c>
      <c r="O269" s="59">
        <f>'Secondary cum Calculation'!O273</f>
        <v>0</v>
      </c>
      <c r="P269" s="59">
        <f>'Secondary cum Calculation'!P273</f>
        <v>0</v>
      </c>
      <c r="Q269" s="59"/>
      <c r="R269" s="59"/>
      <c r="S269" s="59"/>
      <c r="T269" s="59"/>
      <c r="U269" s="59"/>
      <c r="V269" s="59"/>
      <c r="W269" s="106" t="e">
        <f>'Secondary cum Calculation'!W273</f>
        <v>#DIV/0!</v>
      </c>
      <c r="X269" s="106" t="e">
        <f>'Secondary cum Calculation'!X273</f>
        <v>#DIV/0!</v>
      </c>
    </row>
    <row r="270" spans="1:27">
      <c r="A270" s="57"/>
      <c r="B270" s="57"/>
      <c r="C270" s="61" t="str">
        <f>'Secondary cum Calculation'!C274</f>
        <v>Growth Rate</v>
      </c>
      <c r="D270" s="61"/>
      <c r="E270" s="61"/>
      <c r="F270" s="61">
        <f>'Secondary cum Calculation'!F274</f>
        <v>0</v>
      </c>
      <c r="G270" s="61">
        <f>'Secondary cum Calculation'!G274</f>
        <v>0</v>
      </c>
      <c r="H270" s="61">
        <f>'Secondary cum Calculation'!H274</f>
        <v>0</v>
      </c>
      <c r="I270" s="61">
        <f>'Secondary cum Calculation'!I274</f>
        <v>0</v>
      </c>
      <c r="J270" s="61" t="str">
        <f>'Secondary cum Calculation'!J274</f>
        <v>%</v>
      </c>
      <c r="K270" s="58">
        <f>'Secondary cum Calculation'!K274</f>
        <v>0</v>
      </c>
      <c r="L270" s="59"/>
      <c r="M270" s="62" t="e">
        <f>'Secondary cum Calculation'!M274</f>
        <v>#DIV/0!</v>
      </c>
      <c r="N270" s="62" t="e">
        <f>'Secondary cum Calculation'!N274</f>
        <v>#DIV/0!</v>
      </c>
      <c r="O270" s="62" t="e">
        <f>'Secondary cum Calculation'!O274</f>
        <v>#DIV/0!</v>
      </c>
      <c r="P270" s="62" t="e">
        <f>'Secondary cum Calculation'!P274</f>
        <v>#DIV/0!</v>
      </c>
      <c r="Q270" s="62"/>
      <c r="R270" s="62"/>
      <c r="S270" s="62"/>
      <c r="T270" s="62"/>
      <c r="U270" s="62"/>
      <c r="V270" s="62"/>
      <c r="W270" s="259"/>
      <c r="X270" s="259"/>
    </row>
    <row r="271" spans="1:27">
      <c r="A271" s="55" t="str">
        <f>'Secondary cum Calculation'!A275</f>
        <v>Poland</v>
      </c>
      <c r="B271" s="56" t="str">
        <f>'Secondary cum Calculation'!B275</f>
        <v>Tourism Flows</v>
      </c>
      <c r="C271" s="56" t="str">
        <f>'Secondary cum Calculation'!C275</f>
        <v>International Arrivals by Place of Origin</v>
      </c>
      <c r="D271" s="56" t="str">
        <f>'Secondary cum Calculation'!D275</f>
        <v>Africa</v>
      </c>
      <c r="E271" s="55" t="str">
        <f>'Secondary cum Calculation'!E275</f>
        <v>Tonga</v>
      </c>
      <c r="F271" s="57" t="str">
        <f>'Secondary cum Calculation'!F275</f>
        <v>The number of international arrivals to a country originating from Tonga</v>
      </c>
      <c r="G271" s="57" t="str">
        <f>'Secondary cum Calculation'!G275</f>
        <v>Tourism Demand &amp; Flows Database</v>
      </c>
      <c r="H271" s="57" t="str">
        <f>'Secondary cum Calculation'!H275</f>
        <v>New</v>
      </c>
      <c r="I271" s="57">
        <f>'Secondary cum Calculation'!I275</f>
        <v>0</v>
      </c>
      <c r="J271" s="57" t="str">
        <f>'Secondary cum Calculation'!J275</f>
        <v>Thousand</v>
      </c>
      <c r="K271" s="58">
        <f>'Secondary cum Calculation'!K275</f>
        <v>0</v>
      </c>
      <c r="L271" s="59">
        <f>'Secondary cum Calculation'!L275</f>
        <v>0</v>
      </c>
      <c r="M271" s="59">
        <f>'Secondary cum Calculation'!M275</f>
        <v>0</v>
      </c>
      <c r="N271" s="59">
        <f>'Secondary cum Calculation'!N275</f>
        <v>0</v>
      </c>
      <c r="O271" s="59">
        <f>'Secondary cum Calculation'!O275</f>
        <v>0</v>
      </c>
      <c r="P271" s="59">
        <f>'Secondary cum Calculation'!P275</f>
        <v>0</v>
      </c>
      <c r="Q271" s="59"/>
      <c r="R271" s="59"/>
      <c r="S271" s="59"/>
      <c r="T271" s="59"/>
      <c r="U271" s="59"/>
      <c r="V271" s="59"/>
      <c r="W271" s="106" t="e">
        <f>'Secondary cum Calculation'!W275</f>
        <v>#DIV/0!</v>
      </c>
      <c r="X271" s="106" t="e">
        <f>'Secondary cum Calculation'!X275</f>
        <v>#DIV/0!</v>
      </c>
    </row>
    <row r="272" spans="1:27">
      <c r="A272" s="57"/>
      <c r="B272" s="57"/>
      <c r="C272" s="61" t="str">
        <f>'Secondary cum Calculation'!C276</f>
        <v>Growth Rate</v>
      </c>
      <c r="D272" s="61"/>
      <c r="E272" s="61"/>
      <c r="F272" s="61">
        <f>'Secondary cum Calculation'!F276</f>
        <v>0</v>
      </c>
      <c r="G272" s="61">
        <f>'Secondary cum Calculation'!G276</f>
        <v>0</v>
      </c>
      <c r="H272" s="61">
        <f>'Secondary cum Calculation'!H276</f>
        <v>0</v>
      </c>
      <c r="I272" s="61">
        <f>'Secondary cum Calculation'!I276</f>
        <v>0</v>
      </c>
      <c r="J272" s="61" t="str">
        <f>'Secondary cum Calculation'!J276</f>
        <v>%</v>
      </c>
      <c r="K272" s="58">
        <f>'Secondary cum Calculation'!K276</f>
        <v>0</v>
      </c>
      <c r="L272" s="59"/>
      <c r="M272" s="62" t="e">
        <f>'Secondary cum Calculation'!M276</f>
        <v>#DIV/0!</v>
      </c>
      <c r="N272" s="62" t="e">
        <f>'Secondary cum Calculation'!N276</f>
        <v>#DIV/0!</v>
      </c>
      <c r="O272" s="62" t="e">
        <f>'Secondary cum Calculation'!O276</f>
        <v>#DIV/0!</v>
      </c>
      <c r="P272" s="62" t="e">
        <f>'Secondary cum Calculation'!P276</f>
        <v>#DIV/0!</v>
      </c>
      <c r="Q272" s="62"/>
      <c r="R272" s="62"/>
      <c r="S272" s="62"/>
      <c r="T272" s="62"/>
      <c r="U272" s="62"/>
      <c r="V272" s="62"/>
      <c r="W272" s="259"/>
      <c r="X272" s="259"/>
    </row>
    <row r="273" spans="1:26">
      <c r="A273" s="55" t="str">
        <f>'Secondary cum Calculation'!A277</f>
        <v>Poland</v>
      </c>
      <c r="B273" s="56" t="str">
        <f>'Secondary cum Calculation'!B277</f>
        <v>Tourism Flows</v>
      </c>
      <c r="C273" s="56" t="str">
        <f>'Secondary cum Calculation'!C277</f>
        <v>International Arrivals by Place of Origin</v>
      </c>
      <c r="D273" s="56" t="str">
        <f>'Secondary cum Calculation'!D277</f>
        <v>Africa</v>
      </c>
      <c r="E273" s="55" t="str">
        <f>'Secondary cum Calculation'!E277</f>
        <v>Tunisia</v>
      </c>
      <c r="F273" s="57" t="str">
        <f>'Secondary cum Calculation'!F277</f>
        <v>The number of international arrivals to a country originating from Tunisia</v>
      </c>
      <c r="G273" s="57" t="str">
        <f>'Secondary cum Calculation'!G277</f>
        <v>Tourism Demand &amp; Flows Database</v>
      </c>
      <c r="H273" s="57" t="str">
        <f>'Secondary cum Calculation'!H277</f>
        <v>New</v>
      </c>
      <c r="I273" s="57">
        <f>'Secondary cum Calculation'!I277</f>
        <v>0</v>
      </c>
      <c r="J273" s="57" t="str">
        <f>'Secondary cum Calculation'!J277</f>
        <v>Thousand</v>
      </c>
      <c r="K273" s="58">
        <f>'Secondary cum Calculation'!K277</f>
        <v>0</v>
      </c>
      <c r="L273" s="59">
        <f>'Secondary cum Calculation'!L277</f>
        <v>0</v>
      </c>
      <c r="M273" s="59">
        <f>'Secondary cum Calculation'!M277</f>
        <v>0</v>
      </c>
      <c r="N273" s="59">
        <f>'Secondary cum Calculation'!N277</f>
        <v>0</v>
      </c>
      <c r="O273" s="59">
        <f>'Secondary cum Calculation'!O277</f>
        <v>0</v>
      </c>
      <c r="P273" s="59">
        <f>'Secondary cum Calculation'!P277</f>
        <v>0</v>
      </c>
      <c r="Q273" s="59"/>
      <c r="R273" s="59"/>
      <c r="S273" s="59"/>
      <c r="T273" s="59"/>
      <c r="U273" s="59"/>
      <c r="V273" s="59"/>
      <c r="W273" s="106" t="e">
        <f>'Secondary cum Calculation'!W277</f>
        <v>#DIV/0!</v>
      </c>
      <c r="X273" s="106" t="e">
        <f>'Secondary cum Calculation'!X277</f>
        <v>#DIV/0!</v>
      </c>
    </row>
    <row r="274" spans="1:26">
      <c r="A274" s="57"/>
      <c r="B274" s="57"/>
      <c r="C274" s="61" t="str">
        <f>'Secondary cum Calculation'!C278</f>
        <v>Growth Rate</v>
      </c>
      <c r="D274" s="61"/>
      <c r="E274" s="61"/>
      <c r="F274" s="61">
        <f>'Secondary cum Calculation'!F278</f>
        <v>0</v>
      </c>
      <c r="G274" s="61">
        <f>'Secondary cum Calculation'!G278</f>
        <v>0</v>
      </c>
      <c r="H274" s="61">
        <f>'Secondary cum Calculation'!H278</f>
        <v>0</v>
      </c>
      <c r="I274" s="61">
        <f>'Secondary cum Calculation'!I278</f>
        <v>0</v>
      </c>
      <c r="J274" s="61" t="str">
        <f>'Secondary cum Calculation'!J278</f>
        <v>%</v>
      </c>
      <c r="K274" s="58">
        <f>'Secondary cum Calculation'!K278</f>
        <v>0</v>
      </c>
      <c r="L274" s="59"/>
      <c r="M274" s="62" t="e">
        <f>'Secondary cum Calculation'!M278</f>
        <v>#DIV/0!</v>
      </c>
      <c r="N274" s="62" t="e">
        <f>'Secondary cum Calculation'!N278</f>
        <v>#DIV/0!</v>
      </c>
      <c r="O274" s="62" t="e">
        <f>'Secondary cum Calculation'!O278</f>
        <v>#DIV/0!</v>
      </c>
      <c r="P274" s="62" t="e">
        <f>'Secondary cum Calculation'!P278</f>
        <v>#DIV/0!</v>
      </c>
      <c r="Q274" s="62"/>
      <c r="R274" s="62"/>
      <c r="S274" s="62"/>
      <c r="T274" s="62"/>
      <c r="U274" s="62"/>
      <c r="V274" s="62"/>
      <c r="W274" s="259"/>
      <c r="X274" s="259"/>
    </row>
    <row r="275" spans="1:26">
      <c r="A275" s="55" t="str">
        <f>'Secondary cum Calculation'!A279</f>
        <v>Poland</v>
      </c>
      <c r="B275" s="56" t="str">
        <f>'Secondary cum Calculation'!B279</f>
        <v>Tourism Flows</v>
      </c>
      <c r="C275" s="56" t="str">
        <f>'Secondary cum Calculation'!C279</f>
        <v>International Arrivals by Place of Origin</v>
      </c>
      <c r="D275" s="56" t="str">
        <f>'Secondary cum Calculation'!D279</f>
        <v>Africa</v>
      </c>
      <c r="E275" s="55" t="str">
        <f>'Secondary cum Calculation'!E279</f>
        <v>Uganda</v>
      </c>
      <c r="F275" s="57" t="str">
        <f>'Secondary cum Calculation'!F279</f>
        <v>The number of international arrivals to a country originating from Uganda</v>
      </c>
      <c r="G275" s="57" t="str">
        <f>'Secondary cum Calculation'!G279</f>
        <v>Tourism Demand &amp; Flows Database</v>
      </c>
      <c r="H275" s="57" t="str">
        <f>'Secondary cum Calculation'!H279</f>
        <v>New</v>
      </c>
      <c r="I275" s="57">
        <f>'Secondary cum Calculation'!I279</f>
        <v>0</v>
      </c>
      <c r="J275" s="57" t="str">
        <f>'Secondary cum Calculation'!J279</f>
        <v>Thousand</v>
      </c>
      <c r="K275" s="58">
        <f>'Secondary cum Calculation'!K279</f>
        <v>0</v>
      </c>
      <c r="L275" s="59">
        <f>'Secondary cum Calculation'!L279</f>
        <v>0</v>
      </c>
      <c r="M275" s="59">
        <f>'Secondary cum Calculation'!M279</f>
        <v>0</v>
      </c>
      <c r="N275" s="59">
        <f>'Secondary cum Calculation'!N279</f>
        <v>0</v>
      </c>
      <c r="O275" s="59">
        <f>'Secondary cum Calculation'!O279</f>
        <v>0</v>
      </c>
      <c r="P275" s="59">
        <f>'Secondary cum Calculation'!P279</f>
        <v>0</v>
      </c>
      <c r="Q275" s="59"/>
      <c r="R275" s="59"/>
      <c r="S275" s="59"/>
      <c r="T275" s="59"/>
      <c r="U275" s="59"/>
      <c r="V275" s="59"/>
      <c r="W275" s="106" t="e">
        <f>'Secondary cum Calculation'!W279</f>
        <v>#DIV/0!</v>
      </c>
      <c r="X275" s="106" t="e">
        <f>'Secondary cum Calculation'!X279</f>
        <v>#DIV/0!</v>
      </c>
    </row>
    <row r="276" spans="1:26">
      <c r="A276" s="57"/>
      <c r="B276" s="57"/>
      <c r="C276" s="61" t="str">
        <f>'Secondary cum Calculation'!C280</f>
        <v>Growth Rate</v>
      </c>
      <c r="D276" s="61"/>
      <c r="E276" s="61"/>
      <c r="F276" s="61">
        <f>'Secondary cum Calculation'!F280</f>
        <v>0</v>
      </c>
      <c r="G276" s="61">
        <f>'Secondary cum Calculation'!G280</f>
        <v>0</v>
      </c>
      <c r="H276" s="61">
        <f>'Secondary cum Calculation'!H280</f>
        <v>0</v>
      </c>
      <c r="I276" s="61">
        <f>'Secondary cum Calculation'!I280</f>
        <v>0</v>
      </c>
      <c r="J276" s="61" t="str">
        <f>'Secondary cum Calculation'!J280</f>
        <v>%</v>
      </c>
      <c r="K276" s="58">
        <f>'Secondary cum Calculation'!K280</f>
        <v>0</v>
      </c>
      <c r="L276" s="59"/>
      <c r="M276" s="62" t="e">
        <f>'Secondary cum Calculation'!M280</f>
        <v>#DIV/0!</v>
      </c>
      <c r="N276" s="62" t="e">
        <f>'Secondary cum Calculation'!N280</f>
        <v>#DIV/0!</v>
      </c>
      <c r="O276" s="62" t="e">
        <f>'Secondary cum Calculation'!O280</f>
        <v>#DIV/0!</v>
      </c>
      <c r="P276" s="62" t="e">
        <f>'Secondary cum Calculation'!P280</f>
        <v>#DIV/0!</v>
      </c>
      <c r="Q276" s="62"/>
      <c r="R276" s="62"/>
      <c r="S276" s="62"/>
      <c r="T276" s="62"/>
      <c r="U276" s="62"/>
      <c r="V276" s="62"/>
      <c r="W276" s="259"/>
      <c r="X276" s="259"/>
    </row>
    <row r="277" spans="1:26">
      <c r="A277" s="55" t="str">
        <f>'Secondary cum Calculation'!A281</f>
        <v>Poland</v>
      </c>
      <c r="B277" s="56" t="str">
        <f>'Secondary cum Calculation'!B281</f>
        <v>Tourism Flows</v>
      </c>
      <c r="C277" s="56" t="str">
        <f>'Secondary cum Calculation'!C281</f>
        <v>International Arrivals by Place of Origin</v>
      </c>
      <c r="D277" s="56" t="str">
        <f>'Secondary cum Calculation'!D281</f>
        <v>Africa</v>
      </c>
      <c r="E277" s="55" t="str">
        <f>'Secondary cum Calculation'!E281</f>
        <v>United Republic of Tanzania</v>
      </c>
      <c r="F277" s="57" t="str">
        <f>'Secondary cum Calculation'!F281</f>
        <v>The number of international arrivals to a country originating from United Republic of Tanzania</v>
      </c>
      <c r="G277" s="57" t="str">
        <f>'Secondary cum Calculation'!G281</f>
        <v>Tourism Demand &amp; Flows Database</v>
      </c>
      <c r="H277" s="57" t="str">
        <f>'Secondary cum Calculation'!H281</f>
        <v>New</v>
      </c>
      <c r="I277" s="57">
        <f>'Secondary cum Calculation'!I281</f>
        <v>0</v>
      </c>
      <c r="J277" s="57" t="str">
        <f>'Secondary cum Calculation'!J281</f>
        <v>Thousand</v>
      </c>
      <c r="K277" s="58">
        <f>'Secondary cum Calculation'!K281</f>
        <v>0</v>
      </c>
      <c r="L277" s="59">
        <f>'Secondary cum Calculation'!L281</f>
        <v>0</v>
      </c>
      <c r="M277" s="59">
        <f>'Secondary cum Calculation'!M281</f>
        <v>0</v>
      </c>
      <c r="N277" s="59">
        <f>'Secondary cum Calculation'!N281</f>
        <v>0</v>
      </c>
      <c r="O277" s="59">
        <f>'Secondary cum Calculation'!O281</f>
        <v>0</v>
      </c>
      <c r="P277" s="59">
        <f>'Secondary cum Calculation'!P281</f>
        <v>0</v>
      </c>
      <c r="Q277" s="59"/>
      <c r="R277" s="59"/>
      <c r="S277" s="59"/>
      <c r="T277" s="59"/>
      <c r="U277" s="59"/>
      <c r="V277" s="59"/>
      <c r="W277" s="106" t="e">
        <f>'Secondary cum Calculation'!W281</f>
        <v>#DIV/0!</v>
      </c>
      <c r="X277" s="106" t="e">
        <f>'Secondary cum Calculation'!X281</f>
        <v>#DIV/0!</v>
      </c>
    </row>
    <row r="278" spans="1:26">
      <c r="A278" s="57"/>
      <c r="B278" s="57"/>
      <c r="C278" s="61" t="str">
        <f>'Secondary cum Calculation'!C282</f>
        <v>Growth Rate</v>
      </c>
      <c r="D278" s="61"/>
      <c r="E278" s="61"/>
      <c r="F278" s="61">
        <f>'Secondary cum Calculation'!F282</f>
        <v>0</v>
      </c>
      <c r="G278" s="61">
        <f>'Secondary cum Calculation'!G282</f>
        <v>0</v>
      </c>
      <c r="H278" s="61">
        <f>'Secondary cum Calculation'!H282</f>
        <v>0</v>
      </c>
      <c r="I278" s="61">
        <f>'Secondary cum Calculation'!I282</f>
        <v>0</v>
      </c>
      <c r="J278" s="61" t="str">
        <f>'Secondary cum Calculation'!J282</f>
        <v>%</v>
      </c>
      <c r="K278" s="58">
        <f>'Secondary cum Calculation'!K282</f>
        <v>0</v>
      </c>
      <c r="L278" s="59"/>
      <c r="M278" s="62" t="e">
        <f>'Secondary cum Calculation'!M282</f>
        <v>#DIV/0!</v>
      </c>
      <c r="N278" s="62" t="e">
        <f>'Secondary cum Calculation'!N282</f>
        <v>#DIV/0!</v>
      </c>
      <c r="O278" s="62" t="e">
        <f>'Secondary cum Calculation'!O282</f>
        <v>#DIV/0!</v>
      </c>
      <c r="P278" s="62" t="e">
        <f>'Secondary cum Calculation'!P282</f>
        <v>#DIV/0!</v>
      </c>
      <c r="Q278" s="62"/>
      <c r="R278" s="62"/>
      <c r="S278" s="62"/>
      <c r="T278" s="62"/>
      <c r="U278" s="62"/>
      <c r="V278" s="62"/>
      <c r="W278" s="259"/>
      <c r="X278" s="259"/>
    </row>
    <row r="279" spans="1:26">
      <c r="A279" s="55" t="str">
        <f>'Secondary cum Calculation'!A283</f>
        <v>Poland</v>
      </c>
      <c r="B279" s="56" t="str">
        <f>'Secondary cum Calculation'!B283</f>
        <v>Tourism Flows</v>
      </c>
      <c r="C279" s="56" t="str">
        <f>'Secondary cum Calculation'!C283</f>
        <v>International Arrivals by Place of Origin</v>
      </c>
      <c r="D279" s="56" t="str">
        <f>'Secondary cum Calculation'!D283</f>
        <v>Africa</v>
      </c>
      <c r="E279" s="55" t="str">
        <f>'Secondary cum Calculation'!E283</f>
        <v>Western Sahara</v>
      </c>
      <c r="F279" s="57" t="str">
        <f>'Secondary cum Calculation'!F283</f>
        <v>The number of international arrivals to a country originating from Western Sahara</v>
      </c>
      <c r="G279" s="57" t="str">
        <f>'Secondary cum Calculation'!G283</f>
        <v>Tourism Demand &amp; Flows Database</v>
      </c>
      <c r="H279" s="57" t="str">
        <f>'Secondary cum Calculation'!H283</f>
        <v>New</v>
      </c>
      <c r="I279" s="57">
        <f>'Secondary cum Calculation'!I283</f>
        <v>0</v>
      </c>
      <c r="J279" s="57" t="str">
        <f>'Secondary cum Calculation'!J283</f>
        <v>Thousand</v>
      </c>
      <c r="K279" s="58">
        <f>'Secondary cum Calculation'!K283</f>
        <v>0</v>
      </c>
      <c r="L279" s="59">
        <f>'Secondary cum Calculation'!L283</f>
        <v>0</v>
      </c>
      <c r="M279" s="59">
        <f>'Secondary cum Calculation'!M283</f>
        <v>0</v>
      </c>
      <c r="N279" s="59">
        <f>'Secondary cum Calculation'!N283</f>
        <v>0</v>
      </c>
      <c r="O279" s="59">
        <f>'Secondary cum Calculation'!O283</f>
        <v>0</v>
      </c>
      <c r="P279" s="59">
        <f>'Secondary cum Calculation'!P283</f>
        <v>0</v>
      </c>
      <c r="Q279" s="59"/>
      <c r="R279" s="59"/>
      <c r="S279" s="59"/>
      <c r="T279" s="59"/>
      <c r="U279" s="59"/>
      <c r="V279" s="59"/>
      <c r="W279" s="106" t="e">
        <f>'Secondary cum Calculation'!W283</f>
        <v>#DIV/0!</v>
      </c>
      <c r="X279" s="106" t="e">
        <f>'Secondary cum Calculation'!X283</f>
        <v>#DIV/0!</v>
      </c>
    </row>
    <row r="280" spans="1:26">
      <c r="A280" s="57"/>
      <c r="B280" s="57"/>
      <c r="C280" s="61" t="str">
        <f>'Secondary cum Calculation'!C284</f>
        <v>Growth Rate</v>
      </c>
      <c r="D280" s="61"/>
      <c r="E280" s="61"/>
      <c r="F280" s="61">
        <f>'Secondary cum Calculation'!F284</f>
        <v>0</v>
      </c>
      <c r="G280" s="61">
        <f>'Secondary cum Calculation'!G284</f>
        <v>0</v>
      </c>
      <c r="H280" s="61">
        <f>'Secondary cum Calculation'!H284</f>
        <v>0</v>
      </c>
      <c r="I280" s="61">
        <f>'Secondary cum Calculation'!I284</f>
        <v>0</v>
      </c>
      <c r="J280" s="61" t="str">
        <f>'Secondary cum Calculation'!J284</f>
        <v>%</v>
      </c>
      <c r="K280" s="58">
        <f>'Secondary cum Calculation'!K284</f>
        <v>0</v>
      </c>
      <c r="L280" s="59"/>
      <c r="M280" s="62" t="e">
        <f>'Secondary cum Calculation'!M284</f>
        <v>#DIV/0!</v>
      </c>
      <c r="N280" s="62" t="e">
        <f>'Secondary cum Calculation'!N284</f>
        <v>#DIV/0!</v>
      </c>
      <c r="O280" s="62" t="e">
        <f>'Secondary cum Calculation'!O284</f>
        <v>#DIV/0!</v>
      </c>
      <c r="P280" s="62" t="e">
        <f>'Secondary cum Calculation'!P284</f>
        <v>#DIV/0!</v>
      </c>
      <c r="Q280" s="62"/>
      <c r="R280" s="62"/>
      <c r="S280" s="62"/>
      <c r="T280" s="62"/>
      <c r="U280" s="62"/>
      <c r="V280" s="62"/>
      <c r="W280" s="259"/>
      <c r="X280" s="259"/>
    </row>
    <row r="281" spans="1:26">
      <c r="A281" s="55" t="str">
        <f>'Secondary cum Calculation'!A285</f>
        <v>Poland</v>
      </c>
      <c r="B281" s="56" t="str">
        <f>'Secondary cum Calculation'!B285</f>
        <v>Tourism Flows</v>
      </c>
      <c r="C281" s="56" t="str">
        <f>'Secondary cum Calculation'!C285</f>
        <v>International Arrivals by Place of Origin</v>
      </c>
      <c r="D281" s="56" t="str">
        <f>'Secondary cum Calculation'!D285</f>
        <v>Africa</v>
      </c>
      <c r="E281" s="55" t="str">
        <f>'Secondary cum Calculation'!E285</f>
        <v>Zambia</v>
      </c>
      <c r="F281" s="57" t="str">
        <f>'Secondary cum Calculation'!F285</f>
        <v>The number of international arrivals to a country originating from Zambia</v>
      </c>
      <c r="G281" s="57" t="str">
        <f>'Secondary cum Calculation'!G285</f>
        <v>Tourism Demand &amp; Flows Database</v>
      </c>
      <c r="H281" s="57" t="str">
        <f>'Secondary cum Calculation'!H285</f>
        <v>New</v>
      </c>
      <c r="I281" s="57">
        <f>'Secondary cum Calculation'!I285</f>
        <v>0</v>
      </c>
      <c r="J281" s="57" t="str">
        <f>'Secondary cum Calculation'!J285</f>
        <v>Thousand</v>
      </c>
      <c r="K281" s="58">
        <f>'Secondary cum Calculation'!K285</f>
        <v>0</v>
      </c>
      <c r="L281" s="59">
        <f>'Secondary cum Calculation'!L285</f>
        <v>0</v>
      </c>
      <c r="M281" s="59">
        <f>'Secondary cum Calculation'!M285</f>
        <v>0</v>
      </c>
      <c r="N281" s="59">
        <f>'Secondary cum Calculation'!N285</f>
        <v>0</v>
      </c>
      <c r="O281" s="59">
        <f>'Secondary cum Calculation'!O285</f>
        <v>0</v>
      </c>
      <c r="P281" s="59">
        <f>'Secondary cum Calculation'!P285</f>
        <v>0</v>
      </c>
      <c r="Q281" s="59"/>
      <c r="R281" s="59"/>
      <c r="S281" s="59"/>
      <c r="T281" s="59"/>
      <c r="U281" s="59"/>
      <c r="V281" s="59"/>
      <c r="W281" s="106" t="e">
        <f>'Secondary cum Calculation'!W285</f>
        <v>#DIV/0!</v>
      </c>
      <c r="X281" s="106" t="e">
        <f>'Secondary cum Calculation'!X285</f>
        <v>#DIV/0!</v>
      </c>
    </row>
    <row r="282" spans="1:26">
      <c r="A282" s="57"/>
      <c r="B282" s="57"/>
      <c r="C282" s="61" t="str">
        <f>'Secondary cum Calculation'!C286</f>
        <v>Growth Rate</v>
      </c>
      <c r="D282" s="61"/>
      <c r="E282" s="61"/>
      <c r="F282" s="61">
        <f>'Secondary cum Calculation'!F286</f>
        <v>0</v>
      </c>
      <c r="G282" s="61">
        <f>'Secondary cum Calculation'!G286</f>
        <v>0</v>
      </c>
      <c r="H282" s="61">
        <f>'Secondary cum Calculation'!H286</f>
        <v>0</v>
      </c>
      <c r="I282" s="61">
        <f>'Secondary cum Calculation'!I286</f>
        <v>0</v>
      </c>
      <c r="J282" s="61" t="str">
        <f>'Secondary cum Calculation'!J286</f>
        <v>%</v>
      </c>
      <c r="K282" s="58">
        <f>'Secondary cum Calculation'!K286</f>
        <v>0</v>
      </c>
      <c r="L282" s="59"/>
      <c r="M282" s="62" t="e">
        <f>'Secondary cum Calculation'!M286</f>
        <v>#DIV/0!</v>
      </c>
      <c r="N282" s="62" t="e">
        <f>'Secondary cum Calculation'!N286</f>
        <v>#DIV/0!</v>
      </c>
      <c r="O282" s="62" t="e">
        <f>'Secondary cum Calculation'!O286</f>
        <v>#DIV/0!</v>
      </c>
      <c r="P282" s="62" t="e">
        <f>'Secondary cum Calculation'!P286</f>
        <v>#DIV/0!</v>
      </c>
      <c r="Q282" s="62"/>
      <c r="R282" s="62"/>
      <c r="S282" s="62"/>
      <c r="T282" s="62"/>
      <c r="U282" s="62"/>
      <c r="V282" s="62"/>
      <c r="W282" s="259"/>
      <c r="X282" s="259"/>
    </row>
    <row r="283" spans="1:26">
      <c r="A283" s="55" t="str">
        <f>'Secondary cum Calculation'!A287</f>
        <v>Poland</v>
      </c>
      <c r="B283" s="56" t="str">
        <f>'Secondary cum Calculation'!B287</f>
        <v>Tourism Flows</v>
      </c>
      <c r="C283" s="56" t="str">
        <f>'Secondary cum Calculation'!C287</f>
        <v>International Arrivals by Place of Origin</v>
      </c>
      <c r="D283" s="56" t="str">
        <f>'Secondary cum Calculation'!D287</f>
        <v>Africa</v>
      </c>
      <c r="E283" s="55" t="str">
        <f>'Secondary cum Calculation'!E287</f>
        <v>Zimbabwe</v>
      </c>
      <c r="F283" s="57" t="str">
        <f>'Secondary cum Calculation'!F287</f>
        <v>The number of international arrivals to a country originating from Zimbabwe</v>
      </c>
      <c r="G283" s="57" t="str">
        <f>'Secondary cum Calculation'!G287</f>
        <v>Tourism Demand &amp; Flows Database</v>
      </c>
      <c r="H283" s="57" t="str">
        <f>'Secondary cum Calculation'!H287</f>
        <v>New</v>
      </c>
      <c r="I283" s="57">
        <f>'Secondary cum Calculation'!I287</f>
        <v>0</v>
      </c>
      <c r="J283" s="57" t="str">
        <f>'Secondary cum Calculation'!J287</f>
        <v>Thousand</v>
      </c>
      <c r="K283" s="58">
        <f>'Secondary cum Calculation'!K287</f>
        <v>0</v>
      </c>
      <c r="L283" s="59">
        <f>'Secondary cum Calculation'!L287</f>
        <v>0</v>
      </c>
      <c r="M283" s="59">
        <f>'Secondary cum Calculation'!M287</f>
        <v>0</v>
      </c>
      <c r="N283" s="59">
        <f>'Secondary cum Calculation'!N287</f>
        <v>0</v>
      </c>
      <c r="O283" s="96">
        <f>'Secondary cum Calculation'!O287</f>
        <v>0</v>
      </c>
      <c r="P283" s="96">
        <f>'Secondary cum Calculation'!P287</f>
        <v>0</v>
      </c>
      <c r="Q283" s="96"/>
      <c r="R283" s="96"/>
      <c r="S283" s="96"/>
      <c r="T283" s="96"/>
      <c r="U283" s="96"/>
      <c r="V283" s="96"/>
      <c r="W283" s="106" t="e">
        <f>'Secondary cum Calculation'!W287</f>
        <v>#DIV/0!</v>
      </c>
      <c r="X283" s="106" t="e">
        <f>'Secondary cum Calculation'!X287</f>
        <v>#DIV/0!</v>
      </c>
    </row>
    <row r="284" spans="1:26">
      <c r="A284" s="57"/>
      <c r="B284" s="57"/>
      <c r="C284" s="61" t="str">
        <f>'Secondary cum Calculation'!C288</f>
        <v>Growth Rate</v>
      </c>
      <c r="D284" s="61"/>
      <c r="E284" s="61"/>
      <c r="F284" s="61">
        <f>'Secondary cum Calculation'!F288</f>
        <v>0</v>
      </c>
      <c r="G284" s="61">
        <f>'Secondary cum Calculation'!G288</f>
        <v>0</v>
      </c>
      <c r="H284" s="61">
        <f>'Secondary cum Calculation'!H288</f>
        <v>0</v>
      </c>
      <c r="I284" s="61">
        <f>'Secondary cum Calculation'!I288</f>
        <v>0</v>
      </c>
      <c r="J284" s="61" t="str">
        <f>'Secondary cum Calculation'!J288</f>
        <v>%</v>
      </c>
      <c r="K284" s="58">
        <f>'Secondary cum Calculation'!K288</f>
        <v>0</v>
      </c>
      <c r="L284" s="59"/>
      <c r="M284" s="62" t="e">
        <f>'Secondary cum Calculation'!M288</f>
        <v>#DIV/0!</v>
      </c>
      <c r="N284" s="62" t="e">
        <f>'Secondary cum Calculation'!N288</f>
        <v>#DIV/0!</v>
      </c>
      <c r="O284" s="62" t="e">
        <f>'Secondary cum Calculation'!O288</f>
        <v>#DIV/0!</v>
      </c>
      <c r="P284" s="62" t="e">
        <f>'Secondary cum Calculation'!P288</f>
        <v>#DIV/0!</v>
      </c>
      <c r="Q284" s="62"/>
      <c r="R284" s="62"/>
      <c r="S284" s="62"/>
      <c r="T284" s="62"/>
      <c r="U284" s="62"/>
      <c r="V284" s="62"/>
      <c r="W284" s="259"/>
      <c r="X284" s="259"/>
    </row>
    <row r="285" spans="1:26">
      <c r="A285" s="55" t="str">
        <f>'Secondary cum Calculation'!A289</f>
        <v>Poland</v>
      </c>
      <c r="B285" s="84" t="str">
        <f>'Secondary cum Calculation'!B289</f>
        <v>Tourism Flows</v>
      </c>
      <c r="C285" s="84" t="str">
        <f>'Secondary cum Calculation'!C289</f>
        <v>International Arrivals by Place of Origin</v>
      </c>
      <c r="D285" s="84" t="str">
        <f>'Secondary cum Calculation'!D289</f>
        <v>Africa</v>
      </c>
      <c r="E285" s="97" t="str">
        <f>'Secondary cum Calculation'!E289</f>
        <v>Other African Countries</v>
      </c>
      <c r="F285" s="84" t="str">
        <f>'Secondary cum Calculation'!F289</f>
        <v>To be defined according to the gaps in the country data above</v>
      </c>
      <c r="G285" s="57">
        <f>'Secondary cum Calculation'!G289</f>
        <v>0</v>
      </c>
      <c r="H285" s="57">
        <f>'Secondary cum Calculation'!H289</f>
        <v>0</v>
      </c>
      <c r="I285" s="57">
        <f>'Secondary cum Calculation'!I289</f>
        <v>0</v>
      </c>
      <c r="J285" s="57" t="str">
        <f>'Secondary cum Calculation'!J289</f>
        <v>Thousand</v>
      </c>
      <c r="K285" s="58">
        <f>'Secondary cum Calculation'!K289</f>
        <v>0</v>
      </c>
      <c r="L285" s="59">
        <f>'Secondary cum Calculation'!L289</f>
        <v>52.253451508886499</v>
      </c>
      <c r="M285" s="59">
        <f>'Secondary cum Calculation'!M289</f>
        <v>42.750283164627255</v>
      </c>
      <c r="N285" s="59">
        <f>'Secondary cum Calculation'!N289</f>
        <v>39.565883515656104</v>
      </c>
      <c r="O285" s="96">
        <f>'Secondary cum Calculation'!O289</f>
        <v>44.038197332752539</v>
      </c>
      <c r="P285" s="96">
        <f>'Secondary cum Calculation'!P289</f>
        <v>46.305151599135741</v>
      </c>
      <c r="Q285" s="96"/>
      <c r="R285" s="96"/>
      <c r="S285" s="96"/>
      <c r="T285" s="96"/>
      <c r="U285" s="96"/>
      <c r="V285" s="96"/>
      <c r="W285" s="106">
        <f>'Secondary cum Calculation'!W289</f>
        <v>6.2355469466307545E-2</v>
      </c>
      <c r="X285" s="106">
        <f>'Secondary cum Calculation'!X289</f>
        <v>-1</v>
      </c>
    </row>
    <row r="286" spans="1:26">
      <c r="A286" s="57"/>
      <c r="B286" s="57"/>
      <c r="C286" s="61" t="str">
        <f>'Secondary cum Calculation'!C290</f>
        <v>Growth Rate</v>
      </c>
      <c r="D286" s="61"/>
      <c r="E286" s="61"/>
      <c r="F286" s="61">
        <f>'Secondary cum Calculation'!F290</f>
        <v>0</v>
      </c>
      <c r="G286" s="61">
        <f>'Secondary cum Calculation'!G290</f>
        <v>0</v>
      </c>
      <c r="H286" s="61">
        <f>'Secondary cum Calculation'!H290</f>
        <v>0</v>
      </c>
      <c r="I286" s="61">
        <f>'Secondary cum Calculation'!I290</f>
        <v>0</v>
      </c>
      <c r="J286" s="61" t="str">
        <f>'Secondary cum Calculation'!J290</f>
        <v>%</v>
      </c>
      <c r="K286" s="58">
        <f>'Secondary cum Calculation'!K290</f>
        <v>0</v>
      </c>
      <c r="L286" s="59"/>
      <c r="M286" s="62">
        <f>'Secondary cum Calculation'!M290</f>
        <v>8.1167050564878718E-3</v>
      </c>
      <c r="N286" s="62">
        <f>'Secondary cum Calculation'!N290</f>
        <v>-7.4488387286426483E-2</v>
      </c>
      <c r="O286" s="62">
        <f>'Secondary cum Calculation'!O290</f>
        <v>0.11303460000651211</v>
      </c>
      <c r="P286" s="62">
        <f>'Secondary cum Calculation'!P290</f>
        <v>5.1476999597737771E-2</v>
      </c>
      <c r="Q286" s="62"/>
      <c r="R286" s="62"/>
      <c r="S286" s="62"/>
      <c r="T286" s="62"/>
      <c r="U286" s="62"/>
      <c r="V286" s="62"/>
      <c r="W286" s="259"/>
      <c r="X286" s="259"/>
    </row>
    <row r="287" spans="1:26">
      <c r="A287" s="55" t="str">
        <f>'Secondary cum Calculation'!A291</f>
        <v>Poland</v>
      </c>
      <c r="B287" s="56" t="str">
        <f>'Secondary cum Calculation'!B291</f>
        <v>Tourism Flows</v>
      </c>
      <c r="C287" s="56" t="str">
        <f>'Secondary cum Calculation'!C291</f>
        <v>International Arrivals by Place of Origin</v>
      </c>
      <c r="D287" s="55" t="str">
        <f>'Secondary cum Calculation'!D291</f>
        <v>Asia-Pacific</v>
      </c>
      <c r="E287" s="57"/>
      <c r="F287" s="57" t="str">
        <f>'Secondary cum Calculation'!F291</f>
        <v>The number of international arrivals to a country originating from Asia-Pacific</v>
      </c>
      <c r="G287" s="57" t="str">
        <f>'Secondary cum Calculation'!G291</f>
        <v>Tourism Demand &amp; Flows Database</v>
      </c>
      <c r="H287" s="57" t="str">
        <f>'Secondary cum Calculation'!H291</f>
        <v>New</v>
      </c>
      <c r="I287" s="57">
        <f>'Secondary cum Calculation'!I291</f>
        <v>0</v>
      </c>
      <c r="J287" s="57" t="str">
        <f>'Secondary cum Calculation'!J291</f>
        <v>Thousand</v>
      </c>
      <c r="K287" s="86">
        <f>'Secondary cum Calculation'!K291</f>
        <v>5140.4319999999998</v>
      </c>
      <c r="L287" s="80">
        <f>'Secondary cum Calculation'!L291</f>
        <v>822.5044258198086</v>
      </c>
      <c r="M287" s="80">
        <f>'Secondary cum Calculation'!M291</f>
        <v>680.70556323375399</v>
      </c>
      <c r="N287" s="80">
        <f>'Secondary cum Calculation'!N291</f>
        <v>569.82233984634695</v>
      </c>
      <c r="O287" s="80">
        <f>'Secondary cum Calculation'!O291</f>
        <v>687.95073261616017</v>
      </c>
      <c r="P287" s="80">
        <f>'Secondary cum Calculation'!P291</f>
        <v>717.14721461239287</v>
      </c>
      <c r="Q287" s="80">
        <f>'Secondary cum Calculation'!Q291</f>
        <v>809.28505767630531</v>
      </c>
      <c r="R287" s="80">
        <f t="shared" ref="R287:V287" si="215">Q287*(1+R288)</f>
        <v>859.38032672872509</v>
      </c>
      <c r="S287" s="80">
        <f t="shared" si="215"/>
        <v>916.68214928064015</v>
      </c>
      <c r="T287" s="80">
        <f t="shared" si="215"/>
        <v>963.67209586129081</v>
      </c>
      <c r="U287" s="80">
        <f t="shared" si="215"/>
        <v>1009.6260463186787</v>
      </c>
      <c r="V287" s="80">
        <f t="shared" si="215"/>
        <v>1049.6500428244997</v>
      </c>
      <c r="W287" s="106">
        <f>'Secondary cum Calculation'!W291</f>
        <v>4.4204487942453907E-2</v>
      </c>
      <c r="X287" s="106">
        <f>'Secondary cum Calculation'!X291</f>
        <v>5.3388568913122381E-2</v>
      </c>
      <c r="Y287" s="7" t="s">
        <v>1072</v>
      </c>
      <c r="Z287" s="12"/>
    </row>
    <row r="288" spans="1:26">
      <c r="A288" s="57"/>
      <c r="B288" s="57"/>
      <c r="C288" s="61" t="str">
        <f>'Secondary cum Calculation'!C292</f>
        <v>Growth Rate</v>
      </c>
      <c r="D288" s="61"/>
      <c r="E288" s="61"/>
      <c r="F288" s="61">
        <f>'Secondary cum Calculation'!F292</f>
        <v>0</v>
      </c>
      <c r="G288" s="61">
        <f>'Secondary cum Calculation'!G292</f>
        <v>0</v>
      </c>
      <c r="H288" s="61">
        <f>'Secondary cum Calculation'!H292</f>
        <v>0</v>
      </c>
      <c r="I288" s="61">
        <f>'Secondary cum Calculation'!I292</f>
        <v>0</v>
      </c>
      <c r="J288" s="61" t="str">
        <f>'Secondary cum Calculation'!J292</f>
        <v>%</v>
      </c>
      <c r="K288" s="58">
        <f>'Secondary cum Calculation'!K292</f>
        <v>0</v>
      </c>
      <c r="L288" s="59"/>
      <c r="M288" s="62">
        <f>'Secondary cum Calculation'!M292</f>
        <v>-0.17239890526390844</v>
      </c>
      <c r="N288" s="62">
        <f>'Secondary cum Calculation'!N292</f>
        <v>-0.1628945455662888</v>
      </c>
      <c r="O288" s="62">
        <f>'Secondary cum Calculation'!O292</f>
        <v>0.2073074088349478</v>
      </c>
      <c r="P288" s="62">
        <f>'Secondary cum Calculation'!P292</f>
        <v>4.2439786182367101E-2</v>
      </c>
      <c r="Q288" s="62">
        <f>'Secondary cum Calculation'!Q292</f>
        <v>0.12847828337967049</v>
      </c>
      <c r="R288" s="62">
        <f>0.1*((L287/P287)^(1/4)-1)+0.9*($E290*R291+$E292*R293+$E294*R295+$E296*R297)</f>
        <v>6.1900647463154761E-2</v>
      </c>
      <c r="S288" s="62">
        <f>0.2*((L287/P287)^(1/4)-1)+0.8*($E290*S291+$E292*S293+$E294*S295+$E296*S297)</f>
        <v>6.667807112834119E-2</v>
      </c>
      <c r="T288" s="62">
        <f>0.2*((M287/Q287)^(1/4)-1)+0.8*($E290*T291+$E292*T293+$E294*T295+$E296*T297)</f>
        <v>5.1260894103289448E-2</v>
      </c>
      <c r="U288" s="62">
        <f>0.2*((N287/R287)^(1/4)-1)+0.8*($E290*U291+$E292*U293+$E294*U295+$E296*U297)</f>
        <v>4.7686293558511783E-2</v>
      </c>
      <c r="V288" s="62">
        <f>0.3*((O287/S287)^(1/4)-1)+0.7*($E290*V291+$E292*V293+$E294*V295+$E296*V297)</f>
        <v>3.9642396956533724E-2</v>
      </c>
      <c r="W288" s="259"/>
      <c r="X288" s="259"/>
    </row>
    <row r="289" spans="1:26" outlineLevel="1">
      <c r="A289" s="306"/>
      <c r="B289" s="306"/>
      <c r="C289" s="306"/>
      <c r="D289" s="307" t="s">
        <v>912</v>
      </c>
      <c r="E289" s="112" t="s">
        <v>914</v>
      </c>
      <c r="F289" s="112"/>
      <c r="G289" s="112"/>
      <c r="H289" s="112"/>
      <c r="I289" s="112"/>
      <c r="J289" s="112"/>
      <c r="K289" s="113"/>
      <c r="L289" s="114"/>
      <c r="M289" s="115"/>
      <c r="N289" s="115"/>
      <c r="O289" s="115"/>
      <c r="P289" s="115"/>
      <c r="Q289" s="115"/>
      <c r="R289" s="115"/>
      <c r="S289" s="115"/>
      <c r="T289" s="115"/>
      <c r="U289" s="115"/>
      <c r="V289" s="115"/>
      <c r="W289" s="303"/>
      <c r="X289" s="303"/>
    </row>
    <row r="290" spans="1:26" ht="15" customHeight="1" outlineLevel="1">
      <c r="A290" s="310"/>
      <c r="B290" s="310"/>
      <c r="C290" s="310"/>
      <c r="D290" s="310" t="s">
        <v>930</v>
      </c>
      <c r="E290" s="309">
        <f>W291/W298</f>
        <v>0.35057410290624852</v>
      </c>
      <c r="F290" s="310"/>
      <c r="G290" s="310"/>
      <c r="H290" s="310"/>
      <c r="I290" s="310"/>
      <c r="J290" s="310"/>
      <c r="K290" s="310"/>
      <c r="L290" s="311">
        <f>L1192</f>
        <v>101.30500000000001</v>
      </c>
      <c r="M290" s="311">
        <f t="shared" ref="M290:U290" si="216">M1192</f>
        <v>116.438</v>
      </c>
      <c r="N290" s="311">
        <f t="shared" si="216"/>
        <v>115.34699999999999</v>
      </c>
      <c r="O290" s="311">
        <f t="shared" si="216"/>
        <v>126.679</v>
      </c>
      <c r="P290" s="311">
        <f t="shared" si="216"/>
        <v>142.62200000000001</v>
      </c>
      <c r="Q290" s="311">
        <f t="shared" si="216"/>
        <v>157.61099999999999</v>
      </c>
      <c r="R290" s="311">
        <f t="shared" si="216"/>
        <v>173.69</v>
      </c>
      <c r="S290" s="311">
        <f t="shared" si="216"/>
        <v>189.37299999999999</v>
      </c>
      <c r="T290" s="311">
        <f t="shared" si="216"/>
        <v>206.46299999999999</v>
      </c>
      <c r="U290" s="311">
        <f t="shared" si="216"/>
        <v>225.43299999999999</v>
      </c>
      <c r="V290" s="311">
        <f t="shared" ref="V290" si="217">V1192</f>
        <v>246.53309734359814</v>
      </c>
      <c r="W290" s="315"/>
      <c r="X290" s="315"/>
    </row>
    <row r="291" spans="1:26" outlineLevel="1">
      <c r="A291" s="312"/>
      <c r="B291" s="312"/>
      <c r="C291" s="312"/>
      <c r="D291" s="312" t="s">
        <v>892</v>
      </c>
      <c r="E291" s="312"/>
      <c r="F291" s="312"/>
      <c r="G291" s="312"/>
      <c r="H291" s="312"/>
      <c r="I291" s="312"/>
      <c r="J291" s="312"/>
      <c r="K291" s="312"/>
      <c r="L291" s="312"/>
      <c r="M291" s="316">
        <f>M290/L290-1</f>
        <v>0.14938058338680227</v>
      </c>
      <c r="N291" s="316">
        <f t="shared" ref="N291" si="218">N290/M290-1</f>
        <v>-9.3697933664268485E-3</v>
      </c>
      <c r="O291" s="316">
        <f t="shared" ref="O291" si="219">O290/N290-1</f>
        <v>9.8242693784840629E-2</v>
      </c>
      <c r="P291" s="316">
        <f t="shared" ref="P291" si="220">P290/O290-1</f>
        <v>0.12585353531366694</v>
      </c>
      <c r="Q291" s="316">
        <f t="shared" ref="Q291" si="221">Q290/P290-1</f>
        <v>0.10509598799624165</v>
      </c>
      <c r="R291" s="316">
        <f t="shared" ref="R291" si="222">R290/Q290-1</f>
        <v>0.10201699119985275</v>
      </c>
      <c r="S291" s="316">
        <f t="shared" ref="S291" si="223">S290/R290-1</f>
        <v>9.029305083769934E-2</v>
      </c>
      <c r="T291" s="316">
        <f t="shared" ref="T291" si="224">T290/S290-1</f>
        <v>9.0245177506825147E-2</v>
      </c>
      <c r="U291" s="316">
        <f t="shared" ref="U291:V291" si="225">U290/T290-1</f>
        <v>9.1880869695780909E-2</v>
      </c>
      <c r="V291" s="316">
        <f t="shared" si="225"/>
        <v>9.3598086099187627E-2</v>
      </c>
      <c r="W291" s="304">
        <f>CORREL(M291:P291,M$288:P$288)</f>
        <v>0.2422842867357777</v>
      </c>
      <c r="X291" s="317"/>
    </row>
    <row r="292" spans="1:26" ht="19.5" customHeight="1" outlineLevel="1">
      <c r="A292" s="310"/>
      <c r="B292" s="310"/>
      <c r="C292" s="310"/>
      <c r="D292" s="310" t="s">
        <v>925</v>
      </c>
      <c r="E292" s="309">
        <f>W293/W298</f>
        <v>8.2831879478989651E-2</v>
      </c>
      <c r="F292" s="310"/>
      <c r="G292" s="310"/>
      <c r="H292" s="310"/>
      <c r="I292" s="310"/>
      <c r="J292" s="310"/>
      <c r="K292" s="310"/>
      <c r="L292" s="311">
        <f>L1178</f>
        <v>0.25700000000000001</v>
      </c>
      <c r="M292" s="311">
        <f t="shared" ref="M292:U292" si="226">M1178</f>
        <v>0.33200000000000002</v>
      </c>
      <c r="N292" s="311">
        <f t="shared" si="226"/>
        <v>0.27100000000000002</v>
      </c>
      <c r="O292" s="311">
        <f t="shared" si="226"/>
        <v>0.30199999999999999</v>
      </c>
      <c r="P292" s="311">
        <f t="shared" si="226"/>
        <v>0.317</v>
      </c>
      <c r="Q292" s="311">
        <f t="shared" si="226"/>
        <v>0.3</v>
      </c>
      <c r="R292" s="311">
        <f t="shared" si="226"/>
        <v>0.315</v>
      </c>
      <c r="S292" s="311">
        <f t="shared" si="226"/>
        <v>0.33100000000000002</v>
      </c>
      <c r="T292" s="311">
        <f t="shared" si="226"/>
        <v>0.34</v>
      </c>
      <c r="U292" s="311">
        <f t="shared" si="226"/>
        <v>0.35599999999999998</v>
      </c>
      <c r="V292" s="311">
        <f t="shared" ref="V292" si="227">V1178</f>
        <v>0.373</v>
      </c>
      <c r="W292" s="304"/>
      <c r="X292" s="315"/>
    </row>
    <row r="293" spans="1:26" outlineLevel="1">
      <c r="A293" s="312"/>
      <c r="B293" s="312"/>
      <c r="C293" s="312"/>
      <c r="D293" s="312" t="s">
        <v>892</v>
      </c>
      <c r="E293" s="312"/>
      <c r="F293" s="312"/>
      <c r="G293" s="312"/>
      <c r="H293" s="312"/>
      <c r="I293" s="312"/>
      <c r="J293" s="312"/>
      <c r="K293" s="312"/>
      <c r="L293" s="312"/>
      <c r="M293" s="316">
        <f>M292/L292-1</f>
        <v>0.29182879377431914</v>
      </c>
      <c r="N293" s="316">
        <f t="shared" ref="N293" si="228">N292/M292-1</f>
        <v>-0.1837349397590361</v>
      </c>
      <c r="O293" s="316">
        <f t="shared" ref="O293" si="229">O292/N292-1</f>
        <v>0.1143911439114389</v>
      </c>
      <c r="P293" s="316">
        <f t="shared" ref="P293" si="230">P292/O292-1</f>
        <v>4.9668874172185573E-2</v>
      </c>
      <c r="Q293" s="316">
        <f t="shared" ref="Q293" si="231">Q292/P292-1</f>
        <v>-5.362776025236593E-2</v>
      </c>
      <c r="R293" s="316">
        <f t="shared" ref="R293" si="232">R292/Q292-1</f>
        <v>5.0000000000000044E-2</v>
      </c>
      <c r="S293" s="316">
        <f t="shared" ref="S293" si="233">S292/R292-1</f>
        <v>5.0793650793650835E-2</v>
      </c>
      <c r="T293" s="316">
        <f t="shared" ref="T293" si="234">T292/S292-1</f>
        <v>2.7190332326284095E-2</v>
      </c>
      <c r="U293" s="316">
        <f t="shared" ref="U293:V293" si="235">U292/T292-1</f>
        <v>4.7058823529411598E-2</v>
      </c>
      <c r="V293" s="316">
        <f t="shared" si="235"/>
        <v>4.7752808988763995E-2</v>
      </c>
      <c r="W293" s="304">
        <f>CORREL(M292:P292,M$288:P$288)</f>
        <v>5.7245708317244924E-2</v>
      </c>
      <c r="X293" s="317"/>
    </row>
    <row r="294" spans="1:26" ht="20.25" customHeight="1" outlineLevel="1">
      <c r="A294" s="310"/>
      <c r="B294" s="310"/>
      <c r="C294" s="310"/>
      <c r="D294" s="310" t="s">
        <v>929</v>
      </c>
      <c r="E294" s="309">
        <f>W295/W298</f>
        <v>0.34225983218361083</v>
      </c>
      <c r="F294" s="310"/>
      <c r="G294" s="310"/>
      <c r="H294" s="310"/>
      <c r="I294" s="310"/>
      <c r="J294" s="310"/>
      <c r="K294" s="310"/>
      <c r="L294" s="311">
        <f>L1180</f>
        <v>24.585000000000001</v>
      </c>
      <c r="M294" s="311">
        <f t="shared" ref="M294:U294" si="236">M1180</f>
        <v>28.137</v>
      </c>
      <c r="N294" s="311">
        <f t="shared" si="236"/>
        <v>21.861999999999998</v>
      </c>
      <c r="O294" s="311">
        <f t="shared" si="236"/>
        <v>22.283999999999999</v>
      </c>
      <c r="P294" s="311">
        <f t="shared" si="236"/>
        <v>24.861000000000001</v>
      </c>
      <c r="Q294" s="311">
        <f t="shared" si="236"/>
        <v>24.689</v>
      </c>
      <c r="R294" s="311">
        <f t="shared" si="236"/>
        <v>25.759</v>
      </c>
      <c r="S294" s="311">
        <f t="shared" si="236"/>
        <v>27.472000000000001</v>
      </c>
      <c r="T294" s="311">
        <f t="shared" si="236"/>
        <v>29.088999999999999</v>
      </c>
      <c r="U294" s="311">
        <f t="shared" si="236"/>
        <v>31.286000000000001</v>
      </c>
      <c r="V294" s="311">
        <f t="shared" ref="V294" si="237">V1180</f>
        <v>33.866</v>
      </c>
      <c r="W294" s="304"/>
      <c r="X294" s="315"/>
    </row>
    <row r="295" spans="1:26" outlineLevel="1">
      <c r="A295" s="312"/>
      <c r="B295" s="312"/>
      <c r="C295" s="312"/>
      <c r="D295" s="312" t="s">
        <v>892</v>
      </c>
      <c r="E295" s="312"/>
      <c r="F295" s="312"/>
      <c r="G295" s="312"/>
      <c r="H295" s="312"/>
      <c r="I295" s="312"/>
      <c r="J295" s="312"/>
      <c r="K295" s="312"/>
      <c r="L295" s="312"/>
      <c r="M295" s="316">
        <f t="shared" ref="M295" si="238">M294/L294-1</f>
        <v>0.14447834045149488</v>
      </c>
      <c r="N295" s="316">
        <f t="shared" ref="N295" si="239">N294/M294-1</f>
        <v>-0.22301595763585325</v>
      </c>
      <c r="O295" s="316">
        <f t="shared" ref="O295" si="240">O294/N294-1</f>
        <v>1.9302900009148249E-2</v>
      </c>
      <c r="P295" s="316">
        <f t="shared" ref="P295" si="241">P294/O294-1</f>
        <v>0.11564351103931081</v>
      </c>
      <c r="Q295" s="316">
        <f t="shared" ref="Q295" si="242">Q294/P294-1</f>
        <v>-6.9184666747114099E-3</v>
      </c>
      <c r="R295" s="316">
        <f t="shared" ref="R295" si="243">R294/Q294-1</f>
        <v>4.3339138887763751E-2</v>
      </c>
      <c r="S295" s="316">
        <f t="shared" ref="S295" si="244">S294/R294-1</f>
        <v>6.6501028766644765E-2</v>
      </c>
      <c r="T295" s="316">
        <f t="shared" ref="T295" si="245">T294/S294-1</f>
        <v>5.8859930110658043E-2</v>
      </c>
      <c r="U295" s="316">
        <f t="shared" ref="U295:V295" si="246">U294/T294-1</f>
        <v>7.5526831448313958E-2</v>
      </c>
      <c r="V295" s="316">
        <f t="shared" si="246"/>
        <v>8.2465000319631665E-2</v>
      </c>
      <c r="W295" s="304">
        <f>CORREL(M295:P295,M$288:P$288)</f>
        <v>0.2365382343746279</v>
      </c>
      <c r="X295" s="317"/>
    </row>
    <row r="296" spans="1:26" ht="22.5" customHeight="1" outlineLevel="1">
      <c r="A296" s="310"/>
      <c r="B296" s="310"/>
      <c r="C296" s="310"/>
      <c r="D296" s="310" t="s">
        <v>927</v>
      </c>
      <c r="E296" s="309">
        <f>W297/W298</f>
        <v>0.22433418543115105</v>
      </c>
      <c r="F296" s="310"/>
      <c r="G296" s="310"/>
      <c r="H296" s="310"/>
      <c r="I296" s="310"/>
      <c r="J296" s="310"/>
      <c r="K296" s="310"/>
      <c r="L296" s="311">
        <f>L1182</f>
        <v>3.43</v>
      </c>
      <c r="M296" s="311">
        <f t="shared" ref="M296:U296" si="247">M1182</f>
        <v>4.0599999999999996</v>
      </c>
      <c r="N296" s="311">
        <f t="shared" si="247"/>
        <v>3.06</v>
      </c>
      <c r="O296" s="311">
        <f t="shared" si="247"/>
        <v>3.0670000000000002</v>
      </c>
      <c r="P296" s="311">
        <f t="shared" si="247"/>
        <v>3.4830000000000001</v>
      </c>
      <c r="Q296" s="311">
        <f t="shared" si="247"/>
        <v>3.2440000000000002</v>
      </c>
      <c r="R296" s="311">
        <f t="shared" si="247"/>
        <v>3.391</v>
      </c>
      <c r="S296" s="311">
        <f t="shared" si="247"/>
        <v>3.633</v>
      </c>
      <c r="T296" s="311">
        <f t="shared" si="247"/>
        <v>3.9670000000000001</v>
      </c>
      <c r="U296" s="311">
        <f t="shared" si="247"/>
        <v>4.3570000000000002</v>
      </c>
      <c r="V296" s="311">
        <f t="shared" ref="V296" si="248">V1182</f>
        <v>4.7709999999999999</v>
      </c>
      <c r="W296" s="304"/>
      <c r="X296" s="315"/>
    </row>
    <row r="297" spans="1:26" outlineLevel="1">
      <c r="A297" s="312"/>
      <c r="B297" s="312"/>
      <c r="C297" s="312"/>
      <c r="D297" s="312" t="s">
        <v>892</v>
      </c>
      <c r="E297" s="312"/>
      <c r="F297" s="312"/>
      <c r="G297" s="312"/>
      <c r="H297" s="312"/>
      <c r="I297" s="312"/>
      <c r="J297" s="312"/>
      <c r="K297" s="312"/>
      <c r="L297" s="312"/>
      <c r="M297" s="316">
        <f t="shared" ref="M297" si="249">M296/L296-1</f>
        <v>0.18367346938775486</v>
      </c>
      <c r="N297" s="316">
        <f t="shared" ref="N297" si="250">N296/M296-1</f>
        <v>-0.24630541871921174</v>
      </c>
      <c r="O297" s="316">
        <f t="shared" ref="O297" si="251">O296/N296-1</f>
        <v>2.2875816993463971E-3</v>
      </c>
      <c r="P297" s="316">
        <f t="shared" ref="P297" si="252">P296/O296-1</f>
        <v>0.13563743071405288</v>
      </c>
      <c r="Q297" s="316">
        <f t="shared" ref="Q297" si="253">Q296/P296-1</f>
        <v>-6.861900660350273E-2</v>
      </c>
      <c r="R297" s="316">
        <f t="shared" ref="R297" si="254">R296/Q296-1</f>
        <v>4.5314426633785487E-2</v>
      </c>
      <c r="S297" s="316">
        <f t="shared" ref="S297" si="255">S296/R296-1</f>
        <v>7.1365378944264313E-2</v>
      </c>
      <c r="T297" s="316">
        <f t="shared" ref="T297" si="256">T296/S296-1</f>
        <v>9.1935039911918537E-2</v>
      </c>
      <c r="U297" s="316">
        <f t="shared" ref="U297:V297" si="257">U296/T296-1</f>
        <v>9.8311066296949967E-2</v>
      </c>
      <c r="V297" s="316">
        <f t="shared" si="257"/>
        <v>9.5019508836355238E-2</v>
      </c>
      <c r="W297" s="304">
        <f>CORREL(M297:P297,M$288:P$288)</f>
        <v>0.15503897081118184</v>
      </c>
      <c r="X297" s="317"/>
    </row>
    <row r="298" spans="1:26" outlineLevel="1">
      <c r="A298" s="116"/>
      <c r="B298" s="318"/>
      <c r="C298" s="310"/>
      <c r="D298" s="319" t="s">
        <v>919</v>
      </c>
      <c r="E298" s="350">
        <f>E290+E292+E294+E296</f>
        <v>1.0000000000000002</v>
      </c>
      <c r="F298" s="310"/>
      <c r="G298" s="310"/>
      <c r="H298" s="310"/>
      <c r="I298" s="310"/>
      <c r="J298" s="310"/>
      <c r="K298" s="310"/>
      <c r="L298" s="310"/>
      <c r="M298" s="310"/>
      <c r="N298" s="310"/>
      <c r="O298" s="310"/>
      <c r="P298" s="310"/>
      <c r="Q298" s="310"/>
      <c r="R298" s="310"/>
      <c r="S298" s="310"/>
      <c r="T298" s="310"/>
      <c r="U298" s="310"/>
      <c r="V298" s="310"/>
      <c r="W298" s="320">
        <f>SUM(W291:W297)</f>
        <v>0.69110720023883232</v>
      </c>
      <c r="X298" s="315"/>
    </row>
    <row r="299" spans="1:26">
      <c r="A299" s="55" t="str">
        <f>'Secondary cum Calculation'!A293</f>
        <v>Poland</v>
      </c>
      <c r="B299" s="56" t="str">
        <f>'Secondary cum Calculation'!B293</f>
        <v>Tourism Flows</v>
      </c>
      <c r="C299" s="56" t="str">
        <f>'Secondary cum Calculation'!C293</f>
        <v>International Arrivals by Place of Origin</v>
      </c>
      <c r="D299" s="56" t="str">
        <f>'Secondary cum Calculation'!D293</f>
        <v>Asia-Pacific</v>
      </c>
      <c r="E299" s="55" t="str">
        <f>'Secondary cum Calculation'!E293</f>
        <v>Afghanistan</v>
      </c>
      <c r="F299" s="57" t="str">
        <f>'Secondary cum Calculation'!F293</f>
        <v>The number of international arrivals to a country originating from Afghanistan</v>
      </c>
      <c r="G299" s="57" t="str">
        <f>'Secondary cum Calculation'!G293</f>
        <v>Tourism Demand &amp; Flows Database</v>
      </c>
      <c r="H299" s="57" t="str">
        <f>'Secondary cum Calculation'!H293</f>
        <v>New</v>
      </c>
      <c r="I299" s="57">
        <f>'Secondary cum Calculation'!I293</f>
        <v>0</v>
      </c>
      <c r="J299" s="57" t="str">
        <f>'Secondary cum Calculation'!J293</f>
        <v>Thousand</v>
      </c>
      <c r="K299" s="58">
        <f>'Secondary cum Calculation'!K293</f>
        <v>0</v>
      </c>
      <c r="L299" s="59">
        <f>'Secondary cum Calculation'!L293</f>
        <v>0</v>
      </c>
      <c r="M299" s="59">
        <f>'Secondary cum Calculation'!M293</f>
        <v>0</v>
      </c>
      <c r="N299" s="59">
        <f>'Secondary cum Calculation'!N293</f>
        <v>0</v>
      </c>
      <c r="O299" s="59">
        <f>'Secondary cum Calculation'!O293</f>
        <v>0</v>
      </c>
      <c r="P299" s="59">
        <f>'Secondary cum Calculation'!P293</f>
        <v>0</v>
      </c>
      <c r="Q299" s="59"/>
      <c r="R299" s="59"/>
      <c r="S299" s="59"/>
      <c r="T299" s="59"/>
      <c r="U299" s="59"/>
      <c r="V299" s="59"/>
      <c r="W299" s="106" t="e">
        <f>'Secondary cum Calculation'!W293</f>
        <v>#DIV/0!</v>
      </c>
      <c r="X299" s="106" t="e">
        <f>'Secondary cum Calculation'!X293</f>
        <v>#DIV/0!</v>
      </c>
    </row>
    <row r="300" spans="1:26">
      <c r="A300" s="57"/>
      <c r="B300" s="57"/>
      <c r="C300" s="61" t="str">
        <f>'Secondary cum Calculation'!C294</f>
        <v>Growth Rate</v>
      </c>
      <c r="D300" s="61"/>
      <c r="E300" s="61"/>
      <c r="F300" s="61">
        <f>'Secondary cum Calculation'!F294</f>
        <v>0</v>
      </c>
      <c r="G300" s="61">
        <f>'Secondary cum Calculation'!G294</f>
        <v>0</v>
      </c>
      <c r="H300" s="61">
        <f>'Secondary cum Calculation'!H294</f>
        <v>0</v>
      </c>
      <c r="I300" s="61">
        <f>'Secondary cum Calculation'!I294</f>
        <v>0</v>
      </c>
      <c r="J300" s="61" t="str">
        <f>'Secondary cum Calculation'!J294</f>
        <v>%</v>
      </c>
      <c r="K300" s="58">
        <f>'Secondary cum Calculation'!K294</f>
        <v>0</v>
      </c>
      <c r="L300" s="59"/>
      <c r="M300" s="62" t="e">
        <f>'Secondary cum Calculation'!M294</f>
        <v>#DIV/0!</v>
      </c>
      <c r="N300" s="62" t="e">
        <f>'Secondary cum Calculation'!N294</f>
        <v>#DIV/0!</v>
      </c>
      <c r="O300" s="62" t="e">
        <f>'Secondary cum Calculation'!O294</f>
        <v>#DIV/0!</v>
      </c>
      <c r="P300" s="62" t="e">
        <f>'Secondary cum Calculation'!P294</f>
        <v>#DIV/0!</v>
      </c>
      <c r="Q300" s="62"/>
      <c r="R300" s="62"/>
      <c r="S300" s="62"/>
      <c r="T300" s="62"/>
      <c r="U300" s="62"/>
      <c r="V300" s="62"/>
      <c r="W300" s="259"/>
      <c r="X300" s="259"/>
    </row>
    <row r="301" spans="1:26">
      <c r="A301" s="55" t="str">
        <f>'Secondary cum Calculation'!A295</f>
        <v>Poland</v>
      </c>
      <c r="B301" s="56" t="str">
        <f>'Secondary cum Calculation'!B295</f>
        <v>Tourism Flows</v>
      </c>
      <c r="C301" s="56" t="str">
        <f>'Secondary cum Calculation'!C295</f>
        <v>International Arrivals by Place of Origin</v>
      </c>
      <c r="D301" s="56" t="str">
        <f>'Secondary cum Calculation'!D295</f>
        <v>Asia-Pacific</v>
      </c>
      <c r="E301" s="55" t="str">
        <f>'Secondary cum Calculation'!E295</f>
        <v>Australia</v>
      </c>
      <c r="F301" s="57" t="str">
        <f>'Secondary cum Calculation'!F295</f>
        <v>The number of international arrivals to a country originating from Australia</v>
      </c>
      <c r="G301" s="57" t="str">
        <f>'Secondary cum Calculation'!G295</f>
        <v>Tourism Demand &amp; Flows Database</v>
      </c>
      <c r="H301" s="57" t="str">
        <f>'Secondary cum Calculation'!H295</f>
        <v>New</v>
      </c>
      <c r="I301" s="57">
        <f>'Secondary cum Calculation'!I295</f>
        <v>0</v>
      </c>
      <c r="J301" s="57" t="str">
        <f>'Secondary cum Calculation'!J295</f>
        <v>Thousand</v>
      </c>
      <c r="K301" s="58">
        <f>'Secondary cum Calculation'!K295</f>
        <v>603.27499999999998</v>
      </c>
      <c r="L301" s="59">
        <f>'Secondary cum Calculation'!L295</f>
        <v>49.677788357336922</v>
      </c>
      <c r="M301" s="59">
        <f>'Secondary cum Calculation'!M295</f>
        <v>45.169744141863092</v>
      </c>
      <c r="N301" s="59">
        <f>'Secondary cum Calculation'!N295</f>
        <v>38.7974395836303</v>
      </c>
      <c r="O301" s="59">
        <f>'Secondary cum Calculation'!O295</f>
        <v>46.422554390896288</v>
      </c>
      <c r="P301" s="59">
        <f>'Secondary cum Calculation'!P295</f>
        <v>49.22683365206322</v>
      </c>
      <c r="Q301" s="59"/>
      <c r="R301" s="59"/>
      <c r="S301" s="59"/>
      <c r="T301" s="59"/>
      <c r="U301" s="59"/>
      <c r="V301" s="59"/>
      <c r="W301" s="106">
        <f>'Secondary cum Calculation'!W295</f>
        <v>2.3645988123235151E-2</v>
      </c>
      <c r="X301" s="106">
        <f>'Secondary cum Calculation'!X295</f>
        <v>-1</v>
      </c>
      <c r="Z301" s="12"/>
    </row>
    <row r="302" spans="1:26">
      <c r="A302" s="57"/>
      <c r="B302" s="57"/>
      <c r="C302" s="61" t="str">
        <f>'Secondary cum Calculation'!C296</f>
        <v>Growth Rate</v>
      </c>
      <c r="D302" s="61"/>
      <c r="E302" s="61"/>
      <c r="F302" s="61">
        <f>'Secondary cum Calculation'!F296</f>
        <v>0</v>
      </c>
      <c r="G302" s="61">
        <f>'Secondary cum Calculation'!G296</f>
        <v>0</v>
      </c>
      <c r="H302" s="61">
        <f>'Secondary cum Calculation'!H296</f>
        <v>0</v>
      </c>
      <c r="I302" s="61">
        <f>'Secondary cum Calculation'!I296</f>
        <v>0</v>
      </c>
      <c r="J302" s="61" t="str">
        <f>'Secondary cum Calculation'!J296</f>
        <v>%</v>
      </c>
      <c r="K302" s="58">
        <f>'Secondary cum Calculation'!K296</f>
        <v>0</v>
      </c>
      <c r="L302" s="59"/>
      <c r="M302" s="62">
        <f>'Secondary cum Calculation'!M296</f>
        <v>-9.0745670540867351E-2</v>
      </c>
      <c r="N302" s="62">
        <f>'Secondary cum Calculation'!N296</f>
        <v>-0.14107462150371075</v>
      </c>
      <c r="O302" s="62">
        <f>'Secondary cum Calculation'!O296</f>
        <v>0.19653654697572454</v>
      </c>
      <c r="P302" s="62">
        <f>'Secondary cum Calculation'!P296</f>
        <v>6.0407689709484513E-2</v>
      </c>
      <c r="Q302" s="62"/>
      <c r="R302" s="62"/>
      <c r="S302" s="62"/>
      <c r="T302" s="62"/>
      <c r="U302" s="62"/>
      <c r="V302" s="62"/>
      <c r="W302" s="259"/>
      <c r="X302" s="259"/>
    </row>
    <row r="303" spans="1:26">
      <c r="A303" s="55" t="str">
        <f>'Secondary cum Calculation'!A297</f>
        <v>Poland</v>
      </c>
      <c r="B303" s="56" t="str">
        <f>'Secondary cum Calculation'!B297</f>
        <v>Tourism Flows</v>
      </c>
      <c r="C303" s="56" t="str">
        <f>'Secondary cum Calculation'!C297</f>
        <v>International Arrivals by Place of Origin</v>
      </c>
      <c r="D303" s="56" t="str">
        <f>'Secondary cum Calculation'!D297</f>
        <v>Asia-Pacific</v>
      </c>
      <c r="E303" s="55" t="str">
        <f>'Secondary cum Calculation'!E297</f>
        <v>Azerbaijan</v>
      </c>
      <c r="F303" s="57" t="str">
        <f>'Secondary cum Calculation'!F297</f>
        <v>The number of international arrivals to a country originating from Azerbaijan</v>
      </c>
      <c r="G303" s="57" t="str">
        <f>'Secondary cum Calculation'!G297</f>
        <v>Tourism Demand &amp; Flows Database</v>
      </c>
      <c r="H303" s="57" t="str">
        <f>'Secondary cum Calculation'!H297</f>
        <v>New</v>
      </c>
      <c r="I303" s="57">
        <f>'Secondary cum Calculation'!I297</f>
        <v>0</v>
      </c>
      <c r="J303" s="57" t="str">
        <f>'Secondary cum Calculation'!J297</f>
        <v>Thousand</v>
      </c>
      <c r="K303" s="58">
        <f>'Secondary cum Calculation'!K297</f>
        <v>0</v>
      </c>
      <c r="L303" s="59">
        <f>'Secondary cum Calculation'!L297</f>
        <v>0</v>
      </c>
      <c r="M303" s="59">
        <f>'Secondary cum Calculation'!M297</f>
        <v>0</v>
      </c>
      <c r="N303" s="59">
        <f>'Secondary cum Calculation'!N297</f>
        <v>0</v>
      </c>
      <c r="O303" s="88">
        <f>'Secondary cum Calculation'!O297</f>
        <v>0</v>
      </c>
      <c r="P303" s="88">
        <f>'Secondary cum Calculation'!P297</f>
        <v>0</v>
      </c>
      <c r="Q303" s="88"/>
      <c r="R303" s="88"/>
      <c r="S303" s="88"/>
      <c r="T303" s="88"/>
      <c r="U303" s="88"/>
      <c r="V303" s="88"/>
      <c r="W303" s="106" t="e">
        <f>'Secondary cum Calculation'!W297</f>
        <v>#DIV/0!</v>
      </c>
      <c r="X303" s="106" t="e">
        <f>'Secondary cum Calculation'!X297</f>
        <v>#DIV/0!</v>
      </c>
    </row>
    <row r="304" spans="1:26">
      <c r="A304" s="57"/>
      <c r="B304" s="57"/>
      <c r="C304" s="61" t="str">
        <f>'Secondary cum Calculation'!C298</f>
        <v>Growth Rate</v>
      </c>
      <c r="D304" s="61"/>
      <c r="E304" s="61"/>
      <c r="F304" s="61">
        <f>'Secondary cum Calculation'!F298</f>
        <v>0</v>
      </c>
      <c r="G304" s="61">
        <f>'Secondary cum Calculation'!G298</f>
        <v>0</v>
      </c>
      <c r="H304" s="61">
        <f>'Secondary cum Calculation'!H298</f>
        <v>0</v>
      </c>
      <c r="I304" s="61">
        <f>'Secondary cum Calculation'!I298</f>
        <v>0</v>
      </c>
      <c r="J304" s="61" t="str">
        <f>'Secondary cum Calculation'!J298</f>
        <v>%</v>
      </c>
      <c r="K304" s="58">
        <f>'Secondary cum Calculation'!K298</f>
        <v>0</v>
      </c>
      <c r="L304" s="59"/>
      <c r="M304" s="62" t="e">
        <f>'Secondary cum Calculation'!M298</f>
        <v>#DIV/0!</v>
      </c>
      <c r="N304" s="62" t="e">
        <f>'Secondary cum Calculation'!N298</f>
        <v>#DIV/0!</v>
      </c>
      <c r="O304" s="62" t="e">
        <f>'Secondary cum Calculation'!O298</f>
        <v>#DIV/0!</v>
      </c>
      <c r="P304" s="62" t="e">
        <f>'Secondary cum Calculation'!P298</f>
        <v>#DIV/0!</v>
      </c>
      <c r="Q304" s="62"/>
      <c r="R304" s="62"/>
      <c r="S304" s="62"/>
      <c r="T304" s="62"/>
      <c r="U304" s="62"/>
      <c r="V304" s="62"/>
      <c r="W304" s="259"/>
      <c r="X304" s="259"/>
    </row>
    <row r="305" spans="1:26">
      <c r="A305" s="55" t="str">
        <f>'Secondary cum Calculation'!A299</f>
        <v>Poland</v>
      </c>
      <c r="B305" s="56" t="str">
        <f>'Secondary cum Calculation'!B299</f>
        <v>Tourism Flows</v>
      </c>
      <c r="C305" s="56" t="str">
        <f>'Secondary cum Calculation'!C299</f>
        <v>International Arrivals by Place of Origin</v>
      </c>
      <c r="D305" s="56" t="str">
        <f>'Secondary cum Calculation'!D299</f>
        <v>Asia-Pacific</v>
      </c>
      <c r="E305" s="55" t="str">
        <f>'Secondary cum Calculation'!E299</f>
        <v>Bangladesh</v>
      </c>
      <c r="F305" s="57" t="str">
        <f>'Secondary cum Calculation'!F299</f>
        <v>The number of international arrivals to a country originating from Bangladesh</v>
      </c>
      <c r="G305" s="57" t="str">
        <f>'Secondary cum Calculation'!G299</f>
        <v>Tourism Demand &amp; Flows Database</v>
      </c>
      <c r="H305" s="57" t="str">
        <f>'Secondary cum Calculation'!H299</f>
        <v>New</v>
      </c>
      <c r="I305" s="57">
        <f>'Secondary cum Calculation'!I299</f>
        <v>0</v>
      </c>
      <c r="J305" s="57" t="str">
        <f>'Secondary cum Calculation'!J299</f>
        <v>Thousand</v>
      </c>
      <c r="K305" s="58">
        <f>'Secondary cum Calculation'!K299</f>
        <v>0</v>
      </c>
      <c r="L305" s="59">
        <f>'Secondary cum Calculation'!L299</f>
        <v>0</v>
      </c>
      <c r="M305" s="59">
        <f>'Secondary cum Calculation'!M299</f>
        <v>0</v>
      </c>
      <c r="N305" s="59">
        <f>'Secondary cum Calculation'!N299</f>
        <v>0</v>
      </c>
      <c r="O305" s="59">
        <f>'Secondary cum Calculation'!O299</f>
        <v>0</v>
      </c>
      <c r="P305" s="59">
        <f>'Secondary cum Calculation'!P299</f>
        <v>0</v>
      </c>
      <c r="Q305" s="59"/>
      <c r="R305" s="59"/>
      <c r="S305" s="59"/>
      <c r="T305" s="59"/>
      <c r="U305" s="59"/>
      <c r="V305" s="59"/>
      <c r="W305" s="106" t="e">
        <f>'Secondary cum Calculation'!W299</f>
        <v>#DIV/0!</v>
      </c>
      <c r="X305" s="106" t="e">
        <f>'Secondary cum Calculation'!X299</f>
        <v>#DIV/0!</v>
      </c>
    </row>
    <row r="306" spans="1:26">
      <c r="A306" s="57"/>
      <c r="B306" s="57"/>
      <c r="C306" s="61" t="str">
        <f>'Secondary cum Calculation'!C300</f>
        <v>Growth Rate</v>
      </c>
      <c r="D306" s="61"/>
      <c r="E306" s="61"/>
      <c r="F306" s="61">
        <f>'Secondary cum Calculation'!F300</f>
        <v>0</v>
      </c>
      <c r="G306" s="61">
        <f>'Secondary cum Calculation'!G300</f>
        <v>0</v>
      </c>
      <c r="H306" s="61">
        <f>'Secondary cum Calculation'!H300</f>
        <v>0</v>
      </c>
      <c r="I306" s="61">
        <f>'Secondary cum Calculation'!I300</f>
        <v>0</v>
      </c>
      <c r="J306" s="61" t="str">
        <f>'Secondary cum Calculation'!J300</f>
        <v>%</v>
      </c>
      <c r="K306" s="58">
        <f>'Secondary cum Calculation'!K300</f>
        <v>0</v>
      </c>
      <c r="L306" s="59"/>
      <c r="M306" s="62" t="e">
        <f>'Secondary cum Calculation'!M300</f>
        <v>#DIV/0!</v>
      </c>
      <c r="N306" s="62" t="e">
        <f>'Secondary cum Calculation'!N300</f>
        <v>#DIV/0!</v>
      </c>
      <c r="O306" s="62" t="e">
        <f>'Secondary cum Calculation'!O300</f>
        <v>#DIV/0!</v>
      </c>
      <c r="P306" s="62" t="e">
        <f>'Secondary cum Calculation'!P300</f>
        <v>#DIV/0!</v>
      </c>
      <c r="Q306" s="62"/>
      <c r="R306" s="62"/>
      <c r="S306" s="62"/>
      <c r="T306" s="62"/>
      <c r="U306" s="62"/>
      <c r="V306" s="62"/>
      <c r="W306" s="259"/>
      <c r="X306" s="259"/>
    </row>
    <row r="307" spans="1:26">
      <c r="A307" s="55" t="str">
        <f>'Secondary cum Calculation'!A301</f>
        <v>Poland</v>
      </c>
      <c r="B307" s="56" t="str">
        <f>'Secondary cum Calculation'!B301</f>
        <v>Tourism Flows</v>
      </c>
      <c r="C307" s="56" t="str">
        <f>'Secondary cum Calculation'!C301</f>
        <v>International Arrivals by Place of Origin</v>
      </c>
      <c r="D307" s="56" t="str">
        <f>'Secondary cum Calculation'!D301</f>
        <v>Asia-Pacific</v>
      </c>
      <c r="E307" s="55" t="str">
        <f>'Secondary cum Calculation'!E301</f>
        <v>Bhutan</v>
      </c>
      <c r="F307" s="57" t="str">
        <f>'Secondary cum Calculation'!F301</f>
        <v>The number of international arrivals to a country originating from Bhutan</v>
      </c>
      <c r="G307" s="57" t="str">
        <f>'Secondary cum Calculation'!G301</f>
        <v>Tourism Demand &amp; Flows Database</v>
      </c>
      <c r="H307" s="57" t="str">
        <f>'Secondary cum Calculation'!H301</f>
        <v>New</v>
      </c>
      <c r="I307" s="57">
        <f>'Secondary cum Calculation'!I301</f>
        <v>0</v>
      </c>
      <c r="J307" s="57" t="str">
        <f>'Secondary cum Calculation'!J301</f>
        <v>Thousand</v>
      </c>
      <c r="K307" s="58">
        <f>'Secondary cum Calculation'!K301</f>
        <v>0</v>
      </c>
      <c r="L307" s="59">
        <f>'Secondary cum Calculation'!L301</f>
        <v>0</v>
      </c>
      <c r="M307" s="59">
        <f>'Secondary cum Calculation'!M301</f>
        <v>0</v>
      </c>
      <c r="N307" s="59">
        <f>'Secondary cum Calculation'!N301</f>
        <v>0</v>
      </c>
      <c r="O307" s="59">
        <f>'Secondary cum Calculation'!O301</f>
        <v>0</v>
      </c>
      <c r="P307" s="59">
        <f>'Secondary cum Calculation'!P301</f>
        <v>0</v>
      </c>
      <c r="Q307" s="59"/>
      <c r="R307" s="59"/>
      <c r="S307" s="59"/>
      <c r="T307" s="59"/>
      <c r="U307" s="59"/>
      <c r="V307" s="59"/>
      <c r="W307" s="106" t="e">
        <f>'Secondary cum Calculation'!W301</f>
        <v>#DIV/0!</v>
      </c>
      <c r="X307" s="106" t="e">
        <f>'Secondary cum Calculation'!X301</f>
        <v>#DIV/0!</v>
      </c>
    </row>
    <row r="308" spans="1:26">
      <c r="A308" s="57"/>
      <c r="B308" s="57"/>
      <c r="C308" s="61" t="str">
        <f>'Secondary cum Calculation'!C302</f>
        <v>Growth Rate</v>
      </c>
      <c r="D308" s="61"/>
      <c r="E308" s="61"/>
      <c r="F308" s="61">
        <f>'Secondary cum Calculation'!F302</f>
        <v>0</v>
      </c>
      <c r="G308" s="61">
        <f>'Secondary cum Calculation'!G302</f>
        <v>0</v>
      </c>
      <c r="H308" s="61">
        <f>'Secondary cum Calculation'!H302</f>
        <v>0</v>
      </c>
      <c r="I308" s="61">
        <f>'Secondary cum Calculation'!I302</f>
        <v>0</v>
      </c>
      <c r="J308" s="61" t="str">
        <f>'Secondary cum Calculation'!J302</f>
        <v>%</v>
      </c>
      <c r="K308" s="58">
        <f>'Secondary cum Calculation'!K302</f>
        <v>0</v>
      </c>
      <c r="L308" s="59"/>
      <c r="M308" s="62" t="e">
        <f>'Secondary cum Calculation'!M302</f>
        <v>#DIV/0!</v>
      </c>
      <c r="N308" s="62" t="e">
        <f>'Secondary cum Calculation'!N302</f>
        <v>#DIV/0!</v>
      </c>
      <c r="O308" s="62" t="e">
        <f>'Secondary cum Calculation'!O302</f>
        <v>#DIV/0!</v>
      </c>
      <c r="P308" s="62" t="e">
        <f>'Secondary cum Calculation'!P302</f>
        <v>#DIV/0!</v>
      </c>
      <c r="Q308" s="62"/>
      <c r="R308" s="62"/>
      <c r="S308" s="62"/>
      <c r="T308" s="62"/>
      <c r="U308" s="62"/>
      <c r="V308" s="62"/>
      <c r="W308" s="259"/>
      <c r="X308" s="259"/>
    </row>
    <row r="309" spans="1:26">
      <c r="A309" s="55" t="str">
        <f>'Secondary cum Calculation'!A303</f>
        <v>Poland</v>
      </c>
      <c r="B309" s="56" t="str">
        <f>'Secondary cum Calculation'!B303</f>
        <v>Tourism Flows</v>
      </c>
      <c r="C309" s="56" t="str">
        <f>'Secondary cum Calculation'!C303</f>
        <v>International Arrivals by Place of Origin</v>
      </c>
      <c r="D309" s="56" t="str">
        <f>'Secondary cum Calculation'!D303</f>
        <v>Asia-Pacific</v>
      </c>
      <c r="E309" s="55" t="str">
        <f>'Secondary cum Calculation'!E303</f>
        <v>Brunei Darussalam</v>
      </c>
      <c r="F309" s="57" t="str">
        <f>'Secondary cum Calculation'!F303</f>
        <v>The number of international arrivals to a country originating from Brunei Darussalam</v>
      </c>
      <c r="G309" s="57" t="str">
        <f>'Secondary cum Calculation'!G303</f>
        <v>Tourism Demand &amp; Flows Database</v>
      </c>
      <c r="H309" s="57" t="str">
        <f>'Secondary cum Calculation'!H303</f>
        <v>New</v>
      </c>
      <c r="I309" s="57">
        <f>'Secondary cum Calculation'!I303</f>
        <v>0</v>
      </c>
      <c r="J309" s="57" t="str">
        <f>'Secondary cum Calculation'!J303</f>
        <v>Thousand</v>
      </c>
      <c r="K309" s="58">
        <f>'Secondary cum Calculation'!K303</f>
        <v>0</v>
      </c>
      <c r="L309" s="59">
        <f>'Secondary cum Calculation'!L303</f>
        <v>0</v>
      </c>
      <c r="M309" s="59">
        <f>'Secondary cum Calculation'!M303</f>
        <v>0</v>
      </c>
      <c r="N309" s="59">
        <f>'Secondary cum Calculation'!N303</f>
        <v>0</v>
      </c>
      <c r="O309" s="59">
        <f>'Secondary cum Calculation'!O303</f>
        <v>0</v>
      </c>
      <c r="P309" s="59">
        <f>'Secondary cum Calculation'!P303</f>
        <v>0</v>
      </c>
      <c r="Q309" s="59"/>
      <c r="R309" s="59"/>
      <c r="S309" s="59"/>
      <c r="T309" s="59"/>
      <c r="U309" s="59"/>
      <c r="V309" s="59"/>
      <c r="W309" s="106" t="e">
        <f>'Secondary cum Calculation'!W303</f>
        <v>#DIV/0!</v>
      </c>
      <c r="X309" s="106" t="e">
        <f>'Secondary cum Calculation'!X303</f>
        <v>#DIV/0!</v>
      </c>
    </row>
    <row r="310" spans="1:26">
      <c r="A310" s="57"/>
      <c r="B310" s="57"/>
      <c r="C310" s="61" t="str">
        <f>'Secondary cum Calculation'!C304</f>
        <v>Growth Rate</v>
      </c>
      <c r="D310" s="61"/>
      <c r="E310" s="61"/>
      <c r="F310" s="61">
        <f>'Secondary cum Calculation'!F304</f>
        <v>0</v>
      </c>
      <c r="G310" s="61">
        <f>'Secondary cum Calculation'!G304</f>
        <v>0</v>
      </c>
      <c r="H310" s="61">
        <f>'Secondary cum Calculation'!H304</f>
        <v>0</v>
      </c>
      <c r="I310" s="61">
        <f>'Secondary cum Calculation'!I304</f>
        <v>0</v>
      </c>
      <c r="J310" s="61" t="str">
        <f>'Secondary cum Calculation'!J304</f>
        <v>%</v>
      </c>
      <c r="K310" s="58">
        <f>'Secondary cum Calculation'!K304</f>
        <v>0</v>
      </c>
      <c r="L310" s="59"/>
      <c r="M310" s="62" t="e">
        <f>'Secondary cum Calculation'!M304</f>
        <v>#DIV/0!</v>
      </c>
      <c r="N310" s="62" t="e">
        <f>'Secondary cum Calculation'!N304</f>
        <v>#DIV/0!</v>
      </c>
      <c r="O310" s="62" t="e">
        <f>'Secondary cum Calculation'!O304</f>
        <v>#DIV/0!</v>
      </c>
      <c r="P310" s="62" t="e">
        <f>'Secondary cum Calculation'!P304</f>
        <v>#DIV/0!</v>
      </c>
      <c r="Q310" s="62"/>
      <c r="R310" s="62"/>
      <c r="S310" s="62"/>
      <c r="T310" s="62"/>
      <c r="U310" s="62"/>
      <c r="V310" s="62"/>
      <c r="W310" s="259"/>
      <c r="X310" s="259"/>
    </row>
    <row r="311" spans="1:26">
      <c r="A311" s="55" t="str">
        <f>'Secondary cum Calculation'!A305</f>
        <v>Poland</v>
      </c>
      <c r="B311" s="56" t="str">
        <f>'Secondary cum Calculation'!B305</f>
        <v>Tourism Flows</v>
      </c>
      <c r="C311" s="56" t="str">
        <f>'Secondary cum Calculation'!C305</f>
        <v>International Arrivals by Place of Origin</v>
      </c>
      <c r="D311" s="56" t="str">
        <f>'Secondary cum Calculation'!D305</f>
        <v>Asia-Pacific</v>
      </c>
      <c r="E311" s="55" t="str">
        <f>'Secondary cum Calculation'!E305</f>
        <v>Cambodia</v>
      </c>
      <c r="F311" s="57" t="str">
        <f>'Secondary cum Calculation'!F305</f>
        <v>The number of international arrivals to a country originating from Cambodia</v>
      </c>
      <c r="G311" s="57" t="str">
        <f>'Secondary cum Calculation'!G305</f>
        <v>Tourism Demand &amp; Flows Database</v>
      </c>
      <c r="H311" s="57" t="str">
        <f>'Secondary cum Calculation'!H305</f>
        <v>New</v>
      </c>
      <c r="I311" s="57">
        <f>'Secondary cum Calculation'!I305</f>
        <v>0</v>
      </c>
      <c r="J311" s="57" t="str">
        <f>'Secondary cum Calculation'!J305</f>
        <v>Thousand</v>
      </c>
      <c r="K311" s="58">
        <f>'Secondary cum Calculation'!K305</f>
        <v>0</v>
      </c>
      <c r="L311" s="59">
        <f>'Secondary cum Calculation'!L305</f>
        <v>0</v>
      </c>
      <c r="M311" s="59">
        <f>'Secondary cum Calculation'!M305</f>
        <v>0</v>
      </c>
      <c r="N311" s="59">
        <f>'Secondary cum Calculation'!N305</f>
        <v>0</v>
      </c>
      <c r="O311" s="88">
        <f>'Secondary cum Calculation'!O305</f>
        <v>0</v>
      </c>
      <c r="P311" s="59">
        <f>'Secondary cum Calculation'!P305</f>
        <v>0</v>
      </c>
      <c r="Q311" s="59"/>
      <c r="R311" s="59"/>
      <c r="S311" s="59"/>
      <c r="T311" s="59"/>
      <c r="U311" s="59"/>
      <c r="V311" s="59"/>
      <c r="W311" s="106" t="e">
        <f>'Secondary cum Calculation'!W305</f>
        <v>#DIV/0!</v>
      </c>
      <c r="X311" s="106" t="e">
        <f>'Secondary cum Calculation'!X305</f>
        <v>#DIV/0!</v>
      </c>
    </row>
    <row r="312" spans="1:26">
      <c r="A312" s="57"/>
      <c r="B312" s="57"/>
      <c r="C312" s="61" t="str">
        <f>'Secondary cum Calculation'!C306</f>
        <v>Growth Rate</v>
      </c>
      <c r="D312" s="61"/>
      <c r="E312" s="61"/>
      <c r="F312" s="61">
        <f>'Secondary cum Calculation'!F306</f>
        <v>0</v>
      </c>
      <c r="G312" s="61">
        <f>'Secondary cum Calculation'!G306</f>
        <v>0</v>
      </c>
      <c r="H312" s="61">
        <f>'Secondary cum Calculation'!H306</f>
        <v>0</v>
      </c>
      <c r="I312" s="61">
        <f>'Secondary cum Calculation'!I306</f>
        <v>0</v>
      </c>
      <c r="J312" s="61" t="str">
        <f>'Secondary cum Calculation'!J306</f>
        <v>%</v>
      </c>
      <c r="K312" s="58">
        <f>'Secondary cum Calculation'!K306</f>
        <v>0</v>
      </c>
      <c r="L312" s="59"/>
      <c r="M312" s="62" t="e">
        <f>'Secondary cum Calculation'!M306</f>
        <v>#DIV/0!</v>
      </c>
      <c r="N312" s="62" t="e">
        <f>'Secondary cum Calculation'!N306</f>
        <v>#DIV/0!</v>
      </c>
      <c r="O312" s="62" t="e">
        <f>'Secondary cum Calculation'!O306</f>
        <v>#DIV/0!</v>
      </c>
      <c r="P312" s="62" t="e">
        <f>'Secondary cum Calculation'!P306</f>
        <v>#DIV/0!</v>
      </c>
      <c r="Q312" s="62"/>
      <c r="R312" s="62"/>
      <c r="S312" s="62"/>
      <c r="T312" s="62"/>
      <c r="U312" s="62"/>
      <c r="V312" s="62"/>
      <c r="W312" s="259"/>
      <c r="X312" s="259"/>
    </row>
    <row r="313" spans="1:26">
      <c r="A313" s="55" t="str">
        <f>'Secondary cum Calculation'!A307</f>
        <v>Poland</v>
      </c>
      <c r="B313" s="56" t="str">
        <f>'Secondary cum Calculation'!B307</f>
        <v>Tourism Flows</v>
      </c>
      <c r="C313" s="56" t="str">
        <f>'Secondary cum Calculation'!C307</f>
        <v>International Arrivals by Place of Origin</v>
      </c>
      <c r="D313" s="56" t="str">
        <f>'Secondary cum Calculation'!D307</f>
        <v>Asia-Pacific</v>
      </c>
      <c r="E313" s="55" t="str">
        <f>'Secondary cum Calculation'!E307</f>
        <v>China</v>
      </c>
      <c r="F313" s="57" t="str">
        <f>'Secondary cum Calculation'!F307</f>
        <v>The number of international arrivals to a country originating from China</v>
      </c>
      <c r="G313" s="57" t="str">
        <f>'Secondary cum Calculation'!G307</f>
        <v>Tourism Demand &amp; Flows Database</v>
      </c>
      <c r="H313" s="57" t="str">
        <f>'Secondary cum Calculation'!H307</f>
        <v>New</v>
      </c>
      <c r="I313" s="57">
        <f>'Secondary cum Calculation'!I307</f>
        <v>0</v>
      </c>
      <c r="J313" s="57" t="str">
        <f>'Secondary cum Calculation'!J307</f>
        <v>Thousand</v>
      </c>
      <c r="K313" s="58">
        <f>'Secondary cum Calculation'!K307</f>
        <v>320.45</v>
      </c>
      <c r="L313" s="59">
        <f>'Secondary cum Calculation'!L307</f>
        <v>0</v>
      </c>
      <c r="M313" s="59">
        <f>'Secondary cum Calculation'!M307</f>
        <v>0</v>
      </c>
      <c r="N313" s="59">
        <f>'Secondary cum Calculation'!N307</f>
        <v>0</v>
      </c>
      <c r="O313" s="59">
        <f>'Secondary cum Calculation'!O307</f>
        <v>0</v>
      </c>
      <c r="P313" s="59">
        <f>'Secondary cum Calculation'!P307</f>
        <v>0</v>
      </c>
      <c r="Q313" s="59"/>
      <c r="R313" s="59"/>
      <c r="S313" s="59"/>
      <c r="T313" s="59"/>
      <c r="U313" s="59"/>
      <c r="V313" s="59"/>
      <c r="W313" s="106" t="e">
        <f>'Secondary cum Calculation'!W307</f>
        <v>#DIV/0!</v>
      </c>
      <c r="X313" s="106" t="e">
        <f>'Secondary cum Calculation'!X307</f>
        <v>#DIV/0!</v>
      </c>
      <c r="Z313" s="12"/>
    </row>
    <row r="314" spans="1:26">
      <c r="A314" s="57"/>
      <c r="B314" s="57"/>
      <c r="C314" s="61" t="str">
        <f>'Secondary cum Calculation'!C308</f>
        <v>Growth Rate</v>
      </c>
      <c r="D314" s="61"/>
      <c r="E314" s="61"/>
      <c r="F314" s="61">
        <f>'Secondary cum Calculation'!F308</f>
        <v>0</v>
      </c>
      <c r="G314" s="61">
        <f>'Secondary cum Calculation'!G308</f>
        <v>0</v>
      </c>
      <c r="H314" s="61">
        <f>'Secondary cum Calculation'!H308</f>
        <v>0</v>
      </c>
      <c r="I314" s="61">
        <f>'Secondary cum Calculation'!I308</f>
        <v>0</v>
      </c>
      <c r="J314" s="61" t="str">
        <f>'Secondary cum Calculation'!J308</f>
        <v>%</v>
      </c>
      <c r="K314" s="58">
        <f>'Secondary cum Calculation'!K308</f>
        <v>0</v>
      </c>
      <c r="L314" s="59"/>
      <c r="M314" s="62" t="e">
        <f>'Secondary cum Calculation'!M308</f>
        <v>#DIV/0!</v>
      </c>
      <c r="N314" s="62" t="e">
        <f>'Secondary cum Calculation'!N308</f>
        <v>#DIV/0!</v>
      </c>
      <c r="O314" s="62" t="e">
        <f>'Secondary cum Calculation'!O308</f>
        <v>#DIV/0!</v>
      </c>
      <c r="P314" s="62" t="e">
        <f>'Secondary cum Calculation'!P308</f>
        <v>#DIV/0!</v>
      </c>
      <c r="Q314" s="62"/>
      <c r="R314" s="62"/>
      <c r="S314" s="62"/>
      <c r="T314" s="62"/>
      <c r="U314" s="62"/>
      <c r="V314" s="62"/>
      <c r="W314" s="259"/>
      <c r="X314" s="259"/>
    </row>
    <row r="315" spans="1:26">
      <c r="A315" s="55" t="str">
        <f>'Secondary cum Calculation'!A309</f>
        <v>Poland</v>
      </c>
      <c r="B315" s="56" t="str">
        <f>'Secondary cum Calculation'!B309</f>
        <v>Tourism Flows</v>
      </c>
      <c r="C315" s="56" t="str">
        <f>'Secondary cum Calculation'!C309</f>
        <v>International Arrivals by Place of Origin</v>
      </c>
      <c r="D315" s="56" t="str">
        <f>'Secondary cum Calculation'!D309</f>
        <v>Asia-Pacific</v>
      </c>
      <c r="E315" s="55" t="str">
        <f>'Secondary cum Calculation'!E309</f>
        <v>China, Hong Kong SAR</v>
      </c>
      <c r="F315" s="57" t="str">
        <f>'Secondary cum Calculation'!F309</f>
        <v>The number of international arrivals to a country originating from China, Hong Kong SAR</v>
      </c>
      <c r="G315" s="57" t="str">
        <f>'Secondary cum Calculation'!G309</f>
        <v>Tourism Demand &amp; Flows Database</v>
      </c>
      <c r="H315" s="57" t="str">
        <f>'Secondary cum Calculation'!H309</f>
        <v>New</v>
      </c>
      <c r="I315" s="57">
        <f>'Secondary cum Calculation'!I309</f>
        <v>0</v>
      </c>
      <c r="J315" s="57" t="str">
        <f>'Secondary cum Calculation'!J309</f>
        <v>Thousand</v>
      </c>
      <c r="K315" s="58">
        <f>'Secondary cum Calculation'!K309</f>
        <v>137.27799999999999</v>
      </c>
      <c r="L315" s="59">
        <f>'Secondary cum Calculation'!L309</f>
        <v>0</v>
      </c>
      <c r="M315" s="59">
        <f>'Secondary cum Calculation'!M309</f>
        <v>0</v>
      </c>
      <c r="N315" s="59">
        <f>'Secondary cum Calculation'!N309</f>
        <v>0</v>
      </c>
      <c r="O315" s="59">
        <f>'Secondary cum Calculation'!O309</f>
        <v>0</v>
      </c>
      <c r="P315" s="59">
        <f>'Secondary cum Calculation'!P309</f>
        <v>0</v>
      </c>
      <c r="Q315" s="59"/>
      <c r="R315" s="59"/>
      <c r="S315" s="59"/>
      <c r="T315" s="59"/>
      <c r="U315" s="59"/>
      <c r="V315" s="59"/>
      <c r="W315" s="106" t="e">
        <f>'Secondary cum Calculation'!W309</f>
        <v>#DIV/0!</v>
      </c>
      <c r="X315" s="106" t="e">
        <f>'Secondary cum Calculation'!X309</f>
        <v>#DIV/0!</v>
      </c>
      <c r="Z315" s="12"/>
    </row>
    <row r="316" spans="1:26">
      <c r="A316" s="57"/>
      <c r="B316" s="57"/>
      <c r="C316" s="61" t="str">
        <f>'Secondary cum Calculation'!C310</f>
        <v>Growth Rate</v>
      </c>
      <c r="D316" s="61"/>
      <c r="E316" s="61"/>
      <c r="F316" s="61">
        <f>'Secondary cum Calculation'!F310</f>
        <v>0</v>
      </c>
      <c r="G316" s="61">
        <f>'Secondary cum Calculation'!G310</f>
        <v>0</v>
      </c>
      <c r="H316" s="61">
        <f>'Secondary cum Calculation'!H310</f>
        <v>0</v>
      </c>
      <c r="I316" s="61">
        <f>'Secondary cum Calculation'!I310</f>
        <v>0</v>
      </c>
      <c r="J316" s="61" t="str">
        <f>'Secondary cum Calculation'!J310</f>
        <v>%</v>
      </c>
      <c r="K316" s="58">
        <f>'Secondary cum Calculation'!K310</f>
        <v>0</v>
      </c>
      <c r="L316" s="59"/>
      <c r="M316" s="62" t="e">
        <f>'Secondary cum Calculation'!M310</f>
        <v>#DIV/0!</v>
      </c>
      <c r="N316" s="62" t="e">
        <f>'Secondary cum Calculation'!N310</f>
        <v>#DIV/0!</v>
      </c>
      <c r="O316" s="62" t="e">
        <f>'Secondary cum Calculation'!O310</f>
        <v>#DIV/0!</v>
      </c>
      <c r="P316" s="62" t="e">
        <f>'Secondary cum Calculation'!P310</f>
        <v>#DIV/0!</v>
      </c>
      <c r="Q316" s="62"/>
      <c r="R316" s="62"/>
      <c r="S316" s="62"/>
      <c r="T316" s="62"/>
      <c r="U316" s="62"/>
      <c r="V316" s="62"/>
      <c r="W316" s="259"/>
      <c r="X316" s="259"/>
    </row>
    <row r="317" spans="1:26">
      <c r="A317" s="55" t="str">
        <f>'Secondary cum Calculation'!A311</f>
        <v>Poland</v>
      </c>
      <c r="B317" s="56" t="str">
        <f>'Secondary cum Calculation'!B311</f>
        <v>Tourism Flows</v>
      </c>
      <c r="C317" s="56" t="str">
        <f>'Secondary cum Calculation'!C311</f>
        <v>International Arrivals by Place of Origin</v>
      </c>
      <c r="D317" s="56" t="str">
        <f>'Secondary cum Calculation'!D311</f>
        <v>Asia-Pacific</v>
      </c>
      <c r="E317" s="55" t="str">
        <f>'Secondary cum Calculation'!E311</f>
        <v>China, Macao SAR</v>
      </c>
      <c r="F317" s="57" t="str">
        <f>'Secondary cum Calculation'!F311</f>
        <v>The number of international arrivals to a country originating from China, Macao SAR</v>
      </c>
      <c r="G317" s="57" t="str">
        <f>'Secondary cum Calculation'!G311</f>
        <v>Tourism Demand &amp; Flows Database</v>
      </c>
      <c r="H317" s="57" t="str">
        <f>'Secondary cum Calculation'!H311</f>
        <v>New</v>
      </c>
      <c r="I317" s="57">
        <f>'Secondary cum Calculation'!I311</f>
        <v>0</v>
      </c>
      <c r="J317" s="57" t="str">
        <f>'Secondary cum Calculation'!J311</f>
        <v>Thousand</v>
      </c>
      <c r="K317" s="58">
        <f>'Secondary cum Calculation'!K311</f>
        <v>0</v>
      </c>
      <c r="L317" s="59">
        <f>'Secondary cum Calculation'!L311</f>
        <v>0</v>
      </c>
      <c r="M317" s="59">
        <f>'Secondary cum Calculation'!M311</f>
        <v>0</v>
      </c>
      <c r="N317" s="59">
        <f>'Secondary cum Calculation'!N311</f>
        <v>0</v>
      </c>
      <c r="O317" s="88">
        <f>'Secondary cum Calculation'!O311</f>
        <v>0</v>
      </c>
      <c r="P317" s="88">
        <f>'Secondary cum Calculation'!P311</f>
        <v>0</v>
      </c>
      <c r="Q317" s="88"/>
      <c r="R317" s="88"/>
      <c r="S317" s="88"/>
      <c r="T317" s="88"/>
      <c r="U317" s="88"/>
      <c r="V317" s="88"/>
      <c r="W317" s="106" t="e">
        <f>'Secondary cum Calculation'!W311</f>
        <v>#DIV/0!</v>
      </c>
      <c r="X317" s="106" t="e">
        <f>'Secondary cum Calculation'!X311</f>
        <v>#DIV/0!</v>
      </c>
    </row>
    <row r="318" spans="1:26">
      <c r="A318" s="57"/>
      <c r="B318" s="57"/>
      <c r="C318" s="61" t="str">
        <f>'Secondary cum Calculation'!C312</f>
        <v>Growth Rate</v>
      </c>
      <c r="D318" s="61"/>
      <c r="E318" s="61"/>
      <c r="F318" s="61">
        <f>'Secondary cum Calculation'!F312</f>
        <v>0</v>
      </c>
      <c r="G318" s="61">
        <f>'Secondary cum Calculation'!G312</f>
        <v>0</v>
      </c>
      <c r="H318" s="61">
        <f>'Secondary cum Calculation'!H312</f>
        <v>0</v>
      </c>
      <c r="I318" s="61">
        <f>'Secondary cum Calculation'!I312</f>
        <v>0</v>
      </c>
      <c r="J318" s="61" t="str">
        <f>'Secondary cum Calculation'!J312</f>
        <v>%</v>
      </c>
      <c r="K318" s="58">
        <f>'Secondary cum Calculation'!K312</f>
        <v>0</v>
      </c>
      <c r="L318" s="59"/>
      <c r="M318" s="62" t="e">
        <f>'Secondary cum Calculation'!M312</f>
        <v>#DIV/0!</v>
      </c>
      <c r="N318" s="62" t="e">
        <f>'Secondary cum Calculation'!N312</f>
        <v>#DIV/0!</v>
      </c>
      <c r="O318" s="62" t="e">
        <f>'Secondary cum Calculation'!O312</f>
        <v>#DIV/0!</v>
      </c>
      <c r="P318" s="62" t="e">
        <f>'Secondary cum Calculation'!P312</f>
        <v>#DIV/0!</v>
      </c>
      <c r="Q318" s="62"/>
      <c r="R318" s="62"/>
      <c r="S318" s="62"/>
      <c r="T318" s="62"/>
      <c r="U318" s="62"/>
      <c r="V318" s="62"/>
      <c r="W318" s="259"/>
      <c r="X318" s="259"/>
    </row>
    <row r="319" spans="1:26">
      <c r="A319" s="55" t="str">
        <f>'Secondary cum Calculation'!A313</f>
        <v>Poland</v>
      </c>
      <c r="B319" s="56" t="str">
        <f>'Secondary cum Calculation'!B313</f>
        <v>Tourism Flows</v>
      </c>
      <c r="C319" s="56" t="str">
        <f>'Secondary cum Calculation'!C313</f>
        <v>International Arrivals by Place of Origin</v>
      </c>
      <c r="D319" s="56" t="str">
        <f>'Secondary cum Calculation'!D313</f>
        <v>Asia-Pacific</v>
      </c>
      <c r="E319" s="55" t="str">
        <f>'Secondary cum Calculation'!E313</f>
        <v>Dem. People's Rep. of Korea</v>
      </c>
      <c r="F319" s="57" t="str">
        <f>'Secondary cum Calculation'!F313</f>
        <v>The number of international arrivals to a country originating from Dem. People's Rep. of Korea</v>
      </c>
      <c r="G319" s="57" t="str">
        <f>'Secondary cum Calculation'!G313</f>
        <v>Tourism Demand &amp; Flows Database</v>
      </c>
      <c r="H319" s="57" t="str">
        <f>'Secondary cum Calculation'!H313</f>
        <v>New</v>
      </c>
      <c r="I319" s="57">
        <f>'Secondary cum Calculation'!I313</f>
        <v>0</v>
      </c>
      <c r="J319" s="57" t="str">
        <f>'Secondary cum Calculation'!J313</f>
        <v>Thousand</v>
      </c>
      <c r="K319" s="58">
        <f>'Secondary cum Calculation'!K313</f>
        <v>0</v>
      </c>
      <c r="L319" s="59">
        <f>'Secondary cum Calculation'!L313</f>
        <v>0</v>
      </c>
      <c r="M319" s="59">
        <f>'Secondary cum Calculation'!M313</f>
        <v>0</v>
      </c>
      <c r="N319" s="59">
        <f>'Secondary cum Calculation'!N313</f>
        <v>0</v>
      </c>
      <c r="O319" s="59">
        <f>'Secondary cum Calculation'!O313</f>
        <v>0</v>
      </c>
      <c r="P319" s="59">
        <f>'Secondary cum Calculation'!P313</f>
        <v>0</v>
      </c>
      <c r="Q319" s="59"/>
      <c r="R319" s="59"/>
      <c r="S319" s="59"/>
      <c r="T319" s="59"/>
      <c r="U319" s="59"/>
      <c r="V319" s="59"/>
      <c r="W319" s="106" t="e">
        <f>'Secondary cum Calculation'!W313</f>
        <v>#DIV/0!</v>
      </c>
      <c r="X319" s="106" t="e">
        <f>'Secondary cum Calculation'!X313</f>
        <v>#DIV/0!</v>
      </c>
    </row>
    <row r="320" spans="1:26">
      <c r="A320" s="57"/>
      <c r="B320" s="57"/>
      <c r="C320" s="61" t="str">
        <f>'Secondary cum Calculation'!C314</f>
        <v>Growth Rate</v>
      </c>
      <c r="D320" s="61"/>
      <c r="E320" s="61"/>
      <c r="F320" s="61">
        <f>'Secondary cum Calculation'!F314</f>
        <v>0</v>
      </c>
      <c r="G320" s="61">
        <f>'Secondary cum Calculation'!G314</f>
        <v>0</v>
      </c>
      <c r="H320" s="61">
        <f>'Secondary cum Calculation'!H314</f>
        <v>0</v>
      </c>
      <c r="I320" s="61">
        <f>'Secondary cum Calculation'!I314</f>
        <v>0</v>
      </c>
      <c r="J320" s="61" t="str">
        <f>'Secondary cum Calculation'!J314</f>
        <v>%</v>
      </c>
      <c r="K320" s="58">
        <f>'Secondary cum Calculation'!K314</f>
        <v>0</v>
      </c>
      <c r="L320" s="59"/>
      <c r="M320" s="62" t="e">
        <f>'Secondary cum Calculation'!M314</f>
        <v>#DIV/0!</v>
      </c>
      <c r="N320" s="62" t="e">
        <f>'Secondary cum Calculation'!N314</f>
        <v>#DIV/0!</v>
      </c>
      <c r="O320" s="62" t="e">
        <f>'Secondary cum Calculation'!O314</f>
        <v>#DIV/0!</v>
      </c>
      <c r="P320" s="62" t="e">
        <f>'Secondary cum Calculation'!P314</f>
        <v>#DIV/0!</v>
      </c>
      <c r="Q320" s="62"/>
      <c r="R320" s="62"/>
      <c r="S320" s="62"/>
      <c r="T320" s="62"/>
      <c r="U320" s="62"/>
      <c r="V320" s="62"/>
      <c r="W320" s="259"/>
      <c r="X320" s="259"/>
    </row>
    <row r="321" spans="1:26">
      <c r="A321" s="55" t="str">
        <f>'Secondary cum Calculation'!A315</f>
        <v>Poland</v>
      </c>
      <c r="B321" s="56" t="str">
        <f>'Secondary cum Calculation'!B315</f>
        <v>Tourism Flows</v>
      </c>
      <c r="C321" s="56" t="str">
        <f>'Secondary cum Calculation'!C315</f>
        <v>International Arrivals by Place of Origin</v>
      </c>
      <c r="D321" s="56" t="str">
        <f>'Secondary cum Calculation'!D315</f>
        <v>Asia-Pacific</v>
      </c>
      <c r="E321" s="55" t="str">
        <f>'Secondary cum Calculation'!E315</f>
        <v>Fiji</v>
      </c>
      <c r="F321" s="57" t="str">
        <f>'Secondary cum Calculation'!F315</f>
        <v>The number of international arrivals to a country originating from Fiji</v>
      </c>
      <c r="G321" s="57" t="str">
        <f>'Secondary cum Calculation'!G315</f>
        <v>Tourism Demand &amp; Flows Database</v>
      </c>
      <c r="H321" s="57" t="str">
        <f>'Secondary cum Calculation'!H315</f>
        <v>New</v>
      </c>
      <c r="I321" s="57">
        <f>'Secondary cum Calculation'!I315</f>
        <v>0</v>
      </c>
      <c r="J321" s="57" t="str">
        <f>'Secondary cum Calculation'!J315</f>
        <v>Thousand</v>
      </c>
      <c r="K321" s="58">
        <f>'Secondary cum Calculation'!K315</f>
        <v>0</v>
      </c>
      <c r="L321" s="59">
        <f>'Secondary cum Calculation'!L315</f>
        <v>0</v>
      </c>
      <c r="M321" s="59">
        <f>'Secondary cum Calculation'!M315</f>
        <v>0</v>
      </c>
      <c r="N321" s="59">
        <f>'Secondary cum Calculation'!N315</f>
        <v>0</v>
      </c>
      <c r="O321" s="59">
        <f>'Secondary cum Calculation'!O315</f>
        <v>0</v>
      </c>
      <c r="P321" s="59">
        <f>'Secondary cum Calculation'!P315</f>
        <v>0</v>
      </c>
      <c r="Q321" s="59"/>
      <c r="R321" s="59"/>
      <c r="S321" s="59"/>
      <c r="T321" s="59"/>
      <c r="U321" s="59"/>
      <c r="V321" s="59"/>
      <c r="W321" s="106" t="e">
        <f>'Secondary cum Calculation'!W315</f>
        <v>#DIV/0!</v>
      </c>
      <c r="X321" s="106" t="e">
        <f>'Secondary cum Calculation'!X315</f>
        <v>#DIV/0!</v>
      </c>
    </row>
    <row r="322" spans="1:26">
      <c r="A322" s="57"/>
      <c r="B322" s="57"/>
      <c r="C322" s="61" t="str">
        <f>'Secondary cum Calculation'!C316</f>
        <v>Growth Rate</v>
      </c>
      <c r="D322" s="61"/>
      <c r="E322" s="61"/>
      <c r="F322" s="61">
        <f>'Secondary cum Calculation'!F316</f>
        <v>0</v>
      </c>
      <c r="G322" s="61">
        <f>'Secondary cum Calculation'!G316</f>
        <v>0</v>
      </c>
      <c r="H322" s="61">
        <f>'Secondary cum Calculation'!H316</f>
        <v>0</v>
      </c>
      <c r="I322" s="61">
        <f>'Secondary cum Calculation'!I316</f>
        <v>0</v>
      </c>
      <c r="J322" s="61" t="str">
        <f>'Secondary cum Calculation'!J316</f>
        <v>%</v>
      </c>
      <c r="K322" s="58">
        <f>'Secondary cum Calculation'!K316</f>
        <v>0</v>
      </c>
      <c r="L322" s="59"/>
      <c r="M322" s="62" t="e">
        <f>'Secondary cum Calculation'!M316</f>
        <v>#DIV/0!</v>
      </c>
      <c r="N322" s="62" t="e">
        <f>'Secondary cum Calculation'!N316</f>
        <v>#DIV/0!</v>
      </c>
      <c r="O322" s="62" t="e">
        <f>'Secondary cum Calculation'!O316</f>
        <v>#DIV/0!</v>
      </c>
      <c r="P322" s="62" t="e">
        <f>'Secondary cum Calculation'!P316</f>
        <v>#DIV/0!</v>
      </c>
      <c r="Q322" s="62"/>
      <c r="R322" s="62"/>
      <c r="S322" s="62"/>
      <c r="T322" s="62"/>
      <c r="U322" s="62"/>
      <c r="V322" s="62"/>
      <c r="W322" s="259"/>
      <c r="X322" s="259"/>
    </row>
    <row r="323" spans="1:26">
      <c r="A323" s="55" t="str">
        <f>'Secondary cum Calculation'!A317</f>
        <v>Poland</v>
      </c>
      <c r="B323" s="56" t="str">
        <f>'Secondary cum Calculation'!B317</f>
        <v>Tourism Flows</v>
      </c>
      <c r="C323" s="56" t="str">
        <f>'Secondary cum Calculation'!C317</f>
        <v>International Arrivals by Place of Origin</v>
      </c>
      <c r="D323" s="56" t="str">
        <f>'Secondary cum Calculation'!D317</f>
        <v>Asia-Pacific</v>
      </c>
      <c r="E323" s="55" t="str">
        <f>'Secondary cum Calculation'!E317</f>
        <v>French Polynesia</v>
      </c>
      <c r="F323" s="57" t="str">
        <f>'Secondary cum Calculation'!F317</f>
        <v>The number of international arrivals to a country originating from French Polynesia</v>
      </c>
      <c r="G323" s="57" t="str">
        <f>'Secondary cum Calculation'!G317</f>
        <v>Tourism Demand &amp; Flows Database</v>
      </c>
      <c r="H323" s="57" t="str">
        <f>'Secondary cum Calculation'!H317</f>
        <v>New</v>
      </c>
      <c r="I323" s="57">
        <f>'Secondary cum Calculation'!I317</f>
        <v>0</v>
      </c>
      <c r="J323" s="57" t="str">
        <f>'Secondary cum Calculation'!J317</f>
        <v>Thousand</v>
      </c>
      <c r="K323" s="58">
        <f>'Secondary cum Calculation'!K317</f>
        <v>0</v>
      </c>
      <c r="L323" s="59">
        <f>'Secondary cum Calculation'!L317</f>
        <v>0</v>
      </c>
      <c r="M323" s="59">
        <f>'Secondary cum Calculation'!M317</f>
        <v>0</v>
      </c>
      <c r="N323" s="59">
        <f>'Secondary cum Calculation'!N317</f>
        <v>0</v>
      </c>
      <c r="O323" s="59">
        <f>'Secondary cum Calculation'!O317</f>
        <v>0</v>
      </c>
      <c r="P323" s="59">
        <f>'Secondary cum Calculation'!P317</f>
        <v>0</v>
      </c>
      <c r="Q323" s="59"/>
      <c r="R323" s="59"/>
      <c r="S323" s="59"/>
      <c r="T323" s="59"/>
      <c r="U323" s="59"/>
      <c r="V323" s="59"/>
      <c r="W323" s="106" t="e">
        <f>'Secondary cum Calculation'!W317</f>
        <v>#DIV/0!</v>
      </c>
      <c r="X323" s="106" t="e">
        <f>'Secondary cum Calculation'!X317</f>
        <v>#DIV/0!</v>
      </c>
    </row>
    <row r="324" spans="1:26">
      <c r="A324" s="57"/>
      <c r="B324" s="57"/>
      <c r="C324" s="61" t="str">
        <f>'Secondary cum Calculation'!C318</f>
        <v>Growth Rate</v>
      </c>
      <c r="D324" s="61"/>
      <c r="E324" s="61"/>
      <c r="F324" s="61">
        <f>'Secondary cum Calculation'!F318</f>
        <v>0</v>
      </c>
      <c r="G324" s="61">
        <f>'Secondary cum Calculation'!G318</f>
        <v>0</v>
      </c>
      <c r="H324" s="61">
        <f>'Secondary cum Calculation'!H318</f>
        <v>0</v>
      </c>
      <c r="I324" s="61">
        <f>'Secondary cum Calculation'!I318</f>
        <v>0</v>
      </c>
      <c r="J324" s="61" t="str">
        <f>'Secondary cum Calculation'!J318</f>
        <v>%</v>
      </c>
      <c r="K324" s="58">
        <f>'Secondary cum Calculation'!K318</f>
        <v>0</v>
      </c>
      <c r="L324" s="59"/>
      <c r="M324" s="62" t="e">
        <f>'Secondary cum Calculation'!M318</f>
        <v>#DIV/0!</v>
      </c>
      <c r="N324" s="62" t="e">
        <f>'Secondary cum Calculation'!N318</f>
        <v>#DIV/0!</v>
      </c>
      <c r="O324" s="62" t="e">
        <f>'Secondary cum Calculation'!O318</f>
        <v>#DIV/0!</v>
      </c>
      <c r="P324" s="62" t="e">
        <f>'Secondary cum Calculation'!P318</f>
        <v>#DIV/0!</v>
      </c>
      <c r="Q324" s="62"/>
      <c r="R324" s="62"/>
      <c r="S324" s="62"/>
      <c r="T324" s="62"/>
      <c r="U324" s="62"/>
      <c r="V324" s="62"/>
      <c r="W324" s="259"/>
      <c r="X324" s="259"/>
    </row>
    <row r="325" spans="1:26">
      <c r="A325" s="55" t="str">
        <f>'Secondary cum Calculation'!A319</f>
        <v>Poland</v>
      </c>
      <c r="B325" s="56" t="str">
        <f>'Secondary cum Calculation'!B319</f>
        <v>Tourism Flows</v>
      </c>
      <c r="C325" s="56" t="str">
        <f>'Secondary cum Calculation'!C319</f>
        <v>International Arrivals by Place of Origin</v>
      </c>
      <c r="D325" s="56" t="str">
        <f>'Secondary cum Calculation'!D319</f>
        <v>Asia-Pacific</v>
      </c>
      <c r="E325" s="55" t="str">
        <f>'Secondary cum Calculation'!E319</f>
        <v>Guam</v>
      </c>
      <c r="F325" s="57" t="str">
        <f>'Secondary cum Calculation'!F319</f>
        <v>The number of international arrivals to a country originating from Guam</v>
      </c>
      <c r="G325" s="57" t="str">
        <f>'Secondary cum Calculation'!G319</f>
        <v>Tourism Demand &amp; Flows Database</v>
      </c>
      <c r="H325" s="57" t="str">
        <f>'Secondary cum Calculation'!H319</f>
        <v>New</v>
      </c>
      <c r="I325" s="57">
        <f>'Secondary cum Calculation'!I319</f>
        <v>0</v>
      </c>
      <c r="J325" s="57" t="str">
        <f>'Secondary cum Calculation'!J319</f>
        <v>Thousand</v>
      </c>
      <c r="K325" s="58">
        <f>'Secondary cum Calculation'!K319</f>
        <v>0</v>
      </c>
      <c r="L325" s="59">
        <f>'Secondary cum Calculation'!L319</f>
        <v>0</v>
      </c>
      <c r="M325" s="59">
        <f>'Secondary cum Calculation'!M319</f>
        <v>0</v>
      </c>
      <c r="N325" s="59">
        <f>'Secondary cum Calculation'!N319</f>
        <v>0</v>
      </c>
      <c r="O325" s="59">
        <f>'Secondary cum Calculation'!O319</f>
        <v>0</v>
      </c>
      <c r="P325" s="59">
        <f>'Secondary cum Calculation'!P319</f>
        <v>0</v>
      </c>
      <c r="Q325" s="59"/>
      <c r="R325" s="59"/>
      <c r="S325" s="59"/>
      <c r="T325" s="59"/>
      <c r="U325" s="59"/>
      <c r="V325" s="59"/>
      <c r="W325" s="106" t="e">
        <f>'Secondary cum Calculation'!W319</f>
        <v>#DIV/0!</v>
      </c>
      <c r="X325" s="106" t="e">
        <f>'Secondary cum Calculation'!X319</f>
        <v>#DIV/0!</v>
      </c>
    </row>
    <row r="326" spans="1:26">
      <c r="A326" s="57"/>
      <c r="B326" s="57"/>
      <c r="C326" s="61" t="str">
        <f>'Secondary cum Calculation'!C320</f>
        <v>Growth Rate</v>
      </c>
      <c r="D326" s="61"/>
      <c r="E326" s="61"/>
      <c r="F326" s="61">
        <f>'Secondary cum Calculation'!F320</f>
        <v>0</v>
      </c>
      <c r="G326" s="61">
        <f>'Secondary cum Calculation'!G320</f>
        <v>0</v>
      </c>
      <c r="H326" s="61">
        <f>'Secondary cum Calculation'!H320</f>
        <v>0</v>
      </c>
      <c r="I326" s="61">
        <f>'Secondary cum Calculation'!I320</f>
        <v>0</v>
      </c>
      <c r="J326" s="61" t="str">
        <f>'Secondary cum Calculation'!J320</f>
        <v>%</v>
      </c>
      <c r="K326" s="58">
        <f>'Secondary cum Calculation'!K320</f>
        <v>0</v>
      </c>
      <c r="L326" s="59"/>
      <c r="M326" s="62" t="e">
        <f>'Secondary cum Calculation'!M320</f>
        <v>#DIV/0!</v>
      </c>
      <c r="N326" s="62" t="e">
        <f>'Secondary cum Calculation'!N320</f>
        <v>#DIV/0!</v>
      </c>
      <c r="O326" s="62" t="e">
        <f>'Secondary cum Calculation'!O320</f>
        <v>#DIV/0!</v>
      </c>
      <c r="P326" s="62" t="e">
        <f>'Secondary cum Calculation'!P320</f>
        <v>#DIV/0!</v>
      </c>
      <c r="Q326" s="62"/>
      <c r="R326" s="62"/>
      <c r="S326" s="62"/>
      <c r="T326" s="62"/>
      <c r="U326" s="62"/>
      <c r="V326" s="62"/>
      <c r="W326" s="259"/>
      <c r="X326" s="259"/>
    </row>
    <row r="327" spans="1:26">
      <c r="A327" s="55" t="str">
        <f>'Secondary cum Calculation'!A321</f>
        <v>Poland</v>
      </c>
      <c r="B327" s="56" t="str">
        <f>'Secondary cum Calculation'!B321</f>
        <v>Tourism Flows</v>
      </c>
      <c r="C327" s="56" t="str">
        <f>'Secondary cum Calculation'!C321</f>
        <v>International Arrivals by Place of Origin</v>
      </c>
      <c r="D327" s="56" t="str">
        <f>'Secondary cum Calculation'!D321</f>
        <v>Asia-Pacific</v>
      </c>
      <c r="E327" s="55" t="str">
        <f>'Secondary cum Calculation'!E321</f>
        <v>India</v>
      </c>
      <c r="F327" s="57" t="str">
        <f>'Secondary cum Calculation'!F321</f>
        <v>The number of international arrivals to a country originating from India</v>
      </c>
      <c r="G327" s="57" t="str">
        <f>'Secondary cum Calculation'!G321</f>
        <v>Tourism Demand &amp; Flows Database</v>
      </c>
      <c r="H327" s="57" t="str">
        <f>'Secondary cum Calculation'!H321</f>
        <v>New</v>
      </c>
      <c r="I327" s="57">
        <f>'Secondary cum Calculation'!I321</f>
        <v>0</v>
      </c>
      <c r="J327" s="57" t="str">
        <f>'Secondary cum Calculation'!J321</f>
        <v>Thousand</v>
      </c>
      <c r="K327" s="58">
        <f>'Secondary cum Calculation'!K321</f>
        <v>406.84500000000003</v>
      </c>
      <c r="L327" s="59">
        <f>'Secondary cum Calculation'!L321</f>
        <v>0</v>
      </c>
      <c r="M327" s="59">
        <f>'Secondary cum Calculation'!M321</f>
        <v>0</v>
      </c>
      <c r="N327" s="59">
        <f>'Secondary cum Calculation'!N321</f>
        <v>0</v>
      </c>
      <c r="O327" s="59">
        <f>'Secondary cum Calculation'!O321</f>
        <v>0</v>
      </c>
      <c r="P327" s="59">
        <f>'Secondary cum Calculation'!P321</f>
        <v>0</v>
      </c>
      <c r="Q327" s="59"/>
      <c r="R327" s="59"/>
      <c r="S327" s="59"/>
      <c r="T327" s="59"/>
      <c r="U327" s="59"/>
      <c r="V327" s="59"/>
      <c r="W327" s="106" t="e">
        <f>'Secondary cum Calculation'!W321</f>
        <v>#DIV/0!</v>
      </c>
      <c r="X327" s="106" t="e">
        <f>'Secondary cum Calculation'!X321</f>
        <v>#DIV/0!</v>
      </c>
      <c r="Z327" s="12"/>
    </row>
    <row r="328" spans="1:26">
      <c r="A328" s="57"/>
      <c r="B328" s="57"/>
      <c r="C328" s="61" t="str">
        <f>'Secondary cum Calculation'!C322</f>
        <v>Growth Rate</v>
      </c>
      <c r="D328" s="61"/>
      <c r="E328" s="61"/>
      <c r="F328" s="61">
        <f>'Secondary cum Calculation'!F322</f>
        <v>0</v>
      </c>
      <c r="G328" s="61">
        <f>'Secondary cum Calculation'!G322</f>
        <v>0</v>
      </c>
      <c r="H328" s="61">
        <f>'Secondary cum Calculation'!H322</f>
        <v>0</v>
      </c>
      <c r="I328" s="61">
        <f>'Secondary cum Calculation'!I322</f>
        <v>0</v>
      </c>
      <c r="J328" s="61" t="str">
        <f>'Secondary cum Calculation'!J322</f>
        <v>%</v>
      </c>
      <c r="K328" s="58">
        <f>'Secondary cum Calculation'!K322</f>
        <v>0</v>
      </c>
      <c r="L328" s="59"/>
      <c r="M328" s="62" t="e">
        <f>'Secondary cum Calculation'!M322</f>
        <v>#DIV/0!</v>
      </c>
      <c r="N328" s="62" t="e">
        <f>'Secondary cum Calculation'!N322</f>
        <v>#DIV/0!</v>
      </c>
      <c r="O328" s="62" t="e">
        <f>'Secondary cum Calculation'!O322</f>
        <v>#DIV/0!</v>
      </c>
      <c r="P328" s="62" t="e">
        <f>'Secondary cum Calculation'!P322</f>
        <v>#DIV/0!</v>
      </c>
      <c r="Q328" s="62"/>
      <c r="R328" s="62"/>
      <c r="S328" s="62"/>
      <c r="T328" s="62"/>
      <c r="U328" s="62"/>
      <c r="V328" s="62"/>
      <c r="W328" s="259"/>
      <c r="X328" s="259"/>
    </row>
    <row r="329" spans="1:26">
      <c r="A329" s="55" t="str">
        <f>'Secondary cum Calculation'!A323</f>
        <v>Poland</v>
      </c>
      <c r="B329" s="56" t="str">
        <f>'Secondary cum Calculation'!B323</f>
        <v>Tourism Flows</v>
      </c>
      <c r="C329" s="56" t="str">
        <f>'Secondary cum Calculation'!C323</f>
        <v>International Arrivals by Place of Origin</v>
      </c>
      <c r="D329" s="56" t="str">
        <f>'Secondary cum Calculation'!D323</f>
        <v>Asia-Pacific</v>
      </c>
      <c r="E329" s="55" t="str">
        <f>'Secondary cum Calculation'!E323</f>
        <v>Indonesia</v>
      </c>
      <c r="F329" s="57" t="str">
        <f>'Secondary cum Calculation'!F323</f>
        <v>The number of international arrivals to a country originating from Indonesia</v>
      </c>
      <c r="G329" s="57" t="str">
        <f>'Secondary cum Calculation'!G323</f>
        <v>Tourism Demand &amp; Flows Database</v>
      </c>
      <c r="H329" s="57" t="str">
        <f>'Secondary cum Calculation'!H323</f>
        <v>New</v>
      </c>
      <c r="I329" s="57">
        <f>'Secondary cum Calculation'!I323</f>
        <v>0</v>
      </c>
      <c r="J329" s="57" t="str">
        <f>'Secondary cum Calculation'!J323</f>
        <v>Thousand</v>
      </c>
      <c r="K329" s="58">
        <f>'Secondary cum Calculation'!K323</f>
        <v>0</v>
      </c>
      <c r="L329" s="59">
        <f>'Secondary cum Calculation'!L323</f>
        <v>0</v>
      </c>
      <c r="M329" s="59">
        <f>'Secondary cum Calculation'!M323</f>
        <v>0</v>
      </c>
      <c r="N329" s="59">
        <f>'Secondary cum Calculation'!N323</f>
        <v>0</v>
      </c>
      <c r="O329" s="88">
        <f>'Secondary cum Calculation'!O323</f>
        <v>0</v>
      </c>
      <c r="P329" s="59">
        <f>'Secondary cum Calculation'!P323</f>
        <v>0</v>
      </c>
      <c r="Q329" s="59"/>
      <c r="R329" s="59"/>
      <c r="S329" s="59"/>
      <c r="T329" s="59"/>
      <c r="U329" s="59"/>
      <c r="V329" s="59"/>
      <c r="W329" s="106" t="e">
        <f>'Secondary cum Calculation'!W323</f>
        <v>#DIV/0!</v>
      </c>
      <c r="X329" s="106" t="e">
        <f>'Secondary cum Calculation'!X323</f>
        <v>#DIV/0!</v>
      </c>
    </row>
    <row r="330" spans="1:26">
      <c r="A330" s="57"/>
      <c r="B330" s="57"/>
      <c r="C330" s="61" t="str">
        <f>'Secondary cum Calculation'!C324</f>
        <v>Growth Rate</v>
      </c>
      <c r="D330" s="61"/>
      <c r="E330" s="61"/>
      <c r="F330" s="61">
        <f>'Secondary cum Calculation'!F324</f>
        <v>0</v>
      </c>
      <c r="G330" s="61">
        <f>'Secondary cum Calculation'!G324</f>
        <v>0</v>
      </c>
      <c r="H330" s="61">
        <f>'Secondary cum Calculation'!H324</f>
        <v>0</v>
      </c>
      <c r="I330" s="61">
        <f>'Secondary cum Calculation'!I324</f>
        <v>0</v>
      </c>
      <c r="J330" s="61" t="str">
        <f>'Secondary cum Calculation'!J324</f>
        <v>%</v>
      </c>
      <c r="K330" s="58">
        <f>'Secondary cum Calculation'!K324</f>
        <v>0</v>
      </c>
      <c r="L330" s="59"/>
      <c r="M330" s="62" t="e">
        <f>'Secondary cum Calculation'!M324</f>
        <v>#DIV/0!</v>
      </c>
      <c r="N330" s="62" t="e">
        <f>'Secondary cum Calculation'!N324</f>
        <v>#DIV/0!</v>
      </c>
      <c r="O330" s="62" t="e">
        <f>'Secondary cum Calculation'!O324</f>
        <v>#DIV/0!</v>
      </c>
      <c r="P330" s="62" t="e">
        <f>'Secondary cum Calculation'!P324</f>
        <v>#DIV/0!</v>
      </c>
      <c r="Q330" s="62"/>
      <c r="R330" s="62"/>
      <c r="S330" s="62"/>
      <c r="T330" s="62"/>
      <c r="U330" s="62"/>
      <c r="V330" s="62"/>
      <c r="W330" s="259"/>
      <c r="X330" s="259"/>
    </row>
    <row r="331" spans="1:26">
      <c r="A331" s="55" t="str">
        <f>'Secondary cum Calculation'!A325</f>
        <v>Poland</v>
      </c>
      <c r="B331" s="56" t="str">
        <f>'Secondary cum Calculation'!B325</f>
        <v>Tourism Flows</v>
      </c>
      <c r="C331" s="56" t="str">
        <f>'Secondary cum Calculation'!C325</f>
        <v>International Arrivals by Place of Origin</v>
      </c>
      <c r="D331" s="56" t="str">
        <f>'Secondary cum Calculation'!D325</f>
        <v>Asia-Pacific</v>
      </c>
      <c r="E331" s="55" t="str">
        <f>'Secondary cum Calculation'!E325</f>
        <v>Japan</v>
      </c>
      <c r="F331" s="57" t="str">
        <f>'Secondary cum Calculation'!F325</f>
        <v>The number of international arrivals to a country originating from Japan</v>
      </c>
      <c r="G331" s="57" t="str">
        <f>'Secondary cum Calculation'!G325</f>
        <v>Tourism Demand &amp; Flows Database</v>
      </c>
      <c r="H331" s="57" t="str">
        <f>'Secondary cum Calculation'!H325</f>
        <v>New</v>
      </c>
      <c r="I331" s="57">
        <f>'Secondary cum Calculation'!I325</f>
        <v>0</v>
      </c>
      <c r="J331" s="57" t="str">
        <f>'Secondary cum Calculation'!J325</f>
        <v>Thousand</v>
      </c>
      <c r="K331" s="58">
        <f>'Secondary cum Calculation'!K325</f>
        <v>3672.5839999999998</v>
      </c>
      <c r="L331" s="59">
        <f>'Secondary cum Calculation'!L325</f>
        <v>123.40745448688544</v>
      </c>
      <c r="M331" s="59">
        <f>'Secondary cum Calculation'!M325</f>
        <v>99.741090058025492</v>
      </c>
      <c r="N331" s="59">
        <f>'Secondary cum Calculation'!N325</f>
        <v>81.830413484036725</v>
      </c>
      <c r="O331" s="59">
        <f>'Secondary cum Calculation'!O325</f>
        <v>105.33740296639597</v>
      </c>
      <c r="P331" s="59">
        <f>'Secondary cum Calculation'!P325</f>
        <v>108.12953300268218</v>
      </c>
      <c r="Q331" s="59"/>
      <c r="R331" s="59"/>
      <c r="S331" s="59"/>
      <c r="T331" s="59"/>
      <c r="U331" s="59"/>
      <c r="V331" s="59"/>
      <c r="W331" s="106">
        <f>'Secondary cum Calculation'!W325</f>
        <v>4.07655291629061E-2</v>
      </c>
      <c r="X331" s="106">
        <f>'Secondary cum Calculation'!X325</f>
        <v>-1</v>
      </c>
      <c r="Z331" s="12"/>
    </row>
    <row r="332" spans="1:26">
      <c r="A332" s="57"/>
      <c r="B332" s="57"/>
      <c r="C332" s="61" t="str">
        <f>'Secondary cum Calculation'!C326</f>
        <v>Growth Rate</v>
      </c>
      <c r="D332" s="61"/>
      <c r="E332" s="61"/>
      <c r="F332" s="61">
        <f>'Secondary cum Calculation'!F326</f>
        <v>0</v>
      </c>
      <c r="G332" s="61">
        <f>'Secondary cum Calculation'!G326</f>
        <v>0</v>
      </c>
      <c r="H332" s="61">
        <f>'Secondary cum Calculation'!H326</f>
        <v>0</v>
      </c>
      <c r="I332" s="61">
        <f>'Secondary cum Calculation'!I326</f>
        <v>0</v>
      </c>
      <c r="J332" s="61" t="str">
        <f>'Secondary cum Calculation'!J326</f>
        <v>%</v>
      </c>
      <c r="K332" s="58">
        <f>'Secondary cum Calculation'!K326</f>
        <v>0</v>
      </c>
      <c r="L332" s="59"/>
      <c r="M332" s="62">
        <f>'Secondary cum Calculation'!M326</f>
        <v>-0.19177418841724014</v>
      </c>
      <c r="N332" s="62">
        <f>'Secondary cum Calculation'!N326</f>
        <v>-0.17957169471046519</v>
      </c>
      <c r="O332" s="62">
        <f>'Secondary cum Calculation'!O326</f>
        <v>0.2872647036904552</v>
      </c>
      <c r="P332" s="62">
        <f>'Secondary cum Calculation'!P326</f>
        <v>2.6506539535410267E-2</v>
      </c>
      <c r="Q332" s="62"/>
      <c r="R332" s="62"/>
      <c r="S332" s="62"/>
      <c r="T332" s="62"/>
      <c r="U332" s="62"/>
      <c r="V332" s="62"/>
      <c r="W332" s="259"/>
      <c r="X332" s="259"/>
    </row>
    <row r="333" spans="1:26">
      <c r="A333" s="55" t="str">
        <f>'Secondary cum Calculation'!A327</f>
        <v>Poland</v>
      </c>
      <c r="B333" s="56" t="str">
        <f>'Secondary cum Calculation'!B327</f>
        <v>Tourism Flows</v>
      </c>
      <c r="C333" s="56" t="str">
        <f>'Secondary cum Calculation'!C327</f>
        <v>International Arrivals by Place of Origin</v>
      </c>
      <c r="D333" s="56" t="str">
        <f>'Secondary cum Calculation'!D327</f>
        <v>Asia-Pacific</v>
      </c>
      <c r="E333" s="55" t="str">
        <f>'Secondary cum Calculation'!E327</f>
        <v>Kazakhstan</v>
      </c>
      <c r="F333" s="57" t="str">
        <f>'Secondary cum Calculation'!F327</f>
        <v>The number of international arrivals to a country originating from Kazakhstan</v>
      </c>
      <c r="G333" s="57" t="str">
        <f>'Secondary cum Calculation'!G327</f>
        <v>Tourism Demand &amp; Flows Database</v>
      </c>
      <c r="H333" s="57" t="str">
        <f>'Secondary cum Calculation'!H327</f>
        <v>New</v>
      </c>
      <c r="I333" s="57">
        <f>'Secondary cum Calculation'!I327</f>
        <v>0</v>
      </c>
      <c r="J333" s="57" t="str">
        <f>'Secondary cum Calculation'!J327</f>
        <v>Thousand</v>
      </c>
      <c r="K333" s="58">
        <f>'Secondary cum Calculation'!K327</f>
        <v>0</v>
      </c>
      <c r="L333" s="59">
        <f>'Secondary cum Calculation'!L327</f>
        <v>0</v>
      </c>
      <c r="M333" s="59">
        <f>'Secondary cum Calculation'!M327</f>
        <v>0</v>
      </c>
      <c r="N333" s="59">
        <f>'Secondary cum Calculation'!N327</f>
        <v>0</v>
      </c>
      <c r="O333" s="88">
        <f>'Secondary cum Calculation'!O327</f>
        <v>0</v>
      </c>
      <c r="P333" s="59">
        <f>'Secondary cum Calculation'!P327</f>
        <v>0</v>
      </c>
      <c r="Q333" s="59"/>
      <c r="R333" s="59"/>
      <c r="S333" s="59"/>
      <c r="T333" s="59"/>
      <c r="U333" s="59"/>
      <c r="V333" s="59"/>
      <c r="W333" s="106" t="e">
        <f>'Secondary cum Calculation'!W327</f>
        <v>#DIV/0!</v>
      </c>
      <c r="X333" s="106" t="e">
        <f>'Secondary cum Calculation'!X327</f>
        <v>#DIV/0!</v>
      </c>
    </row>
    <row r="334" spans="1:26">
      <c r="A334" s="57"/>
      <c r="B334" s="57"/>
      <c r="C334" s="61" t="str">
        <f>'Secondary cum Calculation'!C328</f>
        <v>Growth Rate</v>
      </c>
      <c r="D334" s="61"/>
      <c r="E334" s="61"/>
      <c r="F334" s="61">
        <f>'Secondary cum Calculation'!F328</f>
        <v>0</v>
      </c>
      <c r="G334" s="61">
        <f>'Secondary cum Calculation'!G328</f>
        <v>0</v>
      </c>
      <c r="H334" s="61">
        <f>'Secondary cum Calculation'!H328</f>
        <v>0</v>
      </c>
      <c r="I334" s="61">
        <f>'Secondary cum Calculation'!I328</f>
        <v>0</v>
      </c>
      <c r="J334" s="61" t="str">
        <f>'Secondary cum Calculation'!J328</f>
        <v>%</v>
      </c>
      <c r="K334" s="58">
        <f>'Secondary cum Calculation'!K328</f>
        <v>0</v>
      </c>
      <c r="L334" s="59"/>
      <c r="M334" s="62" t="e">
        <f>'Secondary cum Calculation'!M328</f>
        <v>#DIV/0!</v>
      </c>
      <c r="N334" s="62" t="e">
        <f>'Secondary cum Calculation'!N328</f>
        <v>#DIV/0!</v>
      </c>
      <c r="O334" s="62" t="e">
        <f>'Secondary cum Calculation'!O328</f>
        <v>#DIV/0!</v>
      </c>
      <c r="P334" s="62" t="e">
        <f>'Secondary cum Calculation'!P328</f>
        <v>#DIV/0!</v>
      </c>
      <c r="Q334" s="62"/>
      <c r="R334" s="62"/>
      <c r="S334" s="62"/>
      <c r="T334" s="62"/>
      <c r="U334" s="62"/>
      <c r="V334" s="62"/>
      <c r="W334" s="259"/>
      <c r="X334" s="259"/>
    </row>
    <row r="335" spans="1:26">
      <c r="A335" s="55" t="str">
        <f>'Secondary cum Calculation'!A329</f>
        <v>Poland</v>
      </c>
      <c r="B335" s="56" t="str">
        <f>'Secondary cum Calculation'!B329</f>
        <v>Tourism Flows</v>
      </c>
      <c r="C335" s="56" t="str">
        <f>'Secondary cum Calculation'!C329</f>
        <v>International Arrivals by Place of Origin</v>
      </c>
      <c r="D335" s="56" t="str">
        <f>'Secondary cum Calculation'!D329</f>
        <v>Asia-Pacific</v>
      </c>
      <c r="E335" s="55" t="str">
        <f>'Secondary cum Calculation'!E329</f>
        <v>Kyrgyzstan</v>
      </c>
      <c r="F335" s="57" t="str">
        <f>'Secondary cum Calculation'!F329</f>
        <v>The number of international arrivals to a country originating from Kyrgyzstan</v>
      </c>
      <c r="G335" s="57" t="str">
        <f>'Secondary cum Calculation'!G329</f>
        <v>Tourism Demand &amp; Flows Database</v>
      </c>
      <c r="H335" s="57" t="str">
        <f>'Secondary cum Calculation'!H329</f>
        <v>New</v>
      </c>
      <c r="I335" s="57">
        <f>'Secondary cum Calculation'!I329</f>
        <v>0</v>
      </c>
      <c r="J335" s="57" t="str">
        <f>'Secondary cum Calculation'!J329</f>
        <v>Thousand</v>
      </c>
      <c r="K335" s="58">
        <f>'Secondary cum Calculation'!K329</f>
        <v>0</v>
      </c>
      <c r="L335" s="59">
        <f>'Secondary cum Calculation'!L329</f>
        <v>0</v>
      </c>
      <c r="M335" s="59">
        <f>'Secondary cum Calculation'!M329</f>
        <v>0</v>
      </c>
      <c r="N335" s="59">
        <f>'Secondary cum Calculation'!N329</f>
        <v>0</v>
      </c>
      <c r="O335" s="59">
        <f>'Secondary cum Calculation'!O329</f>
        <v>0</v>
      </c>
      <c r="P335" s="59">
        <f>'Secondary cum Calculation'!P329</f>
        <v>0</v>
      </c>
      <c r="Q335" s="59"/>
      <c r="R335" s="59"/>
      <c r="S335" s="59"/>
      <c r="T335" s="59"/>
      <c r="U335" s="59"/>
      <c r="V335" s="59"/>
      <c r="W335" s="106" t="e">
        <f>'Secondary cum Calculation'!W329</f>
        <v>#DIV/0!</v>
      </c>
      <c r="X335" s="106" t="e">
        <f>'Secondary cum Calculation'!X329</f>
        <v>#DIV/0!</v>
      </c>
    </row>
    <row r="336" spans="1:26">
      <c r="A336" s="57"/>
      <c r="B336" s="57"/>
      <c r="C336" s="61" t="str">
        <f>'Secondary cum Calculation'!C330</f>
        <v>Growth Rate</v>
      </c>
      <c r="D336" s="61"/>
      <c r="E336" s="61"/>
      <c r="F336" s="61">
        <f>'Secondary cum Calculation'!F330</f>
        <v>0</v>
      </c>
      <c r="G336" s="61">
        <f>'Secondary cum Calculation'!G330</f>
        <v>0</v>
      </c>
      <c r="H336" s="61">
        <f>'Secondary cum Calculation'!H330</f>
        <v>0</v>
      </c>
      <c r="I336" s="61">
        <f>'Secondary cum Calculation'!I330</f>
        <v>0</v>
      </c>
      <c r="J336" s="61" t="str">
        <f>'Secondary cum Calculation'!J330</f>
        <v>%</v>
      </c>
      <c r="K336" s="58">
        <f>'Secondary cum Calculation'!K330</f>
        <v>0</v>
      </c>
      <c r="L336" s="59"/>
      <c r="M336" s="62" t="e">
        <f>'Secondary cum Calculation'!M330</f>
        <v>#DIV/0!</v>
      </c>
      <c r="N336" s="62" t="e">
        <f>'Secondary cum Calculation'!N330</f>
        <v>#DIV/0!</v>
      </c>
      <c r="O336" s="62" t="e">
        <f>'Secondary cum Calculation'!O330</f>
        <v>#DIV/0!</v>
      </c>
      <c r="P336" s="62" t="e">
        <f>'Secondary cum Calculation'!P330</f>
        <v>#DIV/0!</v>
      </c>
      <c r="Q336" s="62"/>
      <c r="R336" s="62"/>
      <c r="S336" s="62"/>
      <c r="T336" s="62"/>
      <c r="U336" s="62"/>
      <c r="V336" s="62"/>
      <c r="W336" s="259"/>
      <c r="X336" s="259"/>
    </row>
    <row r="337" spans="1:24">
      <c r="A337" s="55" t="str">
        <f>'Secondary cum Calculation'!A331</f>
        <v>Poland</v>
      </c>
      <c r="B337" s="56" t="str">
        <f>'Secondary cum Calculation'!B331</f>
        <v>Tourism Flows</v>
      </c>
      <c r="C337" s="56" t="str">
        <f>'Secondary cum Calculation'!C331</f>
        <v>International Arrivals by Place of Origin</v>
      </c>
      <c r="D337" s="56" t="str">
        <f>'Secondary cum Calculation'!D331</f>
        <v>Asia-Pacific</v>
      </c>
      <c r="E337" s="55" t="str">
        <f>'Secondary cum Calculation'!E331</f>
        <v>Lao People's Dem. Republic</v>
      </c>
      <c r="F337" s="57" t="str">
        <f>'Secondary cum Calculation'!F331</f>
        <v>The number of international arrivals to a country originating from Lao People's Dem. Republic</v>
      </c>
      <c r="G337" s="57" t="str">
        <f>'Secondary cum Calculation'!G331</f>
        <v>Tourism Demand &amp; Flows Database</v>
      </c>
      <c r="H337" s="57" t="str">
        <f>'Secondary cum Calculation'!H331</f>
        <v>New</v>
      </c>
      <c r="I337" s="57">
        <f>'Secondary cum Calculation'!I331</f>
        <v>0</v>
      </c>
      <c r="J337" s="57" t="str">
        <f>'Secondary cum Calculation'!J331</f>
        <v>Thousand</v>
      </c>
      <c r="K337" s="58">
        <f>'Secondary cum Calculation'!K331</f>
        <v>0</v>
      </c>
      <c r="L337" s="59">
        <f>'Secondary cum Calculation'!L331</f>
        <v>0</v>
      </c>
      <c r="M337" s="59">
        <f>'Secondary cum Calculation'!M331</f>
        <v>0</v>
      </c>
      <c r="N337" s="59">
        <f>'Secondary cum Calculation'!N331</f>
        <v>0</v>
      </c>
      <c r="O337" s="59">
        <f>'Secondary cum Calculation'!O331</f>
        <v>0</v>
      </c>
      <c r="P337" s="59">
        <f>'Secondary cum Calculation'!P331</f>
        <v>0</v>
      </c>
      <c r="Q337" s="59"/>
      <c r="R337" s="59"/>
      <c r="S337" s="59"/>
      <c r="T337" s="59"/>
      <c r="U337" s="59"/>
      <c r="V337" s="59"/>
      <c r="W337" s="106" t="e">
        <f>'Secondary cum Calculation'!W331</f>
        <v>#DIV/0!</v>
      </c>
      <c r="X337" s="106" t="e">
        <f>'Secondary cum Calculation'!X331</f>
        <v>#DIV/0!</v>
      </c>
    </row>
    <row r="338" spans="1:24">
      <c r="A338" s="57"/>
      <c r="B338" s="57"/>
      <c r="C338" s="61" t="str">
        <f>'Secondary cum Calculation'!C332</f>
        <v>Growth Rate</v>
      </c>
      <c r="D338" s="61"/>
      <c r="E338" s="61"/>
      <c r="F338" s="61">
        <f>'Secondary cum Calculation'!F332</f>
        <v>0</v>
      </c>
      <c r="G338" s="61">
        <f>'Secondary cum Calculation'!G332</f>
        <v>0</v>
      </c>
      <c r="H338" s="61">
        <f>'Secondary cum Calculation'!H332</f>
        <v>0</v>
      </c>
      <c r="I338" s="61">
        <f>'Secondary cum Calculation'!I332</f>
        <v>0</v>
      </c>
      <c r="J338" s="61" t="str">
        <f>'Secondary cum Calculation'!J332</f>
        <v>%</v>
      </c>
      <c r="K338" s="58">
        <f>'Secondary cum Calculation'!K332</f>
        <v>0</v>
      </c>
      <c r="L338" s="59"/>
      <c r="M338" s="62" t="e">
        <f>'Secondary cum Calculation'!M332</f>
        <v>#DIV/0!</v>
      </c>
      <c r="N338" s="62" t="e">
        <f>'Secondary cum Calculation'!N332</f>
        <v>#DIV/0!</v>
      </c>
      <c r="O338" s="62" t="e">
        <f>'Secondary cum Calculation'!O332</f>
        <v>#DIV/0!</v>
      </c>
      <c r="P338" s="62" t="e">
        <f>'Secondary cum Calculation'!P332</f>
        <v>#DIV/0!</v>
      </c>
      <c r="Q338" s="62"/>
      <c r="R338" s="62"/>
      <c r="S338" s="62"/>
      <c r="T338" s="62"/>
      <c r="U338" s="62"/>
      <c r="V338" s="62"/>
      <c r="W338" s="259"/>
      <c r="X338" s="259"/>
    </row>
    <row r="339" spans="1:24">
      <c r="A339" s="55" t="str">
        <f>'Secondary cum Calculation'!A333</f>
        <v>Poland</v>
      </c>
      <c r="B339" s="56" t="str">
        <f>'Secondary cum Calculation'!B333</f>
        <v>Tourism Flows</v>
      </c>
      <c r="C339" s="56" t="str">
        <f>'Secondary cum Calculation'!C333</f>
        <v>International Arrivals by Place of Origin</v>
      </c>
      <c r="D339" s="56" t="str">
        <f>'Secondary cum Calculation'!D333</f>
        <v>Asia-Pacific</v>
      </c>
      <c r="E339" s="55" t="str">
        <f>'Secondary cum Calculation'!E333</f>
        <v>Malaysia</v>
      </c>
      <c r="F339" s="57" t="str">
        <f>'Secondary cum Calculation'!F333</f>
        <v>The number of international arrivals to a country originating from Malaysia</v>
      </c>
      <c r="G339" s="57" t="str">
        <f>'Secondary cum Calculation'!G333</f>
        <v>Tourism Demand &amp; Flows Database</v>
      </c>
      <c r="H339" s="57" t="str">
        <f>'Secondary cum Calculation'!H333</f>
        <v>New</v>
      </c>
      <c r="I339" s="57">
        <f>'Secondary cum Calculation'!I333</f>
        <v>0</v>
      </c>
      <c r="J339" s="57" t="str">
        <f>'Secondary cum Calculation'!J333</f>
        <v>Thousand</v>
      </c>
      <c r="K339" s="58">
        <f>'Secondary cum Calculation'!K333</f>
        <v>0</v>
      </c>
      <c r="L339" s="59">
        <f>'Secondary cum Calculation'!L333</f>
        <v>0</v>
      </c>
      <c r="M339" s="59">
        <f>'Secondary cum Calculation'!M333</f>
        <v>0</v>
      </c>
      <c r="N339" s="59">
        <f>'Secondary cum Calculation'!N333</f>
        <v>0</v>
      </c>
      <c r="O339" s="59">
        <f>'Secondary cum Calculation'!O333</f>
        <v>0</v>
      </c>
      <c r="P339" s="59">
        <f>'Secondary cum Calculation'!P333</f>
        <v>0</v>
      </c>
      <c r="Q339" s="59"/>
      <c r="R339" s="59"/>
      <c r="S339" s="59"/>
      <c r="T339" s="59"/>
      <c r="U339" s="59"/>
      <c r="V339" s="59"/>
      <c r="W339" s="106" t="e">
        <f>'Secondary cum Calculation'!W333</f>
        <v>#DIV/0!</v>
      </c>
      <c r="X339" s="106" t="e">
        <f>'Secondary cum Calculation'!X333</f>
        <v>#DIV/0!</v>
      </c>
    </row>
    <row r="340" spans="1:24">
      <c r="A340" s="57"/>
      <c r="B340" s="57"/>
      <c r="C340" s="61" t="str">
        <f>'Secondary cum Calculation'!C334</f>
        <v>Growth Rate</v>
      </c>
      <c r="D340" s="61"/>
      <c r="E340" s="61"/>
      <c r="F340" s="61">
        <f>'Secondary cum Calculation'!F334</f>
        <v>0</v>
      </c>
      <c r="G340" s="61">
        <f>'Secondary cum Calculation'!G334</f>
        <v>0</v>
      </c>
      <c r="H340" s="61">
        <f>'Secondary cum Calculation'!H334</f>
        <v>0</v>
      </c>
      <c r="I340" s="61">
        <f>'Secondary cum Calculation'!I334</f>
        <v>0</v>
      </c>
      <c r="J340" s="61" t="str">
        <f>'Secondary cum Calculation'!J334</f>
        <v>%</v>
      </c>
      <c r="K340" s="58">
        <f>'Secondary cum Calculation'!K334</f>
        <v>0</v>
      </c>
      <c r="L340" s="59"/>
      <c r="M340" s="62" t="e">
        <f>'Secondary cum Calculation'!M334</f>
        <v>#DIV/0!</v>
      </c>
      <c r="N340" s="62" t="e">
        <f>'Secondary cum Calculation'!N334</f>
        <v>#DIV/0!</v>
      </c>
      <c r="O340" s="62" t="e">
        <f>'Secondary cum Calculation'!O334</f>
        <v>#DIV/0!</v>
      </c>
      <c r="P340" s="62" t="e">
        <f>'Secondary cum Calculation'!P334</f>
        <v>#DIV/0!</v>
      </c>
      <c r="Q340" s="62"/>
      <c r="R340" s="62"/>
      <c r="S340" s="62"/>
      <c r="T340" s="62"/>
      <c r="U340" s="62"/>
      <c r="V340" s="62"/>
      <c r="W340" s="259"/>
      <c r="X340" s="259"/>
    </row>
    <row r="341" spans="1:24">
      <c r="A341" s="55" t="str">
        <f>'Secondary cum Calculation'!A335</f>
        <v>Poland</v>
      </c>
      <c r="B341" s="56" t="str">
        <f>'Secondary cum Calculation'!B335</f>
        <v>Tourism Flows</v>
      </c>
      <c r="C341" s="56" t="str">
        <f>'Secondary cum Calculation'!C335</f>
        <v>International Arrivals by Place of Origin</v>
      </c>
      <c r="D341" s="56" t="str">
        <f>'Secondary cum Calculation'!D335</f>
        <v>Asia-Pacific</v>
      </c>
      <c r="E341" s="55" t="str">
        <f>'Secondary cum Calculation'!E335</f>
        <v>Maldives</v>
      </c>
      <c r="F341" s="57" t="str">
        <f>'Secondary cum Calculation'!F335</f>
        <v>The number of international arrivals to a country originating from Maldives</v>
      </c>
      <c r="G341" s="57" t="str">
        <f>'Secondary cum Calculation'!G335</f>
        <v>Tourism Demand &amp; Flows Database</v>
      </c>
      <c r="H341" s="57" t="str">
        <f>'Secondary cum Calculation'!H335</f>
        <v>New</v>
      </c>
      <c r="I341" s="57">
        <f>'Secondary cum Calculation'!I335</f>
        <v>0</v>
      </c>
      <c r="J341" s="57" t="str">
        <f>'Secondary cum Calculation'!J335</f>
        <v>Thousand</v>
      </c>
      <c r="K341" s="58">
        <f>'Secondary cum Calculation'!K335</f>
        <v>0</v>
      </c>
      <c r="L341" s="59">
        <f>'Secondary cum Calculation'!L335</f>
        <v>0</v>
      </c>
      <c r="M341" s="59">
        <f>'Secondary cum Calculation'!M335</f>
        <v>0</v>
      </c>
      <c r="N341" s="59">
        <f>'Secondary cum Calculation'!N335</f>
        <v>0</v>
      </c>
      <c r="O341" s="59">
        <f>'Secondary cum Calculation'!O335</f>
        <v>0</v>
      </c>
      <c r="P341" s="59">
        <f>'Secondary cum Calculation'!P335</f>
        <v>0</v>
      </c>
      <c r="Q341" s="59"/>
      <c r="R341" s="59"/>
      <c r="S341" s="59"/>
      <c r="T341" s="59"/>
      <c r="U341" s="59"/>
      <c r="V341" s="59"/>
      <c r="W341" s="106" t="e">
        <f>'Secondary cum Calculation'!W335</f>
        <v>#DIV/0!</v>
      </c>
      <c r="X341" s="106" t="e">
        <f>'Secondary cum Calculation'!X335</f>
        <v>#DIV/0!</v>
      </c>
    </row>
    <row r="342" spans="1:24">
      <c r="A342" s="57"/>
      <c r="B342" s="57"/>
      <c r="C342" s="61" t="str">
        <f>'Secondary cum Calculation'!C336</f>
        <v>Growth Rate</v>
      </c>
      <c r="D342" s="61"/>
      <c r="E342" s="61"/>
      <c r="F342" s="61">
        <f>'Secondary cum Calculation'!F336</f>
        <v>0</v>
      </c>
      <c r="G342" s="61">
        <f>'Secondary cum Calculation'!G336</f>
        <v>0</v>
      </c>
      <c r="H342" s="61">
        <f>'Secondary cum Calculation'!H336</f>
        <v>0</v>
      </c>
      <c r="I342" s="61">
        <f>'Secondary cum Calculation'!I336</f>
        <v>0</v>
      </c>
      <c r="J342" s="61" t="str">
        <f>'Secondary cum Calculation'!J336</f>
        <v>%</v>
      </c>
      <c r="K342" s="58">
        <f>'Secondary cum Calculation'!K336</f>
        <v>0</v>
      </c>
      <c r="L342" s="59"/>
      <c r="M342" s="62" t="e">
        <f>'Secondary cum Calculation'!M336</f>
        <v>#DIV/0!</v>
      </c>
      <c r="N342" s="62" t="e">
        <f>'Secondary cum Calculation'!N336</f>
        <v>#DIV/0!</v>
      </c>
      <c r="O342" s="62" t="e">
        <f>'Secondary cum Calculation'!O336</f>
        <v>#DIV/0!</v>
      </c>
      <c r="P342" s="62" t="e">
        <f>'Secondary cum Calculation'!P336</f>
        <v>#DIV/0!</v>
      </c>
      <c r="Q342" s="62"/>
      <c r="R342" s="62"/>
      <c r="S342" s="62"/>
      <c r="T342" s="62"/>
      <c r="U342" s="62"/>
      <c r="V342" s="62"/>
      <c r="W342" s="259"/>
      <c r="X342" s="259"/>
    </row>
    <row r="343" spans="1:24">
      <c r="A343" s="55" t="str">
        <f>'Secondary cum Calculation'!A337</f>
        <v>Poland</v>
      </c>
      <c r="B343" s="56" t="str">
        <f>'Secondary cum Calculation'!B337</f>
        <v>Tourism Flows</v>
      </c>
      <c r="C343" s="56" t="str">
        <f>'Secondary cum Calculation'!C337</f>
        <v>International Arrivals by Place of Origin</v>
      </c>
      <c r="D343" s="56" t="str">
        <f>'Secondary cum Calculation'!D337</f>
        <v>Asia-Pacific</v>
      </c>
      <c r="E343" s="55" t="str">
        <f>'Secondary cum Calculation'!E337</f>
        <v>Mauritius</v>
      </c>
      <c r="F343" s="57" t="str">
        <f>'Secondary cum Calculation'!F337</f>
        <v>The number of international arrivals to a country originating from Mauritius</v>
      </c>
      <c r="G343" s="57" t="str">
        <f>'Secondary cum Calculation'!G337</f>
        <v>Tourism Demand &amp; Flows Database</v>
      </c>
      <c r="H343" s="57" t="str">
        <f>'Secondary cum Calculation'!H337</f>
        <v>New</v>
      </c>
      <c r="I343" s="57">
        <f>'Secondary cum Calculation'!I337</f>
        <v>0</v>
      </c>
      <c r="J343" s="57" t="str">
        <f>'Secondary cum Calculation'!J337</f>
        <v>Thousand</v>
      </c>
      <c r="K343" s="58">
        <f>'Secondary cum Calculation'!K337</f>
        <v>0</v>
      </c>
      <c r="L343" s="59">
        <f>'Secondary cum Calculation'!L337</f>
        <v>0</v>
      </c>
      <c r="M343" s="59">
        <f>'Secondary cum Calculation'!M337</f>
        <v>0</v>
      </c>
      <c r="N343" s="59">
        <f>'Secondary cum Calculation'!N337</f>
        <v>0</v>
      </c>
      <c r="O343" s="59">
        <f>'Secondary cum Calculation'!O337</f>
        <v>0</v>
      </c>
      <c r="P343" s="59">
        <f>'Secondary cum Calculation'!P337</f>
        <v>0</v>
      </c>
      <c r="Q343" s="59"/>
      <c r="R343" s="59"/>
      <c r="S343" s="59"/>
      <c r="T343" s="59"/>
      <c r="U343" s="59"/>
      <c r="V343" s="59"/>
      <c r="W343" s="106" t="e">
        <f>'Secondary cum Calculation'!W337</f>
        <v>#DIV/0!</v>
      </c>
      <c r="X343" s="106" t="e">
        <f>'Secondary cum Calculation'!X337</f>
        <v>#DIV/0!</v>
      </c>
    </row>
    <row r="344" spans="1:24">
      <c r="A344" s="57"/>
      <c r="B344" s="57"/>
      <c r="C344" s="61" t="str">
        <f>'Secondary cum Calculation'!C338</f>
        <v>Growth Rate</v>
      </c>
      <c r="D344" s="61"/>
      <c r="E344" s="61"/>
      <c r="F344" s="61">
        <f>'Secondary cum Calculation'!F338</f>
        <v>0</v>
      </c>
      <c r="G344" s="61">
        <f>'Secondary cum Calculation'!G338</f>
        <v>0</v>
      </c>
      <c r="H344" s="61">
        <f>'Secondary cum Calculation'!H338</f>
        <v>0</v>
      </c>
      <c r="I344" s="61">
        <f>'Secondary cum Calculation'!I338</f>
        <v>0</v>
      </c>
      <c r="J344" s="61" t="str">
        <f>'Secondary cum Calculation'!J338</f>
        <v>%</v>
      </c>
      <c r="K344" s="58">
        <f>'Secondary cum Calculation'!K338</f>
        <v>0</v>
      </c>
      <c r="L344" s="59"/>
      <c r="M344" s="62" t="e">
        <f>'Secondary cum Calculation'!M338</f>
        <v>#DIV/0!</v>
      </c>
      <c r="N344" s="62" t="e">
        <f>'Secondary cum Calculation'!N338</f>
        <v>#DIV/0!</v>
      </c>
      <c r="O344" s="62" t="e">
        <f>'Secondary cum Calculation'!O338</f>
        <v>#DIV/0!</v>
      </c>
      <c r="P344" s="62" t="e">
        <f>'Secondary cum Calculation'!P338</f>
        <v>#DIV/0!</v>
      </c>
      <c r="Q344" s="62"/>
      <c r="R344" s="62"/>
      <c r="S344" s="62"/>
      <c r="T344" s="62"/>
      <c r="U344" s="62"/>
      <c r="V344" s="62"/>
      <c r="W344" s="259"/>
      <c r="X344" s="259"/>
    </row>
    <row r="345" spans="1:24">
      <c r="A345" s="55" t="str">
        <f>'Secondary cum Calculation'!A339</f>
        <v>Poland</v>
      </c>
      <c r="B345" s="56" t="str">
        <f>'Secondary cum Calculation'!B339</f>
        <v>Tourism Flows</v>
      </c>
      <c r="C345" s="56" t="str">
        <f>'Secondary cum Calculation'!C339</f>
        <v>International Arrivals by Place of Origin</v>
      </c>
      <c r="D345" s="56" t="str">
        <f>'Secondary cum Calculation'!D339</f>
        <v>Asia-Pacific</v>
      </c>
      <c r="E345" s="55" t="str">
        <f>'Secondary cum Calculation'!E339</f>
        <v>Micronesia (Fed. States of)</v>
      </c>
      <c r="F345" s="57" t="str">
        <f>'Secondary cum Calculation'!F339</f>
        <v>The number of international arrivals to a country originating from Micronesia (Fed. States of)</v>
      </c>
      <c r="G345" s="57" t="str">
        <f>'Secondary cum Calculation'!G339</f>
        <v>Tourism Demand &amp; Flows Database</v>
      </c>
      <c r="H345" s="57" t="str">
        <f>'Secondary cum Calculation'!H339</f>
        <v>New</v>
      </c>
      <c r="I345" s="57">
        <f>'Secondary cum Calculation'!I339</f>
        <v>0</v>
      </c>
      <c r="J345" s="57" t="str">
        <f>'Secondary cum Calculation'!J339</f>
        <v>Thousand</v>
      </c>
      <c r="K345" s="58">
        <f>'Secondary cum Calculation'!K339</f>
        <v>0</v>
      </c>
      <c r="L345" s="59">
        <f>'Secondary cum Calculation'!L339</f>
        <v>0</v>
      </c>
      <c r="M345" s="59">
        <f>'Secondary cum Calculation'!M339</f>
        <v>0</v>
      </c>
      <c r="N345" s="59">
        <f>'Secondary cum Calculation'!N339</f>
        <v>0</v>
      </c>
      <c r="O345" s="59">
        <f>'Secondary cum Calculation'!O339</f>
        <v>0</v>
      </c>
      <c r="P345" s="59">
        <f>'Secondary cum Calculation'!P339</f>
        <v>0</v>
      </c>
      <c r="Q345" s="59"/>
      <c r="R345" s="59"/>
      <c r="S345" s="59"/>
      <c r="T345" s="59"/>
      <c r="U345" s="59"/>
      <c r="V345" s="59"/>
      <c r="W345" s="106" t="e">
        <f>'Secondary cum Calculation'!W339</f>
        <v>#DIV/0!</v>
      </c>
      <c r="X345" s="106" t="e">
        <f>'Secondary cum Calculation'!X339</f>
        <v>#DIV/0!</v>
      </c>
    </row>
    <row r="346" spans="1:24">
      <c r="A346" s="57"/>
      <c r="B346" s="57"/>
      <c r="C346" s="61" t="str">
        <f>'Secondary cum Calculation'!C340</f>
        <v>Growth Rate</v>
      </c>
      <c r="D346" s="61"/>
      <c r="E346" s="61"/>
      <c r="F346" s="61">
        <f>'Secondary cum Calculation'!F340</f>
        <v>0</v>
      </c>
      <c r="G346" s="61">
        <f>'Secondary cum Calculation'!G340</f>
        <v>0</v>
      </c>
      <c r="H346" s="61">
        <f>'Secondary cum Calculation'!H340</f>
        <v>0</v>
      </c>
      <c r="I346" s="61">
        <f>'Secondary cum Calculation'!I340</f>
        <v>0</v>
      </c>
      <c r="J346" s="61" t="str">
        <f>'Secondary cum Calculation'!J340</f>
        <v>%</v>
      </c>
      <c r="K346" s="58">
        <f>'Secondary cum Calculation'!K340</f>
        <v>0</v>
      </c>
      <c r="L346" s="59"/>
      <c r="M346" s="62" t="e">
        <f>'Secondary cum Calculation'!M340</f>
        <v>#DIV/0!</v>
      </c>
      <c r="N346" s="62" t="e">
        <f>'Secondary cum Calculation'!N340</f>
        <v>#DIV/0!</v>
      </c>
      <c r="O346" s="62" t="e">
        <f>'Secondary cum Calculation'!O340</f>
        <v>#DIV/0!</v>
      </c>
      <c r="P346" s="62" t="e">
        <f>'Secondary cum Calculation'!P340</f>
        <v>#DIV/0!</v>
      </c>
      <c r="Q346" s="62"/>
      <c r="R346" s="62"/>
      <c r="S346" s="62"/>
      <c r="T346" s="62"/>
      <c r="U346" s="62"/>
      <c r="V346" s="62"/>
      <c r="W346" s="259"/>
      <c r="X346" s="259"/>
    </row>
    <row r="347" spans="1:24">
      <c r="A347" s="55" t="str">
        <f>'Secondary cum Calculation'!A341</f>
        <v>Poland</v>
      </c>
      <c r="B347" s="56" t="str">
        <f>'Secondary cum Calculation'!B341</f>
        <v>Tourism Flows</v>
      </c>
      <c r="C347" s="56" t="str">
        <f>'Secondary cum Calculation'!C341</f>
        <v>International Arrivals by Place of Origin</v>
      </c>
      <c r="D347" s="56" t="str">
        <f>'Secondary cum Calculation'!D341</f>
        <v>Asia-Pacific</v>
      </c>
      <c r="E347" s="55" t="str">
        <f>'Secondary cum Calculation'!E341</f>
        <v>Mongolia</v>
      </c>
      <c r="F347" s="57" t="str">
        <f>'Secondary cum Calculation'!F341</f>
        <v>The number of international arrivals to a country originating from Mongolia</v>
      </c>
      <c r="G347" s="57" t="str">
        <f>'Secondary cum Calculation'!G341</f>
        <v>Tourism Demand &amp; Flows Database</v>
      </c>
      <c r="H347" s="57" t="str">
        <f>'Secondary cum Calculation'!H341</f>
        <v>New</v>
      </c>
      <c r="I347" s="57">
        <f>'Secondary cum Calculation'!I341</f>
        <v>0</v>
      </c>
      <c r="J347" s="57" t="str">
        <f>'Secondary cum Calculation'!J341</f>
        <v>Thousand</v>
      </c>
      <c r="K347" s="58">
        <f>'Secondary cum Calculation'!K341</f>
        <v>0</v>
      </c>
      <c r="L347" s="59">
        <f>'Secondary cum Calculation'!L341</f>
        <v>0</v>
      </c>
      <c r="M347" s="59">
        <f>'Secondary cum Calculation'!M341</f>
        <v>0</v>
      </c>
      <c r="N347" s="59">
        <f>'Secondary cum Calculation'!N341</f>
        <v>0</v>
      </c>
      <c r="O347" s="59">
        <f>'Secondary cum Calculation'!O341</f>
        <v>0</v>
      </c>
      <c r="P347" s="59">
        <f>'Secondary cum Calculation'!P341</f>
        <v>0</v>
      </c>
      <c r="Q347" s="59"/>
      <c r="R347" s="59"/>
      <c r="S347" s="59"/>
      <c r="T347" s="59"/>
      <c r="U347" s="59"/>
      <c r="V347" s="59"/>
      <c r="W347" s="106" t="e">
        <f>'Secondary cum Calculation'!W341</f>
        <v>#DIV/0!</v>
      </c>
      <c r="X347" s="106" t="e">
        <f>'Secondary cum Calculation'!X341</f>
        <v>#DIV/0!</v>
      </c>
    </row>
    <row r="348" spans="1:24">
      <c r="A348" s="57"/>
      <c r="B348" s="57"/>
      <c r="C348" s="61" t="str">
        <f>'Secondary cum Calculation'!C342</f>
        <v>Growth Rate</v>
      </c>
      <c r="D348" s="61"/>
      <c r="E348" s="61"/>
      <c r="F348" s="61">
        <f>'Secondary cum Calculation'!F342</f>
        <v>0</v>
      </c>
      <c r="G348" s="61">
        <f>'Secondary cum Calculation'!G342</f>
        <v>0</v>
      </c>
      <c r="H348" s="61">
        <f>'Secondary cum Calculation'!H342</f>
        <v>0</v>
      </c>
      <c r="I348" s="61">
        <f>'Secondary cum Calculation'!I342</f>
        <v>0</v>
      </c>
      <c r="J348" s="61" t="str">
        <f>'Secondary cum Calculation'!J342</f>
        <v>%</v>
      </c>
      <c r="K348" s="58">
        <f>'Secondary cum Calculation'!K342</f>
        <v>0</v>
      </c>
      <c r="L348" s="59"/>
      <c r="M348" s="62" t="e">
        <f>'Secondary cum Calculation'!M342</f>
        <v>#DIV/0!</v>
      </c>
      <c r="N348" s="62" t="e">
        <f>'Secondary cum Calculation'!N342</f>
        <v>#DIV/0!</v>
      </c>
      <c r="O348" s="62" t="e">
        <f>'Secondary cum Calculation'!O342</f>
        <v>#DIV/0!</v>
      </c>
      <c r="P348" s="62" t="e">
        <f>'Secondary cum Calculation'!P342</f>
        <v>#DIV/0!</v>
      </c>
      <c r="Q348" s="62"/>
      <c r="R348" s="62"/>
      <c r="S348" s="62"/>
      <c r="T348" s="62"/>
      <c r="U348" s="62"/>
      <c r="V348" s="62"/>
      <c r="W348" s="259"/>
      <c r="X348" s="259"/>
    </row>
    <row r="349" spans="1:24">
      <c r="A349" s="55" t="str">
        <f>'Secondary cum Calculation'!A343</f>
        <v>Poland</v>
      </c>
      <c r="B349" s="56" t="str">
        <f>'Secondary cum Calculation'!B343</f>
        <v>Tourism Flows</v>
      </c>
      <c r="C349" s="56" t="str">
        <f>'Secondary cum Calculation'!C343</f>
        <v>International Arrivals by Place of Origin</v>
      </c>
      <c r="D349" s="56" t="str">
        <f>'Secondary cum Calculation'!D343</f>
        <v>Asia-Pacific</v>
      </c>
      <c r="E349" s="55" t="str">
        <f>'Secondary cum Calculation'!E343</f>
        <v>Myanmar</v>
      </c>
      <c r="F349" s="57" t="str">
        <f>'Secondary cum Calculation'!F343</f>
        <v>The number of international arrivals to a country originating from Myanmar</v>
      </c>
      <c r="G349" s="57" t="str">
        <f>'Secondary cum Calculation'!G343</f>
        <v>Tourism Demand &amp; Flows Database</v>
      </c>
      <c r="H349" s="57" t="str">
        <f>'Secondary cum Calculation'!H343</f>
        <v>New</v>
      </c>
      <c r="I349" s="57">
        <f>'Secondary cum Calculation'!I343</f>
        <v>0</v>
      </c>
      <c r="J349" s="57" t="str">
        <f>'Secondary cum Calculation'!J343</f>
        <v>Thousand</v>
      </c>
      <c r="K349" s="58">
        <f>'Secondary cum Calculation'!K343</f>
        <v>0</v>
      </c>
      <c r="L349" s="59">
        <f>'Secondary cum Calculation'!L343</f>
        <v>0</v>
      </c>
      <c r="M349" s="59">
        <f>'Secondary cum Calculation'!M343</f>
        <v>0</v>
      </c>
      <c r="N349" s="59">
        <f>'Secondary cum Calculation'!N343</f>
        <v>0</v>
      </c>
      <c r="O349" s="59">
        <f>'Secondary cum Calculation'!O343</f>
        <v>0</v>
      </c>
      <c r="P349" s="59">
        <f>'Secondary cum Calculation'!P343</f>
        <v>0</v>
      </c>
      <c r="Q349" s="59"/>
      <c r="R349" s="59"/>
      <c r="S349" s="59"/>
      <c r="T349" s="59"/>
      <c r="U349" s="59"/>
      <c r="V349" s="59"/>
      <c r="W349" s="106" t="e">
        <f>'Secondary cum Calculation'!W343</f>
        <v>#DIV/0!</v>
      </c>
      <c r="X349" s="106" t="e">
        <f>'Secondary cum Calculation'!X343</f>
        <v>#DIV/0!</v>
      </c>
    </row>
    <row r="350" spans="1:24">
      <c r="A350" s="57"/>
      <c r="B350" s="57"/>
      <c r="C350" s="61" t="str">
        <f>'Secondary cum Calculation'!C344</f>
        <v>Growth Rate</v>
      </c>
      <c r="D350" s="61"/>
      <c r="E350" s="61"/>
      <c r="F350" s="61">
        <f>'Secondary cum Calculation'!F344</f>
        <v>0</v>
      </c>
      <c r="G350" s="61">
        <f>'Secondary cum Calculation'!G344</f>
        <v>0</v>
      </c>
      <c r="H350" s="61">
        <f>'Secondary cum Calculation'!H344</f>
        <v>0</v>
      </c>
      <c r="I350" s="61">
        <f>'Secondary cum Calculation'!I344</f>
        <v>0</v>
      </c>
      <c r="J350" s="61" t="str">
        <f>'Secondary cum Calculation'!J344</f>
        <v>%</v>
      </c>
      <c r="K350" s="58">
        <f>'Secondary cum Calculation'!K344</f>
        <v>0</v>
      </c>
      <c r="L350" s="59"/>
      <c r="M350" s="62" t="e">
        <f>'Secondary cum Calculation'!M344</f>
        <v>#DIV/0!</v>
      </c>
      <c r="N350" s="62" t="e">
        <f>'Secondary cum Calculation'!N344</f>
        <v>#DIV/0!</v>
      </c>
      <c r="O350" s="62" t="e">
        <f>'Secondary cum Calculation'!O344</f>
        <v>#DIV/0!</v>
      </c>
      <c r="P350" s="62" t="e">
        <f>'Secondary cum Calculation'!P344</f>
        <v>#DIV/0!</v>
      </c>
      <c r="Q350" s="62"/>
      <c r="R350" s="62"/>
      <c r="S350" s="62"/>
      <c r="T350" s="62"/>
      <c r="U350" s="62"/>
      <c r="V350" s="62"/>
      <c r="W350" s="259"/>
      <c r="X350" s="259"/>
    </row>
    <row r="351" spans="1:24">
      <c r="A351" s="55" t="str">
        <f>'Secondary cum Calculation'!A345</f>
        <v>Poland</v>
      </c>
      <c r="B351" s="56" t="str">
        <f>'Secondary cum Calculation'!B345</f>
        <v>Tourism Flows</v>
      </c>
      <c r="C351" s="56" t="str">
        <f>'Secondary cum Calculation'!C345</f>
        <v>International Arrivals by Place of Origin</v>
      </c>
      <c r="D351" s="56" t="str">
        <f>'Secondary cum Calculation'!D345</f>
        <v>Asia-Pacific</v>
      </c>
      <c r="E351" s="55" t="str">
        <f>'Secondary cum Calculation'!E345</f>
        <v>Nepal</v>
      </c>
      <c r="F351" s="57" t="str">
        <f>'Secondary cum Calculation'!F345</f>
        <v>The number of international arrivals to a country originating from Nepal</v>
      </c>
      <c r="G351" s="57" t="str">
        <f>'Secondary cum Calculation'!G345</f>
        <v>Tourism Demand &amp; Flows Database</v>
      </c>
      <c r="H351" s="57" t="str">
        <f>'Secondary cum Calculation'!H345</f>
        <v>New</v>
      </c>
      <c r="I351" s="57">
        <f>'Secondary cum Calculation'!I345</f>
        <v>0</v>
      </c>
      <c r="J351" s="57" t="str">
        <f>'Secondary cum Calculation'!J345</f>
        <v>Thousand</v>
      </c>
      <c r="K351" s="58">
        <f>'Secondary cum Calculation'!K345</f>
        <v>0</v>
      </c>
      <c r="L351" s="59">
        <f>'Secondary cum Calculation'!L345</f>
        <v>0</v>
      </c>
      <c r="M351" s="59">
        <f>'Secondary cum Calculation'!M345</f>
        <v>0</v>
      </c>
      <c r="N351" s="59">
        <f>'Secondary cum Calculation'!N345</f>
        <v>0</v>
      </c>
      <c r="O351" s="59">
        <f>'Secondary cum Calculation'!O345</f>
        <v>0</v>
      </c>
      <c r="P351" s="59">
        <f>'Secondary cum Calculation'!P345</f>
        <v>0</v>
      </c>
      <c r="Q351" s="59"/>
      <c r="R351" s="59"/>
      <c r="S351" s="59"/>
      <c r="T351" s="59"/>
      <c r="U351" s="59"/>
      <c r="V351" s="59"/>
      <c r="W351" s="106" t="e">
        <f>'Secondary cum Calculation'!W345</f>
        <v>#DIV/0!</v>
      </c>
      <c r="X351" s="106" t="e">
        <f>'Secondary cum Calculation'!X345</f>
        <v>#DIV/0!</v>
      </c>
    </row>
    <row r="352" spans="1:24">
      <c r="A352" s="57"/>
      <c r="B352" s="57"/>
      <c r="C352" s="61" t="str">
        <f>'Secondary cum Calculation'!C346</f>
        <v>Growth Rate</v>
      </c>
      <c r="D352" s="61"/>
      <c r="E352" s="61"/>
      <c r="F352" s="61">
        <f>'Secondary cum Calculation'!F346</f>
        <v>0</v>
      </c>
      <c r="G352" s="61">
        <f>'Secondary cum Calculation'!G346</f>
        <v>0</v>
      </c>
      <c r="H352" s="61">
        <f>'Secondary cum Calculation'!H346</f>
        <v>0</v>
      </c>
      <c r="I352" s="61">
        <f>'Secondary cum Calculation'!I346</f>
        <v>0</v>
      </c>
      <c r="J352" s="61" t="str">
        <f>'Secondary cum Calculation'!J346</f>
        <v>%</v>
      </c>
      <c r="K352" s="58">
        <f>'Secondary cum Calculation'!K346</f>
        <v>0</v>
      </c>
      <c r="L352" s="59"/>
      <c r="M352" s="62" t="e">
        <f>'Secondary cum Calculation'!M346</f>
        <v>#DIV/0!</v>
      </c>
      <c r="N352" s="62" t="e">
        <f>'Secondary cum Calculation'!N346</f>
        <v>#DIV/0!</v>
      </c>
      <c r="O352" s="62" t="e">
        <f>'Secondary cum Calculation'!O346</f>
        <v>#DIV/0!</v>
      </c>
      <c r="P352" s="62" t="e">
        <f>'Secondary cum Calculation'!P346</f>
        <v>#DIV/0!</v>
      </c>
      <c r="Q352" s="62"/>
      <c r="R352" s="62"/>
      <c r="S352" s="62"/>
      <c r="T352" s="62"/>
      <c r="U352" s="62"/>
      <c r="V352" s="62"/>
      <c r="W352" s="259"/>
      <c r="X352" s="259"/>
    </row>
    <row r="353" spans="1:26">
      <c r="A353" s="55" t="str">
        <f>'Secondary cum Calculation'!A347</f>
        <v>Poland</v>
      </c>
      <c r="B353" s="56" t="str">
        <f>'Secondary cum Calculation'!B347</f>
        <v>Tourism Flows</v>
      </c>
      <c r="C353" s="56" t="str">
        <f>'Secondary cum Calculation'!C347</f>
        <v>International Arrivals by Place of Origin</v>
      </c>
      <c r="D353" s="56" t="str">
        <f>'Secondary cum Calculation'!D347</f>
        <v>Asia-Pacific</v>
      </c>
      <c r="E353" s="55" t="str">
        <f>'Secondary cum Calculation'!E347</f>
        <v>New Caledonia</v>
      </c>
      <c r="F353" s="57" t="str">
        <f>'Secondary cum Calculation'!F347</f>
        <v>The number of international arrivals to a country originating from New Caledonia</v>
      </c>
      <c r="G353" s="57" t="str">
        <f>'Secondary cum Calculation'!G347</f>
        <v>Tourism Demand &amp; Flows Database</v>
      </c>
      <c r="H353" s="57" t="str">
        <f>'Secondary cum Calculation'!H347</f>
        <v>New</v>
      </c>
      <c r="I353" s="57">
        <f>'Secondary cum Calculation'!I347</f>
        <v>0</v>
      </c>
      <c r="J353" s="57" t="str">
        <f>'Secondary cum Calculation'!J347</f>
        <v>Thousand</v>
      </c>
      <c r="K353" s="58">
        <f>'Secondary cum Calculation'!K347</f>
        <v>0</v>
      </c>
      <c r="L353" s="59">
        <f>'Secondary cum Calculation'!L347</f>
        <v>0</v>
      </c>
      <c r="M353" s="59">
        <f>'Secondary cum Calculation'!M347</f>
        <v>0</v>
      </c>
      <c r="N353" s="59">
        <f>'Secondary cum Calculation'!N347</f>
        <v>0</v>
      </c>
      <c r="O353" s="59">
        <f>'Secondary cum Calculation'!O347</f>
        <v>0</v>
      </c>
      <c r="P353" s="59">
        <f>'Secondary cum Calculation'!P347</f>
        <v>0</v>
      </c>
      <c r="Q353" s="59"/>
      <c r="R353" s="59"/>
      <c r="S353" s="59"/>
      <c r="T353" s="59"/>
      <c r="U353" s="59"/>
      <c r="V353" s="59"/>
      <c r="W353" s="106" t="e">
        <f>'Secondary cum Calculation'!W347</f>
        <v>#DIV/0!</v>
      </c>
      <c r="X353" s="106" t="e">
        <f>'Secondary cum Calculation'!X347</f>
        <v>#DIV/0!</v>
      </c>
    </row>
    <row r="354" spans="1:26">
      <c r="A354" s="57"/>
      <c r="B354" s="57"/>
      <c r="C354" s="61" t="str">
        <f>'Secondary cum Calculation'!C348</f>
        <v>Growth Rate</v>
      </c>
      <c r="D354" s="61"/>
      <c r="E354" s="61"/>
      <c r="F354" s="61">
        <f>'Secondary cum Calculation'!F348</f>
        <v>0</v>
      </c>
      <c r="G354" s="61">
        <f>'Secondary cum Calculation'!G348</f>
        <v>0</v>
      </c>
      <c r="H354" s="61">
        <f>'Secondary cum Calculation'!H348</f>
        <v>0</v>
      </c>
      <c r="I354" s="61">
        <f>'Secondary cum Calculation'!I348</f>
        <v>0</v>
      </c>
      <c r="J354" s="61" t="str">
        <f>'Secondary cum Calculation'!J348</f>
        <v>%</v>
      </c>
      <c r="K354" s="58">
        <f>'Secondary cum Calculation'!K348</f>
        <v>0</v>
      </c>
      <c r="L354" s="59"/>
      <c r="M354" s="62" t="e">
        <f>'Secondary cum Calculation'!M348</f>
        <v>#DIV/0!</v>
      </c>
      <c r="N354" s="62" t="e">
        <f>'Secondary cum Calculation'!N348</f>
        <v>#DIV/0!</v>
      </c>
      <c r="O354" s="62" t="e">
        <f>'Secondary cum Calculation'!O348</f>
        <v>#DIV/0!</v>
      </c>
      <c r="P354" s="62" t="e">
        <f>'Secondary cum Calculation'!P348</f>
        <v>#DIV/0!</v>
      </c>
      <c r="Q354" s="62"/>
      <c r="R354" s="62"/>
      <c r="S354" s="62"/>
      <c r="T354" s="62"/>
      <c r="U354" s="62"/>
      <c r="V354" s="62"/>
      <c r="W354" s="259"/>
      <c r="X354" s="259"/>
    </row>
    <row r="355" spans="1:26">
      <c r="A355" s="55" t="str">
        <f>'Secondary cum Calculation'!A349</f>
        <v>Poland</v>
      </c>
      <c r="B355" s="56" t="str">
        <f>'Secondary cum Calculation'!B349</f>
        <v>Tourism Flows</v>
      </c>
      <c r="C355" s="56" t="str">
        <f>'Secondary cum Calculation'!C349</f>
        <v>International Arrivals by Place of Origin</v>
      </c>
      <c r="D355" s="56" t="str">
        <f>'Secondary cum Calculation'!D349</f>
        <v>Asia-Pacific</v>
      </c>
      <c r="E355" s="55" t="str">
        <f>'Secondary cum Calculation'!E349</f>
        <v>New Zealand</v>
      </c>
      <c r="F355" s="57" t="str">
        <f>'Secondary cum Calculation'!F349</f>
        <v>The number of international arrivals to a country originating from New Zealand</v>
      </c>
      <c r="G355" s="57" t="str">
        <f>'Secondary cum Calculation'!G349</f>
        <v>Tourism Demand &amp; Flows Database</v>
      </c>
      <c r="H355" s="57" t="str">
        <f>'Secondary cum Calculation'!H349</f>
        <v>New</v>
      </c>
      <c r="I355" s="57">
        <f>'Secondary cum Calculation'!I349</f>
        <v>0</v>
      </c>
      <c r="J355" s="57" t="str">
        <f>'Secondary cum Calculation'!J349</f>
        <v>Thousand</v>
      </c>
      <c r="K355" s="58">
        <f>'Secondary cum Calculation'!K349</f>
        <v>138.48599999999999</v>
      </c>
      <c r="L355" s="59">
        <f>'Secondary cum Calculation'!L349</f>
        <v>0</v>
      </c>
      <c r="M355" s="59">
        <f>'Secondary cum Calculation'!M349</f>
        <v>0</v>
      </c>
      <c r="N355" s="59">
        <f>'Secondary cum Calculation'!N349</f>
        <v>0</v>
      </c>
      <c r="O355" s="59">
        <f>'Secondary cum Calculation'!O349</f>
        <v>0</v>
      </c>
      <c r="P355" s="59">
        <f>'Secondary cum Calculation'!P349</f>
        <v>0</v>
      </c>
      <c r="Q355" s="59"/>
      <c r="R355" s="59"/>
      <c r="S355" s="59"/>
      <c r="T355" s="59"/>
      <c r="U355" s="59"/>
      <c r="V355" s="59"/>
      <c r="W355" s="106" t="e">
        <f>'Secondary cum Calculation'!W349</f>
        <v>#DIV/0!</v>
      </c>
      <c r="X355" s="106" t="e">
        <f>'Secondary cum Calculation'!X349</f>
        <v>#DIV/0!</v>
      </c>
      <c r="Z355" s="12"/>
    </row>
    <row r="356" spans="1:26">
      <c r="A356" s="57"/>
      <c r="B356" s="57"/>
      <c r="C356" s="61" t="str">
        <f>'Secondary cum Calculation'!C350</f>
        <v>Growth Rate</v>
      </c>
      <c r="D356" s="61"/>
      <c r="E356" s="61"/>
      <c r="F356" s="61">
        <f>'Secondary cum Calculation'!F350</f>
        <v>0</v>
      </c>
      <c r="G356" s="61">
        <f>'Secondary cum Calculation'!G350</f>
        <v>0</v>
      </c>
      <c r="H356" s="61">
        <f>'Secondary cum Calculation'!H350</f>
        <v>0</v>
      </c>
      <c r="I356" s="61">
        <f>'Secondary cum Calculation'!I350</f>
        <v>0</v>
      </c>
      <c r="J356" s="61" t="str">
        <f>'Secondary cum Calculation'!J350</f>
        <v>%</v>
      </c>
      <c r="K356" s="58">
        <f>'Secondary cum Calculation'!K350</f>
        <v>0</v>
      </c>
      <c r="L356" s="59"/>
      <c r="M356" s="62" t="e">
        <f>'Secondary cum Calculation'!M350</f>
        <v>#DIV/0!</v>
      </c>
      <c r="N356" s="62" t="e">
        <f>'Secondary cum Calculation'!N350</f>
        <v>#DIV/0!</v>
      </c>
      <c r="O356" s="62" t="e">
        <f>'Secondary cum Calculation'!O350</f>
        <v>#DIV/0!</v>
      </c>
      <c r="P356" s="62" t="e">
        <f>'Secondary cum Calculation'!P350</f>
        <v>#DIV/0!</v>
      </c>
      <c r="Q356" s="62"/>
      <c r="R356" s="62"/>
      <c r="S356" s="62"/>
      <c r="T356" s="62"/>
      <c r="U356" s="62"/>
      <c r="V356" s="62"/>
      <c r="W356" s="259"/>
      <c r="X356" s="259"/>
    </row>
    <row r="357" spans="1:26">
      <c r="A357" s="55" t="str">
        <f>'Secondary cum Calculation'!A351</f>
        <v>Poland</v>
      </c>
      <c r="B357" s="56" t="str">
        <f>'Secondary cum Calculation'!B351</f>
        <v>Tourism Flows</v>
      </c>
      <c r="C357" s="56" t="str">
        <f>'Secondary cum Calculation'!C351</f>
        <v>International Arrivals by Place of Origin</v>
      </c>
      <c r="D357" s="56" t="str">
        <f>'Secondary cum Calculation'!D351</f>
        <v>Asia-Pacific</v>
      </c>
      <c r="E357" s="55" t="str">
        <f>'Secondary cum Calculation'!E351</f>
        <v>Pakistan</v>
      </c>
      <c r="F357" s="57" t="str">
        <f>'Secondary cum Calculation'!F351</f>
        <v>The number of international arrivals to a country originating from Pakistan</v>
      </c>
      <c r="G357" s="57" t="str">
        <f>'Secondary cum Calculation'!G351</f>
        <v>Tourism Demand &amp; Flows Database</v>
      </c>
      <c r="H357" s="57" t="str">
        <f>'Secondary cum Calculation'!H351</f>
        <v>New</v>
      </c>
      <c r="I357" s="57">
        <f>'Secondary cum Calculation'!I351</f>
        <v>0</v>
      </c>
      <c r="J357" s="57" t="str">
        <f>'Secondary cum Calculation'!J351</f>
        <v>Thousand</v>
      </c>
      <c r="K357" s="58">
        <f>'Secondary cum Calculation'!K351</f>
        <v>0</v>
      </c>
      <c r="L357" s="59">
        <f>'Secondary cum Calculation'!L351</f>
        <v>0</v>
      </c>
      <c r="M357" s="59">
        <f>'Secondary cum Calculation'!M351</f>
        <v>0</v>
      </c>
      <c r="N357" s="59">
        <f>'Secondary cum Calculation'!N351</f>
        <v>0</v>
      </c>
      <c r="O357" s="88">
        <f>'Secondary cum Calculation'!O351</f>
        <v>0</v>
      </c>
      <c r="P357" s="59">
        <f>'Secondary cum Calculation'!P351</f>
        <v>0</v>
      </c>
      <c r="Q357" s="59"/>
      <c r="R357" s="59"/>
      <c r="S357" s="59"/>
      <c r="T357" s="59"/>
      <c r="U357" s="59"/>
      <c r="V357" s="59"/>
      <c r="W357" s="106" t="e">
        <f>'Secondary cum Calculation'!W351</f>
        <v>#DIV/0!</v>
      </c>
      <c r="X357" s="106" t="e">
        <f>'Secondary cum Calculation'!X351</f>
        <v>#DIV/0!</v>
      </c>
    </row>
    <row r="358" spans="1:26">
      <c r="A358" s="57"/>
      <c r="B358" s="57"/>
      <c r="C358" s="61" t="str">
        <f>'Secondary cum Calculation'!C352</f>
        <v>Growth Rate</v>
      </c>
      <c r="D358" s="61"/>
      <c r="E358" s="61"/>
      <c r="F358" s="61">
        <f>'Secondary cum Calculation'!F352</f>
        <v>0</v>
      </c>
      <c r="G358" s="61">
        <f>'Secondary cum Calculation'!G352</f>
        <v>0</v>
      </c>
      <c r="H358" s="61">
        <f>'Secondary cum Calculation'!H352</f>
        <v>0</v>
      </c>
      <c r="I358" s="61">
        <f>'Secondary cum Calculation'!I352</f>
        <v>0</v>
      </c>
      <c r="J358" s="61" t="str">
        <f>'Secondary cum Calculation'!J352</f>
        <v>%</v>
      </c>
      <c r="K358" s="58">
        <f>'Secondary cum Calculation'!K352</f>
        <v>0</v>
      </c>
      <c r="L358" s="59"/>
      <c r="M358" s="62" t="e">
        <f>'Secondary cum Calculation'!M352</f>
        <v>#DIV/0!</v>
      </c>
      <c r="N358" s="62" t="e">
        <f>'Secondary cum Calculation'!N352</f>
        <v>#DIV/0!</v>
      </c>
      <c r="O358" s="62" t="e">
        <f>'Secondary cum Calculation'!O352</f>
        <v>#DIV/0!</v>
      </c>
      <c r="P358" s="62" t="e">
        <f>'Secondary cum Calculation'!P352</f>
        <v>#DIV/0!</v>
      </c>
      <c r="Q358" s="62"/>
      <c r="R358" s="62"/>
      <c r="S358" s="62"/>
      <c r="T358" s="62"/>
      <c r="U358" s="62"/>
      <c r="V358" s="62"/>
      <c r="W358" s="259"/>
      <c r="X358" s="259"/>
    </row>
    <row r="359" spans="1:26">
      <c r="A359" s="55" t="str">
        <f>'Secondary cum Calculation'!A353</f>
        <v>Poland</v>
      </c>
      <c r="B359" s="56" t="str">
        <f>'Secondary cum Calculation'!B353</f>
        <v>Tourism Flows</v>
      </c>
      <c r="C359" s="56" t="str">
        <f>'Secondary cum Calculation'!C353</f>
        <v>International Arrivals by Place of Origin</v>
      </c>
      <c r="D359" s="56" t="str">
        <f>'Secondary cum Calculation'!D353</f>
        <v>Asia-Pacific</v>
      </c>
      <c r="E359" s="55" t="str">
        <f>'Secondary cum Calculation'!E353</f>
        <v>Papua New Guinea</v>
      </c>
      <c r="F359" s="57" t="str">
        <f>'Secondary cum Calculation'!F353</f>
        <v>The number of international arrivals to a country originating from Papua New Guinea</v>
      </c>
      <c r="G359" s="57" t="str">
        <f>'Secondary cum Calculation'!G353</f>
        <v>Tourism Demand &amp; Flows Database</v>
      </c>
      <c r="H359" s="57" t="str">
        <f>'Secondary cum Calculation'!H353</f>
        <v>New</v>
      </c>
      <c r="I359" s="57">
        <f>'Secondary cum Calculation'!I353</f>
        <v>0</v>
      </c>
      <c r="J359" s="57" t="str">
        <f>'Secondary cum Calculation'!J353</f>
        <v>Thousand</v>
      </c>
      <c r="K359" s="58">
        <f>'Secondary cum Calculation'!K353</f>
        <v>0</v>
      </c>
      <c r="L359" s="59">
        <f>'Secondary cum Calculation'!L353</f>
        <v>0</v>
      </c>
      <c r="M359" s="59">
        <f>'Secondary cum Calculation'!M353</f>
        <v>0</v>
      </c>
      <c r="N359" s="59">
        <f>'Secondary cum Calculation'!N353</f>
        <v>0</v>
      </c>
      <c r="O359" s="88">
        <f>'Secondary cum Calculation'!O353</f>
        <v>0</v>
      </c>
      <c r="P359" s="59">
        <f>'Secondary cum Calculation'!P353</f>
        <v>0</v>
      </c>
      <c r="Q359" s="59"/>
      <c r="R359" s="59"/>
      <c r="S359" s="59"/>
      <c r="T359" s="59"/>
      <c r="U359" s="59"/>
      <c r="V359" s="59"/>
      <c r="W359" s="106" t="e">
        <f>'Secondary cum Calculation'!W353</f>
        <v>#DIV/0!</v>
      </c>
      <c r="X359" s="106" t="e">
        <f>'Secondary cum Calculation'!X353</f>
        <v>#DIV/0!</v>
      </c>
    </row>
    <row r="360" spans="1:26">
      <c r="A360" s="57"/>
      <c r="B360" s="57"/>
      <c r="C360" s="61" t="str">
        <f>'Secondary cum Calculation'!C354</f>
        <v>Growth Rate</v>
      </c>
      <c r="D360" s="61"/>
      <c r="E360" s="61"/>
      <c r="F360" s="61">
        <f>'Secondary cum Calculation'!F354</f>
        <v>0</v>
      </c>
      <c r="G360" s="61">
        <f>'Secondary cum Calculation'!G354</f>
        <v>0</v>
      </c>
      <c r="H360" s="61">
        <f>'Secondary cum Calculation'!H354</f>
        <v>0</v>
      </c>
      <c r="I360" s="61">
        <f>'Secondary cum Calculation'!I354</f>
        <v>0</v>
      </c>
      <c r="J360" s="61" t="str">
        <f>'Secondary cum Calculation'!J354</f>
        <v>%</v>
      </c>
      <c r="K360" s="58">
        <f>'Secondary cum Calculation'!K354</f>
        <v>0</v>
      </c>
      <c r="L360" s="59"/>
      <c r="M360" s="62" t="e">
        <f>'Secondary cum Calculation'!M354</f>
        <v>#DIV/0!</v>
      </c>
      <c r="N360" s="62" t="e">
        <f>'Secondary cum Calculation'!N354</f>
        <v>#DIV/0!</v>
      </c>
      <c r="O360" s="62" t="e">
        <f>'Secondary cum Calculation'!O354</f>
        <v>#DIV/0!</v>
      </c>
      <c r="P360" s="62" t="e">
        <f>'Secondary cum Calculation'!P354</f>
        <v>#DIV/0!</v>
      </c>
      <c r="Q360" s="62"/>
      <c r="R360" s="62"/>
      <c r="S360" s="62"/>
      <c r="T360" s="62"/>
      <c r="U360" s="62"/>
      <c r="V360" s="62"/>
      <c r="W360" s="259"/>
      <c r="X360" s="259"/>
    </row>
    <row r="361" spans="1:26">
      <c r="A361" s="55" t="str">
        <f>'Secondary cum Calculation'!A355</f>
        <v>Poland</v>
      </c>
      <c r="B361" s="56" t="str">
        <f>'Secondary cum Calculation'!B355</f>
        <v>Tourism Flows</v>
      </c>
      <c r="C361" s="56" t="str">
        <f>'Secondary cum Calculation'!C355</f>
        <v>International Arrivals by Place of Origin</v>
      </c>
      <c r="D361" s="56" t="str">
        <f>'Secondary cum Calculation'!D355</f>
        <v>Asia-Pacific</v>
      </c>
      <c r="E361" s="55" t="str">
        <f>'Secondary cum Calculation'!E355</f>
        <v>Philippines</v>
      </c>
      <c r="F361" s="57" t="str">
        <f>'Secondary cum Calculation'!F355</f>
        <v>The number of international arrivals to a country originating from Philippines</v>
      </c>
      <c r="G361" s="57" t="str">
        <f>'Secondary cum Calculation'!G355</f>
        <v>Tourism Demand &amp; Flows Database</v>
      </c>
      <c r="H361" s="57" t="str">
        <f>'Secondary cum Calculation'!H355</f>
        <v>New</v>
      </c>
      <c r="I361" s="57">
        <f>'Secondary cum Calculation'!I355</f>
        <v>0</v>
      </c>
      <c r="J361" s="57" t="str">
        <f>'Secondary cum Calculation'!J355</f>
        <v>Thousand</v>
      </c>
      <c r="K361" s="58">
        <f>'Secondary cum Calculation'!K355</f>
        <v>153.887</v>
      </c>
      <c r="L361" s="59">
        <f>'Secondary cum Calculation'!L355</f>
        <v>0</v>
      </c>
      <c r="M361" s="59">
        <f>'Secondary cum Calculation'!M355</f>
        <v>0</v>
      </c>
      <c r="N361" s="59">
        <f>'Secondary cum Calculation'!N355</f>
        <v>0</v>
      </c>
      <c r="O361" s="59">
        <f>'Secondary cum Calculation'!O355</f>
        <v>0</v>
      </c>
      <c r="P361" s="59">
        <f>'Secondary cum Calculation'!P355</f>
        <v>0</v>
      </c>
      <c r="Q361" s="59"/>
      <c r="R361" s="59"/>
      <c r="S361" s="59"/>
      <c r="T361" s="59"/>
      <c r="U361" s="59"/>
      <c r="V361" s="59"/>
      <c r="W361" s="106" t="e">
        <f>'Secondary cum Calculation'!W355</f>
        <v>#DIV/0!</v>
      </c>
      <c r="X361" s="106" t="e">
        <f>'Secondary cum Calculation'!X355</f>
        <v>#DIV/0!</v>
      </c>
      <c r="Z361" s="12"/>
    </row>
    <row r="362" spans="1:26">
      <c r="A362" s="57"/>
      <c r="B362" s="57"/>
      <c r="C362" s="61" t="str">
        <f>'Secondary cum Calculation'!C356</f>
        <v>Growth Rate</v>
      </c>
      <c r="D362" s="61"/>
      <c r="E362" s="61"/>
      <c r="F362" s="61">
        <f>'Secondary cum Calculation'!F356</f>
        <v>0</v>
      </c>
      <c r="G362" s="61">
        <f>'Secondary cum Calculation'!G356</f>
        <v>0</v>
      </c>
      <c r="H362" s="61">
        <f>'Secondary cum Calculation'!H356</f>
        <v>0</v>
      </c>
      <c r="I362" s="61">
        <f>'Secondary cum Calculation'!I356</f>
        <v>0</v>
      </c>
      <c r="J362" s="61" t="str">
        <f>'Secondary cum Calculation'!J356</f>
        <v>%</v>
      </c>
      <c r="K362" s="58">
        <f>'Secondary cum Calculation'!K356</f>
        <v>0</v>
      </c>
      <c r="L362" s="59"/>
      <c r="M362" s="62" t="e">
        <f>'Secondary cum Calculation'!M356</f>
        <v>#DIV/0!</v>
      </c>
      <c r="N362" s="62" t="e">
        <f>'Secondary cum Calculation'!N356</f>
        <v>#DIV/0!</v>
      </c>
      <c r="O362" s="62" t="e">
        <f>'Secondary cum Calculation'!O356</f>
        <v>#DIV/0!</v>
      </c>
      <c r="P362" s="62" t="e">
        <f>'Secondary cum Calculation'!P356</f>
        <v>#DIV/0!</v>
      </c>
      <c r="Q362" s="62"/>
      <c r="R362" s="62"/>
      <c r="S362" s="62"/>
      <c r="T362" s="62"/>
      <c r="U362" s="62"/>
      <c r="V362" s="62"/>
      <c r="W362" s="259"/>
      <c r="X362" s="259"/>
    </row>
    <row r="363" spans="1:26">
      <c r="A363" s="55" t="str">
        <f>'Secondary cum Calculation'!A357</f>
        <v>Poland</v>
      </c>
      <c r="B363" s="56" t="str">
        <f>'Secondary cum Calculation'!B357</f>
        <v>Tourism Flows</v>
      </c>
      <c r="C363" s="56" t="str">
        <f>'Secondary cum Calculation'!C357</f>
        <v>International Arrivals by Place of Origin</v>
      </c>
      <c r="D363" s="56" t="str">
        <f>'Secondary cum Calculation'!D357</f>
        <v>Asia-Pacific</v>
      </c>
      <c r="E363" s="55" t="str">
        <f>'Secondary cum Calculation'!E357</f>
        <v>Republic of Korea</v>
      </c>
      <c r="F363" s="57" t="str">
        <f>'Secondary cum Calculation'!F357</f>
        <v>The number of international arrivals to a country originating from Republic of Korea</v>
      </c>
      <c r="G363" s="57" t="str">
        <f>'Secondary cum Calculation'!G357</f>
        <v>Tourism Demand &amp; Flows Database</v>
      </c>
      <c r="H363" s="57" t="str">
        <f>'Secondary cum Calculation'!H357</f>
        <v>New</v>
      </c>
      <c r="I363" s="57">
        <f>'Secondary cum Calculation'!I357</f>
        <v>0</v>
      </c>
      <c r="J363" s="57" t="str">
        <f>'Secondary cum Calculation'!J357</f>
        <v>Thousand</v>
      </c>
      <c r="K363" s="58">
        <f>'Secondary cum Calculation'!K357</f>
        <v>757.721</v>
      </c>
      <c r="L363" s="59">
        <f>'Secondary cum Calculation'!L357</f>
        <v>29.927881559407947</v>
      </c>
      <c r="M363" s="59">
        <f>'Secondary cum Calculation'!M357</f>
        <v>24.047306371955504</v>
      </c>
      <c r="N363" s="59">
        <f>'Secondary cum Calculation'!N357</f>
        <v>18.851519665958577</v>
      </c>
      <c r="O363" s="59">
        <f>'Secondary cum Calculation'!O357</f>
        <v>25.113342282050827</v>
      </c>
      <c r="P363" s="59">
        <f>'Secondary cum Calculation'!P357</f>
        <v>25.609714812121531</v>
      </c>
      <c r="Q363" s="59"/>
      <c r="R363" s="59"/>
      <c r="S363" s="59"/>
      <c r="T363" s="59"/>
      <c r="U363" s="59"/>
      <c r="V363" s="59"/>
      <c r="W363" s="106">
        <f>'Secondary cum Calculation'!W357</f>
        <v>4.0899834144072278E-2</v>
      </c>
      <c r="X363" s="106">
        <f>'Secondary cum Calculation'!X357</f>
        <v>-1</v>
      </c>
      <c r="Z363" s="12"/>
    </row>
    <row r="364" spans="1:26">
      <c r="A364" s="57"/>
      <c r="B364" s="57"/>
      <c r="C364" s="61" t="str">
        <f>'Secondary cum Calculation'!C358</f>
        <v>Growth Rate</v>
      </c>
      <c r="D364" s="61"/>
      <c r="E364" s="61"/>
      <c r="F364" s="61">
        <f>'Secondary cum Calculation'!F358</f>
        <v>0</v>
      </c>
      <c r="G364" s="61">
        <f>'Secondary cum Calculation'!G358</f>
        <v>0</v>
      </c>
      <c r="H364" s="61">
        <f>'Secondary cum Calculation'!H358</f>
        <v>0</v>
      </c>
      <c r="I364" s="61">
        <f>'Secondary cum Calculation'!I358</f>
        <v>0</v>
      </c>
      <c r="J364" s="61" t="str">
        <f>'Secondary cum Calculation'!J358</f>
        <v>%</v>
      </c>
      <c r="K364" s="58">
        <f>'Secondary cum Calculation'!K358</f>
        <v>0</v>
      </c>
      <c r="L364" s="59"/>
      <c r="M364" s="62">
        <f>'Secondary cum Calculation'!M358</f>
        <v>-0.19649152833551831</v>
      </c>
      <c r="N364" s="62">
        <f>'Secondary cum Calculation'!N358</f>
        <v>-0.21606522683373663</v>
      </c>
      <c r="O364" s="62">
        <f>'Secondary cum Calculation'!O358</f>
        <v>0.33216540242109138</v>
      </c>
      <c r="P364" s="62">
        <f>'Secondary cum Calculation'!P358</f>
        <v>1.9765291473189395E-2</v>
      </c>
      <c r="Q364" s="62"/>
      <c r="R364" s="62"/>
      <c r="S364" s="62"/>
      <c r="T364" s="62"/>
      <c r="U364" s="62"/>
      <c r="V364" s="62"/>
      <c r="W364" s="259"/>
      <c r="X364" s="259"/>
    </row>
    <row r="365" spans="1:26">
      <c r="A365" s="55" t="str">
        <f>'Secondary cum Calculation'!A359</f>
        <v>Poland</v>
      </c>
      <c r="B365" s="56" t="str">
        <f>'Secondary cum Calculation'!B359</f>
        <v>Tourism Flows</v>
      </c>
      <c r="C365" s="56" t="str">
        <f>'Secondary cum Calculation'!C359</f>
        <v>International Arrivals by Place of Origin</v>
      </c>
      <c r="D365" s="56" t="str">
        <f>'Secondary cum Calculation'!D359</f>
        <v>Asia-Pacific</v>
      </c>
      <c r="E365" s="55" t="str">
        <f>'Secondary cum Calculation'!E359</f>
        <v>Samoa</v>
      </c>
      <c r="F365" s="57" t="str">
        <f>'Secondary cum Calculation'!F359</f>
        <v>The number of international arrivals to a country originating from Samoa</v>
      </c>
      <c r="G365" s="57" t="str">
        <f>'Secondary cum Calculation'!G359</f>
        <v>Tourism Demand &amp; Flows Database</v>
      </c>
      <c r="H365" s="57" t="str">
        <f>'Secondary cum Calculation'!H359</f>
        <v>New</v>
      </c>
      <c r="I365" s="57">
        <f>'Secondary cum Calculation'!I359</f>
        <v>0</v>
      </c>
      <c r="J365" s="57" t="str">
        <f>'Secondary cum Calculation'!J359</f>
        <v>Thousand</v>
      </c>
      <c r="K365" s="58">
        <f>'Secondary cum Calculation'!K359</f>
        <v>0</v>
      </c>
      <c r="L365" s="59">
        <f>'Secondary cum Calculation'!L359</f>
        <v>0</v>
      </c>
      <c r="M365" s="59">
        <f>'Secondary cum Calculation'!M359</f>
        <v>0</v>
      </c>
      <c r="N365" s="59">
        <f>'Secondary cum Calculation'!N359</f>
        <v>0</v>
      </c>
      <c r="O365" s="88">
        <f>'Secondary cum Calculation'!O359</f>
        <v>0</v>
      </c>
      <c r="P365" s="59">
        <f>'Secondary cum Calculation'!P359</f>
        <v>0</v>
      </c>
      <c r="Q365" s="59"/>
      <c r="R365" s="59"/>
      <c r="S365" s="59"/>
      <c r="T365" s="59"/>
      <c r="U365" s="59"/>
      <c r="V365" s="59"/>
      <c r="W365" s="106" t="e">
        <f>'Secondary cum Calculation'!W359</f>
        <v>#DIV/0!</v>
      </c>
      <c r="X365" s="106" t="e">
        <f>'Secondary cum Calculation'!X359</f>
        <v>#DIV/0!</v>
      </c>
    </row>
    <row r="366" spans="1:26">
      <c r="A366" s="57"/>
      <c r="B366" s="57"/>
      <c r="C366" s="61" t="str">
        <f>'Secondary cum Calculation'!C360</f>
        <v>Growth Rate</v>
      </c>
      <c r="D366" s="61"/>
      <c r="E366" s="61"/>
      <c r="F366" s="61">
        <f>'Secondary cum Calculation'!F360</f>
        <v>0</v>
      </c>
      <c r="G366" s="61">
        <f>'Secondary cum Calculation'!G360</f>
        <v>0</v>
      </c>
      <c r="H366" s="61">
        <f>'Secondary cum Calculation'!H360</f>
        <v>0</v>
      </c>
      <c r="I366" s="61">
        <f>'Secondary cum Calculation'!I360</f>
        <v>0</v>
      </c>
      <c r="J366" s="61" t="str">
        <f>'Secondary cum Calculation'!J360</f>
        <v>%</v>
      </c>
      <c r="K366" s="58">
        <f>'Secondary cum Calculation'!K360</f>
        <v>0</v>
      </c>
      <c r="L366" s="59"/>
      <c r="M366" s="62" t="e">
        <f>'Secondary cum Calculation'!M360</f>
        <v>#DIV/0!</v>
      </c>
      <c r="N366" s="62" t="e">
        <f>'Secondary cum Calculation'!N360</f>
        <v>#DIV/0!</v>
      </c>
      <c r="O366" s="62" t="e">
        <f>'Secondary cum Calculation'!O360</f>
        <v>#DIV/0!</v>
      </c>
      <c r="P366" s="62" t="e">
        <f>'Secondary cum Calculation'!P360</f>
        <v>#DIV/0!</v>
      </c>
      <c r="Q366" s="62"/>
      <c r="R366" s="62"/>
      <c r="S366" s="62"/>
      <c r="T366" s="62"/>
      <c r="U366" s="62"/>
      <c r="V366" s="62"/>
      <c r="W366" s="259"/>
      <c r="X366" s="259"/>
    </row>
    <row r="367" spans="1:26">
      <c r="A367" s="55" t="str">
        <f>'Secondary cum Calculation'!A361</f>
        <v>Poland</v>
      </c>
      <c r="B367" s="56" t="str">
        <f>'Secondary cum Calculation'!B361</f>
        <v>Tourism Flows</v>
      </c>
      <c r="C367" s="56" t="str">
        <f>'Secondary cum Calculation'!C361</f>
        <v>International Arrivals by Place of Origin</v>
      </c>
      <c r="D367" s="56" t="str">
        <f>'Secondary cum Calculation'!D361</f>
        <v>Asia-Pacific</v>
      </c>
      <c r="E367" s="55" t="str">
        <f>'Secondary cum Calculation'!E361</f>
        <v>Singapore</v>
      </c>
      <c r="F367" s="57" t="str">
        <f>'Secondary cum Calculation'!F361</f>
        <v>The number of international arrivals to a country originating from Singapore</v>
      </c>
      <c r="G367" s="57" t="str">
        <f>'Secondary cum Calculation'!G361</f>
        <v>Tourism Demand &amp; Flows Database</v>
      </c>
      <c r="H367" s="57" t="str">
        <f>'Secondary cum Calculation'!H361</f>
        <v>New</v>
      </c>
      <c r="I367" s="57">
        <f>'Secondary cum Calculation'!I361</f>
        <v>0</v>
      </c>
      <c r="J367" s="57" t="str">
        <f>'Secondary cum Calculation'!J361</f>
        <v>Thousand</v>
      </c>
      <c r="K367" s="58">
        <f>'Secondary cum Calculation'!K361</f>
        <v>122.995</v>
      </c>
      <c r="L367" s="59">
        <f>'Secondary cum Calculation'!L361</f>
        <v>0</v>
      </c>
      <c r="M367" s="59">
        <f>'Secondary cum Calculation'!M361</f>
        <v>0</v>
      </c>
      <c r="N367" s="59">
        <f>'Secondary cum Calculation'!N361</f>
        <v>0</v>
      </c>
      <c r="O367" s="59">
        <f>'Secondary cum Calculation'!O361</f>
        <v>0</v>
      </c>
      <c r="P367" s="59">
        <f>'Secondary cum Calculation'!P361</f>
        <v>0</v>
      </c>
      <c r="Q367" s="59"/>
      <c r="R367" s="59"/>
      <c r="S367" s="59"/>
      <c r="T367" s="59"/>
      <c r="U367" s="59"/>
      <c r="V367" s="59"/>
      <c r="W367" s="106" t="e">
        <f>'Secondary cum Calculation'!W361</f>
        <v>#DIV/0!</v>
      </c>
      <c r="X367" s="106" t="e">
        <f>'Secondary cum Calculation'!X361</f>
        <v>#DIV/0!</v>
      </c>
      <c r="Z367" s="12"/>
    </row>
    <row r="368" spans="1:26">
      <c r="A368" s="57"/>
      <c r="B368" s="57"/>
      <c r="C368" s="61" t="str">
        <f>'Secondary cum Calculation'!C362</f>
        <v>Growth Rate</v>
      </c>
      <c r="D368" s="61"/>
      <c r="E368" s="61"/>
      <c r="F368" s="61">
        <f>'Secondary cum Calculation'!F362</f>
        <v>0</v>
      </c>
      <c r="G368" s="61">
        <f>'Secondary cum Calculation'!G362</f>
        <v>0</v>
      </c>
      <c r="H368" s="61">
        <f>'Secondary cum Calculation'!H362</f>
        <v>0</v>
      </c>
      <c r="I368" s="61">
        <f>'Secondary cum Calculation'!I362</f>
        <v>0</v>
      </c>
      <c r="J368" s="61" t="str">
        <f>'Secondary cum Calculation'!J362</f>
        <v>%</v>
      </c>
      <c r="K368" s="58">
        <f>'Secondary cum Calculation'!K362</f>
        <v>0</v>
      </c>
      <c r="L368" s="59"/>
      <c r="M368" s="62" t="e">
        <f>'Secondary cum Calculation'!M362</f>
        <v>#DIV/0!</v>
      </c>
      <c r="N368" s="62" t="e">
        <f>'Secondary cum Calculation'!N362</f>
        <v>#DIV/0!</v>
      </c>
      <c r="O368" s="62" t="e">
        <f>'Secondary cum Calculation'!O362</f>
        <v>#DIV/0!</v>
      </c>
      <c r="P368" s="62" t="e">
        <f>'Secondary cum Calculation'!P362</f>
        <v>#DIV/0!</v>
      </c>
      <c r="Q368" s="62"/>
      <c r="R368" s="62"/>
      <c r="S368" s="62"/>
      <c r="T368" s="62"/>
      <c r="U368" s="62"/>
      <c r="V368" s="62"/>
      <c r="W368" s="259"/>
      <c r="X368" s="259"/>
    </row>
    <row r="369" spans="1:24">
      <c r="A369" s="55" t="str">
        <f>'Secondary cum Calculation'!A363</f>
        <v>Poland</v>
      </c>
      <c r="B369" s="56" t="str">
        <f>'Secondary cum Calculation'!B363</f>
        <v>Tourism Flows</v>
      </c>
      <c r="C369" s="56" t="str">
        <f>'Secondary cum Calculation'!C363</f>
        <v>International Arrivals by Place of Origin</v>
      </c>
      <c r="D369" s="56" t="str">
        <f>'Secondary cum Calculation'!D363</f>
        <v>Asia-Pacific</v>
      </c>
      <c r="E369" s="55" t="str">
        <f>'Secondary cum Calculation'!E363</f>
        <v>Solomon Islands</v>
      </c>
      <c r="F369" s="57" t="str">
        <f>'Secondary cum Calculation'!F363</f>
        <v>The number of international arrivals to a country originating from Solomon Islands</v>
      </c>
      <c r="G369" s="57" t="str">
        <f>'Secondary cum Calculation'!G363</f>
        <v>Tourism Demand &amp; Flows Database</v>
      </c>
      <c r="H369" s="57" t="str">
        <f>'Secondary cum Calculation'!H363</f>
        <v>New</v>
      </c>
      <c r="I369" s="57">
        <f>'Secondary cum Calculation'!I363</f>
        <v>0</v>
      </c>
      <c r="J369" s="57" t="str">
        <f>'Secondary cum Calculation'!J363</f>
        <v>Thousand</v>
      </c>
      <c r="K369" s="58">
        <f>'Secondary cum Calculation'!K363</f>
        <v>0</v>
      </c>
      <c r="L369" s="59">
        <f>'Secondary cum Calculation'!L363</f>
        <v>0</v>
      </c>
      <c r="M369" s="59">
        <f>'Secondary cum Calculation'!M363</f>
        <v>0</v>
      </c>
      <c r="N369" s="59">
        <f>'Secondary cum Calculation'!N363</f>
        <v>0</v>
      </c>
      <c r="O369" s="88">
        <f>'Secondary cum Calculation'!O363</f>
        <v>0</v>
      </c>
      <c r="P369" s="59">
        <f>'Secondary cum Calculation'!P363</f>
        <v>0</v>
      </c>
      <c r="Q369" s="59"/>
      <c r="R369" s="59"/>
      <c r="S369" s="59"/>
      <c r="T369" s="59"/>
      <c r="U369" s="59"/>
      <c r="V369" s="59"/>
      <c r="W369" s="106" t="e">
        <f>'Secondary cum Calculation'!W363</f>
        <v>#DIV/0!</v>
      </c>
      <c r="X369" s="106" t="e">
        <f>'Secondary cum Calculation'!X363</f>
        <v>#DIV/0!</v>
      </c>
    </row>
    <row r="370" spans="1:24">
      <c r="A370" s="57"/>
      <c r="B370" s="57"/>
      <c r="C370" s="61" t="str">
        <f>'Secondary cum Calculation'!C364</f>
        <v>Growth Rate</v>
      </c>
      <c r="D370" s="61"/>
      <c r="E370" s="61"/>
      <c r="F370" s="61">
        <f>'Secondary cum Calculation'!F364</f>
        <v>0</v>
      </c>
      <c r="G370" s="61">
        <f>'Secondary cum Calculation'!G364</f>
        <v>0</v>
      </c>
      <c r="H370" s="61">
        <f>'Secondary cum Calculation'!H364</f>
        <v>0</v>
      </c>
      <c r="I370" s="61">
        <f>'Secondary cum Calculation'!I364</f>
        <v>0</v>
      </c>
      <c r="J370" s="61" t="str">
        <f>'Secondary cum Calculation'!J364</f>
        <v>%</v>
      </c>
      <c r="K370" s="58">
        <f>'Secondary cum Calculation'!K364</f>
        <v>0</v>
      </c>
      <c r="L370" s="59"/>
      <c r="M370" s="62" t="e">
        <f>'Secondary cum Calculation'!M364</f>
        <v>#DIV/0!</v>
      </c>
      <c r="N370" s="62" t="e">
        <f>'Secondary cum Calculation'!N364</f>
        <v>#DIV/0!</v>
      </c>
      <c r="O370" s="62" t="e">
        <f>'Secondary cum Calculation'!O364</f>
        <v>#DIV/0!</v>
      </c>
      <c r="P370" s="62" t="e">
        <f>'Secondary cum Calculation'!P364</f>
        <v>#DIV/0!</v>
      </c>
      <c r="Q370" s="62"/>
      <c r="R370" s="62"/>
      <c r="S370" s="62"/>
      <c r="T370" s="62"/>
      <c r="U370" s="62"/>
      <c r="V370" s="62"/>
      <c r="W370" s="259"/>
      <c r="X370" s="259"/>
    </row>
    <row r="371" spans="1:24">
      <c r="A371" s="55" t="str">
        <f>'Secondary cum Calculation'!A365</f>
        <v>Poland</v>
      </c>
      <c r="B371" s="56" t="str">
        <f>'Secondary cum Calculation'!B365</f>
        <v>Tourism Flows</v>
      </c>
      <c r="C371" s="56" t="str">
        <f>'Secondary cum Calculation'!C365</f>
        <v>International Arrivals by Place of Origin</v>
      </c>
      <c r="D371" s="56" t="str">
        <f>'Secondary cum Calculation'!D365</f>
        <v>Asia-Pacific</v>
      </c>
      <c r="E371" s="55" t="str">
        <f>'Secondary cum Calculation'!E365</f>
        <v>Sri Lanka</v>
      </c>
      <c r="F371" s="57" t="str">
        <f>'Secondary cum Calculation'!F365</f>
        <v>The number of international arrivals to a country originating from Sri Lanka</v>
      </c>
      <c r="G371" s="57" t="str">
        <f>'Secondary cum Calculation'!G365</f>
        <v>Tourism Demand &amp; Flows Database</v>
      </c>
      <c r="H371" s="57" t="str">
        <f>'Secondary cum Calculation'!H365</f>
        <v>New</v>
      </c>
      <c r="I371" s="57">
        <f>'Secondary cum Calculation'!I365</f>
        <v>0</v>
      </c>
      <c r="J371" s="57" t="str">
        <f>'Secondary cum Calculation'!J365</f>
        <v>Thousand</v>
      </c>
      <c r="K371" s="58">
        <f>'Secondary cum Calculation'!K365</f>
        <v>0</v>
      </c>
      <c r="L371" s="59">
        <f>'Secondary cum Calculation'!L365</f>
        <v>0</v>
      </c>
      <c r="M371" s="59">
        <f>'Secondary cum Calculation'!M365</f>
        <v>0</v>
      </c>
      <c r="N371" s="59">
        <f>'Secondary cum Calculation'!N365</f>
        <v>0</v>
      </c>
      <c r="O371" s="59">
        <f>'Secondary cum Calculation'!O365</f>
        <v>0</v>
      </c>
      <c r="P371" s="59">
        <f>'Secondary cum Calculation'!P365</f>
        <v>0</v>
      </c>
      <c r="Q371" s="59"/>
      <c r="R371" s="59"/>
      <c r="S371" s="59"/>
      <c r="T371" s="59"/>
      <c r="U371" s="59"/>
      <c r="V371" s="59"/>
      <c r="W371" s="106" t="e">
        <f>'Secondary cum Calculation'!W365</f>
        <v>#DIV/0!</v>
      </c>
      <c r="X371" s="106" t="e">
        <f>'Secondary cum Calculation'!X365</f>
        <v>#DIV/0!</v>
      </c>
    </row>
    <row r="372" spans="1:24">
      <c r="A372" s="57"/>
      <c r="B372" s="57"/>
      <c r="C372" s="61" t="str">
        <f>'Secondary cum Calculation'!C366</f>
        <v>Growth Rate</v>
      </c>
      <c r="D372" s="61"/>
      <c r="E372" s="61"/>
      <c r="F372" s="61">
        <f>'Secondary cum Calculation'!F366</f>
        <v>0</v>
      </c>
      <c r="G372" s="61">
        <f>'Secondary cum Calculation'!G366</f>
        <v>0</v>
      </c>
      <c r="H372" s="61">
        <f>'Secondary cum Calculation'!H366</f>
        <v>0</v>
      </c>
      <c r="I372" s="61">
        <f>'Secondary cum Calculation'!I366</f>
        <v>0</v>
      </c>
      <c r="J372" s="61" t="str">
        <f>'Secondary cum Calculation'!J366</f>
        <v>%</v>
      </c>
      <c r="K372" s="58">
        <f>'Secondary cum Calculation'!K366</f>
        <v>0</v>
      </c>
      <c r="L372" s="59"/>
      <c r="M372" s="62" t="e">
        <f>'Secondary cum Calculation'!M366</f>
        <v>#DIV/0!</v>
      </c>
      <c r="N372" s="62" t="e">
        <f>'Secondary cum Calculation'!N366</f>
        <v>#DIV/0!</v>
      </c>
      <c r="O372" s="62" t="e">
        <f>'Secondary cum Calculation'!O366</f>
        <v>#DIV/0!</v>
      </c>
      <c r="P372" s="62" t="e">
        <f>'Secondary cum Calculation'!P366</f>
        <v>#DIV/0!</v>
      </c>
      <c r="Q372" s="62"/>
      <c r="R372" s="62"/>
      <c r="S372" s="62"/>
      <c r="T372" s="62"/>
      <c r="U372" s="62"/>
      <c r="V372" s="62"/>
      <c r="W372" s="259"/>
      <c r="X372" s="259"/>
    </row>
    <row r="373" spans="1:24">
      <c r="A373" s="55" t="str">
        <f>'Secondary cum Calculation'!A367</f>
        <v>Poland</v>
      </c>
      <c r="B373" s="56" t="str">
        <f>'Secondary cum Calculation'!B367</f>
        <v>Tourism Flows</v>
      </c>
      <c r="C373" s="56" t="str">
        <f>'Secondary cum Calculation'!C367</f>
        <v>International Arrivals by Place of Origin</v>
      </c>
      <c r="D373" s="56" t="str">
        <f>'Secondary cum Calculation'!D367</f>
        <v>Asia-Pacific</v>
      </c>
      <c r="E373" s="55" t="str">
        <f>'Secondary cum Calculation'!E367</f>
        <v>Tajikistan</v>
      </c>
      <c r="F373" s="57" t="str">
        <f>'Secondary cum Calculation'!F367</f>
        <v>The number of international arrivals to a country originating from Tajikistan</v>
      </c>
      <c r="G373" s="57" t="str">
        <f>'Secondary cum Calculation'!G367</f>
        <v>Tourism Demand &amp; Flows Database</v>
      </c>
      <c r="H373" s="57" t="str">
        <f>'Secondary cum Calculation'!H367</f>
        <v>New</v>
      </c>
      <c r="I373" s="57">
        <f>'Secondary cum Calculation'!I367</f>
        <v>0</v>
      </c>
      <c r="J373" s="57" t="str">
        <f>'Secondary cum Calculation'!J367</f>
        <v>Thousand</v>
      </c>
      <c r="K373" s="58">
        <f>'Secondary cum Calculation'!K367</f>
        <v>0</v>
      </c>
      <c r="L373" s="59">
        <f>'Secondary cum Calculation'!L367</f>
        <v>0</v>
      </c>
      <c r="M373" s="59">
        <f>'Secondary cum Calculation'!M367</f>
        <v>0</v>
      </c>
      <c r="N373" s="59">
        <f>'Secondary cum Calculation'!N367</f>
        <v>0</v>
      </c>
      <c r="O373" s="59">
        <f>'Secondary cum Calculation'!O367</f>
        <v>0</v>
      </c>
      <c r="P373" s="59">
        <f>'Secondary cum Calculation'!P367</f>
        <v>0</v>
      </c>
      <c r="Q373" s="59"/>
      <c r="R373" s="59"/>
      <c r="S373" s="59"/>
      <c r="T373" s="59"/>
      <c r="U373" s="59"/>
      <c r="V373" s="59"/>
      <c r="W373" s="106" t="e">
        <f>'Secondary cum Calculation'!W367</f>
        <v>#DIV/0!</v>
      </c>
      <c r="X373" s="106" t="e">
        <f>'Secondary cum Calculation'!X367</f>
        <v>#DIV/0!</v>
      </c>
    </row>
    <row r="374" spans="1:24">
      <c r="A374" s="57"/>
      <c r="B374" s="57"/>
      <c r="C374" s="61" t="str">
        <f>'Secondary cum Calculation'!C368</f>
        <v>Growth Rate</v>
      </c>
      <c r="D374" s="61"/>
      <c r="E374" s="61"/>
      <c r="F374" s="61">
        <f>'Secondary cum Calculation'!F368</f>
        <v>0</v>
      </c>
      <c r="G374" s="61">
        <f>'Secondary cum Calculation'!G368</f>
        <v>0</v>
      </c>
      <c r="H374" s="61">
        <f>'Secondary cum Calculation'!H368</f>
        <v>0</v>
      </c>
      <c r="I374" s="61">
        <f>'Secondary cum Calculation'!I368</f>
        <v>0</v>
      </c>
      <c r="J374" s="61" t="str">
        <f>'Secondary cum Calculation'!J368</f>
        <v>%</v>
      </c>
      <c r="K374" s="58">
        <f>'Secondary cum Calculation'!K368</f>
        <v>0</v>
      </c>
      <c r="L374" s="59"/>
      <c r="M374" s="62" t="e">
        <f>'Secondary cum Calculation'!M368</f>
        <v>#DIV/0!</v>
      </c>
      <c r="N374" s="62" t="e">
        <f>'Secondary cum Calculation'!N368</f>
        <v>#DIV/0!</v>
      </c>
      <c r="O374" s="62" t="e">
        <f>'Secondary cum Calculation'!O368</f>
        <v>#DIV/0!</v>
      </c>
      <c r="P374" s="62" t="e">
        <f>'Secondary cum Calculation'!P368</f>
        <v>#DIV/0!</v>
      </c>
      <c r="Q374" s="62"/>
      <c r="R374" s="62"/>
      <c r="S374" s="62"/>
      <c r="T374" s="62"/>
      <c r="U374" s="62"/>
      <c r="V374" s="62"/>
      <c r="W374" s="259"/>
      <c r="X374" s="259"/>
    </row>
    <row r="375" spans="1:24">
      <c r="A375" s="55" t="str">
        <f>'Secondary cum Calculation'!A369</f>
        <v>Poland</v>
      </c>
      <c r="B375" s="56" t="str">
        <f>'Secondary cum Calculation'!B369</f>
        <v>Tourism Flows</v>
      </c>
      <c r="C375" s="56" t="str">
        <f>'Secondary cum Calculation'!C369</f>
        <v>International Arrivals by Place of Origin</v>
      </c>
      <c r="D375" s="56" t="str">
        <f>'Secondary cum Calculation'!D369</f>
        <v>Asia-Pacific</v>
      </c>
      <c r="E375" s="55" t="str">
        <f>'Secondary cum Calculation'!E369</f>
        <v>Thailand</v>
      </c>
      <c r="F375" s="57" t="str">
        <f>'Secondary cum Calculation'!F369</f>
        <v>The number of international arrivals to a country originating from Thailand</v>
      </c>
      <c r="G375" s="57" t="str">
        <f>'Secondary cum Calculation'!G369</f>
        <v>Tourism Demand &amp; Flows Database</v>
      </c>
      <c r="H375" s="57" t="str">
        <f>'Secondary cum Calculation'!H369</f>
        <v>New</v>
      </c>
      <c r="I375" s="57">
        <f>'Secondary cum Calculation'!I369</f>
        <v>0</v>
      </c>
      <c r="J375" s="57" t="str">
        <f>'Secondary cum Calculation'!J369</f>
        <v>Thousand</v>
      </c>
      <c r="K375" s="58">
        <f>'Secondary cum Calculation'!K369</f>
        <v>0</v>
      </c>
      <c r="L375" s="59">
        <f>'Secondary cum Calculation'!L369</f>
        <v>0</v>
      </c>
      <c r="M375" s="59">
        <f>'Secondary cum Calculation'!M369</f>
        <v>0</v>
      </c>
      <c r="N375" s="59">
        <f>'Secondary cum Calculation'!N369</f>
        <v>0</v>
      </c>
      <c r="O375" s="59">
        <f>'Secondary cum Calculation'!O369</f>
        <v>0</v>
      </c>
      <c r="P375" s="59">
        <f>'Secondary cum Calculation'!P369</f>
        <v>0</v>
      </c>
      <c r="Q375" s="59"/>
      <c r="R375" s="59"/>
      <c r="S375" s="59"/>
      <c r="T375" s="59"/>
      <c r="U375" s="59"/>
      <c r="V375" s="59"/>
      <c r="W375" s="106" t="e">
        <f>'Secondary cum Calculation'!W369</f>
        <v>#DIV/0!</v>
      </c>
      <c r="X375" s="106" t="e">
        <f>'Secondary cum Calculation'!X369</f>
        <v>#DIV/0!</v>
      </c>
    </row>
    <row r="376" spans="1:24">
      <c r="A376" s="57"/>
      <c r="B376" s="57"/>
      <c r="C376" s="61" t="str">
        <f>'Secondary cum Calculation'!C370</f>
        <v>Growth Rate</v>
      </c>
      <c r="D376" s="61"/>
      <c r="E376" s="61"/>
      <c r="F376" s="61">
        <f>'Secondary cum Calculation'!F370</f>
        <v>0</v>
      </c>
      <c r="G376" s="61">
        <f>'Secondary cum Calculation'!G370</f>
        <v>0</v>
      </c>
      <c r="H376" s="61">
        <f>'Secondary cum Calculation'!H370</f>
        <v>0</v>
      </c>
      <c r="I376" s="61">
        <f>'Secondary cum Calculation'!I370</f>
        <v>0</v>
      </c>
      <c r="J376" s="61" t="str">
        <f>'Secondary cum Calculation'!J370</f>
        <v>%</v>
      </c>
      <c r="K376" s="58">
        <f>'Secondary cum Calculation'!K370</f>
        <v>0</v>
      </c>
      <c r="L376" s="59"/>
      <c r="M376" s="62" t="e">
        <f>'Secondary cum Calculation'!M370</f>
        <v>#DIV/0!</v>
      </c>
      <c r="N376" s="62" t="e">
        <f>'Secondary cum Calculation'!N370</f>
        <v>#DIV/0!</v>
      </c>
      <c r="O376" s="62" t="e">
        <f>'Secondary cum Calculation'!O370</f>
        <v>#DIV/0!</v>
      </c>
      <c r="P376" s="62" t="e">
        <f>'Secondary cum Calculation'!P370</f>
        <v>#DIV/0!</v>
      </c>
      <c r="Q376" s="62"/>
      <c r="R376" s="62"/>
      <c r="S376" s="62"/>
      <c r="T376" s="62"/>
      <c r="U376" s="62"/>
      <c r="V376" s="62"/>
      <c r="W376" s="259"/>
      <c r="X376" s="259"/>
    </row>
    <row r="377" spans="1:24">
      <c r="A377" s="55" t="str">
        <f>'Secondary cum Calculation'!A371</f>
        <v>Poland</v>
      </c>
      <c r="B377" s="56" t="str">
        <f>'Secondary cum Calculation'!B371</f>
        <v>Tourism Flows</v>
      </c>
      <c r="C377" s="56" t="str">
        <f>'Secondary cum Calculation'!C371</f>
        <v>International Arrivals by Place of Origin</v>
      </c>
      <c r="D377" s="56" t="str">
        <f>'Secondary cum Calculation'!D371</f>
        <v>Asia-Pacific</v>
      </c>
      <c r="E377" s="55" t="str">
        <f>'Secondary cum Calculation'!E371</f>
        <v>Timor-Leste</v>
      </c>
      <c r="F377" s="57" t="str">
        <f>'Secondary cum Calculation'!F371</f>
        <v>The number of international arrivals to a country originating from Timor-Leste</v>
      </c>
      <c r="G377" s="57" t="str">
        <f>'Secondary cum Calculation'!G371</f>
        <v>Tourism Demand &amp; Flows Database</v>
      </c>
      <c r="H377" s="57" t="str">
        <f>'Secondary cum Calculation'!H371</f>
        <v>New</v>
      </c>
      <c r="I377" s="57">
        <f>'Secondary cum Calculation'!I371</f>
        <v>0</v>
      </c>
      <c r="J377" s="57" t="str">
        <f>'Secondary cum Calculation'!J371</f>
        <v>Thousand</v>
      </c>
      <c r="K377" s="58">
        <f>'Secondary cum Calculation'!K371</f>
        <v>0</v>
      </c>
      <c r="L377" s="59">
        <f>'Secondary cum Calculation'!L371</f>
        <v>0</v>
      </c>
      <c r="M377" s="59">
        <f>'Secondary cum Calculation'!M371</f>
        <v>0</v>
      </c>
      <c r="N377" s="59">
        <f>'Secondary cum Calculation'!N371</f>
        <v>0</v>
      </c>
      <c r="O377" s="59">
        <f>'Secondary cum Calculation'!O371</f>
        <v>0</v>
      </c>
      <c r="P377" s="59">
        <f>'Secondary cum Calculation'!P371</f>
        <v>0</v>
      </c>
      <c r="Q377" s="59"/>
      <c r="R377" s="59"/>
      <c r="S377" s="59"/>
      <c r="T377" s="59"/>
      <c r="U377" s="59"/>
      <c r="V377" s="59"/>
      <c r="W377" s="106" t="e">
        <f>'Secondary cum Calculation'!W371</f>
        <v>#DIV/0!</v>
      </c>
      <c r="X377" s="106" t="e">
        <f>'Secondary cum Calculation'!X371</f>
        <v>#DIV/0!</v>
      </c>
    </row>
    <row r="378" spans="1:24">
      <c r="A378" s="57"/>
      <c r="B378" s="57"/>
      <c r="C378" s="61" t="str">
        <f>'Secondary cum Calculation'!C372</f>
        <v>Growth Rate</v>
      </c>
      <c r="D378" s="61"/>
      <c r="E378" s="61"/>
      <c r="F378" s="61">
        <f>'Secondary cum Calculation'!F372</f>
        <v>0</v>
      </c>
      <c r="G378" s="61">
        <f>'Secondary cum Calculation'!G372</f>
        <v>0</v>
      </c>
      <c r="H378" s="61">
        <f>'Secondary cum Calculation'!H372</f>
        <v>0</v>
      </c>
      <c r="I378" s="61">
        <f>'Secondary cum Calculation'!I372</f>
        <v>0</v>
      </c>
      <c r="J378" s="61" t="str">
        <f>'Secondary cum Calculation'!J372</f>
        <v>%</v>
      </c>
      <c r="K378" s="58">
        <f>'Secondary cum Calculation'!K372</f>
        <v>0</v>
      </c>
      <c r="L378" s="59"/>
      <c r="M378" s="62" t="e">
        <f>'Secondary cum Calculation'!M372</f>
        <v>#DIV/0!</v>
      </c>
      <c r="N378" s="62" t="e">
        <f>'Secondary cum Calculation'!N372</f>
        <v>#DIV/0!</v>
      </c>
      <c r="O378" s="62" t="e">
        <f>'Secondary cum Calculation'!O372</f>
        <v>#DIV/0!</v>
      </c>
      <c r="P378" s="62" t="e">
        <f>'Secondary cum Calculation'!P372</f>
        <v>#DIV/0!</v>
      </c>
      <c r="Q378" s="62"/>
      <c r="R378" s="62"/>
      <c r="S378" s="62"/>
      <c r="T378" s="62"/>
      <c r="U378" s="62"/>
      <c r="V378" s="62"/>
      <c r="W378" s="259"/>
      <c r="X378" s="259"/>
    </row>
    <row r="379" spans="1:24">
      <c r="A379" s="55" t="str">
        <f>'Secondary cum Calculation'!A373</f>
        <v>Poland</v>
      </c>
      <c r="B379" s="56" t="str">
        <f>'Secondary cum Calculation'!B373</f>
        <v>Tourism Flows</v>
      </c>
      <c r="C379" s="56" t="str">
        <f>'Secondary cum Calculation'!C373</f>
        <v>International Arrivals by Place of Origin</v>
      </c>
      <c r="D379" s="56" t="str">
        <f>'Secondary cum Calculation'!D373</f>
        <v>Asia-Pacific</v>
      </c>
      <c r="E379" s="55" t="str">
        <f>'Secondary cum Calculation'!E373</f>
        <v>Turkmenistan</v>
      </c>
      <c r="F379" s="57" t="str">
        <f>'Secondary cum Calculation'!F373</f>
        <v>The number of international arrivals to a country originating from Turkmenistan</v>
      </c>
      <c r="G379" s="57" t="str">
        <f>'Secondary cum Calculation'!G373</f>
        <v>Tourism Demand &amp; Flows Database</v>
      </c>
      <c r="H379" s="57" t="str">
        <f>'Secondary cum Calculation'!H373</f>
        <v>New</v>
      </c>
      <c r="I379" s="57">
        <f>'Secondary cum Calculation'!I373</f>
        <v>0</v>
      </c>
      <c r="J379" s="57" t="str">
        <f>'Secondary cum Calculation'!J373</f>
        <v>Thousand</v>
      </c>
      <c r="K379" s="58">
        <f>'Secondary cum Calculation'!K373</f>
        <v>0</v>
      </c>
      <c r="L379" s="59">
        <f>'Secondary cum Calculation'!L373</f>
        <v>0</v>
      </c>
      <c r="M379" s="59">
        <f>'Secondary cum Calculation'!M373</f>
        <v>0</v>
      </c>
      <c r="N379" s="59">
        <f>'Secondary cum Calculation'!N373</f>
        <v>0</v>
      </c>
      <c r="O379" s="59">
        <f>'Secondary cum Calculation'!O373</f>
        <v>0</v>
      </c>
      <c r="P379" s="59">
        <f>'Secondary cum Calculation'!P373</f>
        <v>0</v>
      </c>
      <c r="Q379" s="59"/>
      <c r="R379" s="59"/>
      <c r="S379" s="59"/>
      <c r="T379" s="59"/>
      <c r="U379" s="59"/>
      <c r="V379" s="59"/>
      <c r="W379" s="106" t="e">
        <f>'Secondary cum Calculation'!W373</f>
        <v>#DIV/0!</v>
      </c>
      <c r="X379" s="106" t="e">
        <f>'Secondary cum Calculation'!X373</f>
        <v>#DIV/0!</v>
      </c>
    </row>
    <row r="380" spans="1:24">
      <c r="A380" s="57"/>
      <c r="B380" s="57"/>
      <c r="C380" s="61" t="str">
        <f>'Secondary cum Calculation'!C374</f>
        <v>Growth Rate</v>
      </c>
      <c r="D380" s="61"/>
      <c r="E380" s="61"/>
      <c r="F380" s="61">
        <f>'Secondary cum Calculation'!F374</f>
        <v>0</v>
      </c>
      <c r="G380" s="61">
        <f>'Secondary cum Calculation'!G374</f>
        <v>0</v>
      </c>
      <c r="H380" s="61">
        <f>'Secondary cum Calculation'!H374</f>
        <v>0</v>
      </c>
      <c r="I380" s="61">
        <f>'Secondary cum Calculation'!I374</f>
        <v>0</v>
      </c>
      <c r="J380" s="61" t="str">
        <f>'Secondary cum Calculation'!J374</f>
        <v>%</v>
      </c>
      <c r="K380" s="58">
        <f>'Secondary cum Calculation'!K374</f>
        <v>0</v>
      </c>
      <c r="L380" s="59"/>
      <c r="M380" s="62" t="e">
        <f>'Secondary cum Calculation'!M374</f>
        <v>#DIV/0!</v>
      </c>
      <c r="N380" s="62" t="e">
        <f>'Secondary cum Calculation'!N374</f>
        <v>#DIV/0!</v>
      </c>
      <c r="O380" s="62" t="e">
        <f>'Secondary cum Calculation'!O374</f>
        <v>#DIV/0!</v>
      </c>
      <c r="P380" s="62" t="e">
        <f>'Secondary cum Calculation'!P374</f>
        <v>#DIV/0!</v>
      </c>
      <c r="Q380" s="62"/>
      <c r="R380" s="62"/>
      <c r="S380" s="62"/>
      <c r="T380" s="62"/>
      <c r="U380" s="62"/>
      <c r="V380" s="62"/>
      <c r="W380" s="259"/>
      <c r="X380" s="259"/>
    </row>
    <row r="381" spans="1:24">
      <c r="A381" s="55" t="str">
        <f>'Secondary cum Calculation'!A375</f>
        <v>Poland</v>
      </c>
      <c r="B381" s="56" t="str">
        <f>'Secondary cum Calculation'!B375</f>
        <v>Tourism Flows</v>
      </c>
      <c r="C381" s="56" t="str">
        <f>'Secondary cum Calculation'!C375</f>
        <v>International Arrivals by Place of Origin</v>
      </c>
      <c r="D381" s="56" t="str">
        <f>'Secondary cum Calculation'!D375</f>
        <v>Asia-Pacific</v>
      </c>
      <c r="E381" s="55" t="str">
        <f>'Secondary cum Calculation'!E375</f>
        <v>Uzbekistan</v>
      </c>
      <c r="F381" s="57" t="str">
        <f>'Secondary cum Calculation'!F375</f>
        <v>The number of international arrivals to a country originating from Uzbekistan</v>
      </c>
      <c r="G381" s="57" t="str">
        <f>'Secondary cum Calculation'!G375</f>
        <v>Tourism Demand &amp; Flows Database</v>
      </c>
      <c r="H381" s="57" t="str">
        <f>'Secondary cum Calculation'!H375</f>
        <v>New</v>
      </c>
      <c r="I381" s="57">
        <f>'Secondary cum Calculation'!I375</f>
        <v>0</v>
      </c>
      <c r="J381" s="57" t="str">
        <f>'Secondary cum Calculation'!J375</f>
        <v>Thousand</v>
      </c>
      <c r="K381" s="58">
        <f>'Secondary cum Calculation'!K375</f>
        <v>0</v>
      </c>
      <c r="L381" s="59">
        <f>'Secondary cum Calculation'!L375</f>
        <v>0</v>
      </c>
      <c r="M381" s="59">
        <f>'Secondary cum Calculation'!M375</f>
        <v>0</v>
      </c>
      <c r="N381" s="59">
        <f>'Secondary cum Calculation'!N375</f>
        <v>0</v>
      </c>
      <c r="O381" s="59">
        <f>'Secondary cum Calculation'!O375</f>
        <v>0</v>
      </c>
      <c r="P381" s="59">
        <f>'Secondary cum Calculation'!P375</f>
        <v>0</v>
      </c>
      <c r="Q381" s="59"/>
      <c r="R381" s="59"/>
      <c r="S381" s="59"/>
      <c r="T381" s="59"/>
      <c r="U381" s="59"/>
      <c r="V381" s="59"/>
      <c r="W381" s="106" t="e">
        <f>'Secondary cum Calculation'!W375</f>
        <v>#DIV/0!</v>
      </c>
      <c r="X381" s="106" t="e">
        <f>'Secondary cum Calculation'!X375</f>
        <v>#DIV/0!</v>
      </c>
    </row>
    <row r="382" spans="1:24">
      <c r="A382" s="57"/>
      <c r="B382" s="57"/>
      <c r="C382" s="61" t="str">
        <f>'Secondary cum Calculation'!C376</f>
        <v>Growth Rate</v>
      </c>
      <c r="D382" s="61"/>
      <c r="E382" s="61"/>
      <c r="F382" s="61">
        <f>'Secondary cum Calculation'!F376</f>
        <v>0</v>
      </c>
      <c r="G382" s="61">
        <f>'Secondary cum Calculation'!G376</f>
        <v>0</v>
      </c>
      <c r="H382" s="61">
        <f>'Secondary cum Calculation'!H376</f>
        <v>0</v>
      </c>
      <c r="I382" s="61">
        <f>'Secondary cum Calculation'!I376</f>
        <v>0</v>
      </c>
      <c r="J382" s="61" t="str">
        <f>'Secondary cum Calculation'!J376</f>
        <v>%</v>
      </c>
      <c r="K382" s="58">
        <f>'Secondary cum Calculation'!K376</f>
        <v>0</v>
      </c>
      <c r="L382" s="59"/>
      <c r="M382" s="62" t="e">
        <f>'Secondary cum Calculation'!M376</f>
        <v>#DIV/0!</v>
      </c>
      <c r="N382" s="62" t="e">
        <f>'Secondary cum Calculation'!N376</f>
        <v>#DIV/0!</v>
      </c>
      <c r="O382" s="62" t="e">
        <f>'Secondary cum Calculation'!O376</f>
        <v>#DIV/0!</v>
      </c>
      <c r="P382" s="62" t="e">
        <f>'Secondary cum Calculation'!P376</f>
        <v>#DIV/0!</v>
      </c>
      <c r="Q382" s="62"/>
      <c r="R382" s="62"/>
      <c r="S382" s="62"/>
      <c r="T382" s="62"/>
      <c r="U382" s="62"/>
      <c r="V382" s="62"/>
      <c r="W382" s="259"/>
      <c r="X382" s="259"/>
    </row>
    <row r="383" spans="1:24">
      <c r="A383" s="55" t="str">
        <f>'Secondary cum Calculation'!A377</f>
        <v>Poland</v>
      </c>
      <c r="B383" s="56" t="str">
        <f>'Secondary cum Calculation'!B377</f>
        <v>Tourism Flows</v>
      </c>
      <c r="C383" s="56" t="str">
        <f>'Secondary cum Calculation'!C377</f>
        <v>International Arrivals by Place of Origin</v>
      </c>
      <c r="D383" s="56" t="str">
        <f>'Secondary cum Calculation'!D377</f>
        <v>Asia-Pacific</v>
      </c>
      <c r="E383" s="55" t="str">
        <f>'Secondary cum Calculation'!E377</f>
        <v>Vanuatu</v>
      </c>
      <c r="F383" s="57" t="str">
        <f>'Secondary cum Calculation'!F377</f>
        <v>The number of international arrivals to a country originating from Vanuatu</v>
      </c>
      <c r="G383" s="57" t="str">
        <f>'Secondary cum Calculation'!G377</f>
        <v>Tourism Demand &amp; Flows Database</v>
      </c>
      <c r="H383" s="57" t="str">
        <f>'Secondary cum Calculation'!H377</f>
        <v>New</v>
      </c>
      <c r="I383" s="57">
        <f>'Secondary cum Calculation'!I377</f>
        <v>0</v>
      </c>
      <c r="J383" s="57" t="str">
        <f>'Secondary cum Calculation'!J377</f>
        <v>Thousand</v>
      </c>
      <c r="K383" s="58">
        <f>'Secondary cum Calculation'!K377</f>
        <v>0</v>
      </c>
      <c r="L383" s="59">
        <f>'Secondary cum Calculation'!L377</f>
        <v>0</v>
      </c>
      <c r="M383" s="59">
        <f>'Secondary cum Calculation'!M377</f>
        <v>0</v>
      </c>
      <c r="N383" s="59">
        <f>'Secondary cum Calculation'!N377</f>
        <v>0</v>
      </c>
      <c r="O383" s="59">
        <f>'Secondary cum Calculation'!O377</f>
        <v>0</v>
      </c>
      <c r="P383" s="59">
        <f>'Secondary cum Calculation'!P377</f>
        <v>0</v>
      </c>
      <c r="Q383" s="59"/>
      <c r="R383" s="59"/>
      <c r="S383" s="59"/>
      <c r="T383" s="59"/>
      <c r="U383" s="59"/>
      <c r="V383" s="59"/>
      <c r="W383" s="106" t="e">
        <f>'Secondary cum Calculation'!W377</f>
        <v>#DIV/0!</v>
      </c>
      <c r="X383" s="106" t="e">
        <f>'Secondary cum Calculation'!X377</f>
        <v>#DIV/0!</v>
      </c>
    </row>
    <row r="384" spans="1:24">
      <c r="A384" s="57"/>
      <c r="B384" s="57"/>
      <c r="C384" s="61" t="str">
        <f>'Secondary cum Calculation'!C378</f>
        <v>Growth Rate</v>
      </c>
      <c r="D384" s="61"/>
      <c r="E384" s="61"/>
      <c r="F384" s="61">
        <f>'Secondary cum Calculation'!F378</f>
        <v>0</v>
      </c>
      <c r="G384" s="61">
        <f>'Secondary cum Calculation'!G378</f>
        <v>0</v>
      </c>
      <c r="H384" s="61">
        <f>'Secondary cum Calculation'!H378</f>
        <v>0</v>
      </c>
      <c r="I384" s="61">
        <f>'Secondary cum Calculation'!I378</f>
        <v>0</v>
      </c>
      <c r="J384" s="61" t="str">
        <f>'Secondary cum Calculation'!J378</f>
        <v>%</v>
      </c>
      <c r="K384" s="58">
        <f>'Secondary cum Calculation'!K378</f>
        <v>0</v>
      </c>
      <c r="L384" s="59"/>
      <c r="M384" s="62" t="e">
        <f>'Secondary cum Calculation'!M378</f>
        <v>#DIV/0!</v>
      </c>
      <c r="N384" s="62" t="e">
        <f>'Secondary cum Calculation'!N378</f>
        <v>#DIV/0!</v>
      </c>
      <c r="O384" s="62" t="e">
        <f>'Secondary cum Calculation'!O378</f>
        <v>#DIV/0!</v>
      </c>
      <c r="P384" s="62" t="e">
        <f>'Secondary cum Calculation'!P378</f>
        <v>#DIV/0!</v>
      </c>
      <c r="Q384" s="62"/>
      <c r="R384" s="62"/>
      <c r="S384" s="62"/>
      <c r="T384" s="62"/>
      <c r="U384" s="62"/>
      <c r="V384" s="62"/>
      <c r="W384" s="259"/>
      <c r="X384" s="259"/>
    </row>
    <row r="385" spans="1:24">
      <c r="A385" s="55" t="str">
        <f>'Secondary cum Calculation'!A379</f>
        <v>Poland</v>
      </c>
      <c r="B385" s="56" t="str">
        <f>'Secondary cum Calculation'!B379</f>
        <v>Tourism Flows</v>
      </c>
      <c r="C385" s="56" t="str">
        <f>'Secondary cum Calculation'!C379</f>
        <v>International Arrivals by Place of Origin</v>
      </c>
      <c r="D385" s="56" t="str">
        <f>'Secondary cum Calculation'!D379</f>
        <v>Asia-Pacific</v>
      </c>
      <c r="E385" s="55" t="str">
        <f>'Secondary cum Calculation'!E379</f>
        <v>Vietnam</v>
      </c>
      <c r="F385" s="57" t="str">
        <f>'Secondary cum Calculation'!F379</f>
        <v>The number of international arrivals to a country originating from Vietnam</v>
      </c>
      <c r="G385" s="57" t="str">
        <f>'Secondary cum Calculation'!G379</f>
        <v>Tourism Demand &amp; Flows Database</v>
      </c>
      <c r="H385" s="57" t="str">
        <f>'Secondary cum Calculation'!H379</f>
        <v>New</v>
      </c>
      <c r="I385" s="57">
        <f>'Secondary cum Calculation'!I379</f>
        <v>0</v>
      </c>
      <c r="J385" s="57" t="str">
        <f>'Secondary cum Calculation'!J379</f>
        <v>Thousand</v>
      </c>
      <c r="K385" s="58">
        <f>'Secondary cum Calculation'!K379</f>
        <v>0</v>
      </c>
      <c r="L385" s="59">
        <f>'Secondary cum Calculation'!L379</f>
        <v>0</v>
      </c>
      <c r="M385" s="59">
        <f>'Secondary cum Calculation'!M379</f>
        <v>0</v>
      </c>
      <c r="N385" s="59">
        <f>'Secondary cum Calculation'!N379</f>
        <v>0</v>
      </c>
      <c r="O385" s="88">
        <f>'Secondary cum Calculation'!O379</f>
        <v>0</v>
      </c>
      <c r="P385" s="88">
        <f>'Secondary cum Calculation'!P379</f>
        <v>0</v>
      </c>
      <c r="Q385" s="88"/>
      <c r="R385" s="88"/>
      <c r="S385" s="88"/>
      <c r="T385" s="88"/>
      <c r="U385" s="88"/>
      <c r="V385" s="88"/>
      <c r="W385" s="106" t="e">
        <f>'Secondary cum Calculation'!W379</f>
        <v>#DIV/0!</v>
      </c>
      <c r="X385" s="106" t="e">
        <f>'Secondary cum Calculation'!X379</f>
        <v>#DIV/0!</v>
      </c>
    </row>
    <row r="386" spans="1:24">
      <c r="A386" s="57"/>
      <c r="B386" s="57"/>
      <c r="C386" s="61" t="str">
        <f>'Secondary cum Calculation'!C380</f>
        <v>Growth Rate</v>
      </c>
      <c r="D386" s="61"/>
      <c r="E386" s="61"/>
      <c r="F386" s="61">
        <f>'Secondary cum Calculation'!F380</f>
        <v>0</v>
      </c>
      <c r="G386" s="61">
        <f>'Secondary cum Calculation'!G380</f>
        <v>0</v>
      </c>
      <c r="H386" s="61">
        <f>'Secondary cum Calculation'!H380</f>
        <v>0</v>
      </c>
      <c r="I386" s="61">
        <f>'Secondary cum Calculation'!I380</f>
        <v>0</v>
      </c>
      <c r="J386" s="61" t="str">
        <f>'Secondary cum Calculation'!J380</f>
        <v>%</v>
      </c>
      <c r="K386" s="58">
        <f>'Secondary cum Calculation'!K380</f>
        <v>0</v>
      </c>
      <c r="L386" s="59"/>
      <c r="M386" s="62" t="e">
        <f>'Secondary cum Calculation'!M380</f>
        <v>#DIV/0!</v>
      </c>
      <c r="N386" s="62" t="e">
        <f>'Secondary cum Calculation'!N380</f>
        <v>#DIV/0!</v>
      </c>
      <c r="O386" s="62" t="e">
        <f>'Secondary cum Calculation'!O380</f>
        <v>#DIV/0!</v>
      </c>
      <c r="P386" s="62" t="e">
        <f>'Secondary cum Calculation'!P380</f>
        <v>#DIV/0!</v>
      </c>
      <c r="Q386" s="62"/>
      <c r="R386" s="62"/>
      <c r="S386" s="62"/>
      <c r="T386" s="62"/>
      <c r="U386" s="62"/>
      <c r="V386" s="62"/>
      <c r="W386" s="259"/>
      <c r="X386" s="259"/>
    </row>
    <row r="387" spans="1:24">
      <c r="A387" s="55" t="str">
        <f>'Secondary cum Calculation'!A381</f>
        <v>Poland</v>
      </c>
      <c r="B387" s="84" t="str">
        <f>'Secondary cum Calculation'!B381</f>
        <v>Tourism Flows</v>
      </c>
      <c r="C387" s="84" t="str">
        <f>'Secondary cum Calculation'!C381</f>
        <v>International Arrivals by Place of Origin</v>
      </c>
      <c r="D387" s="84" t="str">
        <f>'Secondary cum Calculation'!D381</f>
        <v>Asia-Pacific</v>
      </c>
      <c r="E387" s="97" t="str">
        <f>'Secondary cum Calculation'!E381</f>
        <v>Other Asia-Pacific Countries</v>
      </c>
      <c r="F387" s="84" t="str">
        <f>'Secondary cum Calculation'!F381</f>
        <v>To be defined according to the gaps in the country data above</v>
      </c>
      <c r="G387" s="57">
        <f>'Secondary cum Calculation'!G381</f>
        <v>0</v>
      </c>
      <c r="H387" s="57">
        <f>'Secondary cum Calculation'!H381</f>
        <v>0</v>
      </c>
      <c r="I387" s="57">
        <f>'Secondary cum Calculation'!I381</f>
        <v>0</v>
      </c>
      <c r="J387" s="57" t="str">
        <f>'Secondary cum Calculation'!J381</f>
        <v>Thousand</v>
      </c>
      <c r="K387" s="58">
        <f>'Secondary cum Calculation'!K381</f>
        <v>0</v>
      </c>
      <c r="L387" s="59">
        <f>'Secondary cum Calculation'!L381</f>
        <v>619.49130141617832</v>
      </c>
      <c r="M387" s="59">
        <f>'Secondary cum Calculation'!M381</f>
        <v>511.74742266190992</v>
      </c>
      <c r="N387" s="59">
        <f>'Secondary cum Calculation'!N381</f>
        <v>430.34296711272128</v>
      </c>
      <c r="O387" s="88">
        <f>'Secondary cum Calculation'!O381</f>
        <v>511.07743297681708</v>
      </c>
      <c r="P387" s="88">
        <f>'Secondary cum Calculation'!P381</f>
        <v>534.18113314552591</v>
      </c>
      <c r="Q387" s="88"/>
      <c r="R387" s="88"/>
      <c r="S387" s="88"/>
      <c r="T387" s="88"/>
      <c r="U387" s="88"/>
      <c r="V387" s="88"/>
      <c r="W387" s="106">
        <f>'Secondary cum Calculation'!W381</f>
        <v>4.677818905274278E-2</v>
      </c>
      <c r="X387" s="106">
        <f>'Secondary cum Calculation'!X381</f>
        <v>-1</v>
      </c>
    </row>
    <row r="388" spans="1:24">
      <c r="A388" s="57"/>
      <c r="B388" s="57"/>
      <c r="C388" s="61" t="str">
        <f>'Secondary cum Calculation'!C382</f>
        <v>Growth Rate</v>
      </c>
      <c r="D388" s="61"/>
      <c r="E388" s="61"/>
      <c r="F388" s="61">
        <f>'Secondary cum Calculation'!F382</f>
        <v>0</v>
      </c>
      <c r="G388" s="61">
        <f>'Secondary cum Calculation'!G382</f>
        <v>0</v>
      </c>
      <c r="H388" s="61">
        <f>'Secondary cum Calculation'!H382</f>
        <v>0</v>
      </c>
      <c r="I388" s="61">
        <f>'Secondary cum Calculation'!I382</f>
        <v>0</v>
      </c>
      <c r="J388" s="61" t="str">
        <f>'Secondary cum Calculation'!J382</f>
        <v>%</v>
      </c>
      <c r="K388" s="58">
        <f>'Secondary cum Calculation'!K382</f>
        <v>0</v>
      </c>
      <c r="L388" s="59"/>
      <c r="M388" s="62">
        <f>'Secondary cum Calculation'!M382</f>
        <v>4.0688514746453075E-2</v>
      </c>
      <c r="N388" s="62">
        <f>'Secondary cum Calculation'!N382</f>
        <v>-0.15907154964406955</v>
      </c>
      <c r="O388" s="62">
        <f>'Secondary cum Calculation'!O382</f>
        <v>0.18760493846515858</v>
      </c>
      <c r="P388" s="62">
        <f>'Secondary cum Calculation'!P382</f>
        <v>4.5205870339723786E-2</v>
      </c>
      <c r="Q388" s="62"/>
      <c r="R388" s="62"/>
      <c r="S388" s="62"/>
      <c r="T388" s="62"/>
      <c r="U388" s="62"/>
      <c r="V388" s="62"/>
      <c r="W388" s="259"/>
      <c r="X388" s="259"/>
    </row>
    <row r="389" spans="1:24">
      <c r="A389" s="55" t="str">
        <f>'Secondary cum Calculation'!A383</f>
        <v>Poland</v>
      </c>
      <c r="B389" s="56" t="str">
        <f>'Secondary cum Calculation'!B383</f>
        <v>Tourism Flows</v>
      </c>
      <c r="C389" s="56" t="str">
        <f>'Secondary cum Calculation'!C383</f>
        <v>International Arrivals by Place of Origin</v>
      </c>
      <c r="D389" s="55" t="str">
        <f>'Secondary cum Calculation'!D383</f>
        <v>Europe</v>
      </c>
      <c r="E389" s="57"/>
      <c r="F389" s="57" t="str">
        <f>'Secondary cum Calculation'!F383</f>
        <v>The number of international arrivals to a country originating from Europe</v>
      </c>
      <c r="G389" s="57" t="str">
        <f>'Secondary cum Calculation'!G383</f>
        <v>Tourism Demand &amp; Flows Database</v>
      </c>
      <c r="H389" s="57" t="str">
        <f>'Secondary cum Calculation'!H383</f>
        <v>New</v>
      </c>
      <c r="I389" s="57">
        <f>'Secondary cum Calculation'!I383</f>
        <v>0</v>
      </c>
      <c r="J389" s="57" t="str">
        <f>'Secondary cum Calculation'!J383</f>
        <v>Thousand</v>
      </c>
      <c r="K389" s="86">
        <f>'Secondary cum Calculation'!K383</f>
        <v>3701.33</v>
      </c>
      <c r="L389" s="267">
        <f>'Secondary cum Calculation'!L383</f>
        <v>13494.813166540782</v>
      </c>
      <c r="M389" s="267">
        <f>'Secondary cum Calculation'!M383</f>
        <v>11718.407408010447</v>
      </c>
      <c r="N389" s="267">
        <f>'Secondary cum Calculation'!N383</f>
        <v>10825</v>
      </c>
      <c r="O389" s="267">
        <f>'Secondary cum Calculation'!O383</f>
        <v>11220</v>
      </c>
      <c r="P389" s="267">
        <f>'Secondary cum Calculation'!P383</f>
        <v>12070</v>
      </c>
      <c r="Q389" s="267">
        <f>'Secondary cum Calculation'!Q383</f>
        <v>13385</v>
      </c>
      <c r="R389" s="267">
        <f t="shared" ref="R389:V389" si="258">Q389*(1+R390)</f>
        <v>13957.657271987555</v>
      </c>
      <c r="S389" s="267">
        <f t="shared" si="258"/>
        <v>14455.331948328077</v>
      </c>
      <c r="T389" s="267">
        <f t="shared" si="258"/>
        <v>15046.1023581013</v>
      </c>
      <c r="U389" s="267">
        <f t="shared" si="258"/>
        <v>15756.404945353475</v>
      </c>
      <c r="V389" s="267">
        <f t="shared" si="258"/>
        <v>16569.927121109755</v>
      </c>
      <c r="W389" s="106">
        <f>'Secondary cum Calculation'!W383</f>
        <v>3.3802184842000926E-2</v>
      </c>
      <c r="X389" s="106">
        <f>'Secondary cum Calculation'!X383</f>
        <v>4.361531699017096E-2</v>
      </c>
    </row>
    <row r="390" spans="1:24">
      <c r="A390" s="57"/>
      <c r="B390" s="57"/>
      <c r="C390" s="61" t="str">
        <f>'Secondary cum Calculation'!C384</f>
        <v>Growth Rate</v>
      </c>
      <c r="D390" s="61"/>
      <c r="E390" s="61"/>
      <c r="F390" s="61">
        <f>'Secondary cum Calculation'!F384</f>
        <v>0</v>
      </c>
      <c r="G390" s="61">
        <f>'Secondary cum Calculation'!G384</f>
        <v>0</v>
      </c>
      <c r="H390" s="61">
        <f>'Secondary cum Calculation'!H384</f>
        <v>0</v>
      </c>
      <c r="I390" s="61">
        <f>'Secondary cum Calculation'!I384</f>
        <v>0</v>
      </c>
      <c r="J390" s="61" t="str">
        <f>'Secondary cum Calculation'!J384</f>
        <v>%</v>
      </c>
      <c r="K390" s="58">
        <f>'Secondary cum Calculation'!K384</f>
        <v>0</v>
      </c>
      <c r="L390" s="59"/>
      <c r="M390" s="62">
        <f>'Secondary cum Calculation'!M384</f>
        <v>-0.13163618766762764</v>
      </c>
      <c r="N390" s="62">
        <f>'Secondary cum Calculation'!N384</f>
        <v>-7.6239660979847246E-2</v>
      </c>
      <c r="O390" s="62">
        <f>'Secondary cum Calculation'!O384</f>
        <v>3.6489607390300272E-2</v>
      </c>
      <c r="P390" s="62">
        <f>'Secondary cum Calculation'!P384</f>
        <v>7.575757575757569E-2</v>
      </c>
      <c r="Q390" s="62">
        <f>'Secondary cum Calculation'!Q384</f>
        <v>0.10894780447390229</v>
      </c>
      <c r="R390" s="62">
        <f>0.1*((L389/P389)^(1/4)-1)+0.9*($E392*R393+$E394*R395+$E396*R397+$E398*R399)</f>
        <v>4.2783509300527107E-2</v>
      </c>
      <c r="S390" s="62">
        <f>0.3*((M389/Q389)^(1/4)-1)+0.7*($E392*S393+$E394*S395+$E396*S397+$E398*S399)</f>
        <v>3.5656032143684784E-2</v>
      </c>
      <c r="T390" s="62">
        <f>0.2*((N389/R389)^(1/4)-1)+0.8*($E392*T393+$E394*T395+$E396*T397+$E398*T399)</f>
        <v>4.0868685124975795E-2</v>
      </c>
      <c r="U390" s="62">
        <f>0.22*((O389/S389)^(1/4)-1)+0.78*($E392*U393+$E394*U395+$E396*U397+$E398*U399)</f>
        <v>4.7208411211540513E-2</v>
      </c>
      <c r="V390" s="62">
        <f>0.2*((P389/T389)^(1/4)-1)+0.8*($E392*V393+$E394*V395+$E396*V397+$E398*V399)</f>
        <v>5.1631205124376169E-2</v>
      </c>
      <c r="W390" s="259"/>
      <c r="X390" s="259"/>
    </row>
    <row r="391" spans="1:24" outlineLevel="1">
      <c r="A391" s="306"/>
      <c r="B391" s="306"/>
      <c r="C391" s="306"/>
      <c r="D391" s="307" t="s">
        <v>912</v>
      </c>
      <c r="E391" s="112" t="s">
        <v>914</v>
      </c>
      <c r="F391" s="112"/>
      <c r="G391" s="112"/>
      <c r="H391" s="112"/>
      <c r="I391" s="112"/>
      <c r="J391" s="112"/>
      <c r="K391" s="113"/>
      <c r="L391" s="114"/>
      <c r="M391" s="115"/>
      <c r="N391" s="115"/>
      <c r="O391" s="115"/>
      <c r="P391" s="115"/>
      <c r="Q391" s="115"/>
      <c r="R391" s="115"/>
      <c r="S391" s="115"/>
      <c r="T391" s="115"/>
      <c r="U391" s="115"/>
      <c r="V391" s="115"/>
      <c r="W391" s="303"/>
      <c r="X391" s="303"/>
    </row>
    <row r="392" spans="1:24" ht="14.25" customHeight="1" outlineLevel="1">
      <c r="A392" s="310"/>
      <c r="B392" s="310"/>
      <c r="C392" s="310"/>
      <c r="D392" s="310" t="s">
        <v>931</v>
      </c>
      <c r="E392" s="309">
        <v>0.1</v>
      </c>
      <c r="F392" s="310"/>
      <c r="G392" s="310"/>
      <c r="H392" s="310"/>
      <c r="I392" s="310"/>
      <c r="J392" s="310"/>
      <c r="K392" s="310"/>
      <c r="L392" s="311">
        <f>L1200</f>
        <v>507.74700000000001</v>
      </c>
      <c r="M392" s="311">
        <f t="shared" ref="M392:U392" si="259">M1200</f>
        <v>554.154</v>
      </c>
      <c r="N392" s="311">
        <f t="shared" si="259"/>
        <v>473.45</v>
      </c>
      <c r="O392" s="311">
        <f t="shared" si="259"/>
        <v>478.67200000000003</v>
      </c>
      <c r="P392" s="311">
        <f t="shared" si="259"/>
        <v>490.68200000000002</v>
      </c>
      <c r="Q392" s="311">
        <f t="shared" si="259"/>
        <v>500.95299999999997</v>
      </c>
      <c r="R392" s="311">
        <f t="shared" si="259"/>
        <v>517.31700000000001</v>
      </c>
      <c r="S392" s="311">
        <f t="shared" si="259"/>
        <v>549.88199999999995</v>
      </c>
      <c r="T392" s="311">
        <f t="shared" si="259"/>
        <v>586.21400000000006</v>
      </c>
      <c r="U392" s="311">
        <f t="shared" si="259"/>
        <v>623.971</v>
      </c>
      <c r="V392" s="311">
        <f t="shared" ref="V392" si="260">V1200</f>
        <v>659.18339923964163</v>
      </c>
      <c r="W392" s="315"/>
      <c r="X392" s="315"/>
    </row>
    <row r="393" spans="1:24" outlineLevel="1">
      <c r="A393" s="312"/>
      <c r="B393" s="312"/>
      <c r="C393" s="312"/>
      <c r="D393" s="312" t="s">
        <v>892</v>
      </c>
      <c r="E393" s="312"/>
      <c r="F393" s="312"/>
      <c r="G393" s="312"/>
      <c r="H393" s="312"/>
      <c r="I393" s="312"/>
      <c r="J393" s="312"/>
      <c r="K393" s="312"/>
      <c r="L393" s="312"/>
      <c r="M393" s="316">
        <f>M392/L392-1</f>
        <v>9.1397881228249434E-2</v>
      </c>
      <c r="N393" s="316">
        <f t="shared" ref="N393" si="261">N392/M392-1</f>
        <v>-0.14563460698650554</v>
      </c>
      <c r="O393" s="316">
        <f t="shared" ref="O393" si="262">O392/N392-1</f>
        <v>1.1029675784137716E-2</v>
      </c>
      <c r="P393" s="316">
        <f t="shared" ref="P393" si="263">P392/O392-1</f>
        <v>2.5090249690811195E-2</v>
      </c>
      <c r="Q393" s="316">
        <f t="shared" ref="Q393" si="264">Q392/P392-1</f>
        <v>2.0932090437391082E-2</v>
      </c>
      <c r="R393" s="316">
        <f t="shared" ref="R393" si="265">R392/Q392-1</f>
        <v>3.2665739101273017E-2</v>
      </c>
      <c r="S393" s="316">
        <f t="shared" ref="S393" si="266">S392/R392-1</f>
        <v>6.2949796739716568E-2</v>
      </c>
      <c r="T393" s="316">
        <f t="shared" ref="T393" si="267">T392/S392-1</f>
        <v>6.6072357342120913E-2</v>
      </c>
      <c r="U393" s="316">
        <f t="shared" ref="U393:V393" si="268">U392/T392-1</f>
        <v>6.4408219523927945E-2</v>
      </c>
      <c r="V393" s="316">
        <f t="shared" si="268"/>
        <v>5.6432749662470805E-2</v>
      </c>
      <c r="W393" s="304">
        <f>CORREL(M393:P393,M$390:P$390)</f>
        <v>3.2420069996212449E-2</v>
      </c>
      <c r="X393" s="317"/>
    </row>
    <row r="394" spans="1:24" ht="15.75" customHeight="1" outlineLevel="1">
      <c r="A394" s="310"/>
      <c r="B394" s="310"/>
      <c r="C394" s="310"/>
      <c r="D394" s="310" t="s">
        <v>925</v>
      </c>
      <c r="E394" s="309">
        <v>0.2</v>
      </c>
      <c r="F394" s="310"/>
      <c r="G394" s="310"/>
      <c r="H394" s="310"/>
      <c r="I394" s="310"/>
      <c r="J394" s="310"/>
      <c r="K394" s="310"/>
      <c r="L394" s="311">
        <f>L1178</f>
        <v>0.25700000000000001</v>
      </c>
      <c r="M394" s="311">
        <f t="shared" ref="M394:U394" si="269">M1178</f>
        <v>0.33200000000000002</v>
      </c>
      <c r="N394" s="311">
        <f t="shared" si="269"/>
        <v>0.27100000000000002</v>
      </c>
      <c r="O394" s="311">
        <f t="shared" si="269"/>
        <v>0.30199999999999999</v>
      </c>
      <c r="P394" s="311">
        <f t="shared" si="269"/>
        <v>0.317</v>
      </c>
      <c r="Q394" s="311">
        <f t="shared" si="269"/>
        <v>0.3</v>
      </c>
      <c r="R394" s="311">
        <f t="shared" si="269"/>
        <v>0.315</v>
      </c>
      <c r="S394" s="311">
        <f t="shared" si="269"/>
        <v>0.33100000000000002</v>
      </c>
      <c r="T394" s="311">
        <f t="shared" si="269"/>
        <v>0.34</v>
      </c>
      <c r="U394" s="311">
        <f t="shared" si="269"/>
        <v>0.35599999999999998</v>
      </c>
      <c r="V394" s="311">
        <f t="shared" ref="V394" si="270">V1178</f>
        <v>0.373</v>
      </c>
      <c r="W394" s="304"/>
      <c r="X394" s="315"/>
    </row>
    <row r="395" spans="1:24" outlineLevel="1">
      <c r="A395" s="312"/>
      <c r="B395" s="312"/>
      <c r="C395" s="312"/>
      <c r="D395" s="312" t="s">
        <v>892</v>
      </c>
      <c r="E395" s="312"/>
      <c r="F395" s="312"/>
      <c r="G395" s="312"/>
      <c r="H395" s="312"/>
      <c r="I395" s="312"/>
      <c r="J395" s="312"/>
      <c r="K395" s="312"/>
      <c r="L395" s="312"/>
      <c r="M395" s="316">
        <f>M394/L394-1</f>
        <v>0.29182879377431914</v>
      </c>
      <c r="N395" s="316">
        <f t="shared" ref="N395" si="271">N394/M394-1</f>
        <v>-0.1837349397590361</v>
      </c>
      <c r="O395" s="316">
        <f t="shared" ref="O395" si="272">O394/N394-1</f>
        <v>0.1143911439114389</v>
      </c>
      <c r="P395" s="316">
        <f t="shared" ref="P395" si="273">P394/O394-1</f>
        <v>4.9668874172185573E-2</v>
      </c>
      <c r="Q395" s="316">
        <f t="shared" ref="Q395" si="274">Q394/P394-1</f>
        <v>-5.362776025236593E-2</v>
      </c>
      <c r="R395" s="316">
        <f t="shared" ref="R395" si="275">R394/Q394-1</f>
        <v>5.0000000000000044E-2</v>
      </c>
      <c r="S395" s="316">
        <f t="shared" ref="S395" si="276">S394/R394-1</f>
        <v>5.0793650793650835E-2</v>
      </c>
      <c r="T395" s="316">
        <f t="shared" ref="T395" si="277">T394/S394-1</f>
        <v>2.7190332326284095E-2</v>
      </c>
      <c r="U395" s="316">
        <f t="shared" ref="U395:V395" si="278">U394/T394-1</f>
        <v>4.7058823529411598E-2</v>
      </c>
      <c r="V395" s="316">
        <f t="shared" si="278"/>
        <v>4.7752808988763995E-2</v>
      </c>
      <c r="W395" s="304">
        <f>CORREL(M394:P394,M$390:P$390)</f>
        <v>-1.5193658566574036E-2</v>
      </c>
      <c r="X395" s="317"/>
    </row>
    <row r="396" spans="1:24" ht="17.25" customHeight="1" outlineLevel="1">
      <c r="A396" s="310"/>
      <c r="B396" s="310"/>
      <c r="C396" s="310"/>
      <c r="D396" s="310" t="s">
        <v>929</v>
      </c>
      <c r="E396" s="309">
        <v>0.3</v>
      </c>
      <c r="F396" s="310"/>
      <c r="G396" s="310"/>
      <c r="H396" s="310"/>
      <c r="I396" s="310"/>
      <c r="J396" s="310"/>
      <c r="K396" s="310"/>
      <c r="L396" s="311">
        <f>L1180</f>
        <v>24.585000000000001</v>
      </c>
      <c r="M396" s="311">
        <f t="shared" ref="M396:U396" si="279">M1180</f>
        <v>28.137</v>
      </c>
      <c r="N396" s="311">
        <f t="shared" si="279"/>
        <v>21.861999999999998</v>
      </c>
      <c r="O396" s="311">
        <f t="shared" si="279"/>
        <v>22.283999999999999</v>
      </c>
      <c r="P396" s="311">
        <f t="shared" si="279"/>
        <v>24.861000000000001</v>
      </c>
      <c r="Q396" s="311">
        <f t="shared" si="279"/>
        <v>24.689</v>
      </c>
      <c r="R396" s="311">
        <f t="shared" si="279"/>
        <v>25.759</v>
      </c>
      <c r="S396" s="311">
        <f t="shared" si="279"/>
        <v>27.472000000000001</v>
      </c>
      <c r="T396" s="311">
        <f t="shared" si="279"/>
        <v>29.088999999999999</v>
      </c>
      <c r="U396" s="311">
        <f t="shared" si="279"/>
        <v>31.286000000000001</v>
      </c>
      <c r="V396" s="311">
        <f t="shared" ref="V396" si="280">V1180</f>
        <v>33.866</v>
      </c>
      <c r="W396" s="304"/>
      <c r="X396" s="315"/>
    </row>
    <row r="397" spans="1:24" outlineLevel="1">
      <c r="A397" s="312"/>
      <c r="B397" s="312"/>
      <c r="C397" s="312"/>
      <c r="D397" s="312" t="s">
        <v>892</v>
      </c>
      <c r="E397" s="312"/>
      <c r="F397" s="312"/>
      <c r="G397" s="312"/>
      <c r="H397" s="312"/>
      <c r="I397" s="312"/>
      <c r="J397" s="312"/>
      <c r="K397" s="312"/>
      <c r="L397" s="312"/>
      <c r="M397" s="316">
        <f t="shared" ref="M397" si="281">M396/L396-1</f>
        <v>0.14447834045149488</v>
      </c>
      <c r="N397" s="316">
        <f t="shared" ref="N397" si="282">N396/M396-1</f>
        <v>-0.22301595763585325</v>
      </c>
      <c r="O397" s="316">
        <f t="shared" ref="O397" si="283">O396/N396-1</f>
        <v>1.9302900009148249E-2</v>
      </c>
      <c r="P397" s="316">
        <f t="shared" ref="P397" si="284">P396/O396-1</f>
        <v>0.11564351103931081</v>
      </c>
      <c r="Q397" s="316">
        <f t="shared" ref="Q397" si="285">Q396/P396-1</f>
        <v>-6.9184666747114099E-3</v>
      </c>
      <c r="R397" s="316">
        <f t="shared" ref="R397" si="286">R396/Q396-1</f>
        <v>4.3339138887763751E-2</v>
      </c>
      <c r="S397" s="316">
        <f t="shared" ref="S397" si="287">S396/R396-1</f>
        <v>6.6501028766644765E-2</v>
      </c>
      <c r="T397" s="316">
        <f t="shared" ref="T397" si="288">T396/S396-1</f>
        <v>5.8859930110658043E-2</v>
      </c>
      <c r="U397" s="316">
        <f t="shared" ref="U397:V397" si="289">U396/T396-1</f>
        <v>7.5526831448313958E-2</v>
      </c>
      <c r="V397" s="316">
        <f t="shared" si="289"/>
        <v>8.2465000319631665E-2</v>
      </c>
      <c r="W397" s="304">
        <f>CORREL(M397:P397,M$390:P$390)</f>
        <v>0.18212950170162415</v>
      </c>
      <c r="X397" s="317"/>
    </row>
    <row r="398" spans="1:24" ht="12.75" customHeight="1" outlineLevel="1">
      <c r="A398" s="310"/>
      <c r="B398" s="310"/>
      <c r="C398" s="310"/>
      <c r="D398" s="310" t="s">
        <v>927</v>
      </c>
      <c r="E398" s="309">
        <f>1-SUM(E392,E394,E396)</f>
        <v>0.39999999999999991</v>
      </c>
      <c r="F398" s="310"/>
      <c r="G398" s="310"/>
      <c r="H398" s="310"/>
      <c r="I398" s="310"/>
      <c r="J398" s="310"/>
      <c r="K398" s="310"/>
      <c r="L398" s="311">
        <f>L1182</f>
        <v>3.43</v>
      </c>
      <c r="M398" s="311">
        <f t="shared" ref="M398:U398" si="290">M1182</f>
        <v>4.0599999999999996</v>
      </c>
      <c r="N398" s="311">
        <f t="shared" si="290"/>
        <v>3.06</v>
      </c>
      <c r="O398" s="311">
        <f t="shared" si="290"/>
        <v>3.0670000000000002</v>
      </c>
      <c r="P398" s="311">
        <f t="shared" si="290"/>
        <v>3.4830000000000001</v>
      </c>
      <c r="Q398" s="311">
        <f t="shared" si="290"/>
        <v>3.2440000000000002</v>
      </c>
      <c r="R398" s="311">
        <f t="shared" si="290"/>
        <v>3.391</v>
      </c>
      <c r="S398" s="311">
        <f t="shared" si="290"/>
        <v>3.633</v>
      </c>
      <c r="T398" s="311">
        <f t="shared" si="290"/>
        <v>3.9670000000000001</v>
      </c>
      <c r="U398" s="311">
        <f t="shared" si="290"/>
        <v>4.3570000000000002</v>
      </c>
      <c r="V398" s="311">
        <f t="shared" ref="V398" si="291">V1182</f>
        <v>4.7709999999999999</v>
      </c>
      <c r="W398" s="304"/>
      <c r="X398" s="315"/>
    </row>
    <row r="399" spans="1:24" outlineLevel="1">
      <c r="A399" s="312"/>
      <c r="B399" s="312"/>
      <c r="C399" s="312"/>
      <c r="D399" s="312" t="s">
        <v>892</v>
      </c>
      <c r="E399" s="312"/>
      <c r="F399" s="312"/>
      <c r="G399" s="312"/>
      <c r="H399" s="312"/>
      <c r="I399" s="312"/>
      <c r="J399" s="312"/>
      <c r="K399" s="312"/>
      <c r="L399" s="312"/>
      <c r="M399" s="316">
        <f t="shared" ref="M399" si="292">M398/L398-1</f>
        <v>0.18367346938775486</v>
      </c>
      <c r="N399" s="316">
        <f t="shared" ref="N399" si="293">N398/M398-1</f>
        <v>-0.24630541871921174</v>
      </c>
      <c r="O399" s="316">
        <f t="shared" ref="O399" si="294">O398/N398-1</f>
        <v>2.2875816993463971E-3</v>
      </c>
      <c r="P399" s="316">
        <f t="shared" ref="P399" si="295">P398/O398-1</f>
        <v>0.13563743071405288</v>
      </c>
      <c r="Q399" s="316">
        <f t="shared" ref="Q399" si="296">Q398/P398-1</f>
        <v>-6.861900660350273E-2</v>
      </c>
      <c r="R399" s="316">
        <f t="shared" ref="R399" si="297">R398/Q398-1</f>
        <v>4.5314426633785487E-2</v>
      </c>
      <c r="S399" s="316">
        <f t="shared" ref="S399" si="298">S398/R398-1</f>
        <v>7.1365378944264313E-2</v>
      </c>
      <c r="T399" s="316">
        <f t="shared" ref="T399" si="299">T398/S398-1</f>
        <v>9.1935039911918537E-2</v>
      </c>
      <c r="U399" s="316">
        <f t="shared" ref="U399:V399" si="300">U398/T398-1</f>
        <v>9.8311066296949967E-2</v>
      </c>
      <c r="V399" s="316">
        <f t="shared" si="300"/>
        <v>9.5019508836355238E-2</v>
      </c>
      <c r="W399" s="304">
        <f>CORREL(M399:P399,M$390:P$390)</f>
        <v>0.12119435283649335</v>
      </c>
      <c r="X399" s="317"/>
    </row>
    <row r="400" spans="1:24" outlineLevel="1">
      <c r="A400" s="116"/>
      <c r="B400" s="318"/>
      <c r="C400" s="310"/>
      <c r="D400" s="319" t="s">
        <v>919</v>
      </c>
      <c r="E400" s="350">
        <f>E392+E394+E396+E398</f>
        <v>1</v>
      </c>
      <c r="F400" s="310"/>
      <c r="G400" s="310"/>
      <c r="H400" s="310"/>
      <c r="I400" s="310"/>
      <c r="J400" s="310"/>
      <c r="K400" s="310"/>
      <c r="L400" s="310"/>
      <c r="M400" s="310"/>
      <c r="N400" s="310"/>
      <c r="O400" s="310"/>
      <c r="P400" s="310"/>
      <c r="Q400" s="310"/>
      <c r="R400" s="310"/>
      <c r="S400" s="310"/>
      <c r="T400" s="310"/>
      <c r="U400" s="310"/>
      <c r="V400" s="310"/>
      <c r="W400" s="320">
        <f>SUM(W392:W399)</f>
        <v>0.32055026596775593</v>
      </c>
      <c r="X400" s="315"/>
    </row>
    <row r="401" spans="1:26">
      <c r="A401" s="55" t="str">
        <f>'Secondary cum Calculation'!A385</f>
        <v>Poland</v>
      </c>
      <c r="B401" s="56" t="str">
        <f>'Secondary cum Calculation'!B385</f>
        <v>Tourism Flows</v>
      </c>
      <c r="C401" s="56" t="str">
        <f>'Secondary cum Calculation'!C385</f>
        <v>International Arrivals by Place of Origin</v>
      </c>
      <c r="D401" s="56" t="str">
        <f>'Secondary cum Calculation'!D385</f>
        <v>Europe</v>
      </c>
      <c r="E401" s="55" t="str">
        <f>'Secondary cum Calculation'!E385</f>
        <v>Albania</v>
      </c>
      <c r="F401" s="57" t="str">
        <f>'Secondary cum Calculation'!F385</f>
        <v>The number of international arrivals to a country originating from Albania</v>
      </c>
      <c r="G401" s="57" t="str">
        <f>'Secondary cum Calculation'!G385</f>
        <v>Tourism Demand &amp; Flows Database</v>
      </c>
      <c r="H401" s="57" t="str">
        <f>'Secondary cum Calculation'!H385</f>
        <v>New</v>
      </c>
      <c r="I401" s="57">
        <f>'Secondary cum Calculation'!I385</f>
        <v>0</v>
      </c>
      <c r="J401" s="57" t="str">
        <f>'Secondary cum Calculation'!J385</f>
        <v>Thousand</v>
      </c>
      <c r="K401" s="58">
        <f>'Secondary cum Calculation'!K385</f>
        <v>0</v>
      </c>
      <c r="L401" s="59">
        <f>'Secondary cum Calculation'!L385</f>
        <v>0</v>
      </c>
      <c r="M401" s="59">
        <f>'Secondary cum Calculation'!M385</f>
        <v>0</v>
      </c>
      <c r="N401" s="59">
        <f>'Secondary cum Calculation'!N385</f>
        <v>0</v>
      </c>
      <c r="O401" s="59">
        <f>'Secondary cum Calculation'!O385</f>
        <v>0</v>
      </c>
      <c r="P401" s="59">
        <f>'Secondary cum Calculation'!P385</f>
        <v>0</v>
      </c>
      <c r="Q401" s="59"/>
      <c r="R401" s="59"/>
      <c r="S401" s="59"/>
      <c r="T401" s="59"/>
      <c r="U401" s="59"/>
      <c r="V401" s="59"/>
      <c r="W401" s="106" t="e">
        <f>'Secondary cum Calculation'!W385</f>
        <v>#DIV/0!</v>
      </c>
      <c r="X401" s="106" t="e">
        <f>'Secondary cum Calculation'!X385</f>
        <v>#DIV/0!</v>
      </c>
    </row>
    <row r="402" spans="1:26">
      <c r="A402" s="57"/>
      <c r="B402" s="57"/>
      <c r="C402" s="61" t="str">
        <f>'Secondary cum Calculation'!C386</f>
        <v>Growth Rate</v>
      </c>
      <c r="D402" s="61"/>
      <c r="E402" s="61"/>
      <c r="F402" s="61">
        <f>'Secondary cum Calculation'!F386</f>
        <v>0</v>
      </c>
      <c r="G402" s="61">
        <f>'Secondary cum Calculation'!G386</f>
        <v>0</v>
      </c>
      <c r="H402" s="61">
        <f>'Secondary cum Calculation'!H386</f>
        <v>0</v>
      </c>
      <c r="I402" s="61">
        <f>'Secondary cum Calculation'!I386</f>
        <v>0</v>
      </c>
      <c r="J402" s="61" t="str">
        <f>'Secondary cum Calculation'!J386</f>
        <v>%</v>
      </c>
      <c r="K402" s="58">
        <f>'Secondary cum Calculation'!K386</f>
        <v>0</v>
      </c>
      <c r="L402" s="59"/>
      <c r="M402" s="62" t="e">
        <f>'Secondary cum Calculation'!M386</f>
        <v>#DIV/0!</v>
      </c>
      <c r="N402" s="62" t="e">
        <f>'Secondary cum Calculation'!N386</f>
        <v>#DIV/0!</v>
      </c>
      <c r="O402" s="62" t="e">
        <f>'Secondary cum Calculation'!O386</f>
        <v>#DIV/0!</v>
      </c>
      <c r="P402" s="62" t="e">
        <f>'Secondary cum Calculation'!P386</f>
        <v>#DIV/0!</v>
      </c>
      <c r="Q402" s="62"/>
      <c r="R402" s="62"/>
      <c r="S402" s="62"/>
      <c r="T402" s="62"/>
      <c r="U402" s="62"/>
      <c r="V402" s="62"/>
      <c r="W402" s="259"/>
      <c r="X402" s="259"/>
    </row>
    <row r="403" spans="1:26">
      <c r="A403" s="55" t="str">
        <f>'Secondary cum Calculation'!A387</f>
        <v>Poland</v>
      </c>
      <c r="B403" s="56" t="str">
        <f>'Secondary cum Calculation'!B387</f>
        <v>Tourism Flows</v>
      </c>
      <c r="C403" s="56" t="str">
        <f>'Secondary cum Calculation'!C387</f>
        <v>International Arrivals by Place of Origin</v>
      </c>
      <c r="D403" s="56" t="str">
        <f>'Secondary cum Calculation'!D387</f>
        <v>Europe</v>
      </c>
      <c r="E403" s="55" t="str">
        <f>'Secondary cum Calculation'!E387</f>
        <v>Armenia</v>
      </c>
      <c r="F403" s="57" t="str">
        <f>'Secondary cum Calculation'!F387</f>
        <v>The number of international arrivals to a country originating from Armenia</v>
      </c>
      <c r="G403" s="57" t="str">
        <f>'Secondary cum Calculation'!G387</f>
        <v>Tourism Demand &amp; Flows Database</v>
      </c>
      <c r="H403" s="57" t="str">
        <f>'Secondary cum Calculation'!H387</f>
        <v>New</v>
      </c>
      <c r="I403" s="57">
        <f>'Secondary cum Calculation'!I387</f>
        <v>0</v>
      </c>
      <c r="J403" s="57" t="str">
        <f>'Secondary cum Calculation'!J387</f>
        <v>Thousand</v>
      </c>
      <c r="K403" s="58">
        <f>'Secondary cum Calculation'!K387</f>
        <v>0</v>
      </c>
      <c r="L403" s="59">
        <f>'Secondary cum Calculation'!L387</f>
        <v>0</v>
      </c>
      <c r="M403" s="59">
        <f>'Secondary cum Calculation'!M387</f>
        <v>0</v>
      </c>
      <c r="N403" s="59">
        <f>'Secondary cum Calculation'!N387</f>
        <v>0</v>
      </c>
      <c r="O403" s="59">
        <f>'Secondary cum Calculation'!O387</f>
        <v>0</v>
      </c>
      <c r="P403" s="59">
        <f>'Secondary cum Calculation'!P387</f>
        <v>0</v>
      </c>
      <c r="Q403" s="59"/>
      <c r="R403" s="59"/>
      <c r="S403" s="59"/>
      <c r="T403" s="59"/>
      <c r="U403" s="59"/>
      <c r="V403" s="59"/>
      <c r="W403" s="106" t="e">
        <f>'Secondary cum Calculation'!W387</f>
        <v>#DIV/0!</v>
      </c>
      <c r="X403" s="106" t="e">
        <f>'Secondary cum Calculation'!X387</f>
        <v>#DIV/0!</v>
      </c>
    </row>
    <row r="404" spans="1:26">
      <c r="A404" s="57"/>
      <c r="B404" s="57"/>
      <c r="C404" s="61" t="str">
        <f>'Secondary cum Calculation'!C388</f>
        <v>Growth Rate</v>
      </c>
      <c r="D404" s="61"/>
      <c r="E404" s="61"/>
      <c r="F404" s="61">
        <f>'Secondary cum Calculation'!F388</f>
        <v>0</v>
      </c>
      <c r="G404" s="61">
        <f>'Secondary cum Calculation'!G388</f>
        <v>0</v>
      </c>
      <c r="H404" s="61">
        <f>'Secondary cum Calculation'!H388</f>
        <v>0</v>
      </c>
      <c r="I404" s="61">
        <f>'Secondary cum Calculation'!I388</f>
        <v>0</v>
      </c>
      <c r="J404" s="61" t="str">
        <f>'Secondary cum Calculation'!J388</f>
        <v>%</v>
      </c>
      <c r="K404" s="58">
        <f>'Secondary cum Calculation'!K388</f>
        <v>0</v>
      </c>
      <c r="L404" s="59"/>
      <c r="M404" s="62" t="e">
        <f>'Secondary cum Calculation'!M388</f>
        <v>#DIV/0!</v>
      </c>
      <c r="N404" s="62" t="e">
        <f>'Secondary cum Calculation'!N388</f>
        <v>#DIV/0!</v>
      </c>
      <c r="O404" s="62" t="e">
        <f>'Secondary cum Calculation'!O388</f>
        <v>#DIV/0!</v>
      </c>
      <c r="P404" s="62" t="e">
        <f>'Secondary cum Calculation'!P388</f>
        <v>#DIV/0!</v>
      </c>
      <c r="Q404" s="62"/>
      <c r="R404" s="62"/>
      <c r="S404" s="62"/>
      <c r="T404" s="62"/>
      <c r="U404" s="62"/>
      <c r="V404" s="62"/>
      <c r="W404" s="259"/>
      <c r="X404" s="259"/>
    </row>
    <row r="405" spans="1:26">
      <c r="A405" s="55" t="str">
        <f>'Secondary cum Calculation'!A389</f>
        <v>Poland</v>
      </c>
      <c r="B405" s="56" t="str">
        <f>'Secondary cum Calculation'!B389</f>
        <v>Tourism Flows</v>
      </c>
      <c r="C405" s="56" t="str">
        <f>'Secondary cum Calculation'!C389</f>
        <v>International Arrivals by Place of Origin</v>
      </c>
      <c r="D405" s="56" t="str">
        <f>'Secondary cum Calculation'!D389</f>
        <v>Europe</v>
      </c>
      <c r="E405" s="55" t="str">
        <f>'Secondary cum Calculation'!E389</f>
        <v>Austria</v>
      </c>
      <c r="F405" s="57" t="str">
        <f>'Secondary cum Calculation'!F389</f>
        <v>The number of international arrivals to a country originating from Austria</v>
      </c>
      <c r="G405" s="57" t="str">
        <f>'Secondary cum Calculation'!G389</f>
        <v>Tourism Demand &amp; Flows Database</v>
      </c>
      <c r="H405" s="57" t="str">
        <f>'Secondary cum Calculation'!H389</f>
        <v>New</v>
      </c>
      <c r="I405" s="57">
        <f>'Secondary cum Calculation'!I389</f>
        <v>0</v>
      </c>
      <c r="J405" s="57" t="str">
        <f>'Secondary cum Calculation'!J389</f>
        <v>Thousand</v>
      </c>
      <c r="K405" s="58">
        <f>'Secondary cum Calculation'!K389</f>
        <v>117.191</v>
      </c>
      <c r="L405" s="59">
        <f>'Secondary cum Calculation'!L389</f>
        <v>331.10589090338078</v>
      </c>
      <c r="M405" s="59">
        <f>'Secondary cum Calculation'!M389</f>
        <v>305.21794197063036</v>
      </c>
      <c r="N405" s="59">
        <f>'Secondary cum Calculation'!N389</f>
        <v>280</v>
      </c>
      <c r="O405" s="59">
        <f>'Secondary cum Calculation'!O389</f>
        <v>310</v>
      </c>
      <c r="P405" s="59">
        <f>'Secondary cum Calculation'!P389</f>
        <v>315</v>
      </c>
      <c r="Q405" s="59"/>
      <c r="R405" s="59"/>
      <c r="S405" s="59"/>
      <c r="T405" s="59"/>
      <c r="U405" s="59"/>
      <c r="V405" s="59"/>
      <c r="W405" s="106">
        <f>'Secondary cum Calculation'!W389</f>
        <v>1.5823663215569272E-2</v>
      </c>
      <c r="X405" s="106">
        <f>'Secondary cum Calculation'!X389</f>
        <v>-1</v>
      </c>
      <c r="Z405" s="12"/>
    </row>
    <row r="406" spans="1:26">
      <c r="A406" s="57"/>
      <c r="B406" s="57"/>
      <c r="C406" s="61" t="str">
        <f>'Secondary cum Calculation'!C390</f>
        <v>Growth Rate</v>
      </c>
      <c r="D406" s="61"/>
      <c r="E406" s="61"/>
      <c r="F406" s="61">
        <f>'Secondary cum Calculation'!F390</f>
        <v>0</v>
      </c>
      <c r="G406" s="61">
        <f>'Secondary cum Calculation'!G390</f>
        <v>0</v>
      </c>
      <c r="H406" s="61">
        <f>'Secondary cum Calculation'!H390</f>
        <v>0</v>
      </c>
      <c r="I406" s="61">
        <f>'Secondary cum Calculation'!I390</f>
        <v>0</v>
      </c>
      <c r="J406" s="61" t="str">
        <f>'Secondary cum Calculation'!J390</f>
        <v>%</v>
      </c>
      <c r="K406" s="58">
        <f>'Secondary cum Calculation'!K390</f>
        <v>0</v>
      </c>
      <c r="L406" s="59"/>
      <c r="M406" s="62">
        <f>'Secondary cum Calculation'!M390</f>
        <v>-7.8186313333533319E-2</v>
      </c>
      <c r="N406" s="62">
        <f>'Secondary cum Calculation'!N390</f>
        <v>-8.2622737732295448E-2</v>
      </c>
      <c r="O406" s="62">
        <f>'Secondary cum Calculation'!O390</f>
        <v>0.10714285714285721</v>
      </c>
      <c r="P406" s="62">
        <f>'Secondary cum Calculation'!P390</f>
        <v>1.6129032258064502E-2</v>
      </c>
      <c r="Q406" s="62"/>
      <c r="R406" s="62"/>
      <c r="S406" s="62"/>
      <c r="T406" s="62"/>
      <c r="U406" s="62"/>
      <c r="V406" s="62"/>
      <c r="W406" s="259"/>
      <c r="X406" s="259"/>
    </row>
    <row r="407" spans="1:26">
      <c r="A407" s="55" t="str">
        <f>'Secondary cum Calculation'!A391</f>
        <v>Poland</v>
      </c>
      <c r="B407" s="56" t="str">
        <f>'Secondary cum Calculation'!B391</f>
        <v>Tourism Flows</v>
      </c>
      <c r="C407" s="56" t="str">
        <f>'Secondary cum Calculation'!C391</f>
        <v>International Arrivals by Place of Origin</v>
      </c>
      <c r="D407" s="56" t="str">
        <f>'Secondary cum Calculation'!D391</f>
        <v>Europe</v>
      </c>
      <c r="E407" s="55" t="str">
        <f>'Secondary cum Calculation'!E391</f>
        <v>Belarus</v>
      </c>
      <c r="F407" s="57" t="str">
        <f>'Secondary cum Calculation'!F391</f>
        <v>The number of international arrivals to a country originating from Belarus</v>
      </c>
      <c r="G407" s="57" t="str">
        <f>'Secondary cum Calculation'!G391</f>
        <v>Tourism Demand &amp; Flows Database</v>
      </c>
      <c r="H407" s="57" t="str">
        <f>'Secondary cum Calculation'!H391</f>
        <v>New</v>
      </c>
      <c r="I407" s="57">
        <f>'Secondary cum Calculation'!I391</f>
        <v>0</v>
      </c>
      <c r="J407" s="57" t="str">
        <f>'Secondary cum Calculation'!J391</f>
        <v>Thousand</v>
      </c>
      <c r="K407" s="58">
        <f>'Secondary cum Calculation'!K391</f>
        <v>0</v>
      </c>
      <c r="L407" s="59">
        <f>'Secondary cum Calculation'!L391</f>
        <v>1648.3303463331877</v>
      </c>
      <c r="M407" s="59">
        <f>'Secondary cum Calculation'!M391</f>
        <v>1122.3874126036153</v>
      </c>
      <c r="N407" s="59">
        <f>'Secondary cum Calculation'!N391</f>
        <v>865</v>
      </c>
      <c r="O407" s="88">
        <f>'Secondary cum Calculation'!O391</f>
        <v>970</v>
      </c>
      <c r="P407" s="88">
        <f>'Secondary cum Calculation'!P391</f>
        <v>1220</v>
      </c>
      <c r="Q407" s="88"/>
      <c r="R407" s="88"/>
      <c r="S407" s="88"/>
      <c r="T407" s="88"/>
      <c r="U407" s="88"/>
      <c r="V407" s="88"/>
      <c r="W407" s="106">
        <f>'Secondary cum Calculation'!W391</f>
        <v>9.6082027740405085E-2</v>
      </c>
      <c r="X407" s="106">
        <f>'Secondary cum Calculation'!X391</f>
        <v>-1</v>
      </c>
    </row>
    <row r="408" spans="1:26">
      <c r="A408" s="57"/>
      <c r="B408" s="57"/>
      <c r="C408" s="61" t="str">
        <f>'Secondary cum Calculation'!C392</f>
        <v>Growth Rate</v>
      </c>
      <c r="D408" s="61"/>
      <c r="E408" s="61"/>
      <c r="F408" s="61">
        <f>'Secondary cum Calculation'!F392</f>
        <v>0</v>
      </c>
      <c r="G408" s="61">
        <f>'Secondary cum Calculation'!G392</f>
        <v>0</v>
      </c>
      <c r="H408" s="61">
        <f>'Secondary cum Calculation'!H392</f>
        <v>0</v>
      </c>
      <c r="I408" s="61">
        <f>'Secondary cum Calculation'!I392</f>
        <v>0</v>
      </c>
      <c r="J408" s="61" t="str">
        <f>'Secondary cum Calculation'!J392</f>
        <v>%</v>
      </c>
      <c r="K408" s="58">
        <f>'Secondary cum Calculation'!K392</f>
        <v>0</v>
      </c>
      <c r="L408" s="59"/>
      <c r="M408" s="62">
        <f>'Secondary cum Calculation'!M392</f>
        <v>-0.31907616995559462</v>
      </c>
      <c r="N408" s="62">
        <f>'Secondary cum Calculation'!N392</f>
        <v>-0.22932136418614202</v>
      </c>
      <c r="O408" s="62">
        <f>'Secondary cum Calculation'!O392</f>
        <v>0.12138728323699421</v>
      </c>
      <c r="P408" s="62">
        <f>'Secondary cum Calculation'!P392</f>
        <v>0.25773195876288657</v>
      </c>
      <c r="Q408" s="62"/>
      <c r="R408" s="62"/>
      <c r="S408" s="62"/>
      <c r="T408" s="62"/>
      <c r="U408" s="62"/>
      <c r="V408" s="62"/>
      <c r="W408" s="259"/>
      <c r="X408" s="259"/>
    </row>
    <row r="409" spans="1:26">
      <c r="A409" s="55" t="str">
        <f>'Secondary cum Calculation'!A393</f>
        <v>Poland</v>
      </c>
      <c r="B409" s="56" t="str">
        <f>'Secondary cum Calculation'!B393</f>
        <v>Tourism Flows</v>
      </c>
      <c r="C409" s="56" t="str">
        <f>'Secondary cum Calculation'!C393</f>
        <v>International Arrivals by Place of Origin</v>
      </c>
      <c r="D409" s="56" t="str">
        <f>'Secondary cum Calculation'!D393</f>
        <v>Europe</v>
      </c>
      <c r="E409" s="55" t="str">
        <f>'Secondary cum Calculation'!E393</f>
        <v>Belgium</v>
      </c>
      <c r="F409" s="57" t="str">
        <f>'Secondary cum Calculation'!F393</f>
        <v>The number of international arrivals to a country originating from Belgium</v>
      </c>
      <c r="G409" s="57" t="str">
        <f>'Secondary cum Calculation'!G393</f>
        <v>Tourism Demand &amp; Flows Database</v>
      </c>
      <c r="H409" s="57" t="str">
        <f>'Secondary cum Calculation'!H393</f>
        <v>New</v>
      </c>
      <c r="I409" s="57">
        <f>'Secondary cum Calculation'!I393</f>
        <v>0</v>
      </c>
      <c r="J409" s="57" t="str">
        <f>'Secondary cum Calculation'!J393</f>
        <v>Thousand</v>
      </c>
      <c r="K409" s="58">
        <f>'Secondary cum Calculation'!K393</f>
        <v>188.31100000000001</v>
      </c>
      <c r="L409" s="59">
        <f>'Secondary cum Calculation'!L393</f>
        <v>0</v>
      </c>
      <c r="M409" s="59">
        <f>'Secondary cum Calculation'!M393</f>
        <v>0</v>
      </c>
      <c r="N409" s="59">
        <f>'Secondary cum Calculation'!N393</f>
        <v>0</v>
      </c>
      <c r="O409" s="59">
        <f>'Secondary cum Calculation'!O393</f>
        <v>0</v>
      </c>
      <c r="P409" s="59">
        <f>'Secondary cum Calculation'!P393</f>
        <v>0</v>
      </c>
      <c r="Q409" s="59"/>
      <c r="R409" s="59"/>
      <c r="S409" s="59"/>
      <c r="T409" s="59"/>
      <c r="U409" s="59"/>
      <c r="V409" s="59"/>
      <c r="W409" s="106" t="e">
        <f>'Secondary cum Calculation'!W393</f>
        <v>#DIV/0!</v>
      </c>
      <c r="X409" s="106" t="e">
        <f>'Secondary cum Calculation'!X393</f>
        <v>#DIV/0!</v>
      </c>
      <c r="Z409" s="12"/>
    </row>
    <row r="410" spans="1:26">
      <c r="A410" s="57"/>
      <c r="B410" s="57"/>
      <c r="C410" s="61" t="str">
        <f>'Secondary cum Calculation'!C394</f>
        <v>Growth Rate</v>
      </c>
      <c r="D410" s="61"/>
      <c r="E410" s="61"/>
      <c r="F410" s="61">
        <f>'Secondary cum Calculation'!F394</f>
        <v>0</v>
      </c>
      <c r="G410" s="61">
        <f>'Secondary cum Calculation'!G394</f>
        <v>0</v>
      </c>
      <c r="H410" s="61">
        <f>'Secondary cum Calculation'!H394</f>
        <v>0</v>
      </c>
      <c r="I410" s="61">
        <f>'Secondary cum Calculation'!I394</f>
        <v>0</v>
      </c>
      <c r="J410" s="61" t="str">
        <f>'Secondary cum Calculation'!J394</f>
        <v>%</v>
      </c>
      <c r="K410" s="58">
        <f>'Secondary cum Calculation'!K394</f>
        <v>0</v>
      </c>
      <c r="L410" s="59"/>
      <c r="M410" s="62" t="e">
        <f>'Secondary cum Calculation'!M394</f>
        <v>#DIV/0!</v>
      </c>
      <c r="N410" s="62" t="e">
        <f>'Secondary cum Calculation'!N394</f>
        <v>#DIV/0!</v>
      </c>
      <c r="O410" s="62" t="e">
        <f>'Secondary cum Calculation'!O394</f>
        <v>#DIV/0!</v>
      </c>
      <c r="P410" s="62" t="e">
        <f>'Secondary cum Calculation'!P394</f>
        <v>#DIV/0!</v>
      </c>
      <c r="Q410" s="62"/>
      <c r="R410" s="62"/>
      <c r="S410" s="62"/>
      <c r="T410" s="62"/>
      <c r="U410" s="62"/>
      <c r="V410" s="62"/>
      <c r="W410" s="259"/>
      <c r="X410" s="259"/>
    </row>
    <row r="411" spans="1:26">
      <c r="A411" s="55" t="str">
        <f>'Secondary cum Calculation'!A395</f>
        <v>Poland</v>
      </c>
      <c r="B411" s="56" t="str">
        <f>'Secondary cum Calculation'!B395</f>
        <v>Tourism Flows</v>
      </c>
      <c r="C411" s="56" t="str">
        <f>'Secondary cum Calculation'!C395</f>
        <v>International Arrivals by Place of Origin</v>
      </c>
      <c r="D411" s="56" t="str">
        <f>'Secondary cum Calculation'!D395</f>
        <v>Europe</v>
      </c>
      <c r="E411" s="55" t="str">
        <f>'Secondary cum Calculation'!E395</f>
        <v>Bosnia and Herzegovina</v>
      </c>
      <c r="F411" s="57" t="str">
        <f>'Secondary cum Calculation'!F395</f>
        <v>The number of international arrivals to a country originating from Bosnia and Herzegovina</v>
      </c>
      <c r="G411" s="57" t="str">
        <f>'Secondary cum Calculation'!G395</f>
        <v>Tourism Demand &amp; Flows Database</v>
      </c>
      <c r="H411" s="57" t="str">
        <f>'Secondary cum Calculation'!H395</f>
        <v>New</v>
      </c>
      <c r="I411" s="57">
        <f>'Secondary cum Calculation'!I395</f>
        <v>0</v>
      </c>
      <c r="J411" s="57" t="str">
        <f>'Secondary cum Calculation'!J395</f>
        <v>Thousand</v>
      </c>
      <c r="K411" s="58">
        <f>'Secondary cum Calculation'!K395</f>
        <v>0</v>
      </c>
      <c r="L411" s="59">
        <f>'Secondary cum Calculation'!L395</f>
        <v>0</v>
      </c>
      <c r="M411" s="59">
        <f>'Secondary cum Calculation'!M395</f>
        <v>0</v>
      </c>
      <c r="N411" s="59">
        <f>'Secondary cum Calculation'!N395</f>
        <v>0</v>
      </c>
      <c r="O411" s="88">
        <f>'Secondary cum Calculation'!O395</f>
        <v>0</v>
      </c>
      <c r="P411" s="88">
        <f>'Secondary cum Calculation'!P395</f>
        <v>0</v>
      </c>
      <c r="Q411" s="88"/>
      <c r="R411" s="88"/>
      <c r="S411" s="88"/>
      <c r="T411" s="88"/>
      <c r="U411" s="88"/>
      <c r="V411" s="88"/>
      <c r="W411" s="106" t="e">
        <f>'Secondary cum Calculation'!W395</f>
        <v>#DIV/0!</v>
      </c>
      <c r="X411" s="106" t="e">
        <f>'Secondary cum Calculation'!X395</f>
        <v>#DIV/0!</v>
      </c>
    </row>
    <row r="412" spans="1:26">
      <c r="A412" s="57"/>
      <c r="B412" s="57"/>
      <c r="C412" s="61" t="str">
        <f>'Secondary cum Calculation'!C396</f>
        <v>Growth Rate</v>
      </c>
      <c r="D412" s="61"/>
      <c r="E412" s="61"/>
      <c r="F412" s="61">
        <f>'Secondary cum Calculation'!F396</f>
        <v>0</v>
      </c>
      <c r="G412" s="61">
        <f>'Secondary cum Calculation'!G396</f>
        <v>0</v>
      </c>
      <c r="H412" s="61">
        <f>'Secondary cum Calculation'!H396</f>
        <v>0</v>
      </c>
      <c r="I412" s="61">
        <f>'Secondary cum Calculation'!I396</f>
        <v>0</v>
      </c>
      <c r="J412" s="61" t="str">
        <f>'Secondary cum Calculation'!J396</f>
        <v>%</v>
      </c>
      <c r="K412" s="58">
        <f>'Secondary cum Calculation'!K396</f>
        <v>0</v>
      </c>
      <c r="L412" s="59"/>
      <c r="M412" s="62" t="e">
        <f>'Secondary cum Calculation'!M396</f>
        <v>#DIV/0!</v>
      </c>
      <c r="N412" s="62" t="e">
        <f>'Secondary cum Calculation'!N396</f>
        <v>#DIV/0!</v>
      </c>
      <c r="O412" s="62" t="e">
        <f>'Secondary cum Calculation'!O396</f>
        <v>#DIV/0!</v>
      </c>
      <c r="P412" s="62" t="e">
        <f>'Secondary cum Calculation'!P396</f>
        <v>#DIV/0!</v>
      </c>
      <c r="Q412" s="62"/>
      <c r="R412" s="62"/>
      <c r="S412" s="62"/>
      <c r="T412" s="62"/>
      <c r="U412" s="62"/>
      <c r="V412" s="62"/>
      <c r="W412" s="259"/>
      <c r="X412" s="259"/>
    </row>
    <row r="413" spans="1:26">
      <c r="A413" s="55" t="str">
        <f>'Secondary cum Calculation'!A397</f>
        <v>Poland</v>
      </c>
      <c r="B413" s="56" t="str">
        <f>'Secondary cum Calculation'!B397</f>
        <v>Tourism Flows</v>
      </c>
      <c r="C413" s="56" t="str">
        <f>'Secondary cum Calculation'!C397</f>
        <v>International Arrivals by Place of Origin</v>
      </c>
      <c r="D413" s="56" t="str">
        <f>'Secondary cum Calculation'!D397</f>
        <v>Europe</v>
      </c>
      <c r="E413" s="55" t="str">
        <f>'Secondary cum Calculation'!E397</f>
        <v>Bulgaria</v>
      </c>
      <c r="F413" s="57" t="str">
        <f>'Secondary cum Calculation'!F397</f>
        <v>The number of international arrivals to a country originating from Bulgaria</v>
      </c>
      <c r="G413" s="57" t="str">
        <f>'Secondary cum Calculation'!G397</f>
        <v>Tourism Demand &amp; Flows Database</v>
      </c>
      <c r="H413" s="57" t="str">
        <f>'Secondary cum Calculation'!H397</f>
        <v>New</v>
      </c>
      <c r="I413" s="57">
        <f>'Secondary cum Calculation'!I397</f>
        <v>0</v>
      </c>
      <c r="J413" s="57" t="str">
        <f>'Secondary cum Calculation'!J397</f>
        <v>Thousand</v>
      </c>
      <c r="K413" s="58">
        <f>'Secondary cum Calculation'!K397</f>
        <v>0</v>
      </c>
      <c r="L413" s="59">
        <f>'Secondary cum Calculation'!L397</f>
        <v>0</v>
      </c>
      <c r="M413" s="59">
        <f>'Secondary cum Calculation'!M397</f>
        <v>0</v>
      </c>
      <c r="N413" s="59">
        <f>'Secondary cum Calculation'!N397</f>
        <v>0</v>
      </c>
      <c r="O413" s="59">
        <f>'Secondary cum Calculation'!O397</f>
        <v>0</v>
      </c>
      <c r="P413" s="59">
        <f>'Secondary cum Calculation'!P397</f>
        <v>0</v>
      </c>
      <c r="Q413" s="59"/>
      <c r="R413" s="59"/>
      <c r="S413" s="59"/>
      <c r="T413" s="59"/>
      <c r="U413" s="59"/>
      <c r="V413" s="59"/>
      <c r="W413" s="106" t="e">
        <f>'Secondary cum Calculation'!W397</f>
        <v>#DIV/0!</v>
      </c>
      <c r="X413" s="106" t="e">
        <f>'Secondary cum Calculation'!X397</f>
        <v>#DIV/0!</v>
      </c>
    </row>
    <row r="414" spans="1:26">
      <c r="A414" s="57"/>
      <c r="B414" s="57"/>
      <c r="C414" s="61" t="str">
        <f>'Secondary cum Calculation'!C398</f>
        <v>Growth Rate</v>
      </c>
      <c r="D414" s="61"/>
      <c r="E414" s="61"/>
      <c r="F414" s="61">
        <f>'Secondary cum Calculation'!F398</f>
        <v>0</v>
      </c>
      <c r="G414" s="61">
        <f>'Secondary cum Calculation'!G398</f>
        <v>0</v>
      </c>
      <c r="H414" s="61">
        <f>'Secondary cum Calculation'!H398</f>
        <v>0</v>
      </c>
      <c r="I414" s="61">
        <f>'Secondary cum Calculation'!I398</f>
        <v>0</v>
      </c>
      <c r="J414" s="61" t="str">
        <f>'Secondary cum Calculation'!J398</f>
        <v>%</v>
      </c>
      <c r="K414" s="58">
        <f>'Secondary cum Calculation'!K398</f>
        <v>0</v>
      </c>
      <c r="L414" s="59"/>
      <c r="M414" s="62" t="e">
        <f>'Secondary cum Calculation'!M398</f>
        <v>#DIV/0!</v>
      </c>
      <c r="N414" s="62" t="e">
        <f>'Secondary cum Calculation'!N398</f>
        <v>#DIV/0!</v>
      </c>
      <c r="O414" s="62" t="e">
        <f>'Secondary cum Calculation'!O398</f>
        <v>#DIV/0!</v>
      </c>
      <c r="P414" s="62" t="e">
        <f>'Secondary cum Calculation'!P398</f>
        <v>#DIV/0!</v>
      </c>
      <c r="Q414" s="62"/>
      <c r="R414" s="62"/>
      <c r="S414" s="62"/>
      <c r="T414" s="62"/>
      <c r="U414" s="62"/>
      <c r="V414" s="62"/>
      <c r="W414" s="259"/>
      <c r="X414" s="259"/>
    </row>
    <row r="415" spans="1:26">
      <c r="A415" s="55" t="str">
        <f>'Secondary cum Calculation'!A399</f>
        <v>Poland</v>
      </c>
      <c r="B415" s="56" t="str">
        <f>'Secondary cum Calculation'!B399</f>
        <v>Tourism Flows</v>
      </c>
      <c r="C415" s="56" t="str">
        <f>'Secondary cum Calculation'!C399</f>
        <v>International Arrivals by Place of Origin</v>
      </c>
      <c r="D415" s="56" t="str">
        <f>'Secondary cum Calculation'!D399</f>
        <v>Europe</v>
      </c>
      <c r="E415" s="55" t="str">
        <f>'Secondary cum Calculation'!E399</f>
        <v>Channel Islands</v>
      </c>
      <c r="F415" s="57" t="str">
        <f>'Secondary cum Calculation'!F399</f>
        <v>The number of international arrivals to a country originating from Channel Islands</v>
      </c>
      <c r="G415" s="57" t="str">
        <f>'Secondary cum Calculation'!G399</f>
        <v>Tourism Demand &amp; Flows Database</v>
      </c>
      <c r="H415" s="57" t="str">
        <f>'Secondary cum Calculation'!H399</f>
        <v>New</v>
      </c>
      <c r="I415" s="57">
        <f>'Secondary cum Calculation'!I399</f>
        <v>0</v>
      </c>
      <c r="J415" s="57" t="str">
        <f>'Secondary cum Calculation'!J399</f>
        <v>Thousand</v>
      </c>
      <c r="K415" s="58">
        <f>'Secondary cum Calculation'!K399</f>
        <v>0</v>
      </c>
      <c r="L415" s="59">
        <f>'Secondary cum Calculation'!L399</f>
        <v>0</v>
      </c>
      <c r="M415" s="59">
        <f>'Secondary cum Calculation'!M399</f>
        <v>0</v>
      </c>
      <c r="N415" s="59">
        <f>'Secondary cum Calculation'!N399</f>
        <v>0</v>
      </c>
      <c r="O415" s="59">
        <f>'Secondary cum Calculation'!O399</f>
        <v>0</v>
      </c>
      <c r="P415" s="59">
        <f>'Secondary cum Calculation'!P399</f>
        <v>0</v>
      </c>
      <c r="Q415" s="59"/>
      <c r="R415" s="59"/>
      <c r="S415" s="59"/>
      <c r="T415" s="59"/>
      <c r="U415" s="59"/>
      <c r="V415" s="59"/>
      <c r="W415" s="106" t="e">
        <f>'Secondary cum Calculation'!W399</f>
        <v>#DIV/0!</v>
      </c>
      <c r="X415" s="106" t="e">
        <f>'Secondary cum Calculation'!X399</f>
        <v>#DIV/0!</v>
      </c>
    </row>
    <row r="416" spans="1:26">
      <c r="A416" s="57"/>
      <c r="B416" s="57"/>
      <c r="C416" s="61" t="str">
        <f>'Secondary cum Calculation'!C400</f>
        <v>Growth Rate</v>
      </c>
      <c r="D416" s="61"/>
      <c r="E416" s="61"/>
      <c r="F416" s="61">
        <f>'Secondary cum Calculation'!F400</f>
        <v>0</v>
      </c>
      <c r="G416" s="61">
        <f>'Secondary cum Calculation'!G400</f>
        <v>0</v>
      </c>
      <c r="H416" s="61">
        <f>'Secondary cum Calculation'!H400</f>
        <v>0</v>
      </c>
      <c r="I416" s="61">
        <f>'Secondary cum Calculation'!I400</f>
        <v>0</v>
      </c>
      <c r="J416" s="61" t="str">
        <f>'Secondary cum Calculation'!J400</f>
        <v>%</v>
      </c>
      <c r="K416" s="58">
        <f>'Secondary cum Calculation'!K400</f>
        <v>0</v>
      </c>
      <c r="L416" s="59"/>
      <c r="M416" s="62" t="e">
        <f>'Secondary cum Calculation'!M400</f>
        <v>#DIV/0!</v>
      </c>
      <c r="N416" s="62" t="e">
        <f>'Secondary cum Calculation'!N400</f>
        <v>#DIV/0!</v>
      </c>
      <c r="O416" s="62" t="e">
        <f>'Secondary cum Calculation'!O400</f>
        <v>#DIV/0!</v>
      </c>
      <c r="P416" s="62" t="e">
        <f>'Secondary cum Calculation'!P400</f>
        <v>#DIV/0!</v>
      </c>
      <c r="Q416" s="62"/>
      <c r="R416" s="62"/>
      <c r="S416" s="62"/>
      <c r="T416" s="62"/>
      <c r="U416" s="62"/>
      <c r="V416" s="62"/>
      <c r="W416" s="259"/>
      <c r="X416" s="259"/>
    </row>
    <row r="417" spans="1:26">
      <c r="A417" s="55" t="str">
        <f>'Secondary cum Calculation'!A401</f>
        <v>Poland</v>
      </c>
      <c r="B417" s="56" t="str">
        <f>'Secondary cum Calculation'!B401</f>
        <v>Tourism Flows</v>
      </c>
      <c r="C417" s="56" t="str">
        <f>'Secondary cum Calculation'!C401</f>
        <v>International Arrivals by Place of Origin</v>
      </c>
      <c r="D417" s="56" t="str">
        <f>'Secondary cum Calculation'!D401</f>
        <v>Europe</v>
      </c>
      <c r="E417" s="55" t="str">
        <f>'Secondary cum Calculation'!E401</f>
        <v>Croatia</v>
      </c>
      <c r="F417" s="57" t="str">
        <f>'Secondary cum Calculation'!F401</f>
        <v>The number of international arrivals to a country originating from Croatia</v>
      </c>
      <c r="G417" s="57" t="str">
        <f>'Secondary cum Calculation'!G401</f>
        <v>Tourism Demand &amp; Flows Database</v>
      </c>
      <c r="H417" s="57" t="str">
        <f>'Secondary cum Calculation'!H401</f>
        <v>New</v>
      </c>
      <c r="I417" s="57">
        <f>'Secondary cum Calculation'!I401</f>
        <v>0</v>
      </c>
      <c r="J417" s="57" t="str">
        <f>'Secondary cum Calculation'!J401</f>
        <v>Thousand</v>
      </c>
      <c r="K417" s="58">
        <f>'Secondary cum Calculation'!K401</f>
        <v>0</v>
      </c>
      <c r="L417" s="59">
        <f>'Secondary cum Calculation'!L401</f>
        <v>0</v>
      </c>
      <c r="M417" s="59">
        <f>'Secondary cum Calculation'!M401</f>
        <v>0</v>
      </c>
      <c r="N417" s="59">
        <f>'Secondary cum Calculation'!N401</f>
        <v>0</v>
      </c>
      <c r="O417" s="59">
        <f>'Secondary cum Calculation'!O401</f>
        <v>0</v>
      </c>
      <c r="P417" s="59">
        <f>'Secondary cum Calculation'!P401</f>
        <v>0</v>
      </c>
      <c r="Q417" s="59"/>
      <c r="R417" s="59"/>
      <c r="S417" s="59"/>
      <c r="T417" s="59"/>
      <c r="U417" s="59"/>
      <c r="V417" s="59"/>
      <c r="W417" s="106" t="e">
        <f>'Secondary cum Calculation'!W401</f>
        <v>#DIV/0!</v>
      </c>
      <c r="X417" s="106" t="e">
        <f>'Secondary cum Calculation'!X401</f>
        <v>#DIV/0!</v>
      </c>
    </row>
    <row r="418" spans="1:26">
      <c r="A418" s="57"/>
      <c r="B418" s="57"/>
      <c r="C418" s="61" t="str">
        <f>'Secondary cum Calculation'!C402</f>
        <v>Growth Rate</v>
      </c>
      <c r="D418" s="61"/>
      <c r="E418" s="61"/>
      <c r="F418" s="61">
        <f>'Secondary cum Calculation'!F402</f>
        <v>0</v>
      </c>
      <c r="G418" s="61">
        <f>'Secondary cum Calculation'!G402</f>
        <v>0</v>
      </c>
      <c r="H418" s="61">
        <f>'Secondary cum Calculation'!H402</f>
        <v>0</v>
      </c>
      <c r="I418" s="61">
        <f>'Secondary cum Calculation'!I402</f>
        <v>0</v>
      </c>
      <c r="J418" s="61" t="str">
        <f>'Secondary cum Calculation'!J402</f>
        <v>%</v>
      </c>
      <c r="K418" s="58">
        <f>'Secondary cum Calculation'!K402</f>
        <v>0</v>
      </c>
      <c r="L418" s="59"/>
      <c r="M418" s="62" t="e">
        <f>'Secondary cum Calculation'!M402</f>
        <v>#DIV/0!</v>
      </c>
      <c r="N418" s="62" t="e">
        <f>'Secondary cum Calculation'!N402</f>
        <v>#DIV/0!</v>
      </c>
      <c r="O418" s="62" t="e">
        <f>'Secondary cum Calculation'!O402</f>
        <v>#DIV/0!</v>
      </c>
      <c r="P418" s="62" t="e">
        <f>'Secondary cum Calculation'!P402</f>
        <v>#DIV/0!</v>
      </c>
      <c r="Q418" s="62"/>
      <c r="R418" s="62"/>
      <c r="S418" s="62"/>
      <c r="T418" s="62"/>
      <c r="U418" s="62"/>
      <c r="V418" s="62"/>
      <c r="W418" s="259"/>
      <c r="X418" s="259"/>
    </row>
    <row r="419" spans="1:26">
      <c r="A419" s="55" t="str">
        <f>'Secondary cum Calculation'!A403</f>
        <v>Poland</v>
      </c>
      <c r="B419" s="56" t="str">
        <f>'Secondary cum Calculation'!B403</f>
        <v>Tourism Flows</v>
      </c>
      <c r="C419" s="56" t="str">
        <f>'Secondary cum Calculation'!C403</f>
        <v>International Arrivals by Place of Origin</v>
      </c>
      <c r="D419" s="56" t="str">
        <f>'Secondary cum Calculation'!D403</f>
        <v>Europe</v>
      </c>
      <c r="E419" s="55" t="str">
        <f>'Secondary cum Calculation'!E403</f>
        <v>Cyprus</v>
      </c>
      <c r="F419" s="57" t="str">
        <f>'Secondary cum Calculation'!F403</f>
        <v>The number of international arrivals to a country originating from Cyprus</v>
      </c>
      <c r="G419" s="57" t="str">
        <f>'Secondary cum Calculation'!G403</f>
        <v>Tourism Demand &amp; Flows Database</v>
      </c>
      <c r="H419" s="57" t="str">
        <f>'Secondary cum Calculation'!H403</f>
        <v>New</v>
      </c>
      <c r="I419" s="57">
        <f>'Secondary cum Calculation'!I403</f>
        <v>0</v>
      </c>
      <c r="J419" s="57" t="str">
        <f>'Secondary cum Calculation'!J403</f>
        <v>Thousand</v>
      </c>
      <c r="K419" s="58">
        <f>'Secondary cum Calculation'!K403</f>
        <v>0</v>
      </c>
      <c r="L419" s="59">
        <f>'Secondary cum Calculation'!L403</f>
        <v>0</v>
      </c>
      <c r="M419" s="59">
        <f>'Secondary cum Calculation'!M403</f>
        <v>0</v>
      </c>
      <c r="N419" s="59">
        <f>'Secondary cum Calculation'!N403</f>
        <v>0</v>
      </c>
      <c r="O419" s="59">
        <f>'Secondary cum Calculation'!O403</f>
        <v>0</v>
      </c>
      <c r="P419" s="59">
        <f>'Secondary cum Calculation'!P403</f>
        <v>0</v>
      </c>
      <c r="Q419" s="59"/>
      <c r="R419" s="59"/>
      <c r="S419" s="59"/>
      <c r="T419" s="59"/>
      <c r="U419" s="59"/>
      <c r="V419" s="59"/>
      <c r="W419" s="106" t="e">
        <f>'Secondary cum Calculation'!W403</f>
        <v>#DIV/0!</v>
      </c>
      <c r="X419" s="106" t="e">
        <f>'Secondary cum Calculation'!X403</f>
        <v>#DIV/0!</v>
      </c>
    </row>
    <row r="420" spans="1:26">
      <c r="A420" s="57"/>
      <c r="B420" s="57"/>
      <c r="C420" s="61" t="str">
        <f>'Secondary cum Calculation'!C404</f>
        <v>Growth Rate</v>
      </c>
      <c r="D420" s="61"/>
      <c r="E420" s="61"/>
      <c r="F420" s="61">
        <f>'Secondary cum Calculation'!F404</f>
        <v>0</v>
      </c>
      <c r="G420" s="61">
        <f>'Secondary cum Calculation'!G404</f>
        <v>0</v>
      </c>
      <c r="H420" s="61">
        <f>'Secondary cum Calculation'!H404</f>
        <v>0</v>
      </c>
      <c r="I420" s="61">
        <f>'Secondary cum Calculation'!I404</f>
        <v>0</v>
      </c>
      <c r="J420" s="61" t="str">
        <f>'Secondary cum Calculation'!J404</f>
        <v>%</v>
      </c>
      <c r="K420" s="58">
        <f>'Secondary cum Calculation'!K404</f>
        <v>0</v>
      </c>
      <c r="L420" s="59"/>
      <c r="M420" s="62" t="e">
        <f>'Secondary cum Calculation'!M404</f>
        <v>#DIV/0!</v>
      </c>
      <c r="N420" s="62" t="e">
        <f>'Secondary cum Calculation'!N404</f>
        <v>#DIV/0!</v>
      </c>
      <c r="O420" s="62" t="e">
        <f>'Secondary cum Calculation'!O404</f>
        <v>#DIV/0!</v>
      </c>
      <c r="P420" s="62" t="e">
        <f>'Secondary cum Calculation'!P404</f>
        <v>#DIV/0!</v>
      </c>
      <c r="Q420" s="62"/>
      <c r="R420" s="62"/>
      <c r="S420" s="62"/>
      <c r="T420" s="62"/>
      <c r="U420" s="62"/>
      <c r="V420" s="62"/>
      <c r="W420" s="259"/>
      <c r="X420" s="259"/>
    </row>
    <row r="421" spans="1:26">
      <c r="A421" s="55" t="str">
        <f>'Secondary cum Calculation'!A405</f>
        <v>Poland</v>
      </c>
      <c r="B421" s="56" t="str">
        <f>'Secondary cum Calculation'!B405</f>
        <v>Tourism Flows</v>
      </c>
      <c r="C421" s="56" t="str">
        <f>'Secondary cum Calculation'!C405</f>
        <v>International Arrivals by Place of Origin</v>
      </c>
      <c r="D421" s="56" t="str">
        <f>'Secondary cum Calculation'!D405</f>
        <v>Europe</v>
      </c>
      <c r="E421" s="55" t="str">
        <f>'Secondary cum Calculation'!E405</f>
        <v>Czech Republic</v>
      </c>
      <c r="F421" s="57" t="str">
        <f>'Secondary cum Calculation'!F405</f>
        <v>The number of international arrivals to a country originating from Czech Republic</v>
      </c>
      <c r="G421" s="57" t="str">
        <f>'Secondary cum Calculation'!G405</f>
        <v>Tourism Demand &amp; Flows Database</v>
      </c>
      <c r="H421" s="57" t="str">
        <f>'Secondary cum Calculation'!H405</f>
        <v>New</v>
      </c>
      <c r="I421" s="57">
        <f>'Secondary cum Calculation'!I405</f>
        <v>0</v>
      </c>
      <c r="J421" s="57" t="str">
        <f>'Secondary cum Calculation'!J405</f>
        <v>Thousand</v>
      </c>
      <c r="K421" s="58">
        <f>'Secondary cum Calculation'!K405</f>
        <v>0</v>
      </c>
      <c r="L421" s="59">
        <f>'Secondary cum Calculation'!L405</f>
        <v>208.15478317675095</v>
      </c>
      <c r="M421" s="59">
        <f>'Secondary cum Calculation'!M405</f>
        <v>185.50323512523551</v>
      </c>
      <c r="N421" s="59">
        <f>'Secondary cum Calculation'!N405</f>
        <v>175</v>
      </c>
      <c r="O421" s="59">
        <f>'Secondary cum Calculation'!O405</f>
        <v>175</v>
      </c>
      <c r="P421" s="59">
        <f>'Secondary cum Calculation'!P405</f>
        <v>195</v>
      </c>
      <c r="Q421" s="59"/>
      <c r="R421" s="59"/>
      <c r="S421" s="59"/>
      <c r="T421" s="59"/>
      <c r="U421" s="59"/>
      <c r="V421" s="59"/>
      <c r="W421" s="106">
        <f>'Secondary cum Calculation'!W405</f>
        <v>2.5299140398871822E-2</v>
      </c>
      <c r="X421" s="106">
        <f>'Secondary cum Calculation'!X405</f>
        <v>-1</v>
      </c>
    </row>
    <row r="422" spans="1:26">
      <c r="A422" s="57"/>
      <c r="B422" s="57"/>
      <c r="C422" s="61" t="str">
        <f>'Secondary cum Calculation'!C406</f>
        <v>Growth Rate</v>
      </c>
      <c r="D422" s="61"/>
      <c r="E422" s="61"/>
      <c r="F422" s="61">
        <f>'Secondary cum Calculation'!F406</f>
        <v>0</v>
      </c>
      <c r="G422" s="61">
        <f>'Secondary cum Calculation'!G406</f>
        <v>0</v>
      </c>
      <c r="H422" s="61">
        <f>'Secondary cum Calculation'!H406</f>
        <v>0</v>
      </c>
      <c r="I422" s="61">
        <f>'Secondary cum Calculation'!I406</f>
        <v>0</v>
      </c>
      <c r="J422" s="61" t="str">
        <f>'Secondary cum Calculation'!J406</f>
        <v>%</v>
      </c>
      <c r="K422" s="58">
        <f>'Secondary cum Calculation'!K406</f>
        <v>0</v>
      </c>
      <c r="L422" s="59"/>
      <c r="M422" s="62">
        <f>'Secondary cum Calculation'!M406</f>
        <v>-0.10882069441700648</v>
      </c>
      <c r="N422" s="62">
        <f>'Secondary cum Calculation'!N406</f>
        <v>-5.6620226154787234E-2</v>
      </c>
      <c r="O422" s="62">
        <f>'Secondary cum Calculation'!O406</f>
        <v>0</v>
      </c>
      <c r="P422" s="62">
        <f>'Secondary cum Calculation'!P406</f>
        <v>0.11428571428571432</v>
      </c>
      <c r="Q422" s="62"/>
      <c r="R422" s="62"/>
      <c r="S422" s="62"/>
      <c r="T422" s="62"/>
      <c r="U422" s="62"/>
      <c r="V422" s="62"/>
      <c r="W422" s="259"/>
      <c r="X422" s="259"/>
    </row>
    <row r="423" spans="1:26">
      <c r="A423" s="55" t="str">
        <f>'Secondary cum Calculation'!A407</f>
        <v>Poland</v>
      </c>
      <c r="B423" s="56" t="str">
        <f>'Secondary cum Calculation'!B407</f>
        <v>Tourism Flows</v>
      </c>
      <c r="C423" s="56" t="str">
        <f>'Secondary cum Calculation'!C407</f>
        <v>International Arrivals by Place of Origin</v>
      </c>
      <c r="D423" s="56" t="str">
        <f>'Secondary cum Calculation'!D407</f>
        <v>Europe</v>
      </c>
      <c r="E423" s="55" t="str">
        <f>'Secondary cum Calculation'!E407</f>
        <v>Denmark</v>
      </c>
      <c r="F423" s="57" t="str">
        <f>'Secondary cum Calculation'!F407</f>
        <v>The number of international arrivals to a country originating from Denmark</v>
      </c>
      <c r="G423" s="57" t="str">
        <f>'Secondary cum Calculation'!G407</f>
        <v>Tourism Demand &amp; Flows Database</v>
      </c>
      <c r="H423" s="57" t="str">
        <f>'Secondary cum Calculation'!H407</f>
        <v>New</v>
      </c>
      <c r="I423" s="57">
        <f>'Secondary cum Calculation'!I407</f>
        <v>0</v>
      </c>
      <c r="J423" s="57" t="str">
        <f>'Secondary cum Calculation'!J407</f>
        <v>Thousand</v>
      </c>
      <c r="K423" s="58">
        <f>'Secondary cum Calculation'!K407</f>
        <v>185.33699999999999</v>
      </c>
      <c r="L423" s="59">
        <f>'Secondary cum Calculation'!L407</f>
        <v>0</v>
      </c>
      <c r="M423" s="59">
        <f>'Secondary cum Calculation'!M407</f>
        <v>0</v>
      </c>
      <c r="N423" s="59">
        <f>'Secondary cum Calculation'!N407</f>
        <v>0</v>
      </c>
      <c r="O423" s="59">
        <f>'Secondary cum Calculation'!O407</f>
        <v>0</v>
      </c>
      <c r="P423" s="59">
        <f>'Secondary cum Calculation'!P407</f>
        <v>0</v>
      </c>
      <c r="Q423" s="59"/>
      <c r="R423" s="59"/>
      <c r="S423" s="59"/>
      <c r="T423" s="59"/>
      <c r="U423" s="59"/>
      <c r="V423" s="59"/>
      <c r="W423" s="106" t="e">
        <f>'Secondary cum Calculation'!W407</f>
        <v>#DIV/0!</v>
      </c>
      <c r="X423" s="106" t="e">
        <f>'Secondary cum Calculation'!X407</f>
        <v>#DIV/0!</v>
      </c>
      <c r="Z423" s="12"/>
    </row>
    <row r="424" spans="1:26">
      <c r="A424" s="57"/>
      <c r="B424" s="57"/>
      <c r="C424" s="61" t="str">
        <f>'Secondary cum Calculation'!C408</f>
        <v>Growth Rate</v>
      </c>
      <c r="D424" s="61"/>
      <c r="E424" s="61"/>
      <c r="F424" s="61">
        <f>'Secondary cum Calculation'!F408</f>
        <v>0</v>
      </c>
      <c r="G424" s="61">
        <f>'Secondary cum Calculation'!G408</f>
        <v>0</v>
      </c>
      <c r="H424" s="61">
        <f>'Secondary cum Calculation'!H408</f>
        <v>0</v>
      </c>
      <c r="I424" s="61">
        <f>'Secondary cum Calculation'!I408</f>
        <v>0</v>
      </c>
      <c r="J424" s="61" t="str">
        <f>'Secondary cum Calculation'!J408</f>
        <v>%</v>
      </c>
      <c r="K424" s="58">
        <f>'Secondary cum Calculation'!K408</f>
        <v>0</v>
      </c>
      <c r="L424" s="59"/>
      <c r="M424" s="62" t="e">
        <f>'Secondary cum Calculation'!M408</f>
        <v>#DIV/0!</v>
      </c>
      <c r="N424" s="62" t="e">
        <f>'Secondary cum Calculation'!N408</f>
        <v>#DIV/0!</v>
      </c>
      <c r="O424" s="62" t="e">
        <f>'Secondary cum Calculation'!O408</f>
        <v>#DIV/0!</v>
      </c>
      <c r="P424" s="62" t="e">
        <f>'Secondary cum Calculation'!P408</f>
        <v>#DIV/0!</v>
      </c>
      <c r="Q424" s="62"/>
      <c r="R424" s="62"/>
      <c r="S424" s="62"/>
      <c r="T424" s="62"/>
      <c r="U424" s="62"/>
      <c r="V424" s="62"/>
      <c r="W424" s="259"/>
      <c r="X424" s="259"/>
    </row>
    <row r="425" spans="1:26">
      <c r="A425" s="55" t="str">
        <f>'Secondary cum Calculation'!A409</f>
        <v>Poland</v>
      </c>
      <c r="B425" s="56" t="str">
        <f>'Secondary cum Calculation'!B409</f>
        <v>Tourism Flows</v>
      </c>
      <c r="C425" s="56" t="str">
        <f>'Secondary cum Calculation'!C409</f>
        <v>International Arrivals by Place of Origin</v>
      </c>
      <c r="D425" s="56" t="str">
        <f>'Secondary cum Calculation'!D409</f>
        <v>Europe</v>
      </c>
      <c r="E425" s="55" t="str">
        <f>'Secondary cum Calculation'!E409</f>
        <v>Estonia</v>
      </c>
      <c r="F425" s="57" t="str">
        <f>'Secondary cum Calculation'!F409</f>
        <v>The number of international arrivals to a country originating from Estonia</v>
      </c>
      <c r="G425" s="57" t="str">
        <f>'Secondary cum Calculation'!G409</f>
        <v>Tourism Demand &amp; Flows Database</v>
      </c>
      <c r="H425" s="57" t="str">
        <f>'Secondary cum Calculation'!H409</f>
        <v>New</v>
      </c>
      <c r="I425" s="57">
        <f>'Secondary cum Calculation'!I409</f>
        <v>0</v>
      </c>
      <c r="J425" s="57" t="str">
        <f>'Secondary cum Calculation'!J409</f>
        <v>Thousand</v>
      </c>
      <c r="K425" s="58">
        <f>'Secondary cum Calculation'!K409</f>
        <v>0</v>
      </c>
      <c r="L425" s="59">
        <f>'Secondary cum Calculation'!L409</f>
        <v>0</v>
      </c>
      <c r="M425" s="59">
        <f>'Secondary cum Calculation'!M409</f>
        <v>0</v>
      </c>
      <c r="N425" s="59">
        <f>'Secondary cum Calculation'!N409</f>
        <v>0</v>
      </c>
      <c r="O425" s="88">
        <f>'Secondary cum Calculation'!O409</f>
        <v>0</v>
      </c>
      <c r="P425" s="88">
        <f>'Secondary cum Calculation'!P409</f>
        <v>0</v>
      </c>
      <c r="Q425" s="88"/>
      <c r="R425" s="88"/>
      <c r="S425" s="88"/>
      <c r="T425" s="88"/>
      <c r="U425" s="88"/>
      <c r="V425" s="88"/>
      <c r="W425" s="106" t="e">
        <f>'Secondary cum Calculation'!W409</f>
        <v>#DIV/0!</v>
      </c>
      <c r="X425" s="106" t="e">
        <f>'Secondary cum Calculation'!X409</f>
        <v>#DIV/0!</v>
      </c>
    </row>
    <row r="426" spans="1:26">
      <c r="A426" s="57"/>
      <c r="B426" s="57"/>
      <c r="C426" s="61" t="str">
        <f>'Secondary cum Calculation'!C410</f>
        <v>Growth Rate</v>
      </c>
      <c r="D426" s="61"/>
      <c r="E426" s="61"/>
      <c r="F426" s="61">
        <f>'Secondary cum Calculation'!F410</f>
        <v>0</v>
      </c>
      <c r="G426" s="61">
        <f>'Secondary cum Calculation'!G410</f>
        <v>0</v>
      </c>
      <c r="H426" s="61">
        <f>'Secondary cum Calculation'!H410</f>
        <v>0</v>
      </c>
      <c r="I426" s="61">
        <f>'Secondary cum Calculation'!I410</f>
        <v>0</v>
      </c>
      <c r="J426" s="61" t="str">
        <f>'Secondary cum Calculation'!J410</f>
        <v>%</v>
      </c>
      <c r="K426" s="58">
        <f>'Secondary cum Calculation'!K410</f>
        <v>0</v>
      </c>
      <c r="L426" s="59"/>
      <c r="M426" s="62" t="e">
        <f>'Secondary cum Calculation'!M410</f>
        <v>#DIV/0!</v>
      </c>
      <c r="N426" s="62" t="e">
        <f>'Secondary cum Calculation'!N410</f>
        <v>#DIV/0!</v>
      </c>
      <c r="O426" s="62" t="e">
        <f>'Secondary cum Calculation'!O410</f>
        <v>#DIV/0!</v>
      </c>
      <c r="P426" s="62" t="e">
        <f>'Secondary cum Calculation'!P410</f>
        <v>#DIV/0!</v>
      </c>
      <c r="Q426" s="62"/>
      <c r="R426" s="62"/>
      <c r="S426" s="62"/>
      <c r="T426" s="62"/>
      <c r="U426" s="62"/>
      <c r="V426" s="62"/>
      <c r="W426" s="259"/>
      <c r="X426" s="259"/>
    </row>
    <row r="427" spans="1:26">
      <c r="A427" s="55" t="str">
        <f>'Secondary cum Calculation'!A411</f>
        <v>Poland</v>
      </c>
      <c r="B427" s="56" t="str">
        <f>'Secondary cum Calculation'!B411</f>
        <v>Tourism Flows</v>
      </c>
      <c r="C427" s="56" t="str">
        <f>'Secondary cum Calculation'!C411</f>
        <v>International Arrivals by Place of Origin</v>
      </c>
      <c r="D427" s="56" t="str">
        <f>'Secondary cum Calculation'!D411</f>
        <v>Europe</v>
      </c>
      <c r="E427" s="55" t="str">
        <f>'Secondary cum Calculation'!E411</f>
        <v>Finland</v>
      </c>
      <c r="F427" s="57" t="str">
        <f>'Secondary cum Calculation'!F411</f>
        <v>The number of international arrivals to a country originating from Finland</v>
      </c>
      <c r="G427" s="57" t="str">
        <f>'Secondary cum Calculation'!G411</f>
        <v>Tourism Demand &amp; Flows Database</v>
      </c>
      <c r="H427" s="57" t="str">
        <f>'Secondary cum Calculation'!H411</f>
        <v>New</v>
      </c>
      <c r="I427" s="57">
        <f>'Secondary cum Calculation'!I411</f>
        <v>0</v>
      </c>
      <c r="J427" s="57" t="str">
        <f>'Secondary cum Calculation'!J411</f>
        <v>Thousand</v>
      </c>
      <c r="K427" s="58">
        <f>'Secondary cum Calculation'!K411</f>
        <v>87.903999999999996</v>
      </c>
      <c r="L427" s="59">
        <f>'Secondary cum Calculation'!L411</f>
        <v>0</v>
      </c>
      <c r="M427" s="59">
        <f>'Secondary cum Calculation'!M411</f>
        <v>0</v>
      </c>
      <c r="N427" s="59">
        <f>'Secondary cum Calculation'!N411</f>
        <v>0</v>
      </c>
      <c r="O427" s="59">
        <f>'Secondary cum Calculation'!O411</f>
        <v>0</v>
      </c>
      <c r="P427" s="59">
        <f>'Secondary cum Calculation'!P411</f>
        <v>0</v>
      </c>
      <c r="Q427" s="59"/>
      <c r="R427" s="80"/>
      <c r="S427" s="59"/>
      <c r="T427" s="59"/>
      <c r="U427" s="59"/>
      <c r="V427" s="59"/>
      <c r="W427" s="106" t="e">
        <f>'Secondary cum Calculation'!W411</f>
        <v>#DIV/0!</v>
      </c>
      <c r="X427" s="106" t="e">
        <f>'Secondary cum Calculation'!X411</f>
        <v>#DIV/0!</v>
      </c>
      <c r="Z427" s="12"/>
    </row>
    <row r="428" spans="1:26">
      <c r="A428" s="57"/>
      <c r="B428" s="57"/>
      <c r="C428" s="61" t="str">
        <f>'Secondary cum Calculation'!C412</f>
        <v>Growth Rate</v>
      </c>
      <c r="D428" s="61"/>
      <c r="E428" s="61"/>
      <c r="F428" s="61">
        <f>'Secondary cum Calculation'!F412</f>
        <v>0</v>
      </c>
      <c r="G428" s="61">
        <f>'Secondary cum Calculation'!G412</f>
        <v>0</v>
      </c>
      <c r="H428" s="61">
        <f>'Secondary cum Calculation'!H412</f>
        <v>0</v>
      </c>
      <c r="I428" s="61">
        <f>'Secondary cum Calculation'!I412</f>
        <v>0</v>
      </c>
      <c r="J428" s="61" t="str">
        <f>'Secondary cum Calculation'!J412</f>
        <v>%</v>
      </c>
      <c r="K428" s="58">
        <f>'Secondary cum Calculation'!K412</f>
        <v>0</v>
      </c>
      <c r="L428" s="59"/>
      <c r="M428" s="62" t="e">
        <f>'Secondary cum Calculation'!M412</f>
        <v>#DIV/0!</v>
      </c>
      <c r="N428" s="62" t="e">
        <f>'Secondary cum Calculation'!N412</f>
        <v>#DIV/0!</v>
      </c>
      <c r="O428" s="62" t="e">
        <f>'Secondary cum Calculation'!O412</f>
        <v>#DIV/0!</v>
      </c>
      <c r="P428" s="62" t="e">
        <f>'Secondary cum Calculation'!P412</f>
        <v>#DIV/0!</v>
      </c>
      <c r="Q428" s="62"/>
      <c r="R428" s="62"/>
      <c r="S428" s="62"/>
      <c r="T428" s="62"/>
      <c r="U428" s="62"/>
      <c r="V428" s="62"/>
      <c r="W428" s="259"/>
      <c r="X428" s="259"/>
    </row>
    <row r="429" spans="1:26">
      <c r="A429" s="55" t="str">
        <f>'Secondary cum Calculation'!A413</f>
        <v>Poland</v>
      </c>
      <c r="B429" s="56" t="str">
        <f>'Secondary cum Calculation'!B413</f>
        <v>Tourism Flows</v>
      </c>
      <c r="C429" s="56" t="str">
        <f>'Secondary cum Calculation'!C413</f>
        <v>International Arrivals by Place of Origin</v>
      </c>
      <c r="D429" s="56" t="str">
        <f>'Secondary cum Calculation'!D413</f>
        <v>Europe</v>
      </c>
      <c r="E429" s="55" t="str">
        <f>'Secondary cum Calculation'!E413</f>
        <v>France</v>
      </c>
      <c r="F429" s="57" t="str">
        <f>'Secondary cum Calculation'!F413</f>
        <v>The number of international arrivals to a country originating from France</v>
      </c>
      <c r="G429" s="57" t="str">
        <f>'Secondary cum Calculation'!G413</f>
        <v>Tourism Demand &amp; Flows Database</v>
      </c>
      <c r="H429" s="57" t="str">
        <f>'Secondary cum Calculation'!H413</f>
        <v>New</v>
      </c>
      <c r="I429" s="57">
        <f>'Secondary cum Calculation'!I413</f>
        <v>0</v>
      </c>
      <c r="J429" s="57" t="str">
        <f>'Secondary cum Calculation'!J413</f>
        <v>Thousand</v>
      </c>
      <c r="K429" s="58">
        <f>'Secondary cum Calculation'!K413</f>
        <v>789.81500000000005</v>
      </c>
      <c r="L429" s="59">
        <f>'Secondary cum Calculation'!L413</f>
        <v>245.01602959390124</v>
      </c>
      <c r="M429" s="59">
        <f>'Secondary cum Calculation'!M413</f>
        <v>228.54835172100599</v>
      </c>
      <c r="N429" s="59">
        <f>'Secondary cum Calculation'!N413</f>
        <v>215</v>
      </c>
      <c r="O429" s="59">
        <f>'Secondary cum Calculation'!O413</f>
        <v>225</v>
      </c>
      <c r="P429" s="59">
        <f>'Secondary cum Calculation'!P413</f>
        <v>240</v>
      </c>
      <c r="Q429" s="59"/>
      <c r="R429" s="59"/>
      <c r="S429" s="59"/>
      <c r="T429" s="59"/>
      <c r="U429" s="59"/>
      <c r="V429" s="59"/>
      <c r="W429" s="106">
        <f>'Secondary cum Calculation'!W413</f>
        <v>1.2297786101481245E-2</v>
      </c>
      <c r="X429" s="106">
        <f>'Secondary cum Calculation'!X413</f>
        <v>-1</v>
      </c>
      <c r="Z429" s="12"/>
    </row>
    <row r="430" spans="1:26">
      <c r="A430" s="57"/>
      <c r="B430" s="57"/>
      <c r="C430" s="61" t="str">
        <f>'Secondary cum Calculation'!C414</f>
        <v>Growth Rate</v>
      </c>
      <c r="D430" s="61"/>
      <c r="E430" s="61"/>
      <c r="F430" s="61">
        <f>'Secondary cum Calculation'!F414</f>
        <v>0</v>
      </c>
      <c r="G430" s="61">
        <f>'Secondary cum Calculation'!G414</f>
        <v>0</v>
      </c>
      <c r="H430" s="61">
        <f>'Secondary cum Calculation'!H414</f>
        <v>0</v>
      </c>
      <c r="I430" s="61">
        <f>'Secondary cum Calculation'!I414</f>
        <v>0</v>
      </c>
      <c r="J430" s="61" t="str">
        <f>'Secondary cum Calculation'!J414</f>
        <v>%</v>
      </c>
      <c r="K430" s="58">
        <f>'Secondary cum Calculation'!K414</f>
        <v>0</v>
      </c>
      <c r="L430" s="59"/>
      <c r="M430" s="62">
        <f>'Secondary cum Calculation'!M414</f>
        <v>-6.7210614343026442E-2</v>
      </c>
      <c r="N430" s="62">
        <f>'Secondary cum Calculation'!N414</f>
        <v>-5.9280023762957379E-2</v>
      </c>
      <c r="O430" s="62">
        <f>'Secondary cum Calculation'!O414</f>
        <v>4.6511627906976827E-2</v>
      </c>
      <c r="P430" s="62">
        <f>'Secondary cum Calculation'!P414</f>
        <v>6.6666666666666652E-2</v>
      </c>
      <c r="Q430" s="62"/>
      <c r="R430" s="62"/>
      <c r="S430" s="62"/>
      <c r="T430" s="62"/>
      <c r="U430" s="62"/>
      <c r="V430" s="62"/>
      <c r="W430" s="259"/>
      <c r="X430" s="259"/>
    </row>
    <row r="431" spans="1:26">
      <c r="A431" s="55" t="str">
        <f>'Secondary cum Calculation'!A415</f>
        <v>Poland</v>
      </c>
      <c r="B431" s="56" t="str">
        <f>'Secondary cum Calculation'!B415</f>
        <v>Tourism Flows</v>
      </c>
      <c r="C431" s="56" t="str">
        <f>'Secondary cum Calculation'!C415</f>
        <v>International Arrivals by Place of Origin</v>
      </c>
      <c r="D431" s="56" t="str">
        <f>'Secondary cum Calculation'!D415</f>
        <v>Europe</v>
      </c>
      <c r="E431" s="55" t="str">
        <f>'Secondary cum Calculation'!E415</f>
        <v>Georgia</v>
      </c>
      <c r="F431" s="57" t="str">
        <f>'Secondary cum Calculation'!F415</f>
        <v>The number of international arrivals to a country originating from Georgia</v>
      </c>
      <c r="G431" s="57" t="str">
        <f>'Secondary cum Calculation'!G415</f>
        <v>Tourism Demand &amp; Flows Database</v>
      </c>
      <c r="H431" s="57" t="str">
        <f>'Secondary cum Calculation'!H415</f>
        <v>New</v>
      </c>
      <c r="I431" s="57">
        <f>'Secondary cum Calculation'!I415</f>
        <v>0</v>
      </c>
      <c r="J431" s="57" t="str">
        <f>'Secondary cum Calculation'!J415</f>
        <v>Thousand</v>
      </c>
      <c r="K431" s="58">
        <f>'Secondary cum Calculation'!K415</f>
        <v>0</v>
      </c>
      <c r="L431" s="59">
        <f>'Secondary cum Calculation'!L415</f>
        <v>0</v>
      </c>
      <c r="M431" s="59">
        <f>'Secondary cum Calculation'!M415</f>
        <v>0</v>
      </c>
      <c r="N431" s="59">
        <f>'Secondary cum Calculation'!N415</f>
        <v>0</v>
      </c>
      <c r="O431" s="88">
        <f>'Secondary cum Calculation'!O415</f>
        <v>0</v>
      </c>
      <c r="P431" s="88">
        <f>'Secondary cum Calculation'!P415</f>
        <v>0</v>
      </c>
      <c r="Q431" s="88"/>
      <c r="R431" s="88"/>
      <c r="S431" s="88"/>
      <c r="T431" s="88"/>
      <c r="U431" s="88"/>
      <c r="V431" s="88"/>
      <c r="W431" s="106" t="e">
        <f>'Secondary cum Calculation'!W415</f>
        <v>#DIV/0!</v>
      </c>
      <c r="X431" s="106" t="e">
        <f>'Secondary cum Calculation'!X415</f>
        <v>#DIV/0!</v>
      </c>
    </row>
    <row r="432" spans="1:26">
      <c r="A432" s="57"/>
      <c r="B432" s="57"/>
      <c r="C432" s="61" t="str">
        <f>'Secondary cum Calculation'!C416</f>
        <v>Growth Rate</v>
      </c>
      <c r="D432" s="61"/>
      <c r="E432" s="61"/>
      <c r="F432" s="61">
        <f>'Secondary cum Calculation'!F416</f>
        <v>0</v>
      </c>
      <c r="G432" s="61">
        <f>'Secondary cum Calculation'!G416</f>
        <v>0</v>
      </c>
      <c r="H432" s="61">
        <f>'Secondary cum Calculation'!H416</f>
        <v>0</v>
      </c>
      <c r="I432" s="61">
        <f>'Secondary cum Calculation'!I416</f>
        <v>0</v>
      </c>
      <c r="J432" s="61" t="str">
        <f>'Secondary cum Calculation'!J416</f>
        <v>%</v>
      </c>
      <c r="K432" s="58">
        <f>'Secondary cum Calculation'!K416</f>
        <v>0</v>
      </c>
      <c r="L432" s="59"/>
      <c r="M432" s="62" t="e">
        <f>'Secondary cum Calculation'!M416</f>
        <v>#DIV/0!</v>
      </c>
      <c r="N432" s="62" t="e">
        <f>'Secondary cum Calculation'!N416</f>
        <v>#DIV/0!</v>
      </c>
      <c r="O432" s="62" t="e">
        <f>'Secondary cum Calculation'!O416</f>
        <v>#DIV/0!</v>
      </c>
      <c r="P432" s="62" t="e">
        <f>'Secondary cum Calculation'!P416</f>
        <v>#DIV/0!</v>
      </c>
      <c r="Q432" s="62"/>
      <c r="R432" s="62"/>
      <c r="S432" s="62"/>
      <c r="T432" s="62"/>
      <c r="U432" s="62"/>
      <c r="V432" s="62"/>
      <c r="W432" s="259"/>
      <c r="X432" s="259"/>
    </row>
    <row r="433" spans="1:26">
      <c r="A433" s="55" t="str">
        <f>'Secondary cum Calculation'!A417</f>
        <v>Poland</v>
      </c>
      <c r="B433" s="56" t="str">
        <f>'Secondary cum Calculation'!B417</f>
        <v>Tourism Flows</v>
      </c>
      <c r="C433" s="56" t="str">
        <f>'Secondary cum Calculation'!C417</f>
        <v>International Arrivals by Place of Origin</v>
      </c>
      <c r="D433" s="56" t="str">
        <f>'Secondary cum Calculation'!D417</f>
        <v>Europe</v>
      </c>
      <c r="E433" s="55" t="str">
        <f>'Secondary cum Calculation'!E417</f>
        <v>Germany</v>
      </c>
      <c r="F433" s="57" t="str">
        <f>'Secondary cum Calculation'!F417</f>
        <v>The number of international arrivals to a country originating from Germany</v>
      </c>
      <c r="G433" s="57" t="str">
        <f>'Secondary cum Calculation'!G417</f>
        <v>Tourism Demand &amp; Flows Database</v>
      </c>
      <c r="H433" s="57" t="str">
        <f>'Secondary cum Calculation'!H417</f>
        <v>New</v>
      </c>
      <c r="I433" s="57">
        <f>'Secondary cum Calculation'!I417</f>
        <v>0</v>
      </c>
      <c r="J433" s="57" t="str">
        <f>'Secondary cum Calculation'!J417</f>
        <v>Thousand</v>
      </c>
      <c r="K433" s="58">
        <f>'Secondary cum Calculation'!K417</f>
        <v>1385.52</v>
      </c>
      <c r="L433" s="59">
        <f>'Secondary cum Calculation'!L417</f>
        <v>4782.9576056261722</v>
      </c>
      <c r="M433" s="59">
        <f>'Secondary cum Calculation'!M417</f>
        <v>4601.5046766722371</v>
      </c>
      <c r="N433" s="59">
        <f>'Secondary cum Calculation'!N417</f>
        <v>4560</v>
      </c>
      <c r="O433" s="59">
        <f>'Secondary cum Calculation'!O417</f>
        <v>4520</v>
      </c>
      <c r="P433" s="59">
        <f>'Secondary cum Calculation'!P417</f>
        <v>4590</v>
      </c>
      <c r="Q433" s="59"/>
      <c r="R433" s="59"/>
      <c r="S433" s="59"/>
      <c r="T433" s="59"/>
      <c r="U433" s="59"/>
      <c r="V433" s="59"/>
      <c r="W433" s="106">
        <f>'Secondary cum Calculation'!W417</f>
        <v>1.0614074920884509E-2</v>
      </c>
      <c r="X433" s="106">
        <f>'Secondary cum Calculation'!X417</f>
        <v>-1</v>
      </c>
      <c r="Z433" s="12"/>
    </row>
    <row r="434" spans="1:26">
      <c r="A434" s="57"/>
      <c r="B434" s="57"/>
      <c r="C434" s="61" t="str">
        <f>'Secondary cum Calculation'!C418</f>
        <v>Growth Rate</v>
      </c>
      <c r="D434" s="61"/>
      <c r="E434" s="61"/>
      <c r="F434" s="61">
        <f>'Secondary cum Calculation'!F418</f>
        <v>0</v>
      </c>
      <c r="G434" s="61">
        <f>'Secondary cum Calculation'!G418</f>
        <v>0</v>
      </c>
      <c r="H434" s="61">
        <f>'Secondary cum Calculation'!H418</f>
        <v>0</v>
      </c>
      <c r="I434" s="61">
        <f>'Secondary cum Calculation'!I418</f>
        <v>0</v>
      </c>
      <c r="J434" s="61" t="str">
        <f>'Secondary cum Calculation'!J418</f>
        <v>%</v>
      </c>
      <c r="K434" s="58">
        <f>'Secondary cum Calculation'!K418</f>
        <v>0</v>
      </c>
      <c r="L434" s="59"/>
      <c r="M434" s="62">
        <f>'Secondary cum Calculation'!M418</f>
        <v>-3.793739019147746E-2</v>
      </c>
      <c r="N434" s="62">
        <f>'Secondary cum Calculation'!N418</f>
        <v>-9.0198053872788675E-3</v>
      </c>
      <c r="O434" s="62">
        <f>'Secondary cum Calculation'!O418</f>
        <v>-8.7719298245614308E-3</v>
      </c>
      <c r="P434" s="62">
        <f>'Secondary cum Calculation'!P418</f>
        <v>1.5486725663716783E-2</v>
      </c>
      <c r="Q434" s="62"/>
      <c r="R434" s="62"/>
      <c r="S434" s="62"/>
      <c r="T434" s="62"/>
      <c r="U434" s="62"/>
      <c r="V434" s="62"/>
      <c r="W434" s="259"/>
      <c r="X434" s="259"/>
    </row>
    <row r="435" spans="1:26">
      <c r="A435" s="55" t="str">
        <f>'Secondary cum Calculation'!A419</f>
        <v>Poland</v>
      </c>
      <c r="B435" s="56" t="str">
        <f>'Secondary cum Calculation'!B419</f>
        <v>Tourism Flows</v>
      </c>
      <c r="C435" s="56" t="str">
        <f>'Secondary cum Calculation'!C419</f>
        <v>International Arrivals by Place of Origin</v>
      </c>
      <c r="D435" s="56" t="str">
        <f>'Secondary cum Calculation'!D419</f>
        <v>Europe</v>
      </c>
      <c r="E435" s="55" t="str">
        <f>'Secondary cum Calculation'!E419</f>
        <v>Greece</v>
      </c>
      <c r="F435" s="57" t="str">
        <f>'Secondary cum Calculation'!F419</f>
        <v>The number of international arrivals to a country originating from Greece</v>
      </c>
      <c r="G435" s="57" t="str">
        <f>'Secondary cum Calculation'!G419</f>
        <v>Tourism Demand &amp; Flows Database</v>
      </c>
      <c r="H435" s="57" t="str">
        <f>'Secondary cum Calculation'!H419</f>
        <v>New</v>
      </c>
      <c r="I435" s="57">
        <f>'Secondary cum Calculation'!I419</f>
        <v>0</v>
      </c>
      <c r="J435" s="57" t="str">
        <f>'Secondary cum Calculation'!J419</f>
        <v>Thousand</v>
      </c>
      <c r="K435" s="58">
        <f>'Secondary cum Calculation'!K419</f>
        <v>0</v>
      </c>
      <c r="L435" s="59">
        <f>'Secondary cum Calculation'!L419</f>
        <v>0</v>
      </c>
      <c r="M435" s="59">
        <f>'Secondary cum Calculation'!M419</f>
        <v>0</v>
      </c>
      <c r="N435" s="59">
        <f>'Secondary cum Calculation'!N419</f>
        <v>0</v>
      </c>
      <c r="O435" s="59">
        <f>'Secondary cum Calculation'!O419</f>
        <v>0</v>
      </c>
      <c r="P435" s="59">
        <f>'Secondary cum Calculation'!P419</f>
        <v>0</v>
      </c>
      <c r="Q435" s="59"/>
      <c r="R435" s="59"/>
      <c r="S435" s="59"/>
      <c r="T435" s="59"/>
      <c r="U435" s="59"/>
      <c r="V435" s="59"/>
      <c r="W435" s="106" t="e">
        <f>'Secondary cum Calculation'!W419</f>
        <v>#DIV/0!</v>
      </c>
      <c r="X435" s="106" t="e">
        <f>'Secondary cum Calculation'!X419</f>
        <v>#DIV/0!</v>
      </c>
    </row>
    <row r="436" spans="1:26">
      <c r="A436" s="57"/>
      <c r="B436" s="57"/>
      <c r="C436" s="61" t="str">
        <f>'Secondary cum Calculation'!C420</f>
        <v>Growth Rate</v>
      </c>
      <c r="D436" s="61"/>
      <c r="E436" s="61"/>
      <c r="F436" s="61">
        <f>'Secondary cum Calculation'!F420</f>
        <v>0</v>
      </c>
      <c r="G436" s="61">
        <f>'Secondary cum Calculation'!G420</f>
        <v>0</v>
      </c>
      <c r="H436" s="61">
        <f>'Secondary cum Calculation'!H420</f>
        <v>0</v>
      </c>
      <c r="I436" s="61">
        <f>'Secondary cum Calculation'!I420</f>
        <v>0</v>
      </c>
      <c r="J436" s="61" t="str">
        <f>'Secondary cum Calculation'!J420</f>
        <v>%</v>
      </c>
      <c r="K436" s="58">
        <f>'Secondary cum Calculation'!K420</f>
        <v>0</v>
      </c>
      <c r="L436" s="59"/>
      <c r="M436" s="62" t="e">
        <f>'Secondary cum Calculation'!M420</f>
        <v>#DIV/0!</v>
      </c>
      <c r="N436" s="62" t="e">
        <f>'Secondary cum Calculation'!N420</f>
        <v>#DIV/0!</v>
      </c>
      <c r="O436" s="62" t="e">
        <f>'Secondary cum Calculation'!O420</f>
        <v>#DIV/0!</v>
      </c>
      <c r="P436" s="62" t="e">
        <f>'Secondary cum Calculation'!P420</f>
        <v>#DIV/0!</v>
      </c>
      <c r="Q436" s="62"/>
      <c r="R436" s="62"/>
      <c r="S436" s="62"/>
      <c r="T436" s="62"/>
      <c r="U436" s="62"/>
      <c r="V436" s="62"/>
      <c r="W436" s="259"/>
      <c r="X436" s="259"/>
    </row>
    <row r="437" spans="1:26">
      <c r="A437" s="55" t="str">
        <f>'Secondary cum Calculation'!A421</f>
        <v>Poland</v>
      </c>
      <c r="B437" s="56" t="str">
        <f>'Secondary cum Calculation'!B421</f>
        <v>Tourism Flows</v>
      </c>
      <c r="C437" s="56" t="str">
        <f>'Secondary cum Calculation'!C421</f>
        <v>International Arrivals by Place of Origin</v>
      </c>
      <c r="D437" s="56" t="str">
        <f>'Secondary cum Calculation'!D421</f>
        <v>Europe</v>
      </c>
      <c r="E437" s="55" t="str">
        <f>'Secondary cum Calculation'!E421</f>
        <v>Hungary</v>
      </c>
      <c r="F437" s="57" t="str">
        <f>'Secondary cum Calculation'!F421</f>
        <v>The number of international arrivals to a country originating from Hungary</v>
      </c>
      <c r="G437" s="57" t="str">
        <f>'Secondary cum Calculation'!G421</f>
        <v>Tourism Demand &amp; Flows Database</v>
      </c>
      <c r="H437" s="57" t="str">
        <f>'Secondary cum Calculation'!H421</f>
        <v>New</v>
      </c>
      <c r="I437" s="57">
        <f>'Secondary cum Calculation'!I421</f>
        <v>0</v>
      </c>
      <c r="J437" s="57" t="str">
        <f>'Secondary cum Calculation'!J421</f>
        <v>Thousand</v>
      </c>
      <c r="K437" s="58">
        <f>'Secondary cum Calculation'!K421</f>
        <v>0</v>
      </c>
      <c r="L437" s="59">
        <f>'Secondary cum Calculation'!L421</f>
        <v>208.07886153889325</v>
      </c>
      <c r="M437" s="59">
        <f>'Secondary cum Calculation'!M421</f>
        <v>200.5898318085062</v>
      </c>
      <c r="N437" s="59">
        <f>'Secondary cum Calculation'!N421</f>
        <v>200</v>
      </c>
      <c r="O437" s="59">
        <f>'Secondary cum Calculation'!O421</f>
        <v>195</v>
      </c>
      <c r="P437" s="59">
        <f>'Secondary cum Calculation'!P421</f>
        <v>200</v>
      </c>
      <c r="Q437" s="59"/>
      <c r="R437" s="59"/>
      <c r="S437" s="59"/>
      <c r="T437" s="59"/>
      <c r="U437" s="59"/>
      <c r="V437" s="59"/>
      <c r="W437" s="106">
        <f>'Secondary cum Calculation'!W421</f>
        <v>1.1527269108423832E-2</v>
      </c>
      <c r="X437" s="106">
        <f>'Secondary cum Calculation'!X421</f>
        <v>-1</v>
      </c>
    </row>
    <row r="438" spans="1:26">
      <c r="A438" s="57"/>
      <c r="B438" s="57"/>
      <c r="C438" s="61" t="str">
        <f>'Secondary cum Calculation'!C422</f>
        <v>Growth Rate</v>
      </c>
      <c r="D438" s="61"/>
      <c r="E438" s="61"/>
      <c r="F438" s="61">
        <f>'Secondary cum Calculation'!F422</f>
        <v>0</v>
      </c>
      <c r="G438" s="61">
        <f>'Secondary cum Calculation'!G422</f>
        <v>0</v>
      </c>
      <c r="H438" s="61">
        <f>'Secondary cum Calculation'!H422</f>
        <v>0</v>
      </c>
      <c r="I438" s="61">
        <f>'Secondary cum Calculation'!I422</f>
        <v>0</v>
      </c>
      <c r="J438" s="61" t="str">
        <f>'Secondary cum Calculation'!J422</f>
        <v>%</v>
      </c>
      <c r="K438" s="58">
        <f>'Secondary cum Calculation'!K422</f>
        <v>0</v>
      </c>
      <c r="L438" s="59"/>
      <c r="M438" s="62">
        <f>'Secondary cum Calculation'!M422</f>
        <v>-3.5991304811071489E-2</v>
      </c>
      <c r="N438" s="62">
        <f>'Secondary cum Calculation'!N422</f>
        <v>-2.9404870784740522E-3</v>
      </c>
      <c r="O438" s="62">
        <f>'Secondary cum Calculation'!O422</f>
        <v>-2.5000000000000022E-2</v>
      </c>
      <c r="P438" s="62">
        <f>'Secondary cum Calculation'!P422</f>
        <v>2.564102564102555E-2</v>
      </c>
      <c r="Q438" s="62"/>
      <c r="R438" s="62"/>
      <c r="S438" s="62"/>
      <c r="T438" s="62"/>
      <c r="U438" s="62"/>
      <c r="V438" s="62"/>
      <c r="W438" s="259"/>
      <c r="X438" s="259"/>
    </row>
    <row r="439" spans="1:26">
      <c r="A439" s="55" t="str">
        <f>'Secondary cum Calculation'!A423</f>
        <v>Poland</v>
      </c>
      <c r="B439" s="56" t="str">
        <f>'Secondary cum Calculation'!B423</f>
        <v>Tourism Flows</v>
      </c>
      <c r="C439" s="56" t="str">
        <f>'Secondary cum Calculation'!C423</f>
        <v>International Arrivals by Place of Origin</v>
      </c>
      <c r="D439" s="56" t="str">
        <f>'Secondary cum Calculation'!D423</f>
        <v>Europe</v>
      </c>
      <c r="E439" s="55" t="str">
        <f>'Secondary cum Calculation'!E423</f>
        <v>Iceland</v>
      </c>
      <c r="F439" s="57" t="str">
        <f>'Secondary cum Calculation'!F423</f>
        <v>The number of international arrivals to a country originating from Iceland</v>
      </c>
      <c r="G439" s="57" t="str">
        <f>'Secondary cum Calculation'!G423</f>
        <v>Tourism Demand &amp; Flows Database</v>
      </c>
      <c r="H439" s="57" t="str">
        <f>'Secondary cum Calculation'!H423</f>
        <v>New</v>
      </c>
      <c r="I439" s="57">
        <f>'Secondary cum Calculation'!I423</f>
        <v>0</v>
      </c>
      <c r="J439" s="57" t="str">
        <f>'Secondary cum Calculation'!J423</f>
        <v>Thousand</v>
      </c>
      <c r="K439" s="58">
        <f>'Secondary cum Calculation'!K423</f>
        <v>0</v>
      </c>
      <c r="L439" s="59">
        <f>'Secondary cum Calculation'!L423</f>
        <v>0</v>
      </c>
      <c r="M439" s="59">
        <f>'Secondary cum Calculation'!M423</f>
        <v>0</v>
      </c>
      <c r="N439" s="59">
        <f>'Secondary cum Calculation'!N423</f>
        <v>0</v>
      </c>
      <c r="O439" s="88">
        <f>'Secondary cum Calculation'!O423</f>
        <v>0</v>
      </c>
      <c r="P439" s="88">
        <f>'Secondary cum Calculation'!P423</f>
        <v>0</v>
      </c>
      <c r="Q439" s="88"/>
      <c r="R439" s="88"/>
      <c r="S439" s="88"/>
      <c r="T439" s="88"/>
      <c r="U439" s="88"/>
      <c r="V439" s="88"/>
      <c r="W439" s="106" t="e">
        <f>'Secondary cum Calculation'!W423</f>
        <v>#DIV/0!</v>
      </c>
      <c r="X439" s="106" t="e">
        <f>'Secondary cum Calculation'!X423</f>
        <v>#DIV/0!</v>
      </c>
    </row>
    <row r="440" spans="1:26">
      <c r="A440" s="57"/>
      <c r="B440" s="57"/>
      <c r="C440" s="61" t="str">
        <f>'Secondary cum Calculation'!C424</f>
        <v>Growth Rate</v>
      </c>
      <c r="D440" s="61"/>
      <c r="E440" s="61"/>
      <c r="F440" s="61">
        <f>'Secondary cum Calculation'!F424</f>
        <v>0</v>
      </c>
      <c r="G440" s="61">
        <f>'Secondary cum Calculation'!G424</f>
        <v>0</v>
      </c>
      <c r="H440" s="61">
        <f>'Secondary cum Calculation'!H424</f>
        <v>0</v>
      </c>
      <c r="I440" s="61">
        <f>'Secondary cum Calculation'!I424</f>
        <v>0</v>
      </c>
      <c r="J440" s="61" t="str">
        <f>'Secondary cum Calculation'!J424</f>
        <v>%</v>
      </c>
      <c r="K440" s="58">
        <f>'Secondary cum Calculation'!K424</f>
        <v>0</v>
      </c>
      <c r="L440" s="59"/>
      <c r="M440" s="62" t="e">
        <f>'Secondary cum Calculation'!M424</f>
        <v>#DIV/0!</v>
      </c>
      <c r="N440" s="62" t="e">
        <f>'Secondary cum Calculation'!N424</f>
        <v>#DIV/0!</v>
      </c>
      <c r="O440" s="62" t="e">
        <f>'Secondary cum Calculation'!O424</f>
        <v>#DIV/0!</v>
      </c>
      <c r="P440" s="62" t="e">
        <f>'Secondary cum Calculation'!P424</f>
        <v>#DIV/0!</v>
      </c>
      <c r="Q440" s="62"/>
      <c r="R440" s="62"/>
      <c r="S440" s="62"/>
      <c r="T440" s="62"/>
      <c r="U440" s="62"/>
      <c r="V440" s="62"/>
      <c r="W440" s="259"/>
      <c r="X440" s="259"/>
    </row>
    <row r="441" spans="1:26">
      <c r="A441" s="55" t="str">
        <f>'Secondary cum Calculation'!A425</f>
        <v>Poland</v>
      </c>
      <c r="B441" s="56" t="str">
        <f>'Secondary cum Calculation'!B425</f>
        <v>Tourism Flows</v>
      </c>
      <c r="C441" s="56" t="str">
        <f>'Secondary cum Calculation'!C425</f>
        <v>International Arrivals by Place of Origin</v>
      </c>
      <c r="D441" s="56" t="str">
        <f>'Secondary cum Calculation'!D425</f>
        <v>Europe</v>
      </c>
      <c r="E441" s="55" t="str">
        <f>'Secondary cum Calculation'!E425</f>
        <v>Ireland</v>
      </c>
      <c r="F441" s="57" t="str">
        <f>'Secondary cum Calculation'!F425</f>
        <v>The number of international arrivals to a country originating from Ireland</v>
      </c>
      <c r="G441" s="57" t="str">
        <f>'Secondary cum Calculation'!G425</f>
        <v>Tourism Demand &amp; Flows Database</v>
      </c>
      <c r="H441" s="57" t="str">
        <f>'Secondary cum Calculation'!H425</f>
        <v>New</v>
      </c>
      <c r="I441" s="57">
        <f>'Secondary cum Calculation'!I425</f>
        <v>0</v>
      </c>
      <c r="J441" s="57" t="str">
        <f>'Secondary cum Calculation'!J425</f>
        <v>Thousand</v>
      </c>
      <c r="K441" s="58">
        <f>'Secondary cum Calculation'!K425</f>
        <v>414.423</v>
      </c>
      <c r="L441" s="59">
        <f>'Secondary cum Calculation'!L425</f>
        <v>0</v>
      </c>
      <c r="M441" s="59">
        <f>'Secondary cum Calculation'!M425</f>
        <v>0</v>
      </c>
      <c r="N441" s="59">
        <f>'Secondary cum Calculation'!N425</f>
        <v>0</v>
      </c>
      <c r="O441" s="59">
        <f>'Secondary cum Calculation'!O425</f>
        <v>0</v>
      </c>
      <c r="P441" s="59">
        <f>'Secondary cum Calculation'!P425</f>
        <v>0</v>
      </c>
      <c r="Q441" s="59"/>
      <c r="R441" s="59"/>
      <c r="S441" s="59"/>
      <c r="T441" s="59"/>
      <c r="U441" s="59"/>
      <c r="V441" s="59"/>
      <c r="W441" s="106" t="e">
        <f>'Secondary cum Calculation'!W425</f>
        <v>#DIV/0!</v>
      </c>
      <c r="X441" s="106" t="e">
        <f>'Secondary cum Calculation'!X425</f>
        <v>#DIV/0!</v>
      </c>
      <c r="Z441" s="12"/>
    </row>
    <row r="442" spans="1:26">
      <c r="A442" s="57"/>
      <c r="B442" s="57"/>
      <c r="C442" s="61" t="str">
        <f>'Secondary cum Calculation'!C426</f>
        <v>Growth Rate</v>
      </c>
      <c r="D442" s="61"/>
      <c r="E442" s="61"/>
      <c r="F442" s="61">
        <f>'Secondary cum Calculation'!F426</f>
        <v>0</v>
      </c>
      <c r="G442" s="61">
        <f>'Secondary cum Calculation'!G426</f>
        <v>0</v>
      </c>
      <c r="H442" s="61">
        <f>'Secondary cum Calculation'!H426</f>
        <v>0</v>
      </c>
      <c r="I442" s="61">
        <f>'Secondary cum Calculation'!I426</f>
        <v>0</v>
      </c>
      <c r="J442" s="61" t="str">
        <f>'Secondary cum Calculation'!J426</f>
        <v>%</v>
      </c>
      <c r="K442" s="58">
        <f>'Secondary cum Calculation'!K426</f>
        <v>0</v>
      </c>
      <c r="L442" s="59"/>
      <c r="M442" s="62" t="e">
        <f>'Secondary cum Calculation'!M426</f>
        <v>#DIV/0!</v>
      </c>
      <c r="N442" s="62" t="e">
        <f>'Secondary cum Calculation'!N426</f>
        <v>#DIV/0!</v>
      </c>
      <c r="O442" s="62" t="e">
        <f>'Secondary cum Calculation'!O426</f>
        <v>#DIV/0!</v>
      </c>
      <c r="P442" s="62" t="e">
        <f>'Secondary cum Calculation'!P426</f>
        <v>#DIV/0!</v>
      </c>
      <c r="Q442" s="62"/>
      <c r="R442" s="62"/>
      <c r="S442" s="62"/>
      <c r="T442" s="62"/>
      <c r="U442" s="62"/>
      <c r="V442" s="62"/>
      <c r="W442" s="259"/>
      <c r="X442" s="259"/>
    </row>
    <row r="443" spans="1:26">
      <c r="A443" s="55" t="str">
        <f>'Secondary cum Calculation'!A427</f>
        <v>Poland</v>
      </c>
      <c r="B443" s="56" t="str">
        <f>'Secondary cum Calculation'!B427</f>
        <v>Tourism Flows</v>
      </c>
      <c r="C443" s="56" t="str">
        <f>'Secondary cum Calculation'!C427</f>
        <v>International Arrivals by Place of Origin</v>
      </c>
      <c r="D443" s="56" t="str">
        <f>'Secondary cum Calculation'!D427</f>
        <v>Europe</v>
      </c>
      <c r="E443" s="55" t="str">
        <f>'Secondary cum Calculation'!E427</f>
        <v>Italy</v>
      </c>
      <c r="F443" s="57" t="str">
        <f>'Secondary cum Calculation'!F427</f>
        <v>The number of international arrivals to a country originating from Italy</v>
      </c>
      <c r="G443" s="57" t="str">
        <f>'Secondary cum Calculation'!G427</f>
        <v>Tourism Demand &amp; Flows Database</v>
      </c>
      <c r="H443" s="57" t="str">
        <f>'Secondary cum Calculation'!H427</f>
        <v>New</v>
      </c>
      <c r="I443" s="57">
        <f>'Secondary cum Calculation'!I427</f>
        <v>0</v>
      </c>
      <c r="J443" s="57" t="str">
        <f>'Secondary cum Calculation'!J427</f>
        <v>Thousand</v>
      </c>
      <c r="K443" s="58">
        <f>'Secondary cum Calculation'!K427</f>
        <v>532.82899999999995</v>
      </c>
      <c r="L443" s="59">
        <f>'Secondary cum Calculation'!L427</f>
        <v>301.99113593153811</v>
      </c>
      <c r="M443" s="59">
        <f>'Secondary cum Calculation'!M427</f>
        <v>269.64899624745112</v>
      </c>
      <c r="N443" s="59">
        <f>'Secondary cum Calculation'!N427</f>
        <v>245</v>
      </c>
      <c r="O443" s="59">
        <f>'Secondary cum Calculation'!O427</f>
        <v>265</v>
      </c>
      <c r="P443" s="59">
        <f>'Secondary cum Calculation'!P427</f>
        <v>285</v>
      </c>
      <c r="Q443" s="59"/>
      <c r="R443" s="59"/>
      <c r="S443" s="59"/>
      <c r="T443" s="59"/>
      <c r="U443" s="59"/>
      <c r="V443" s="59"/>
      <c r="W443" s="106">
        <f>'Secondary cum Calculation'!W427</f>
        <v>2.2717769994264891E-2</v>
      </c>
      <c r="X443" s="106">
        <f>'Secondary cum Calculation'!X427</f>
        <v>-1</v>
      </c>
      <c r="Z443" s="12"/>
    </row>
    <row r="444" spans="1:26">
      <c r="A444" s="57"/>
      <c r="B444" s="57"/>
      <c r="C444" s="61" t="str">
        <f>'Secondary cum Calculation'!C428</f>
        <v>Growth Rate</v>
      </c>
      <c r="D444" s="61"/>
      <c r="E444" s="61"/>
      <c r="F444" s="61">
        <f>'Secondary cum Calculation'!F428</f>
        <v>0</v>
      </c>
      <c r="G444" s="61">
        <f>'Secondary cum Calculation'!G428</f>
        <v>0</v>
      </c>
      <c r="H444" s="61">
        <f>'Secondary cum Calculation'!H428</f>
        <v>0</v>
      </c>
      <c r="I444" s="61">
        <f>'Secondary cum Calculation'!I428</f>
        <v>0</v>
      </c>
      <c r="J444" s="61" t="str">
        <f>'Secondary cum Calculation'!J428</f>
        <v>%</v>
      </c>
      <c r="K444" s="58">
        <f>'Secondary cum Calculation'!K428</f>
        <v>0</v>
      </c>
      <c r="L444" s="59"/>
      <c r="M444" s="62">
        <f>'Secondary cum Calculation'!M428</f>
        <v>-0.10709632116956902</v>
      </c>
      <c r="N444" s="62">
        <f>'Secondary cum Calculation'!N428</f>
        <v>-9.1411414803974522E-2</v>
      </c>
      <c r="O444" s="62">
        <f>'Secondary cum Calculation'!O428</f>
        <v>8.163265306122458E-2</v>
      </c>
      <c r="P444" s="62">
        <f>'Secondary cum Calculation'!P428</f>
        <v>7.547169811320753E-2</v>
      </c>
      <c r="Q444" s="62"/>
      <c r="R444" s="62"/>
      <c r="S444" s="62"/>
      <c r="T444" s="62"/>
      <c r="U444" s="62"/>
      <c r="V444" s="62"/>
      <c r="W444" s="259"/>
      <c r="X444" s="259"/>
    </row>
    <row r="445" spans="1:26">
      <c r="A445" s="55" t="str">
        <f>'Secondary cum Calculation'!A429</f>
        <v>Poland</v>
      </c>
      <c r="B445" s="56" t="str">
        <f>'Secondary cum Calculation'!B429</f>
        <v>Tourism Flows</v>
      </c>
      <c r="C445" s="56" t="str">
        <f>'Secondary cum Calculation'!C429</f>
        <v>International Arrivals by Place of Origin</v>
      </c>
      <c r="D445" s="56" t="str">
        <f>'Secondary cum Calculation'!D429</f>
        <v>Europe</v>
      </c>
      <c r="E445" s="55" t="str">
        <f>'Secondary cum Calculation'!E429</f>
        <v>Latvia</v>
      </c>
      <c r="F445" s="57" t="str">
        <f>'Secondary cum Calculation'!F429</f>
        <v>The number of international arrivals to a country originating from Latvia</v>
      </c>
      <c r="G445" s="57" t="str">
        <f>'Secondary cum Calculation'!G429</f>
        <v>Tourism Demand &amp; Flows Database</v>
      </c>
      <c r="H445" s="57" t="str">
        <f>'Secondary cum Calculation'!H429</f>
        <v>New</v>
      </c>
      <c r="I445" s="57">
        <f>'Secondary cum Calculation'!I429</f>
        <v>0</v>
      </c>
      <c r="J445" s="57" t="str">
        <f>'Secondary cum Calculation'!J429</f>
        <v>Thousand</v>
      </c>
      <c r="K445" s="58">
        <f>'Secondary cum Calculation'!K429</f>
        <v>0</v>
      </c>
      <c r="L445" s="59">
        <f>'Secondary cum Calculation'!L429</f>
        <v>340.02390754437158</v>
      </c>
      <c r="M445" s="59">
        <f>'Secondary cum Calculation'!M429</f>
        <v>276.93897730318031</v>
      </c>
      <c r="N445" s="59">
        <f>'Secondary cum Calculation'!N429</f>
        <v>230</v>
      </c>
      <c r="O445" s="88">
        <f>'Secondary cum Calculation'!O429</f>
        <v>270</v>
      </c>
      <c r="P445" s="88">
        <f>'Secondary cum Calculation'!P429</f>
        <v>300</v>
      </c>
      <c r="Q445" s="88"/>
      <c r="R445" s="88"/>
      <c r="S445" s="88"/>
      <c r="T445" s="88"/>
      <c r="U445" s="88"/>
      <c r="V445" s="88"/>
      <c r="W445" s="106">
        <f>'Secondary cum Calculation'!W429</f>
        <v>4.4798316025846052E-2</v>
      </c>
      <c r="X445" s="106">
        <f>'Secondary cum Calculation'!X429</f>
        <v>-1</v>
      </c>
    </row>
    <row r="446" spans="1:26">
      <c r="A446" s="57"/>
      <c r="B446" s="57"/>
      <c r="C446" s="61" t="str">
        <f>'Secondary cum Calculation'!C430</f>
        <v>Growth Rate</v>
      </c>
      <c r="D446" s="61"/>
      <c r="E446" s="61"/>
      <c r="F446" s="61">
        <f>'Secondary cum Calculation'!F430</f>
        <v>0</v>
      </c>
      <c r="G446" s="61">
        <f>'Secondary cum Calculation'!G430</f>
        <v>0</v>
      </c>
      <c r="H446" s="61">
        <f>'Secondary cum Calculation'!H430</f>
        <v>0</v>
      </c>
      <c r="I446" s="61">
        <f>'Secondary cum Calculation'!I430</f>
        <v>0</v>
      </c>
      <c r="J446" s="61" t="str">
        <f>'Secondary cum Calculation'!J430</f>
        <v>%</v>
      </c>
      <c r="K446" s="58">
        <f>'Secondary cum Calculation'!K430</f>
        <v>0</v>
      </c>
      <c r="L446" s="59"/>
      <c r="M446" s="62">
        <f>'Secondary cum Calculation'!M430</f>
        <v>-0.18553086662872076</v>
      </c>
      <c r="N446" s="62">
        <f>'Secondary cum Calculation'!N430</f>
        <v>-0.16949213057789847</v>
      </c>
      <c r="O446" s="62">
        <f>'Secondary cum Calculation'!O430</f>
        <v>0.17391304347826098</v>
      </c>
      <c r="P446" s="62">
        <f>'Secondary cum Calculation'!P430</f>
        <v>0.11111111111111116</v>
      </c>
      <c r="Q446" s="62"/>
      <c r="R446" s="62"/>
      <c r="S446" s="62"/>
      <c r="T446" s="62"/>
      <c r="U446" s="62"/>
      <c r="V446" s="62"/>
      <c r="W446" s="259"/>
      <c r="X446" s="259"/>
    </row>
    <row r="447" spans="1:26">
      <c r="A447" s="55" t="str">
        <f>'Secondary cum Calculation'!A431</f>
        <v>Poland</v>
      </c>
      <c r="B447" s="56" t="str">
        <f>'Secondary cum Calculation'!B431</f>
        <v>Tourism Flows</v>
      </c>
      <c r="C447" s="56" t="str">
        <f>'Secondary cum Calculation'!C431</f>
        <v>International Arrivals by Place of Origin</v>
      </c>
      <c r="D447" s="56" t="str">
        <f>'Secondary cum Calculation'!D431</f>
        <v>Europe</v>
      </c>
      <c r="E447" s="55" t="str">
        <f>'Secondary cum Calculation'!E431</f>
        <v>Lithuania</v>
      </c>
      <c r="F447" s="57" t="str">
        <f>'Secondary cum Calculation'!F431</f>
        <v>The number of international arrivals to a country originating from Lithuania</v>
      </c>
      <c r="G447" s="57" t="str">
        <f>'Secondary cum Calculation'!G431</f>
        <v>Tourism Demand &amp; Flows Database</v>
      </c>
      <c r="H447" s="57" t="str">
        <f>'Secondary cum Calculation'!H431</f>
        <v>New</v>
      </c>
      <c r="I447" s="57">
        <f>'Secondary cum Calculation'!I431</f>
        <v>0</v>
      </c>
      <c r="J447" s="57" t="str">
        <f>'Secondary cum Calculation'!J431</f>
        <v>Thousand</v>
      </c>
      <c r="K447" s="58">
        <f>'Secondary cum Calculation'!K431</f>
        <v>0</v>
      </c>
      <c r="L447" s="59">
        <f>'Secondary cum Calculation'!L431</f>
        <v>620.9472425918716</v>
      </c>
      <c r="M447" s="59">
        <f>'Secondary cum Calculation'!M431</f>
        <v>621.27926854050952</v>
      </c>
      <c r="N447" s="59">
        <f>'Secondary cum Calculation'!N431</f>
        <v>620</v>
      </c>
      <c r="O447" s="59">
        <f>'Secondary cum Calculation'!O431</f>
        <v>620</v>
      </c>
      <c r="P447" s="59">
        <f>'Secondary cum Calculation'!P431</f>
        <v>630</v>
      </c>
      <c r="Q447" s="59"/>
      <c r="R447" s="59"/>
      <c r="S447" s="59"/>
      <c r="T447" s="59"/>
      <c r="U447" s="59"/>
      <c r="V447" s="59"/>
      <c r="W447" s="106">
        <f>'Secondary cum Calculation'!W431</f>
        <v>-2.5363831392188896E-3</v>
      </c>
      <c r="X447" s="106">
        <f>'Secondary cum Calculation'!X431</f>
        <v>-1</v>
      </c>
    </row>
    <row r="448" spans="1:26">
      <c r="A448" s="57"/>
      <c r="B448" s="57"/>
      <c r="C448" s="61" t="str">
        <f>'Secondary cum Calculation'!C432</f>
        <v>Growth Rate</v>
      </c>
      <c r="D448" s="61"/>
      <c r="E448" s="61"/>
      <c r="F448" s="61">
        <f>'Secondary cum Calculation'!F432</f>
        <v>0</v>
      </c>
      <c r="G448" s="61">
        <f>'Secondary cum Calculation'!G432</f>
        <v>0</v>
      </c>
      <c r="H448" s="61">
        <f>'Secondary cum Calculation'!H432</f>
        <v>0</v>
      </c>
      <c r="I448" s="61">
        <f>'Secondary cum Calculation'!I432</f>
        <v>0</v>
      </c>
      <c r="J448" s="61" t="str">
        <f>'Secondary cum Calculation'!J432</f>
        <v>%</v>
      </c>
      <c r="K448" s="58">
        <f>'Secondary cum Calculation'!K432</f>
        <v>0</v>
      </c>
      <c r="L448" s="59"/>
      <c r="M448" s="62">
        <f>'Secondary cum Calculation'!M432</f>
        <v>5.3470878983530312E-4</v>
      </c>
      <c r="N448" s="62">
        <f>'Secondary cum Calculation'!N432</f>
        <v>-2.0590877650155104E-3</v>
      </c>
      <c r="O448" s="62">
        <f>'Secondary cum Calculation'!O432</f>
        <v>0</v>
      </c>
      <c r="P448" s="62">
        <f>'Secondary cum Calculation'!P432</f>
        <v>1.6129032258064502E-2</v>
      </c>
      <c r="Q448" s="62"/>
      <c r="R448" s="62"/>
      <c r="S448" s="62"/>
      <c r="T448" s="62"/>
      <c r="U448" s="62"/>
      <c r="V448" s="62"/>
      <c r="W448" s="259"/>
      <c r="X448" s="259"/>
    </row>
    <row r="449" spans="1:26">
      <c r="A449" s="55" t="str">
        <f>'Secondary cum Calculation'!A433</f>
        <v>Poland</v>
      </c>
      <c r="B449" s="56" t="str">
        <f>'Secondary cum Calculation'!B433</f>
        <v>Tourism Flows</v>
      </c>
      <c r="C449" s="56" t="str">
        <f>'Secondary cum Calculation'!C433</f>
        <v>International Arrivals by Place of Origin</v>
      </c>
      <c r="D449" s="56" t="str">
        <f>'Secondary cum Calculation'!D433</f>
        <v>Europe</v>
      </c>
      <c r="E449" s="55" t="str">
        <f>'Secondary cum Calculation'!E433</f>
        <v>Luxembourg</v>
      </c>
      <c r="F449" s="57" t="str">
        <f>'Secondary cum Calculation'!F433</f>
        <v>The number of international arrivals to a country originating from Luxembourg</v>
      </c>
      <c r="G449" s="57" t="str">
        <f>'Secondary cum Calculation'!G433</f>
        <v>Tourism Demand &amp; Flows Database</v>
      </c>
      <c r="H449" s="57" t="str">
        <f>'Secondary cum Calculation'!H433</f>
        <v>New</v>
      </c>
      <c r="I449" s="57">
        <f>'Secondary cum Calculation'!I433</f>
        <v>0</v>
      </c>
      <c r="J449" s="57" t="str">
        <f>'Secondary cum Calculation'!J433</f>
        <v>Thousand</v>
      </c>
      <c r="K449" s="58">
        <f>'Secondary cum Calculation'!K433</f>
        <v>0</v>
      </c>
      <c r="L449" s="59">
        <f>'Secondary cum Calculation'!L433</f>
        <v>0</v>
      </c>
      <c r="M449" s="59">
        <f>'Secondary cum Calculation'!M433</f>
        <v>0</v>
      </c>
      <c r="N449" s="59">
        <f>'Secondary cum Calculation'!N433</f>
        <v>0</v>
      </c>
      <c r="O449" s="59">
        <f>'Secondary cum Calculation'!O433</f>
        <v>0</v>
      </c>
      <c r="P449" s="59">
        <f>'Secondary cum Calculation'!P433</f>
        <v>0</v>
      </c>
      <c r="Q449" s="59"/>
      <c r="R449" s="59"/>
      <c r="S449" s="59"/>
      <c r="T449" s="59"/>
      <c r="U449" s="59"/>
      <c r="V449" s="59"/>
      <c r="W449" s="106" t="e">
        <f>'Secondary cum Calculation'!W433</f>
        <v>#DIV/0!</v>
      </c>
      <c r="X449" s="106" t="e">
        <f>'Secondary cum Calculation'!X433</f>
        <v>#DIV/0!</v>
      </c>
    </row>
    <row r="450" spans="1:26">
      <c r="A450" s="57"/>
      <c r="B450" s="57"/>
      <c r="C450" s="61" t="str">
        <f>'Secondary cum Calculation'!C434</f>
        <v>Growth Rate</v>
      </c>
      <c r="D450" s="61"/>
      <c r="E450" s="61"/>
      <c r="F450" s="61">
        <f>'Secondary cum Calculation'!F434</f>
        <v>0</v>
      </c>
      <c r="G450" s="61">
        <f>'Secondary cum Calculation'!G434</f>
        <v>0</v>
      </c>
      <c r="H450" s="61">
        <f>'Secondary cum Calculation'!H434</f>
        <v>0</v>
      </c>
      <c r="I450" s="61">
        <f>'Secondary cum Calculation'!I434</f>
        <v>0</v>
      </c>
      <c r="J450" s="61" t="str">
        <f>'Secondary cum Calculation'!J434</f>
        <v>%</v>
      </c>
      <c r="K450" s="58">
        <f>'Secondary cum Calculation'!K434</f>
        <v>0</v>
      </c>
      <c r="L450" s="59"/>
      <c r="M450" s="62" t="e">
        <f>'Secondary cum Calculation'!M434</f>
        <v>#DIV/0!</v>
      </c>
      <c r="N450" s="62" t="e">
        <f>'Secondary cum Calculation'!N434</f>
        <v>#DIV/0!</v>
      </c>
      <c r="O450" s="62" t="e">
        <f>'Secondary cum Calculation'!O434</f>
        <v>#DIV/0!</v>
      </c>
      <c r="P450" s="62" t="e">
        <f>'Secondary cum Calculation'!P434</f>
        <v>#DIV/0!</v>
      </c>
      <c r="Q450" s="62"/>
      <c r="R450" s="62"/>
      <c r="S450" s="62"/>
      <c r="T450" s="62"/>
      <c r="U450" s="62"/>
      <c r="V450" s="62"/>
      <c r="W450" s="259"/>
      <c r="X450" s="259"/>
    </row>
    <row r="451" spans="1:26">
      <c r="A451" s="55" t="str">
        <f>'Secondary cum Calculation'!A435</f>
        <v>Poland</v>
      </c>
      <c r="B451" s="56" t="str">
        <f>'Secondary cum Calculation'!B435</f>
        <v>Tourism Flows</v>
      </c>
      <c r="C451" s="56" t="str">
        <f>'Secondary cum Calculation'!C435</f>
        <v>International Arrivals by Place of Origin</v>
      </c>
      <c r="D451" s="56" t="str">
        <f>'Secondary cum Calculation'!D435</f>
        <v>Europe</v>
      </c>
      <c r="E451" s="55" t="str">
        <f>'Secondary cum Calculation'!E435</f>
        <v>Malta</v>
      </c>
      <c r="F451" s="57" t="str">
        <f>'Secondary cum Calculation'!F435</f>
        <v>The number of international arrivals to a country originating from Malta</v>
      </c>
      <c r="G451" s="57" t="str">
        <f>'Secondary cum Calculation'!G435</f>
        <v>Tourism Demand &amp; Flows Database</v>
      </c>
      <c r="H451" s="57" t="str">
        <f>'Secondary cum Calculation'!H435</f>
        <v>New</v>
      </c>
      <c r="I451" s="57">
        <f>'Secondary cum Calculation'!I435</f>
        <v>0</v>
      </c>
      <c r="J451" s="57" t="str">
        <f>'Secondary cum Calculation'!J435</f>
        <v>Thousand</v>
      </c>
      <c r="K451" s="58">
        <f>'Secondary cum Calculation'!K435</f>
        <v>0</v>
      </c>
      <c r="L451" s="59">
        <f>'Secondary cum Calculation'!L435</f>
        <v>0</v>
      </c>
      <c r="M451" s="59">
        <f>'Secondary cum Calculation'!M435</f>
        <v>0</v>
      </c>
      <c r="N451" s="59">
        <f>'Secondary cum Calculation'!N435</f>
        <v>0</v>
      </c>
      <c r="O451" s="59">
        <f>'Secondary cum Calculation'!O435</f>
        <v>0</v>
      </c>
      <c r="P451" s="59">
        <f>'Secondary cum Calculation'!P435</f>
        <v>0</v>
      </c>
      <c r="Q451" s="59"/>
      <c r="R451" s="59"/>
      <c r="S451" s="59"/>
      <c r="T451" s="59"/>
      <c r="U451" s="59"/>
      <c r="V451" s="59"/>
      <c r="W451" s="106" t="e">
        <f>'Secondary cum Calculation'!W435</f>
        <v>#DIV/0!</v>
      </c>
      <c r="X451" s="106" t="e">
        <f>'Secondary cum Calculation'!X435</f>
        <v>#DIV/0!</v>
      </c>
    </row>
    <row r="452" spans="1:26">
      <c r="A452" s="57"/>
      <c r="B452" s="57"/>
      <c r="C452" s="61" t="str">
        <f>'Secondary cum Calculation'!C436</f>
        <v>Growth Rate</v>
      </c>
      <c r="D452" s="61"/>
      <c r="E452" s="61"/>
      <c r="F452" s="61">
        <f>'Secondary cum Calculation'!F436</f>
        <v>0</v>
      </c>
      <c r="G452" s="61">
        <f>'Secondary cum Calculation'!G436</f>
        <v>0</v>
      </c>
      <c r="H452" s="61">
        <f>'Secondary cum Calculation'!H436</f>
        <v>0</v>
      </c>
      <c r="I452" s="61">
        <f>'Secondary cum Calculation'!I436</f>
        <v>0</v>
      </c>
      <c r="J452" s="61" t="str">
        <f>'Secondary cum Calculation'!J436</f>
        <v>%</v>
      </c>
      <c r="K452" s="58">
        <f>'Secondary cum Calculation'!K436</f>
        <v>0</v>
      </c>
      <c r="L452" s="59"/>
      <c r="M452" s="62" t="e">
        <f>'Secondary cum Calculation'!M436</f>
        <v>#DIV/0!</v>
      </c>
      <c r="N452" s="62" t="e">
        <f>'Secondary cum Calculation'!N436</f>
        <v>#DIV/0!</v>
      </c>
      <c r="O452" s="62" t="e">
        <f>'Secondary cum Calculation'!O436</f>
        <v>#DIV/0!</v>
      </c>
      <c r="P452" s="62" t="e">
        <f>'Secondary cum Calculation'!P436</f>
        <v>#DIV/0!</v>
      </c>
      <c r="Q452" s="62"/>
      <c r="R452" s="62"/>
      <c r="S452" s="62"/>
      <c r="T452" s="62"/>
      <c r="U452" s="62"/>
      <c r="V452" s="62"/>
      <c r="W452" s="259"/>
      <c r="X452" s="259"/>
    </row>
    <row r="453" spans="1:26">
      <c r="A453" s="55" t="str">
        <f>'Secondary cum Calculation'!A437</f>
        <v>Poland</v>
      </c>
      <c r="B453" s="56" t="str">
        <f>'Secondary cum Calculation'!B437</f>
        <v>Tourism Flows</v>
      </c>
      <c r="C453" s="56" t="str">
        <f>'Secondary cum Calculation'!C437</f>
        <v>International Arrivals by Place of Origin</v>
      </c>
      <c r="D453" s="56" t="str">
        <f>'Secondary cum Calculation'!D437</f>
        <v>Europe</v>
      </c>
      <c r="E453" s="55" t="str">
        <f>'Secondary cum Calculation'!E437</f>
        <v>Montenegro</v>
      </c>
      <c r="F453" s="57" t="str">
        <f>'Secondary cum Calculation'!F437</f>
        <v>The number of international arrivals to a country originating from Montenegro</v>
      </c>
      <c r="G453" s="57" t="str">
        <f>'Secondary cum Calculation'!G437</f>
        <v>Tourism Demand &amp; Flows Database</v>
      </c>
      <c r="H453" s="57" t="str">
        <f>'Secondary cum Calculation'!H437</f>
        <v>New</v>
      </c>
      <c r="I453" s="57">
        <f>'Secondary cum Calculation'!I437</f>
        <v>0</v>
      </c>
      <c r="J453" s="57" t="str">
        <f>'Secondary cum Calculation'!J437</f>
        <v>Thousand</v>
      </c>
      <c r="K453" s="58">
        <f>'Secondary cum Calculation'!K437</f>
        <v>0</v>
      </c>
      <c r="L453" s="59">
        <f>'Secondary cum Calculation'!L437</f>
        <v>0</v>
      </c>
      <c r="M453" s="59">
        <f>'Secondary cum Calculation'!M437</f>
        <v>0</v>
      </c>
      <c r="N453" s="59">
        <f>'Secondary cum Calculation'!N437</f>
        <v>0</v>
      </c>
      <c r="O453" s="88">
        <f>'Secondary cum Calculation'!O437</f>
        <v>0</v>
      </c>
      <c r="P453" s="88">
        <f>'Secondary cum Calculation'!P437</f>
        <v>0</v>
      </c>
      <c r="Q453" s="88"/>
      <c r="R453" s="88"/>
      <c r="S453" s="88"/>
      <c r="T453" s="88"/>
      <c r="U453" s="88"/>
      <c r="V453" s="88"/>
      <c r="W453" s="106" t="e">
        <f>'Secondary cum Calculation'!W437</f>
        <v>#DIV/0!</v>
      </c>
      <c r="X453" s="106" t="e">
        <f>'Secondary cum Calculation'!X437</f>
        <v>#DIV/0!</v>
      </c>
    </row>
    <row r="454" spans="1:26">
      <c r="A454" s="57"/>
      <c r="B454" s="57"/>
      <c r="C454" s="61" t="str">
        <f>'Secondary cum Calculation'!C438</f>
        <v>Growth Rate</v>
      </c>
      <c r="D454" s="61"/>
      <c r="E454" s="61"/>
      <c r="F454" s="61">
        <f>'Secondary cum Calculation'!F438</f>
        <v>0</v>
      </c>
      <c r="G454" s="61">
        <f>'Secondary cum Calculation'!G438</f>
        <v>0</v>
      </c>
      <c r="H454" s="61">
        <f>'Secondary cum Calculation'!H438</f>
        <v>0</v>
      </c>
      <c r="I454" s="61">
        <f>'Secondary cum Calculation'!I438</f>
        <v>0</v>
      </c>
      <c r="J454" s="61" t="str">
        <f>'Secondary cum Calculation'!J438</f>
        <v>%</v>
      </c>
      <c r="K454" s="58">
        <f>'Secondary cum Calculation'!K438</f>
        <v>0</v>
      </c>
      <c r="L454" s="59"/>
      <c r="M454" s="62" t="e">
        <f>'Secondary cum Calculation'!M438</f>
        <v>#DIV/0!</v>
      </c>
      <c r="N454" s="62" t="e">
        <f>'Secondary cum Calculation'!N438</f>
        <v>#DIV/0!</v>
      </c>
      <c r="O454" s="62" t="e">
        <f>'Secondary cum Calculation'!O438</f>
        <v>#DIV/0!</v>
      </c>
      <c r="P454" s="62" t="e">
        <f>'Secondary cum Calculation'!P438</f>
        <v>#DIV/0!</v>
      </c>
      <c r="Q454" s="62"/>
      <c r="R454" s="62"/>
      <c r="S454" s="62"/>
      <c r="T454" s="62"/>
      <c r="U454" s="62"/>
      <c r="V454" s="62"/>
      <c r="W454" s="259"/>
      <c r="X454" s="259"/>
    </row>
    <row r="455" spans="1:26">
      <c r="A455" s="55" t="str">
        <f>'Secondary cum Calculation'!A439</f>
        <v>Poland</v>
      </c>
      <c r="B455" s="56" t="str">
        <f>'Secondary cum Calculation'!B439</f>
        <v>Tourism Flows</v>
      </c>
      <c r="C455" s="56" t="str">
        <f>'Secondary cum Calculation'!C439</f>
        <v>International Arrivals by Place of Origin</v>
      </c>
      <c r="D455" s="56" t="str">
        <f>'Secondary cum Calculation'!D439</f>
        <v>Europe</v>
      </c>
      <c r="E455" s="55" t="str">
        <f>'Secondary cum Calculation'!E439</f>
        <v>Netherlands</v>
      </c>
      <c r="F455" s="57" t="str">
        <f>'Secondary cum Calculation'!F439</f>
        <v>The number of international arrivals to a country originating from Netherlands</v>
      </c>
      <c r="G455" s="57" t="str">
        <f>'Secondary cum Calculation'!G439</f>
        <v>Tourism Demand &amp; Flows Database</v>
      </c>
      <c r="H455" s="57" t="str">
        <f>'Secondary cum Calculation'!H439</f>
        <v>New</v>
      </c>
      <c r="I455" s="57">
        <f>'Secondary cum Calculation'!I439</f>
        <v>0</v>
      </c>
      <c r="J455" s="57" t="str">
        <f>'Secondary cum Calculation'!J439</f>
        <v>Thousand</v>
      </c>
      <c r="K455" s="58">
        <f>'Secondary cum Calculation'!K439</f>
        <v>446.78500000000003</v>
      </c>
      <c r="L455" s="59">
        <f>'Secondary cum Calculation'!L439</f>
        <v>364.64259444329207</v>
      </c>
      <c r="M455" s="59">
        <f>'Secondary cum Calculation'!M439</f>
        <v>332.13435426192814</v>
      </c>
      <c r="N455" s="59">
        <f>'Secondary cum Calculation'!N439</f>
        <v>300</v>
      </c>
      <c r="O455" s="59">
        <f>'Secondary cum Calculation'!O439</f>
        <v>335</v>
      </c>
      <c r="P455" s="59">
        <f>'Secondary cum Calculation'!P439</f>
        <v>350</v>
      </c>
      <c r="Q455" s="59"/>
      <c r="R455" s="59"/>
      <c r="S455" s="59"/>
      <c r="T455" s="59"/>
      <c r="U455" s="59"/>
      <c r="V455" s="59"/>
      <c r="W455" s="106">
        <f>'Secondary cum Calculation'!W439</f>
        <v>1.6783847583144329E-2</v>
      </c>
      <c r="X455" s="106">
        <f>'Secondary cum Calculation'!X439</f>
        <v>-1</v>
      </c>
      <c r="Z455" s="12"/>
    </row>
    <row r="456" spans="1:26">
      <c r="A456" s="57"/>
      <c r="B456" s="57"/>
      <c r="C456" s="61" t="str">
        <f>'Secondary cum Calculation'!C440</f>
        <v>Growth Rate</v>
      </c>
      <c r="D456" s="61"/>
      <c r="E456" s="61"/>
      <c r="F456" s="61">
        <f>'Secondary cum Calculation'!F440</f>
        <v>0</v>
      </c>
      <c r="G456" s="61">
        <f>'Secondary cum Calculation'!G440</f>
        <v>0</v>
      </c>
      <c r="H456" s="61">
        <f>'Secondary cum Calculation'!H440</f>
        <v>0</v>
      </c>
      <c r="I456" s="61">
        <f>'Secondary cum Calculation'!I440</f>
        <v>0</v>
      </c>
      <c r="J456" s="61" t="str">
        <f>'Secondary cum Calculation'!J440</f>
        <v>%</v>
      </c>
      <c r="K456" s="58">
        <f>'Secondary cum Calculation'!K440</f>
        <v>0</v>
      </c>
      <c r="L456" s="59"/>
      <c r="M456" s="62">
        <f>'Secondary cum Calculation'!M440</f>
        <v>-8.9150967760623145E-2</v>
      </c>
      <c r="N456" s="62">
        <f>'Secondary cum Calculation'!N440</f>
        <v>-9.6751070311101639E-2</v>
      </c>
      <c r="O456" s="62">
        <f>'Secondary cum Calculation'!O440</f>
        <v>0.1166666666666667</v>
      </c>
      <c r="P456" s="62">
        <f>'Secondary cum Calculation'!P440</f>
        <v>4.4776119402984982E-2</v>
      </c>
      <c r="Q456" s="62"/>
      <c r="R456" s="62"/>
      <c r="S456" s="62"/>
      <c r="T456" s="62"/>
      <c r="U456" s="62"/>
      <c r="V456" s="62"/>
      <c r="W456" s="259"/>
      <c r="X456" s="259"/>
    </row>
    <row r="457" spans="1:26">
      <c r="A457" s="55" t="str">
        <f>'Secondary cum Calculation'!A441</f>
        <v>Poland</v>
      </c>
      <c r="B457" s="56" t="str">
        <f>'Secondary cum Calculation'!B441</f>
        <v>Tourism Flows</v>
      </c>
      <c r="C457" s="56" t="str">
        <f>'Secondary cum Calculation'!C441</f>
        <v>International Arrivals by Place of Origin</v>
      </c>
      <c r="D457" s="56" t="str">
        <f>'Secondary cum Calculation'!D441</f>
        <v>Europe</v>
      </c>
      <c r="E457" s="55" t="str">
        <f>'Secondary cum Calculation'!E441</f>
        <v>Norway</v>
      </c>
      <c r="F457" s="57" t="str">
        <f>'Secondary cum Calculation'!F441</f>
        <v>The number of international arrivals to a country originating from Norway</v>
      </c>
      <c r="G457" s="57" t="str">
        <f>'Secondary cum Calculation'!G441</f>
        <v>Tourism Demand &amp; Flows Database</v>
      </c>
      <c r="H457" s="57" t="str">
        <f>'Secondary cum Calculation'!H441</f>
        <v>New</v>
      </c>
      <c r="I457" s="57">
        <f>'Secondary cum Calculation'!I441</f>
        <v>0</v>
      </c>
      <c r="J457" s="57" t="str">
        <f>'Secondary cum Calculation'!J441</f>
        <v>Thousand</v>
      </c>
      <c r="K457" s="58">
        <f>'Secondary cum Calculation'!K441</f>
        <v>145.35900000000001</v>
      </c>
      <c r="L457" s="59">
        <f>'Secondary cum Calculation'!L441</f>
        <v>0</v>
      </c>
      <c r="M457" s="59">
        <f>'Secondary cum Calculation'!M441</f>
        <v>0</v>
      </c>
      <c r="N457" s="59">
        <f>'Secondary cum Calculation'!N441</f>
        <v>0</v>
      </c>
      <c r="O457" s="59">
        <f>'Secondary cum Calculation'!O441</f>
        <v>0</v>
      </c>
      <c r="P457" s="59">
        <f>'Secondary cum Calculation'!P441</f>
        <v>0</v>
      </c>
      <c r="Q457" s="59"/>
      <c r="R457" s="59"/>
      <c r="S457" s="59"/>
      <c r="T457" s="59"/>
      <c r="U457" s="59"/>
      <c r="V457" s="59"/>
      <c r="W457" s="106" t="e">
        <f>'Secondary cum Calculation'!W441</f>
        <v>#DIV/0!</v>
      </c>
      <c r="X457" s="106" t="e">
        <f>'Secondary cum Calculation'!X441</f>
        <v>#DIV/0!</v>
      </c>
      <c r="Z457" s="12"/>
    </row>
    <row r="458" spans="1:26">
      <c r="A458" s="57"/>
      <c r="B458" s="57"/>
      <c r="C458" s="61" t="str">
        <f>'Secondary cum Calculation'!C442</f>
        <v>Growth Rate</v>
      </c>
      <c r="D458" s="61"/>
      <c r="E458" s="61"/>
      <c r="F458" s="61">
        <f>'Secondary cum Calculation'!F442</f>
        <v>0</v>
      </c>
      <c r="G458" s="61">
        <f>'Secondary cum Calculation'!G442</f>
        <v>0</v>
      </c>
      <c r="H458" s="61">
        <f>'Secondary cum Calculation'!H442</f>
        <v>0</v>
      </c>
      <c r="I458" s="61">
        <f>'Secondary cum Calculation'!I442</f>
        <v>0</v>
      </c>
      <c r="J458" s="61" t="str">
        <f>'Secondary cum Calculation'!J442</f>
        <v>%</v>
      </c>
      <c r="K458" s="58">
        <f>'Secondary cum Calculation'!K442</f>
        <v>0</v>
      </c>
      <c r="L458" s="59"/>
      <c r="M458" s="62" t="e">
        <f>'Secondary cum Calculation'!M442</f>
        <v>#DIV/0!</v>
      </c>
      <c r="N458" s="62" t="e">
        <f>'Secondary cum Calculation'!N442</f>
        <v>#DIV/0!</v>
      </c>
      <c r="O458" s="62" t="e">
        <f>'Secondary cum Calculation'!O442</f>
        <v>#DIV/0!</v>
      </c>
      <c r="P458" s="62" t="e">
        <f>'Secondary cum Calculation'!P442</f>
        <v>#DIV/0!</v>
      </c>
      <c r="Q458" s="62"/>
      <c r="R458" s="62"/>
      <c r="S458" s="62"/>
      <c r="T458" s="62"/>
      <c r="U458" s="62"/>
      <c r="V458" s="62"/>
      <c r="W458" s="259"/>
      <c r="X458" s="259"/>
    </row>
    <row r="459" spans="1:26">
      <c r="A459" s="55" t="str">
        <f>'Secondary cum Calculation'!A443</f>
        <v>Poland</v>
      </c>
      <c r="B459" s="56" t="str">
        <f>'Secondary cum Calculation'!B443</f>
        <v>Tourism Flows</v>
      </c>
      <c r="C459" s="56" t="str">
        <f>'Secondary cum Calculation'!C443</f>
        <v>International Arrivals by Place of Origin</v>
      </c>
      <c r="D459" s="56" t="str">
        <f>'Secondary cum Calculation'!D443</f>
        <v>Europe</v>
      </c>
      <c r="E459" s="55" t="str">
        <f>'Secondary cum Calculation'!E443</f>
        <v>Poland</v>
      </c>
      <c r="F459" s="57" t="str">
        <f>'Secondary cum Calculation'!F443</f>
        <v>The number of international arrivals to a country originating from Poland</v>
      </c>
      <c r="G459" s="57" t="str">
        <f>'Secondary cum Calculation'!G443</f>
        <v>Tourism Demand &amp; Flows Database</v>
      </c>
      <c r="H459" s="57" t="str">
        <f>'Secondary cum Calculation'!H443</f>
        <v>New</v>
      </c>
      <c r="I459" s="57">
        <f>'Secondary cum Calculation'!I443</f>
        <v>0</v>
      </c>
      <c r="J459" s="57" t="str">
        <f>'Secondary cum Calculation'!J443</f>
        <v>Thousand</v>
      </c>
      <c r="K459" s="58">
        <f>'Secondary cum Calculation'!K443</f>
        <v>137.58799999999999</v>
      </c>
      <c r="L459" s="59">
        <f>'Secondary cum Calculation'!L443</f>
        <v>0</v>
      </c>
      <c r="M459" s="59">
        <f>'Secondary cum Calculation'!M443</f>
        <v>0</v>
      </c>
      <c r="N459" s="59">
        <f>'Secondary cum Calculation'!N443</f>
        <v>0</v>
      </c>
      <c r="O459" s="59">
        <f>'Secondary cum Calculation'!O443</f>
        <v>0</v>
      </c>
      <c r="P459" s="59">
        <f>'Secondary cum Calculation'!P443</f>
        <v>0</v>
      </c>
      <c r="Q459" s="59"/>
      <c r="R459" s="59"/>
      <c r="S459" s="59"/>
      <c r="T459" s="59"/>
      <c r="U459" s="59"/>
      <c r="V459" s="59"/>
      <c r="W459" s="106" t="e">
        <f>'Secondary cum Calculation'!W443</f>
        <v>#DIV/0!</v>
      </c>
      <c r="X459" s="106" t="e">
        <f>'Secondary cum Calculation'!X443</f>
        <v>#DIV/0!</v>
      </c>
      <c r="Z459" s="12"/>
    </row>
    <row r="460" spans="1:26">
      <c r="A460" s="57"/>
      <c r="B460" s="57"/>
      <c r="C460" s="61" t="str">
        <f>'Secondary cum Calculation'!C444</f>
        <v>Growth Rate</v>
      </c>
      <c r="D460" s="61"/>
      <c r="E460" s="61"/>
      <c r="F460" s="61">
        <f>'Secondary cum Calculation'!F444</f>
        <v>0</v>
      </c>
      <c r="G460" s="61">
        <f>'Secondary cum Calculation'!G444</f>
        <v>0</v>
      </c>
      <c r="H460" s="61">
        <f>'Secondary cum Calculation'!H444</f>
        <v>0</v>
      </c>
      <c r="I460" s="61">
        <f>'Secondary cum Calculation'!I444</f>
        <v>0</v>
      </c>
      <c r="J460" s="61" t="str">
        <f>'Secondary cum Calculation'!J444</f>
        <v>%</v>
      </c>
      <c r="K460" s="58">
        <f>'Secondary cum Calculation'!K444</f>
        <v>0</v>
      </c>
      <c r="L460" s="59"/>
      <c r="M460" s="62" t="e">
        <f>'Secondary cum Calculation'!M444</f>
        <v>#DIV/0!</v>
      </c>
      <c r="N460" s="62" t="e">
        <f>'Secondary cum Calculation'!N444</f>
        <v>#DIV/0!</v>
      </c>
      <c r="O460" s="62" t="e">
        <f>'Secondary cum Calculation'!O444</f>
        <v>#DIV/0!</v>
      </c>
      <c r="P460" s="62" t="e">
        <f>'Secondary cum Calculation'!P444</f>
        <v>#DIV/0!</v>
      </c>
      <c r="Q460" s="62"/>
      <c r="R460" s="62"/>
      <c r="S460" s="62"/>
      <c r="T460" s="62"/>
      <c r="U460" s="62"/>
      <c r="V460" s="62"/>
      <c r="W460" s="259"/>
      <c r="X460" s="259"/>
    </row>
    <row r="461" spans="1:26">
      <c r="A461" s="55" t="str">
        <f>'Secondary cum Calculation'!A445</f>
        <v>Poland</v>
      </c>
      <c r="B461" s="56" t="str">
        <f>'Secondary cum Calculation'!B445</f>
        <v>Tourism Flows</v>
      </c>
      <c r="C461" s="56" t="str">
        <f>'Secondary cum Calculation'!C445</f>
        <v>International Arrivals by Place of Origin</v>
      </c>
      <c r="D461" s="56" t="str">
        <f>'Secondary cum Calculation'!D445</f>
        <v>Europe</v>
      </c>
      <c r="E461" s="55" t="str">
        <f>'Secondary cum Calculation'!E445</f>
        <v>Portugal</v>
      </c>
      <c r="F461" s="57" t="str">
        <f>'Secondary cum Calculation'!F445</f>
        <v>The number of international arrivals to a country originating from Portugal</v>
      </c>
      <c r="G461" s="57" t="str">
        <f>'Secondary cum Calculation'!G445</f>
        <v>Tourism Demand &amp; Flows Database</v>
      </c>
      <c r="H461" s="57" t="str">
        <f>'Secondary cum Calculation'!H445</f>
        <v>New</v>
      </c>
      <c r="I461" s="57">
        <f>'Secondary cum Calculation'!I445</f>
        <v>0</v>
      </c>
      <c r="J461" s="57" t="str">
        <f>'Secondary cum Calculation'!J445</f>
        <v>Thousand</v>
      </c>
      <c r="K461" s="58">
        <f>'Secondary cum Calculation'!K445</f>
        <v>71.406000000000006</v>
      </c>
      <c r="L461" s="59">
        <f>'Secondary cum Calculation'!L445</f>
        <v>0</v>
      </c>
      <c r="M461" s="59">
        <f>'Secondary cum Calculation'!M445</f>
        <v>0</v>
      </c>
      <c r="N461" s="59">
        <f>'Secondary cum Calculation'!N445</f>
        <v>0</v>
      </c>
      <c r="O461" s="59">
        <f>'Secondary cum Calculation'!O445</f>
        <v>0</v>
      </c>
      <c r="P461" s="59">
        <f>'Secondary cum Calculation'!P445</f>
        <v>0</v>
      </c>
      <c r="Q461" s="59"/>
      <c r="R461" s="59"/>
      <c r="S461" s="59"/>
      <c r="T461" s="59"/>
      <c r="U461" s="59"/>
      <c r="V461" s="59"/>
      <c r="W461" s="106" t="e">
        <f>'Secondary cum Calculation'!W445</f>
        <v>#DIV/0!</v>
      </c>
      <c r="X461" s="106" t="e">
        <f>'Secondary cum Calculation'!X445</f>
        <v>#DIV/0!</v>
      </c>
      <c r="Z461" s="12"/>
    </row>
    <row r="462" spans="1:26">
      <c r="A462" s="57"/>
      <c r="B462" s="57"/>
      <c r="C462" s="61" t="str">
        <f>'Secondary cum Calculation'!C446</f>
        <v>Growth Rate</v>
      </c>
      <c r="D462" s="61"/>
      <c r="E462" s="61"/>
      <c r="F462" s="61">
        <f>'Secondary cum Calculation'!F446</f>
        <v>0</v>
      </c>
      <c r="G462" s="61">
        <f>'Secondary cum Calculation'!G446</f>
        <v>0</v>
      </c>
      <c r="H462" s="61">
        <f>'Secondary cum Calculation'!H446</f>
        <v>0</v>
      </c>
      <c r="I462" s="61">
        <f>'Secondary cum Calculation'!I446</f>
        <v>0</v>
      </c>
      <c r="J462" s="61" t="str">
        <f>'Secondary cum Calculation'!J446</f>
        <v>%</v>
      </c>
      <c r="K462" s="58">
        <f>'Secondary cum Calculation'!K446</f>
        <v>0</v>
      </c>
      <c r="L462" s="59"/>
      <c r="M462" s="62" t="e">
        <f>'Secondary cum Calculation'!M446</f>
        <v>#DIV/0!</v>
      </c>
      <c r="N462" s="62" t="e">
        <f>'Secondary cum Calculation'!N446</f>
        <v>#DIV/0!</v>
      </c>
      <c r="O462" s="62" t="e">
        <f>'Secondary cum Calculation'!O446</f>
        <v>#DIV/0!</v>
      </c>
      <c r="P462" s="62" t="e">
        <f>'Secondary cum Calculation'!P446</f>
        <v>#DIV/0!</v>
      </c>
      <c r="Q462" s="62"/>
      <c r="R462" s="62"/>
      <c r="S462" s="62"/>
      <c r="T462" s="62"/>
      <c r="U462" s="62"/>
      <c r="V462" s="62"/>
      <c r="W462" s="259"/>
      <c r="X462" s="259"/>
    </row>
    <row r="463" spans="1:26">
      <c r="A463" s="55" t="str">
        <f>'Secondary cum Calculation'!A447</f>
        <v>Poland</v>
      </c>
      <c r="B463" s="56" t="str">
        <f>'Secondary cum Calculation'!B447</f>
        <v>Tourism Flows</v>
      </c>
      <c r="C463" s="56" t="str">
        <f>'Secondary cum Calculation'!C447</f>
        <v>International Arrivals by Place of Origin</v>
      </c>
      <c r="D463" s="56" t="str">
        <f>'Secondary cum Calculation'!D447</f>
        <v>Europe</v>
      </c>
      <c r="E463" s="55" t="str">
        <f>'Secondary cum Calculation'!E447</f>
        <v>Republic of Moldova</v>
      </c>
      <c r="F463" s="57" t="str">
        <f>'Secondary cum Calculation'!F447</f>
        <v>The number of international arrivals to a country originating from Republic of Moldova</v>
      </c>
      <c r="G463" s="57" t="str">
        <f>'Secondary cum Calculation'!G447</f>
        <v>Tourism Demand &amp; Flows Database</v>
      </c>
      <c r="H463" s="57" t="str">
        <f>'Secondary cum Calculation'!H447</f>
        <v>New</v>
      </c>
      <c r="I463" s="57">
        <f>'Secondary cum Calculation'!I447</f>
        <v>0</v>
      </c>
      <c r="J463" s="57" t="str">
        <f>'Secondary cum Calculation'!J447</f>
        <v>Thousand</v>
      </c>
      <c r="K463" s="58">
        <f>'Secondary cum Calculation'!K447</f>
        <v>0</v>
      </c>
      <c r="L463" s="59">
        <f>'Secondary cum Calculation'!L447</f>
        <v>0</v>
      </c>
      <c r="M463" s="59">
        <f>'Secondary cum Calculation'!M447</f>
        <v>0</v>
      </c>
      <c r="N463" s="59">
        <f>'Secondary cum Calculation'!N447</f>
        <v>0</v>
      </c>
      <c r="O463" s="88">
        <f>'Secondary cum Calculation'!O447</f>
        <v>0</v>
      </c>
      <c r="P463" s="88">
        <f>'Secondary cum Calculation'!P447</f>
        <v>0</v>
      </c>
      <c r="Q463" s="88"/>
      <c r="R463" s="88"/>
      <c r="S463" s="88"/>
      <c r="T463" s="88"/>
      <c r="U463" s="88"/>
      <c r="V463" s="88"/>
      <c r="W463" s="106" t="e">
        <f>'Secondary cum Calculation'!W447</f>
        <v>#DIV/0!</v>
      </c>
      <c r="X463" s="106" t="e">
        <f>'Secondary cum Calculation'!X447</f>
        <v>#DIV/0!</v>
      </c>
    </row>
    <row r="464" spans="1:26">
      <c r="A464" s="57"/>
      <c r="B464" s="57"/>
      <c r="C464" s="61" t="str">
        <f>'Secondary cum Calculation'!C448</f>
        <v>Growth Rate</v>
      </c>
      <c r="D464" s="61"/>
      <c r="E464" s="61"/>
      <c r="F464" s="61">
        <f>'Secondary cum Calculation'!F448</f>
        <v>0</v>
      </c>
      <c r="G464" s="61">
        <f>'Secondary cum Calculation'!G448</f>
        <v>0</v>
      </c>
      <c r="H464" s="61">
        <f>'Secondary cum Calculation'!H448</f>
        <v>0</v>
      </c>
      <c r="I464" s="61">
        <f>'Secondary cum Calculation'!I448</f>
        <v>0</v>
      </c>
      <c r="J464" s="61" t="str">
        <f>'Secondary cum Calculation'!J448</f>
        <v>%</v>
      </c>
      <c r="K464" s="58">
        <f>'Secondary cum Calculation'!K448</f>
        <v>0</v>
      </c>
      <c r="L464" s="59"/>
      <c r="M464" s="62" t="e">
        <f>'Secondary cum Calculation'!M448</f>
        <v>#DIV/0!</v>
      </c>
      <c r="N464" s="62" t="e">
        <f>'Secondary cum Calculation'!N448</f>
        <v>#DIV/0!</v>
      </c>
      <c r="O464" s="62" t="e">
        <f>'Secondary cum Calculation'!O448</f>
        <v>#DIV/0!</v>
      </c>
      <c r="P464" s="62" t="e">
        <f>'Secondary cum Calculation'!P448</f>
        <v>#DIV/0!</v>
      </c>
      <c r="Q464" s="62"/>
      <c r="R464" s="62"/>
      <c r="S464" s="62"/>
      <c r="T464" s="62"/>
      <c r="U464" s="62"/>
      <c r="V464" s="62"/>
      <c r="W464" s="259"/>
      <c r="X464" s="259"/>
    </row>
    <row r="465" spans="1:26">
      <c r="A465" s="55" t="str">
        <f>'Secondary cum Calculation'!A449</f>
        <v>Poland</v>
      </c>
      <c r="B465" s="56" t="str">
        <f>'Secondary cum Calculation'!B449</f>
        <v>Tourism Flows</v>
      </c>
      <c r="C465" s="56" t="str">
        <f>'Secondary cum Calculation'!C449</f>
        <v>International Arrivals by Place of Origin</v>
      </c>
      <c r="D465" s="56" t="str">
        <f>'Secondary cum Calculation'!D449</f>
        <v>Europe</v>
      </c>
      <c r="E465" s="55" t="str">
        <f>'Secondary cum Calculation'!E449</f>
        <v>Romania</v>
      </c>
      <c r="F465" s="57" t="str">
        <f>'Secondary cum Calculation'!F449</f>
        <v>The number of international arrivals to a country originating from Romania</v>
      </c>
      <c r="G465" s="57" t="str">
        <f>'Secondary cum Calculation'!G449</f>
        <v>Tourism Demand &amp; Flows Database</v>
      </c>
      <c r="H465" s="57" t="str">
        <f>'Secondary cum Calculation'!H449</f>
        <v>New</v>
      </c>
      <c r="I465" s="57">
        <f>'Secondary cum Calculation'!I449</f>
        <v>0</v>
      </c>
      <c r="J465" s="57" t="str">
        <f>'Secondary cum Calculation'!J449</f>
        <v>Thousand</v>
      </c>
      <c r="K465" s="58">
        <f>'Secondary cum Calculation'!K449</f>
        <v>0</v>
      </c>
      <c r="L465" s="59">
        <f>'Secondary cum Calculation'!L449</f>
        <v>0</v>
      </c>
      <c r="M465" s="59">
        <f>'Secondary cum Calculation'!M449</f>
        <v>0</v>
      </c>
      <c r="N465" s="59">
        <f>'Secondary cum Calculation'!N449</f>
        <v>0</v>
      </c>
      <c r="O465" s="59">
        <f>'Secondary cum Calculation'!O449</f>
        <v>0</v>
      </c>
      <c r="P465" s="59">
        <f>'Secondary cum Calculation'!P449</f>
        <v>0</v>
      </c>
      <c r="Q465" s="59"/>
      <c r="R465" s="59"/>
      <c r="S465" s="59"/>
      <c r="T465" s="59"/>
      <c r="U465" s="59"/>
      <c r="V465" s="59"/>
      <c r="W465" s="106" t="e">
        <f>'Secondary cum Calculation'!W449</f>
        <v>#DIV/0!</v>
      </c>
      <c r="X465" s="106" t="e">
        <f>'Secondary cum Calculation'!X449</f>
        <v>#DIV/0!</v>
      </c>
    </row>
    <row r="466" spans="1:26">
      <c r="A466" s="57"/>
      <c r="B466" s="57"/>
      <c r="C466" s="61" t="str">
        <f>'Secondary cum Calculation'!C450</f>
        <v>Growth Rate</v>
      </c>
      <c r="D466" s="61"/>
      <c r="E466" s="61"/>
      <c r="F466" s="61">
        <f>'Secondary cum Calculation'!F450</f>
        <v>0</v>
      </c>
      <c r="G466" s="61">
        <f>'Secondary cum Calculation'!G450</f>
        <v>0</v>
      </c>
      <c r="H466" s="61">
        <f>'Secondary cum Calculation'!H450</f>
        <v>0</v>
      </c>
      <c r="I466" s="61">
        <f>'Secondary cum Calculation'!I450</f>
        <v>0</v>
      </c>
      <c r="J466" s="61" t="str">
        <f>'Secondary cum Calculation'!J450</f>
        <v>%</v>
      </c>
      <c r="K466" s="58">
        <f>'Secondary cum Calculation'!K450</f>
        <v>0</v>
      </c>
      <c r="L466" s="59"/>
      <c r="M466" s="62" t="e">
        <f>'Secondary cum Calculation'!M450</f>
        <v>#DIV/0!</v>
      </c>
      <c r="N466" s="62" t="e">
        <f>'Secondary cum Calculation'!N450</f>
        <v>#DIV/0!</v>
      </c>
      <c r="O466" s="62" t="e">
        <f>'Secondary cum Calculation'!O450</f>
        <v>#DIV/0!</v>
      </c>
      <c r="P466" s="62" t="e">
        <f>'Secondary cum Calculation'!P450</f>
        <v>#DIV/0!</v>
      </c>
      <c r="Q466" s="62"/>
      <c r="R466" s="62"/>
      <c r="S466" s="62"/>
      <c r="T466" s="62"/>
      <c r="U466" s="62"/>
      <c r="V466" s="62"/>
      <c r="W466" s="259"/>
      <c r="X466" s="259"/>
    </row>
    <row r="467" spans="1:26">
      <c r="A467" s="55" t="str">
        <f>'Secondary cum Calculation'!A451</f>
        <v>Poland</v>
      </c>
      <c r="B467" s="56" t="str">
        <f>'Secondary cum Calculation'!B451</f>
        <v>Tourism Flows</v>
      </c>
      <c r="C467" s="56" t="str">
        <f>'Secondary cum Calculation'!C451</f>
        <v>International Arrivals by Place of Origin</v>
      </c>
      <c r="D467" s="56" t="str">
        <f>'Secondary cum Calculation'!D451</f>
        <v>Europe</v>
      </c>
      <c r="E467" s="55" t="str">
        <f>'Secondary cum Calculation'!E451</f>
        <v>Russian Federation</v>
      </c>
      <c r="F467" s="57" t="str">
        <f>'Secondary cum Calculation'!F451</f>
        <v>The number of international arrivals to a country originating from Russian Federation</v>
      </c>
      <c r="G467" s="57" t="str">
        <f>'Secondary cum Calculation'!G451</f>
        <v>Tourism Demand &amp; Flows Database</v>
      </c>
      <c r="H467" s="57" t="str">
        <f>'Secondary cum Calculation'!H451</f>
        <v>New</v>
      </c>
      <c r="I467" s="57">
        <f>'Secondary cum Calculation'!I451</f>
        <v>0</v>
      </c>
      <c r="J467" s="57" t="str">
        <f>'Secondary cum Calculation'!J451</f>
        <v>Thousand</v>
      </c>
      <c r="K467" s="58">
        <f>'Secondary cum Calculation'!K451</f>
        <v>94.680999999999997</v>
      </c>
      <c r="L467" s="59">
        <f>'Secondary cum Calculation'!L451</f>
        <v>687.09605490829472</v>
      </c>
      <c r="M467" s="59">
        <f>'Secondary cum Calculation'!M451</f>
        <v>451.754303420322</v>
      </c>
      <c r="N467" s="59">
        <f>'Secondary cum Calculation'!N451</f>
        <v>320</v>
      </c>
      <c r="O467" s="59">
        <f>'Secondary cum Calculation'!O451</f>
        <v>400</v>
      </c>
      <c r="P467" s="59">
        <f>'Secondary cum Calculation'!P451</f>
        <v>500</v>
      </c>
      <c r="Q467" s="59"/>
      <c r="R467" s="59"/>
      <c r="S467" s="59"/>
      <c r="T467" s="59"/>
      <c r="U467" s="59"/>
      <c r="V467" s="59"/>
      <c r="W467" s="106">
        <f>'Secondary cum Calculation'!W451</f>
        <v>0.10355282304749869</v>
      </c>
      <c r="X467" s="106">
        <f>'Secondary cum Calculation'!X451</f>
        <v>-1</v>
      </c>
      <c r="Z467" s="12"/>
    </row>
    <row r="468" spans="1:26">
      <c r="A468" s="57"/>
      <c r="B468" s="57"/>
      <c r="C468" s="61" t="str">
        <f>'Secondary cum Calculation'!C452</f>
        <v>Growth Rate</v>
      </c>
      <c r="D468" s="61"/>
      <c r="E468" s="61"/>
      <c r="F468" s="61">
        <f>'Secondary cum Calculation'!F452</f>
        <v>0</v>
      </c>
      <c r="G468" s="61">
        <f>'Secondary cum Calculation'!G452</f>
        <v>0</v>
      </c>
      <c r="H468" s="61">
        <f>'Secondary cum Calculation'!H452</f>
        <v>0</v>
      </c>
      <c r="I468" s="61">
        <f>'Secondary cum Calculation'!I452</f>
        <v>0</v>
      </c>
      <c r="J468" s="61" t="str">
        <f>'Secondary cum Calculation'!J452</f>
        <v>%</v>
      </c>
      <c r="K468" s="58">
        <f>'Secondary cum Calculation'!K452</f>
        <v>0</v>
      </c>
      <c r="L468" s="59"/>
      <c r="M468" s="62">
        <f>'Secondary cum Calculation'!M452</f>
        <v>-0.34251652269984767</v>
      </c>
      <c r="N468" s="62">
        <f>'Secondary cum Calculation'!N452</f>
        <v>-0.29165035600720102</v>
      </c>
      <c r="O468" s="62">
        <f>'Secondary cum Calculation'!O452</f>
        <v>0.25</v>
      </c>
      <c r="P468" s="62">
        <f>'Secondary cum Calculation'!P452</f>
        <v>0.25</v>
      </c>
      <c r="Q468" s="62"/>
      <c r="R468" s="62"/>
      <c r="S468" s="62"/>
      <c r="T468" s="62"/>
      <c r="U468" s="62"/>
      <c r="V468" s="62"/>
      <c r="W468" s="259"/>
      <c r="X468" s="259"/>
    </row>
    <row r="469" spans="1:26">
      <c r="A469" s="55" t="str">
        <f>'Secondary cum Calculation'!A453</f>
        <v>Poland</v>
      </c>
      <c r="B469" s="56" t="str">
        <f>'Secondary cum Calculation'!B453</f>
        <v>Tourism Flows</v>
      </c>
      <c r="C469" s="56" t="str">
        <f>'Secondary cum Calculation'!C453</f>
        <v>International Arrivals by Place of Origin</v>
      </c>
      <c r="D469" s="56" t="str">
        <f>'Secondary cum Calculation'!D453</f>
        <v>Europe</v>
      </c>
      <c r="E469" s="55" t="str">
        <f>'Secondary cum Calculation'!E453</f>
        <v>Serbia</v>
      </c>
      <c r="F469" s="57" t="str">
        <f>'Secondary cum Calculation'!F453</f>
        <v>The number of international arrivals to a country originating from Serbia</v>
      </c>
      <c r="G469" s="57" t="str">
        <f>'Secondary cum Calculation'!G453</f>
        <v>Tourism Demand &amp; Flows Database</v>
      </c>
      <c r="H469" s="57" t="str">
        <f>'Secondary cum Calculation'!H453</f>
        <v>New</v>
      </c>
      <c r="I469" s="57">
        <f>'Secondary cum Calculation'!I453</f>
        <v>0</v>
      </c>
      <c r="J469" s="57" t="str">
        <f>'Secondary cum Calculation'!J453</f>
        <v>Thousand</v>
      </c>
      <c r="K469" s="58">
        <f>'Secondary cum Calculation'!K453</f>
        <v>0</v>
      </c>
      <c r="L469" s="59">
        <f>'Secondary cum Calculation'!L453</f>
        <v>0</v>
      </c>
      <c r="M469" s="59">
        <f>'Secondary cum Calculation'!M453</f>
        <v>0</v>
      </c>
      <c r="N469" s="59">
        <f>'Secondary cum Calculation'!N453</f>
        <v>0</v>
      </c>
      <c r="O469" s="88">
        <f>'Secondary cum Calculation'!O453</f>
        <v>0</v>
      </c>
      <c r="P469" s="88">
        <f>'Secondary cum Calculation'!P453</f>
        <v>0</v>
      </c>
      <c r="Q469" s="88"/>
      <c r="R469" s="88"/>
      <c r="S469" s="88"/>
      <c r="T469" s="88"/>
      <c r="U469" s="88"/>
      <c r="V469" s="88"/>
      <c r="W469" s="106" t="e">
        <f>'Secondary cum Calculation'!W453</f>
        <v>#DIV/0!</v>
      </c>
      <c r="X469" s="106" t="e">
        <f>'Secondary cum Calculation'!X453</f>
        <v>#DIV/0!</v>
      </c>
    </row>
    <row r="470" spans="1:26">
      <c r="A470" s="57"/>
      <c r="B470" s="57"/>
      <c r="C470" s="61" t="str">
        <f>'Secondary cum Calculation'!C454</f>
        <v>Growth Rate</v>
      </c>
      <c r="D470" s="61"/>
      <c r="E470" s="61"/>
      <c r="F470" s="61">
        <f>'Secondary cum Calculation'!F454</f>
        <v>0</v>
      </c>
      <c r="G470" s="61">
        <f>'Secondary cum Calculation'!G454</f>
        <v>0</v>
      </c>
      <c r="H470" s="61">
        <f>'Secondary cum Calculation'!H454</f>
        <v>0</v>
      </c>
      <c r="I470" s="61">
        <f>'Secondary cum Calculation'!I454</f>
        <v>0</v>
      </c>
      <c r="J470" s="61" t="str">
        <f>'Secondary cum Calculation'!J454</f>
        <v>%</v>
      </c>
      <c r="K470" s="58">
        <f>'Secondary cum Calculation'!K454</f>
        <v>0</v>
      </c>
      <c r="L470" s="59"/>
      <c r="M470" s="62" t="e">
        <f>'Secondary cum Calculation'!M454</f>
        <v>#DIV/0!</v>
      </c>
      <c r="N470" s="62" t="e">
        <f>'Secondary cum Calculation'!N454</f>
        <v>#DIV/0!</v>
      </c>
      <c r="O470" s="62" t="e">
        <f>'Secondary cum Calculation'!O454</f>
        <v>#DIV/0!</v>
      </c>
      <c r="P470" s="62" t="e">
        <f>'Secondary cum Calculation'!P454</f>
        <v>#DIV/0!</v>
      </c>
      <c r="Q470" s="62"/>
      <c r="R470" s="62"/>
      <c r="S470" s="62"/>
      <c r="T470" s="62"/>
      <c r="U470" s="62"/>
      <c r="V470" s="62"/>
      <c r="W470" s="259"/>
      <c r="X470" s="259"/>
    </row>
    <row r="471" spans="1:26">
      <c r="A471" s="55" t="str">
        <f>'Secondary cum Calculation'!A455</f>
        <v>Poland</v>
      </c>
      <c r="B471" s="56" t="str">
        <f>'Secondary cum Calculation'!B455</f>
        <v>Tourism Flows</v>
      </c>
      <c r="C471" s="56" t="str">
        <f>'Secondary cum Calculation'!C455</f>
        <v>International Arrivals by Place of Origin</v>
      </c>
      <c r="D471" s="56" t="str">
        <f>'Secondary cum Calculation'!D455</f>
        <v>Europe</v>
      </c>
      <c r="E471" s="55" t="str">
        <f>'Secondary cum Calculation'!E455</f>
        <v>Slovakia</v>
      </c>
      <c r="F471" s="57" t="str">
        <f>'Secondary cum Calculation'!F455</f>
        <v>The number of international arrivals to a country originating from Slovakia</v>
      </c>
      <c r="G471" s="57" t="str">
        <f>'Secondary cum Calculation'!G455</f>
        <v>Tourism Demand &amp; Flows Database</v>
      </c>
      <c r="H471" s="57" t="str">
        <f>'Secondary cum Calculation'!H455</f>
        <v>New</v>
      </c>
      <c r="I471" s="57">
        <f>'Secondary cum Calculation'!I455</f>
        <v>0</v>
      </c>
      <c r="J471" s="57" t="str">
        <f>'Secondary cum Calculation'!J455</f>
        <v>Thousand</v>
      </c>
      <c r="K471" s="58">
        <f>'Secondary cum Calculation'!K455</f>
        <v>0</v>
      </c>
      <c r="L471" s="59">
        <f>'Secondary cum Calculation'!L455</f>
        <v>111.29228192584348</v>
      </c>
      <c r="M471" s="59">
        <f>'Secondary cum Calculation'!M455</f>
        <v>96.16665537678594</v>
      </c>
      <c r="N471" s="59">
        <f>'Secondary cum Calculation'!N455</f>
        <v>85</v>
      </c>
      <c r="O471" s="59">
        <f>'Secondary cum Calculation'!O455</f>
        <v>95</v>
      </c>
      <c r="P471" s="59">
        <f>'Secondary cum Calculation'!P455</f>
        <v>100</v>
      </c>
      <c r="Q471" s="59"/>
      <c r="R471" s="59"/>
      <c r="S471" s="59"/>
      <c r="T471" s="59"/>
      <c r="U471" s="59"/>
      <c r="V471" s="59"/>
      <c r="W471" s="106">
        <f>'Secondary cum Calculation'!W455</f>
        <v>3.4170257350608857E-2</v>
      </c>
      <c r="X471" s="106">
        <f>'Secondary cum Calculation'!X455</f>
        <v>-1</v>
      </c>
    </row>
    <row r="472" spans="1:26">
      <c r="A472" s="57"/>
      <c r="B472" s="57"/>
      <c r="C472" s="61" t="str">
        <f>'Secondary cum Calculation'!C456</f>
        <v>Growth Rate</v>
      </c>
      <c r="D472" s="61"/>
      <c r="E472" s="61"/>
      <c r="F472" s="61">
        <f>'Secondary cum Calculation'!F456</f>
        <v>0</v>
      </c>
      <c r="G472" s="61">
        <f>'Secondary cum Calculation'!G456</f>
        <v>0</v>
      </c>
      <c r="H472" s="61">
        <f>'Secondary cum Calculation'!H456</f>
        <v>0</v>
      </c>
      <c r="I472" s="61">
        <f>'Secondary cum Calculation'!I456</f>
        <v>0</v>
      </c>
      <c r="J472" s="61" t="str">
        <f>'Secondary cum Calculation'!J456</f>
        <v>%</v>
      </c>
      <c r="K472" s="58">
        <f>'Secondary cum Calculation'!K456</f>
        <v>0</v>
      </c>
      <c r="L472" s="59"/>
      <c r="M472" s="62">
        <f>'Secondary cum Calculation'!M456</f>
        <v>-0.13590903418743883</v>
      </c>
      <c r="N472" s="62">
        <f>'Secondary cum Calculation'!N456</f>
        <v>-0.1161177471862197</v>
      </c>
      <c r="O472" s="62">
        <f>'Secondary cum Calculation'!O456</f>
        <v>0.11764705882352944</v>
      </c>
      <c r="P472" s="62">
        <f>'Secondary cum Calculation'!P456</f>
        <v>5.2631578947368363E-2</v>
      </c>
      <c r="Q472" s="62"/>
      <c r="R472" s="62"/>
      <c r="S472" s="62"/>
      <c r="T472" s="62"/>
      <c r="U472" s="62"/>
      <c r="V472" s="62"/>
      <c r="W472" s="259"/>
      <c r="X472" s="259"/>
    </row>
    <row r="473" spans="1:26">
      <c r="A473" s="55" t="str">
        <f>'Secondary cum Calculation'!A457</f>
        <v>Poland</v>
      </c>
      <c r="B473" s="56" t="str">
        <f>'Secondary cum Calculation'!B457</f>
        <v>Tourism Flows</v>
      </c>
      <c r="C473" s="56" t="str">
        <f>'Secondary cum Calculation'!C457</f>
        <v>International Arrivals by Place of Origin</v>
      </c>
      <c r="D473" s="56" t="str">
        <f>'Secondary cum Calculation'!D457</f>
        <v>Europe</v>
      </c>
      <c r="E473" s="55" t="str">
        <f>'Secondary cum Calculation'!E457</f>
        <v>Slovenia</v>
      </c>
      <c r="F473" s="57" t="str">
        <f>'Secondary cum Calculation'!F457</f>
        <v>The number of international arrivals to a country originating from Slovenia</v>
      </c>
      <c r="G473" s="57" t="str">
        <f>'Secondary cum Calculation'!G457</f>
        <v>Tourism Demand &amp; Flows Database</v>
      </c>
      <c r="H473" s="57" t="str">
        <f>'Secondary cum Calculation'!H457</f>
        <v>New</v>
      </c>
      <c r="I473" s="57">
        <f>'Secondary cum Calculation'!I457</f>
        <v>0</v>
      </c>
      <c r="J473" s="57" t="str">
        <f>'Secondary cum Calculation'!J457</f>
        <v>Thousand</v>
      </c>
      <c r="K473" s="58">
        <f>'Secondary cum Calculation'!K457</f>
        <v>0</v>
      </c>
      <c r="L473" s="59">
        <f>'Secondary cum Calculation'!L457</f>
        <v>0</v>
      </c>
      <c r="M473" s="59">
        <f>'Secondary cum Calculation'!M457</f>
        <v>0</v>
      </c>
      <c r="N473" s="59">
        <f>'Secondary cum Calculation'!N457</f>
        <v>0</v>
      </c>
      <c r="O473" s="88">
        <f>'Secondary cum Calculation'!O457</f>
        <v>0</v>
      </c>
      <c r="P473" s="88">
        <f>'Secondary cum Calculation'!P457</f>
        <v>0</v>
      </c>
      <c r="Q473" s="88"/>
      <c r="R473" s="88"/>
      <c r="S473" s="88"/>
      <c r="T473" s="88"/>
      <c r="U473" s="88"/>
      <c r="V473" s="88"/>
      <c r="W473" s="106" t="e">
        <f>'Secondary cum Calculation'!W457</f>
        <v>#DIV/0!</v>
      </c>
      <c r="X473" s="106" t="e">
        <f>'Secondary cum Calculation'!X457</f>
        <v>#DIV/0!</v>
      </c>
    </row>
    <row r="474" spans="1:26">
      <c r="A474" s="57"/>
      <c r="B474" s="57"/>
      <c r="C474" s="61" t="str">
        <f>'Secondary cum Calculation'!C458</f>
        <v>Growth Rate</v>
      </c>
      <c r="D474" s="61"/>
      <c r="E474" s="61"/>
      <c r="F474" s="61">
        <f>'Secondary cum Calculation'!F458</f>
        <v>0</v>
      </c>
      <c r="G474" s="61">
        <f>'Secondary cum Calculation'!G458</f>
        <v>0</v>
      </c>
      <c r="H474" s="61">
        <f>'Secondary cum Calculation'!H458</f>
        <v>0</v>
      </c>
      <c r="I474" s="61">
        <f>'Secondary cum Calculation'!I458</f>
        <v>0</v>
      </c>
      <c r="J474" s="61" t="str">
        <f>'Secondary cum Calculation'!J458</f>
        <v>%</v>
      </c>
      <c r="K474" s="58">
        <f>'Secondary cum Calculation'!K458</f>
        <v>0</v>
      </c>
      <c r="L474" s="59"/>
      <c r="M474" s="62" t="e">
        <f>'Secondary cum Calculation'!M458</f>
        <v>#DIV/0!</v>
      </c>
      <c r="N474" s="62" t="e">
        <f>'Secondary cum Calculation'!N458</f>
        <v>#DIV/0!</v>
      </c>
      <c r="O474" s="62" t="e">
        <f>'Secondary cum Calculation'!O458</f>
        <v>#DIV/0!</v>
      </c>
      <c r="P474" s="62" t="e">
        <f>'Secondary cum Calculation'!P458</f>
        <v>#DIV/0!</v>
      </c>
      <c r="Q474" s="62"/>
      <c r="R474" s="62"/>
      <c r="S474" s="62"/>
      <c r="T474" s="62"/>
      <c r="U474" s="62"/>
      <c r="V474" s="62"/>
      <c r="W474" s="259"/>
      <c r="X474" s="259"/>
    </row>
    <row r="475" spans="1:26">
      <c r="A475" s="55" t="str">
        <f>'Secondary cum Calculation'!A459</f>
        <v>Poland</v>
      </c>
      <c r="B475" s="56" t="str">
        <f>'Secondary cum Calculation'!B459</f>
        <v>Tourism Flows</v>
      </c>
      <c r="C475" s="56" t="str">
        <f>'Secondary cum Calculation'!C459</f>
        <v>International Arrivals by Place of Origin</v>
      </c>
      <c r="D475" s="56" t="str">
        <f>'Secondary cum Calculation'!D459</f>
        <v>Europe</v>
      </c>
      <c r="E475" s="55" t="str">
        <f>'Secondary cum Calculation'!E459</f>
        <v>Spain</v>
      </c>
      <c r="F475" s="57" t="str">
        <f>'Secondary cum Calculation'!F459</f>
        <v>The number of international arrivals to a country originating from Spain</v>
      </c>
      <c r="G475" s="57" t="str">
        <f>'Secondary cum Calculation'!G459</f>
        <v>Tourism Demand &amp; Flows Database</v>
      </c>
      <c r="H475" s="57" t="str">
        <f>'Secondary cum Calculation'!H459</f>
        <v>New</v>
      </c>
      <c r="I475" s="57">
        <f>'Secondary cum Calculation'!I459</f>
        <v>0</v>
      </c>
      <c r="J475" s="57" t="str">
        <f>'Secondary cum Calculation'!J459</f>
        <v>Thousand</v>
      </c>
      <c r="K475" s="58">
        <f>'Secondary cum Calculation'!K459</f>
        <v>424.22399999999999</v>
      </c>
      <c r="L475" s="59">
        <f>'Secondary cum Calculation'!L459</f>
        <v>0</v>
      </c>
      <c r="M475" s="59">
        <f>'Secondary cum Calculation'!M459</f>
        <v>0</v>
      </c>
      <c r="N475" s="59">
        <f>'Secondary cum Calculation'!N459</f>
        <v>0</v>
      </c>
      <c r="O475" s="59">
        <f>'Secondary cum Calculation'!O459</f>
        <v>0</v>
      </c>
      <c r="P475" s="59">
        <f>'Secondary cum Calculation'!P459</f>
        <v>0</v>
      </c>
      <c r="Q475" s="59"/>
      <c r="R475" s="59"/>
      <c r="S475" s="59"/>
      <c r="T475" s="59"/>
      <c r="U475" s="59"/>
      <c r="V475" s="59"/>
      <c r="W475" s="106" t="e">
        <f>'Secondary cum Calculation'!W459</f>
        <v>#DIV/0!</v>
      </c>
      <c r="X475" s="106" t="e">
        <f>'Secondary cum Calculation'!X459</f>
        <v>#DIV/0!</v>
      </c>
      <c r="Z475" s="12"/>
    </row>
    <row r="476" spans="1:26">
      <c r="A476" s="57"/>
      <c r="B476" s="57"/>
      <c r="C476" s="61" t="str">
        <f>'Secondary cum Calculation'!C460</f>
        <v>Growth Rate</v>
      </c>
      <c r="D476" s="61"/>
      <c r="E476" s="61"/>
      <c r="F476" s="61">
        <f>'Secondary cum Calculation'!F460</f>
        <v>0</v>
      </c>
      <c r="G476" s="61">
        <f>'Secondary cum Calculation'!G460</f>
        <v>0</v>
      </c>
      <c r="H476" s="61">
        <f>'Secondary cum Calculation'!H460</f>
        <v>0</v>
      </c>
      <c r="I476" s="61">
        <f>'Secondary cum Calculation'!I460</f>
        <v>0</v>
      </c>
      <c r="J476" s="61" t="str">
        <f>'Secondary cum Calculation'!J460</f>
        <v>%</v>
      </c>
      <c r="K476" s="58">
        <f>'Secondary cum Calculation'!K460</f>
        <v>0</v>
      </c>
      <c r="L476" s="59"/>
      <c r="M476" s="62" t="e">
        <f>'Secondary cum Calculation'!M460</f>
        <v>#DIV/0!</v>
      </c>
      <c r="N476" s="62" t="e">
        <f>'Secondary cum Calculation'!N460</f>
        <v>#DIV/0!</v>
      </c>
      <c r="O476" s="62" t="e">
        <f>'Secondary cum Calculation'!O460</f>
        <v>#DIV/0!</v>
      </c>
      <c r="P476" s="62" t="e">
        <f>'Secondary cum Calculation'!P460</f>
        <v>#DIV/0!</v>
      </c>
      <c r="Q476" s="62"/>
      <c r="R476" s="62"/>
      <c r="S476" s="62"/>
      <c r="T476" s="62"/>
      <c r="U476" s="62"/>
      <c r="V476" s="62"/>
      <c r="W476" s="259"/>
      <c r="X476" s="259"/>
    </row>
    <row r="477" spans="1:26">
      <c r="A477" s="55" t="str">
        <f>'Secondary cum Calculation'!A461</f>
        <v>Poland</v>
      </c>
      <c r="B477" s="56" t="str">
        <f>'Secondary cum Calculation'!B461</f>
        <v>Tourism Flows</v>
      </c>
      <c r="C477" s="56" t="str">
        <f>'Secondary cum Calculation'!C461</f>
        <v>International Arrivals by Place of Origin</v>
      </c>
      <c r="D477" s="56" t="str">
        <f>'Secondary cum Calculation'!D461</f>
        <v>Europe</v>
      </c>
      <c r="E477" s="55" t="str">
        <f>'Secondary cum Calculation'!E461</f>
        <v>Sweden</v>
      </c>
      <c r="F477" s="57" t="str">
        <f>'Secondary cum Calculation'!F461</f>
        <v>The number of international arrivals to a country originating from Sweden</v>
      </c>
      <c r="G477" s="57" t="str">
        <f>'Secondary cum Calculation'!G461</f>
        <v>Tourism Demand &amp; Flows Database</v>
      </c>
      <c r="H477" s="57" t="str">
        <f>'Secondary cum Calculation'!H461</f>
        <v>New</v>
      </c>
      <c r="I477" s="57">
        <f>'Secondary cum Calculation'!I461</f>
        <v>0</v>
      </c>
      <c r="J477" s="57" t="str">
        <f>'Secondary cum Calculation'!J461</f>
        <v>Thousand</v>
      </c>
      <c r="K477" s="58">
        <f>'Secondary cum Calculation'!K461</f>
        <v>285.99400000000003</v>
      </c>
      <c r="L477" s="59">
        <f>'Secondary cum Calculation'!L461</f>
        <v>178.78673196809359</v>
      </c>
      <c r="M477" s="59">
        <f>'Secondary cum Calculation'!M461</f>
        <v>159.55466724765893</v>
      </c>
      <c r="N477" s="59">
        <f>'Secondary cum Calculation'!N461</f>
        <v>155</v>
      </c>
      <c r="O477" s="59">
        <f>'Secondary cum Calculation'!O461</f>
        <v>150</v>
      </c>
      <c r="P477" s="59">
        <f>'Secondary cum Calculation'!P461</f>
        <v>160</v>
      </c>
      <c r="Q477" s="59"/>
      <c r="R477" s="59"/>
      <c r="S477" s="59"/>
      <c r="T477" s="59"/>
      <c r="U477" s="59"/>
      <c r="V477" s="59"/>
      <c r="W477" s="106">
        <f>'Secondary cum Calculation'!W461</f>
        <v>3.06014475753702E-2</v>
      </c>
      <c r="X477" s="106">
        <f>'Secondary cum Calculation'!X461</f>
        <v>-1</v>
      </c>
      <c r="Z477" s="12"/>
    </row>
    <row r="478" spans="1:26">
      <c r="A478" s="57"/>
      <c r="B478" s="57"/>
      <c r="C478" s="61" t="str">
        <f>'Secondary cum Calculation'!C462</f>
        <v>Growth Rate</v>
      </c>
      <c r="D478" s="61"/>
      <c r="E478" s="61"/>
      <c r="F478" s="61">
        <f>'Secondary cum Calculation'!F462</f>
        <v>0</v>
      </c>
      <c r="G478" s="61">
        <f>'Secondary cum Calculation'!G462</f>
        <v>0</v>
      </c>
      <c r="H478" s="61">
        <f>'Secondary cum Calculation'!H462</f>
        <v>0</v>
      </c>
      <c r="I478" s="61">
        <f>'Secondary cum Calculation'!I462</f>
        <v>0</v>
      </c>
      <c r="J478" s="61" t="str">
        <f>'Secondary cum Calculation'!J462</f>
        <v>%</v>
      </c>
      <c r="K478" s="58">
        <f>'Secondary cum Calculation'!K462</f>
        <v>0</v>
      </c>
      <c r="L478" s="59"/>
      <c r="M478" s="62">
        <f>'Secondary cum Calculation'!M462</f>
        <v>-0.10756986555281312</v>
      </c>
      <c r="N478" s="62">
        <f>'Secondary cum Calculation'!N462</f>
        <v>-2.854612357148556E-2</v>
      </c>
      <c r="O478" s="62">
        <f>'Secondary cum Calculation'!O462</f>
        <v>-3.2258064516129004E-2</v>
      </c>
      <c r="P478" s="62">
        <f>'Secondary cum Calculation'!P462</f>
        <v>6.6666666666666652E-2</v>
      </c>
      <c r="Q478" s="62"/>
      <c r="R478" s="62"/>
      <c r="S478" s="62"/>
      <c r="T478" s="62"/>
      <c r="U478" s="62"/>
      <c r="V478" s="62"/>
      <c r="W478" s="259"/>
      <c r="X478" s="259"/>
    </row>
    <row r="479" spans="1:26">
      <c r="A479" s="55" t="str">
        <f>'Secondary cum Calculation'!A463</f>
        <v>Poland</v>
      </c>
      <c r="B479" s="56" t="str">
        <f>'Secondary cum Calculation'!B463</f>
        <v>Tourism Flows</v>
      </c>
      <c r="C479" s="56" t="str">
        <f>'Secondary cum Calculation'!C463</f>
        <v>International Arrivals by Place of Origin</v>
      </c>
      <c r="D479" s="56" t="str">
        <f>'Secondary cum Calculation'!D463</f>
        <v>Europe</v>
      </c>
      <c r="E479" s="55" t="str">
        <f>'Secondary cum Calculation'!E463</f>
        <v>Switzerland</v>
      </c>
      <c r="F479" s="57" t="str">
        <f>'Secondary cum Calculation'!F463</f>
        <v>The number of international arrivals to a country originating from Switzerland</v>
      </c>
      <c r="G479" s="57" t="str">
        <f>'Secondary cum Calculation'!G463</f>
        <v>Tourism Demand &amp; Flows Database</v>
      </c>
      <c r="H479" s="57" t="str">
        <f>'Secondary cum Calculation'!H463</f>
        <v>New</v>
      </c>
      <c r="I479" s="57">
        <f>'Secondary cum Calculation'!I463</f>
        <v>0</v>
      </c>
      <c r="J479" s="57" t="str">
        <f>'Secondary cum Calculation'!J463</f>
        <v>Thousand</v>
      </c>
      <c r="K479" s="58">
        <f>'Secondary cum Calculation'!K463</f>
        <v>270.57100000000003</v>
      </c>
      <c r="L479" s="59">
        <f>'Secondary cum Calculation'!L463</f>
        <v>0</v>
      </c>
      <c r="M479" s="59">
        <f>'Secondary cum Calculation'!M463</f>
        <v>0</v>
      </c>
      <c r="N479" s="59">
        <f>'Secondary cum Calculation'!N463</f>
        <v>0</v>
      </c>
      <c r="O479" s="59">
        <f>'Secondary cum Calculation'!O463</f>
        <v>0</v>
      </c>
      <c r="P479" s="59">
        <f>'Secondary cum Calculation'!P463</f>
        <v>0</v>
      </c>
      <c r="Q479" s="59"/>
      <c r="R479" s="59"/>
      <c r="S479" s="59"/>
      <c r="T479" s="59"/>
      <c r="U479" s="59"/>
      <c r="V479" s="59"/>
      <c r="W479" s="106" t="e">
        <f>'Secondary cum Calculation'!W463</f>
        <v>#DIV/0!</v>
      </c>
      <c r="X479" s="106" t="e">
        <f>'Secondary cum Calculation'!X463</f>
        <v>#DIV/0!</v>
      </c>
      <c r="Z479" s="12"/>
    </row>
    <row r="480" spans="1:26">
      <c r="A480" s="57"/>
      <c r="B480" s="57"/>
      <c r="C480" s="61" t="str">
        <f>'Secondary cum Calculation'!C464</f>
        <v>Growth Rate</v>
      </c>
      <c r="D480" s="61"/>
      <c r="E480" s="61"/>
      <c r="F480" s="61">
        <f>'Secondary cum Calculation'!F464</f>
        <v>0</v>
      </c>
      <c r="G480" s="61">
        <f>'Secondary cum Calculation'!G464</f>
        <v>0</v>
      </c>
      <c r="H480" s="61">
        <f>'Secondary cum Calculation'!H464</f>
        <v>0</v>
      </c>
      <c r="I480" s="61">
        <f>'Secondary cum Calculation'!I464</f>
        <v>0</v>
      </c>
      <c r="J480" s="61" t="str">
        <f>'Secondary cum Calculation'!J464</f>
        <v>%</v>
      </c>
      <c r="K480" s="58">
        <f>'Secondary cum Calculation'!K464</f>
        <v>0</v>
      </c>
      <c r="L480" s="59"/>
      <c r="M480" s="62" t="e">
        <f>'Secondary cum Calculation'!M464</f>
        <v>#DIV/0!</v>
      </c>
      <c r="N480" s="62" t="e">
        <f>'Secondary cum Calculation'!N464</f>
        <v>#DIV/0!</v>
      </c>
      <c r="O480" s="62" t="e">
        <f>'Secondary cum Calculation'!O464</f>
        <v>#DIV/0!</v>
      </c>
      <c r="P480" s="62" t="e">
        <f>'Secondary cum Calculation'!P464</f>
        <v>#DIV/0!</v>
      </c>
      <c r="Q480" s="62"/>
      <c r="R480" s="62"/>
      <c r="S480" s="62"/>
      <c r="T480" s="62"/>
      <c r="U480" s="62"/>
      <c r="V480" s="62"/>
      <c r="W480" s="259"/>
      <c r="X480" s="259"/>
    </row>
    <row r="481" spans="1:26">
      <c r="A481" s="55" t="str">
        <f>'Secondary cum Calculation'!A465</f>
        <v>Poland</v>
      </c>
      <c r="B481" s="56" t="str">
        <f>'Secondary cum Calculation'!B465</f>
        <v>Tourism Flows</v>
      </c>
      <c r="C481" s="56" t="str">
        <f>'Secondary cum Calculation'!C465</f>
        <v>International Arrivals by Place of Origin</v>
      </c>
      <c r="D481" s="56" t="str">
        <f>'Secondary cum Calculation'!D465</f>
        <v>Europe</v>
      </c>
      <c r="E481" s="55" t="str">
        <f>'Secondary cum Calculation'!E465</f>
        <v>TFYR Macedonia</v>
      </c>
      <c r="F481" s="57" t="str">
        <f>'Secondary cum Calculation'!F465</f>
        <v>The number of international arrivals to a country originating from TFYR Macedonia</v>
      </c>
      <c r="G481" s="57" t="str">
        <f>'Secondary cum Calculation'!G465</f>
        <v>Tourism Demand &amp; Flows Database</v>
      </c>
      <c r="H481" s="57" t="str">
        <f>'Secondary cum Calculation'!H465</f>
        <v>New</v>
      </c>
      <c r="I481" s="57">
        <f>'Secondary cum Calculation'!I465</f>
        <v>0</v>
      </c>
      <c r="J481" s="57" t="str">
        <f>'Secondary cum Calculation'!J465</f>
        <v>Thousand</v>
      </c>
      <c r="K481" s="58">
        <f>'Secondary cum Calculation'!K465</f>
        <v>0</v>
      </c>
      <c r="L481" s="59">
        <f>'Secondary cum Calculation'!L465</f>
        <v>0</v>
      </c>
      <c r="M481" s="59">
        <f>'Secondary cum Calculation'!M465</f>
        <v>0</v>
      </c>
      <c r="N481" s="59">
        <f>'Secondary cum Calculation'!N465</f>
        <v>0</v>
      </c>
      <c r="O481" s="88">
        <f>'Secondary cum Calculation'!O465</f>
        <v>0</v>
      </c>
      <c r="P481" s="88">
        <f>'Secondary cum Calculation'!P465</f>
        <v>0</v>
      </c>
      <c r="Q481" s="88"/>
      <c r="R481" s="88"/>
      <c r="S481" s="88"/>
      <c r="T481" s="88"/>
      <c r="U481" s="88"/>
      <c r="V481" s="88"/>
      <c r="W481" s="106" t="e">
        <f>'Secondary cum Calculation'!W465</f>
        <v>#DIV/0!</v>
      </c>
      <c r="X481" s="106" t="e">
        <f>'Secondary cum Calculation'!X465</f>
        <v>#DIV/0!</v>
      </c>
    </row>
    <row r="482" spans="1:26">
      <c r="A482" s="57"/>
      <c r="B482" s="57"/>
      <c r="C482" s="61" t="str">
        <f>'Secondary cum Calculation'!C466</f>
        <v>Growth Rate</v>
      </c>
      <c r="D482" s="61"/>
      <c r="E482" s="61"/>
      <c r="F482" s="61">
        <f>'Secondary cum Calculation'!F466</f>
        <v>0</v>
      </c>
      <c r="G482" s="61">
        <f>'Secondary cum Calculation'!G466</f>
        <v>0</v>
      </c>
      <c r="H482" s="61">
        <f>'Secondary cum Calculation'!H466</f>
        <v>0</v>
      </c>
      <c r="I482" s="61">
        <f>'Secondary cum Calculation'!I466</f>
        <v>0</v>
      </c>
      <c r="J482" s="61" t="str">
        <f>'Secondary cum Calculation'!J466</f>
        <v>%</v>
      </c>
      <c r="K482" s="58">
        <f>'Secondary cum Calculation'!K466</f>
        <v>0</v>
      </c>
      <c r="L482" s="59"/>
      <c r="M482" s="62" t="e">
        <f>'Secondary cum Calculation'!M466</f>
        <v>#DIV/0!</v>
      </c>
      <c r="N482" s="62" t="e">
        <f>'Secondary cum Calculation'!N466</f>
        <v>#DIV/0!</v>
      </c>
      <c r="O482" s="62" t="e">
        <f>'Secondary cum Calculation'!O466</f>
        <v>#DIV/0!</v>
      </c>
      <c r="P482" s="62" t="e">
        <f>'Secondary cum Calculation'!P466</f>
        <v>#DIV/0!</v>
      </c>
      <c r="Q482" s="62"/>
      <c r="R482" s="62"/>
      <c r="S482" s="62"/>
      <c r="T482" s="62"/>
      <c r="U482" s="62"/>
      <c r="V482" s="62"/>
      <c r="W482" s="259"/>
      <c r="X482" s="259"/>
    </row>
    <row r="483" spans="1:26">
      <c r="A483" s="55" t="str">
        <f>'Secondary cum Calculation'!A467</f>
        <v>Poland</v>
      </c>
      <c r="B483" s="56" t="str">
        <f>'Secondary cum Calculation'!B467</f>
        <v>Tourism Flows</v>
      </c>
      <c r="C483" s="56" t="str">
        <f>'Secondary cum Calculation'!C467</f>
        <v>International Arrivals by Place of Origin</v>
      </c>
      <c r="D483" s="56" t="str">
        <f>'Secondary cum Calculation'!D467</f>
        <v>Europe</v>
      </c>
      <c r="E483" s="55" t="str">
        <f>'Secondary cum Calculation'!E467</f>
        <v>Turkey</v>
      </c>
      <c r="F483" s="57" t="str">
        <f>'Secondary cum Calculation'!F467</f>
        <v>The number of international arrivals to a country originating from Turkey</v>
      </c>
      <c r="G483" s="57" t="str">
        <f>'Secondary cum Calculation'!G467</f>
        <v>Tourism Demand &amp; Flows Database</v>
      </c>
      <c r="H483" s="57" t="str">
        <f>'Secondary cum Calculation'!H467</f>
        <v>New</v>
      </c>
      <c r="I483" s="57">
        <f>'Secondary cum Calculation'!I467</f>
        <v>0</v>
      </c>
      <c r="J483" s="57" t="str">
        <f>'Secondary cum Calculation'!J467</f>
        <v>Thousand</v>
      </c>
      <c r="K483" s="58">
        <f>'Secondary cum Calculation'!K467</f>
        <v>90.122</v>
      </c>
      <c r="L483" s="59">
        <f>'Secondary cum Calculation'!L467</f>
        <v>0</v>
      </c>
      <c r="M483" s="59">
        <f>'Secondary cum Calculation'!M467</f>
        <v>0</v>
      </c>
      <c r="N483" s="59">
        <f>'Secondary cum Calculation'!N467</f>
        <v>0</v>
      </c>
      <c r="O483" s="59">
        <f>'Secondary cum Calculation'!O467</f>
        <v>0</v>
      </c>
      <c r="P483" s="59">
        <f>'Secondary cum Calculation'!P467</f>
        <v>0</v>
      </c>
      <c r="Q483" s="59"/>
      <c r="R483" s="59"/>
      <c r="S483" s="59"/>
      <c r="T483" s="59"/>
      <c r="U483" s="59"/>
      <c r="V483" s="59"/>
      <c r="W483" s="106" t="e">
        <f>'Secondary cum Calculation'!W467</f>
        <v>#DIV/0!</v>
      </c>
      <c r="X483" s="106" t="e">
        <f>'Secondary cum Calculation'!X467</f>
        <v>#DIV/0!</v>
      </c>
      <c r="Z483" s="12"/>
    </row>
    <row r="484" spans="1:26">
      <c r="A484" s="57"/>
      <c r="B484" s="57"/>
      <c r="C484" s="61" t="str">
        <f>'Secondary cum Calculation'!C468</f>
        <v>Growth Rate</v>
      </c>
      <c r="D484" s="61"/>
      <c r="E484" s="61"/>
      <c r="F484" s="61">
        <f>'Secondary cum Calculation'!F468</f>
        <v>0</v>
      </c>
      <c r="G484" s="61">
        <f>'Secondary cum Calculation'!G468</f>
        <v>0</v>
      </c>
      <c r="H484" s="61">
        <f>'Secondary cum Calculation'!H468</f>
        <v>0</v>
      </c>
      <c r="I484" s="61">
        <f>'Secondary cum Calculation'!I468</f>
        <v>0</v>
      </c>
      <c r="J484" s="61" t="str">
        <f>'Secondary cum Calculation'!J468</f>
        <v>%</v>
      </c>
      <c r="K484" s="58">
        <f>'Secondary cum Calculation'!K468</f>
        <v>0</v>
      </c>
      <c r="L484" s="59"/>
      <c r="M484" s="62" t="e">
        <f>'Secondary cum Calculation'!M468</f>
        <v>#DIV/0!</v>
      </c>
      <c r="N484" s="62" t="e">
        <f>'Secondary cum Calculation'!N468</f>
        <v>#DIV/0!</v>
      </c>
      <c r="O484" s="62" t="e">
        <f>'Secondary cum Calculation'!O468</f>
        <v>#DIV/0!</v>
      </c>
      <c r="P484" s="62" t="e">
        <f>'Secondary cum Calculation'!P468</f>
        <v>#DIV/0!</v>
      </c>
      <c r="Q484" s="62"/>
      <c r="R484" s="62"/>
      <c r="S484" s="62"/>
      <c r="T484" s="62"/>
      <c r="U484" s="62"/>
      <c r="V484" s="62"/>
      <c r="W484" s="259"/>
      <c r="X484" s="259"/>
    </row>
    <row r="485" spans="1:26">
      <c r="A485" s="55" t="str">
        <f>'Secondary cum Calculation'!A469</f>
        <v>Poland</v>
      </c>
      <c r="B485" s="56" t="str">
        <f>'Secondary cum Calculation'!B469</f>
        <v>Tourism Flows</v>
      </c>
      <c r="C485" s="56" t="str">
        <f>'Secondary cum Calculation'!C469</f>
        <v>International Arrivals by Place of Origin</v>
      </c>
      <c r="D485" s="56" t="str">
        <f>'Secondary cum Calculation'!D469</f>
        <v>Europe</v>
      </c>
      <c r="E485" s="55" t="str">
        <f>'Secondary cum Calculation'!E469</f>
        <v>Ukraine</v>
      </c>
      <c r="F485" s="57" t="str">
        <f>'Secondary cum Calculation'!F469</f>
        <v>The number of international arrivals to a country originating from Ukraine</v>
      </c>
      <c r="G485" s="57" t="str">
        <f>'Secondary cum Calculation'!G469</f>
        <v>Tourism Demand &amp; Flows Database</v>
      </c>
      <c r="H485" s="57" t="str">
        <f>'Secondary cum Calculation'!H469</f>
        <v>New</v>
      </c>
      <c r="I485" s="57">
        <f>'Secondary cum Calculation'!I469</f>
        <v>0</v>
      </c>
      <c r="J485" s="57" t="str">
        <f>'Secondary cum Calculation'!J469</f>
        <v>Thousand</v>
      </c>
      <c r="K485" s="58">
        <f>'Secondary cum Calculation'!K469</f>
        <v>0</v>
      </c>
      <c r="L485" s="59">
        <f>'Secondary cum Calculation'!L469</f>
        <v>1950.5307899946154</v>
      </c>
      <c r="M485" s="59">
        <f>'Secondary cum Calculation'!M469</f>
        <v>1498.9418155940984</v>
      </c>
      <c r="N485" s="59">
        <f>'Secondary cum Calculation'!N469</f>
        <v>1295</v>
      </c>
      <c r="O485" s="88">
        <f>'Secondary cum Calculation'!O469</f>
        <v>1350</v>
      </c>
      <c r="P485" s="88">
        <f>'Secondary cum Calculation'!P469</f>
        <v>1580</v>
      </c>
      <c r="Q485" s="88"/>
      <c r="R485" s="88"/>
      <c r="S485" s="88"/>
      <c r="T485" s="88"/>
      <c r="U485" s="88"/>
      <c r="V485" s="88"/>
      <c r="W485" s="106">
        <f>'Secondary cum Calculation'!W469</f>
        <v>6.5229373348253183E-2</v>
      </c>
      <c r="X485" s="106">
        <f>'Secondary cum Calculation'!X469</f>
        <v>-1</v>
      </c>
    </row>
    <row r="486" spans="1:26">
      <c r="A486" s="57"/>
      <c r="B486" s="57"/>
      <c r="C486" s="61" t="str">
        <f>'Secondary cum Calculation'!C470</f>
        <v>Growth Rate</v>
      </c>
      <c r="D486" s="61"/>
      <c r="E486" s="61"/>
      <c r="F486" s="61">
        <f>'Secondary cum Calculation'!F470</f>
        <v>0</v>
      </c>
      <c r="G486" s="61">
        <f>'Secondary cum Calculation'!G470</f>
        <v>0</v>
      </c>
      <c r="H486" s="61">
        <f>'Secondary cum Calculation'!H470</f>
        <v>0</v>
      </c>
      <c r="I486" s="61">
        <f>'Secondary cum Calculation'!I470</f>
        <v>0</v>
      </c>
      <c r="J486" s="61" t="str">
        <f>'Secondary cum Calculation'!J470</f>
        <v>%</v>
      </c>
      <c r="K486" s="58">
        <f>'Secondary cum Calculation'!K470</f>
        <v>0</v>
      </c>
      <c r="L486" s="59"/>
      <c r="M486" s="62">
        <f>'Secondary cum Calculation'!M470</f>
        <v>-0.23152106940171069</v>
      </c>
      <c r="N486" s="62">
        <f>'Secondary cum Calculation'!N470</f>
        <v>-0.13605719279588391</v>
      </c>
      <c r="O486" s="62">
        <f>'Secondary cum Calculation'!O470</f>
        <v>4.2471042471042386E-2</v>
      </c>
      <c r="P486" s="62">
        <f>'Secondary cum Calculation'!P470</f>
        <v>0.17037037037037028</v>
      </c>
      <c r="Q486" s="62"/>
      <c r="R486" s="62"/>
      <c r="S486" s="62"/>
      <c r="T486" s="62"/>
      <c r="U486" s="62"/>
      <c r="V486" s="62"/>
      <c r="W486" s="259"/>
      <c r="X486" s="259"/>
    </row>
    <row r="487" spans="1:26">
      <c r="A487" s="55" t="str">
        <f>'Secondary cum Calculation'!A471</f>
        <v>Poland</v>
      </c>
      <c r="B487" s="56" t="str">
        <f>'Secondary cum Calculation'!B471</f>
        <v>Tourism Flows</v>
      </c>
      <c r="C487" s="56" t="str">
        <f>'Secondary cum Calculation'!C471</f>
        <v>International Arrivals by Place of Origin</v>
      </c>
      <c r="D487" s="56" t="str">
        <f>'Secondary cum Calculation'!D471</f>
        <v>Europe</v>
      </c>
      <c r="E487" s="55" t="str">
        <f>'Secondary cum Calculation'!E471</f>
        <v>United Kingdom</v>
      </c>
      <c r="F487" s="57" t="str">
        <f>'Secondary cum Calculation'!F471</f>
        <v>The number of international arrivals to a country originating from United Kingdom</v>
      </c>
      <c r="G487" s="57" t="str">
        <f>'Secondary cum Calculation'!G471</f>
        <v>Tourism Demand &amp; Flows Database</v>
      </c>
      <c r="H487" s="57" t="str">
        <f>'Secondary cum Calculation'!H471</f>
        <v>New</v>
      </c>
      <c r="I487" s="57">
        <f>'Secondary cum Calculation'!I471</f>
        <v>0</v>
      </c>
      <c r="J487" s="57" t="str">
        <f>'Secondary cum Calculation'!J471</f>
        <v>Thousand</v>
      </c>
      <c r="K487" s="58">
        <f>'Secondary cum Calculation'!K471</f>
        <v>4176.2110000000002</v>
      </c>
      <c r="L487" s="59">
        <f>'Secondary cum Calculation'!L471</f>
        <v>498.01581727602348</v>
      </c>
      <c r="M487" s="59">
        <f>'Secondary cum Calculation'!M471</f>
        <v>471.40414474799451</v>
      </c>
      <c r="N487" s="59">
        <f>'Secondary cum Calculation'!N471</f>
        <v>450</v>
      </c>
      <c r="O487" s="59">
        <f>'Secondary cum Calculation'!O471</f>
        <v>485</v>
      </c>
      <c r="P487" s="59">
        <f>'Secondary cum Calculation'!P471</f>
        <v>460</v>
      </c>
      <c r="Q487" s="59"/>
      <c r="R487" s="59"/>
      <c r="S487" s="59"/>
      <c r="T487" s="59"/>
      <c r="U487" s="59"/>
      <c r="V487" s="59"/>
      <c r="W487" s="106">
        <f>'Secondary cum Calculation'!W471</f>
        <v>1.4831997291598675E-2</v>
      </c>
      <c r="X487" s="106">
        <f>'Secondary cum Calculation'!X471</f>
        <v>-1</v>
      </c>
      <c r="Z487" s="12"/>
    </row>
    <row r="488" spans="1:26">
      <c r="A488" s="57"/>
      <c r="B488" s="57"/>
      <c r="C488" s="61" t="str">
        <f>'Secondary cum Calculation'!C472</f>
        <v>Growth Rate</v>
      </c>
      <c r="D488" s="61"/>
      <c r="E488" s="61"/>
      <c r="F488" s="61">
        <f>'Secondary cum Calculation'!F472</f>
        <v>0</v>
      </c>
      <c r="G488" s="61">
        <f>'Secondary cum Calculation'!G472</f>
        <v>0</v>
      </c>
      <c r="H488" s="61">
        <f>'Secondary cum Calculation'!H472</f>
        <v>0</v>
      </c>
      <c r="I488" s="61">
        <f>'Secondary cum Calculation'!I472</f>
        <v>0</v>
      </c>
      <c r="J488" s="61" t="str">
        <f>'Secondary cum Calculation'!J472</f>
        <v>%</v>
      </c>
      <c r="K488" s="58">
        <f>'Secondary cum Calculation'!K472</f>
        <v>0</v>
      </c>
      <c r="L488" s="59"/>
      <c r="M488" s="62">
        <f>'Secondary cum Calculation'!M472</f>
        <v>-5.3435396236179322E-2</v>
      </c>
      <c r="N488" s="62">
        <f>'Secondary cum Calculation'!N472</f>
        <v>-4.5405083910403099E-2</v>
      </c>
      <c r="O488" s="62">
        <f>'Secondary cum Calculation'!O472</f>
        <v>7.7777777777777724E-2</v>
      </c>
      <c r="P488" s="62">
        <f>'Secondary cum Calculation'!P472</f>
        <v>-5.1546391752577359E-2</v>
      </c>
      <c r="Q488" s="62"/>
      <c r="R488" s="62"/>
      <c r="S488" s="62"/>
      <c r="T488" s="62"/>
      <c r="U488" s="62"/>
      <c r="V488" s="62"/>
      <c r="W488" s="259"/>
      <c r="X488" s="259"/>
    </row>
    <row r="489" spans="1:26">
      <c r="A489" s="55" t="str">
        <f>'Secondary cum Calculation'!A473</f>
        <v>Poland</v>
      </c>
      <c r="B489" s="84" t="str">
        <f>'Secondary cum Calculation'!B473</f>
        <v>Tourism Flows</v>
      </c>
      <c r="C489" s="84" t="str">
        <f>'Secondary cum Calculation'!C473</f>
        <v>International Arrivals by Place of Origin</v>
      </c>
      <c r="D489" s="84" t="str">
        <f>'Secondary cum Calculation'!D473</f>
        <v>Europe</v>
      </c>
      <c r="E489" s="97" t="str">
        <f>'Secondary cum Calculation'!E473</f>
        <v>Other European Countries</v>
      </c>
      <c r="F489" s="84" t="str">
        <f>'Secondary cum Calculation'!F473</f>
        <v>To be defined according to the gaps in the country data above</v>
      </c>
      <c r="G489" s="57">
        <f>'Secondary cum Calculation'!G473</f>
        <v>0</v>
      </c>
      <c r="H489" s="57">
        <f>'Secondary cum Calculation'!H473</f>
        <v>0</v>
      </c>
      <c r="I489" s="57">
        <f>'Secondary cum Calculation'!I473</f>
        <v>0</v>
      </c>
      <c r="J489" s="57" t="str">
        <f>'Secondary cum Calculation'!J473</f>
        <v>Thousand</v>
      </c>
      <c r="K489" s="58">
        <f>'Secondary cum Calculation'!K473</f>
        <v>0</v>
      </c>
      <c r="L489" s="59">
        <f>'Secondary cum Calculation'!L473</f>
        <v>1017.8430927845529</v>
      </c>
      <c r="M489" s="59">
        <f>'Secondary cum Calculation'!M473</f>
        <v>896.83277536928836</v>
      </c>
      <c r="N489" s="59">
        <f>'Secondary cum Calculation'!N473</f>
        <v>830</v>
      </c>
      <c r="O489" s="59">
        <f>'Secondary cum Calculation'!O473</f>
        <v>855</v>
      </c>
      <c r="P489" s="59">
        <f>'Secondary cum Calculation'!P473</f>
        <v>945</v>
      </c>
      <c r="Q489" s="59"/>
      <c r="R489" s="59"/>
      <c r="S489" s="59"/>
      <c r="T489" s="59"/>
      <c r="U489" s="59"/>
      <c r="V489" s="59"/>
      <c r="W489" s="106">
        <f>'Secondary cum Calculation'!W473</f>
        <v>2.7595354193829413E-2</v>
      </c>
      <c r="X489" s="106">
        <f>'Secondary cum Calculation'!X473</f>
        <v>-1</v>
      </c>
      <c r="Z489" s="12"/>
    </row>
    <row r="490" spans="1:26">
      <c r="A490" s="57"/>
      <c r="B490" s="57"/>
      <c r="C490" s="61" t="str">
        <f>'Secondary cum Calculation'!C474</f>
        <v>Growth Rate</v>
      </c>
      <c r="D490" s="61"/>
      <c r="E490" s="61"/>
      <c r="F490" s="61">
        <f>'Secondary cum Calculation'!F474</f>
        <v>0</v>
      </c>
      <c r="G490" s="61">
        <f>'Secondary cum Calculation'!G474</f>
        <v>0</v>
      </c>
      <c r="H490" s="61">
        <f>'Secondary cum Calculation'!H474</f>
        <v>0</v>
      </c>
      <c r="I490" s="61">
        <f>'Secondary cum Calculation'!I474</f>
        <v>0</v>
      </c>
      <c r="J490" s="61" t="str">
        <f>'Secondary cum Calculation'!J474</f>
        <v>%</v>
      </c>
      <c r="K490" s="58">
        <f>'Secondary cum Calculation'!K474</f>
        <v>0</v>
      </c>
      <c r="L490" s="59"/>
      <c r="M490" s="62">
        <f>'Secondary cum Calculation'!M474</f>
        <v>-0.11888897048386105</v>
      </c>
      <c r="N490" s="62">
        <f>'Secondary cum Calculation'!N474</f>
        <v>-7.4520888625829507E-2</v>
      </c>
      <c r="O490" s="62">
        <f>'Secondary cum Calculation'!O474</f>
        <v>3.0120481927710774E-2</v>
      </c>
      <c r="P490" s="62">
        <f>'Secondary cum Calculation'!P474</f>
        <v>0.10526315789473695</v>
      </c>
      <c r="Q490" s="62"/>
      <c r="R490" s="62"/>
      <c r="S490" s="62"/>
      <c r="T490" s="62"/>
      <c r="U490" s="62"/>
      <c r="V490" s="62"/>
      <c r="W490" s="259"/>
      <c r="X490" s="259"/>
    </row>
    <row r="491" spans="1:26">
      <c r="A491" s="55" t="str">
        <f>'Secondary cum Calculation'!A475</f>
        <v>Poland</v>
      </c>
      <c r="B491" s="56" t="str">
        <f>'Secondary cum Calculation'!B475</f>
        <v>Tourism Flows</v>
      </c>
      <c r="C491" s="56" t="str">
        <f>'Secondary cum Calculation'!C475</f>
        <v>International Arrivals by Place of Origin</v>
      </c>
      <c r="D491" s="55" t="str">
        <f>'Secondary cum Calculation'!D475</f>
        <v>Middle East</v>
      </c>
      <c r="E491" s="57"/>
      <c r="F491" s="57" t="str">
        <f>'Secondary cum Calculation'!F475</f>
        <v>The number of international arrivals to a country originating from the Middle East</v>
      </c>
      <c r="G491" s="57" t="str">
        <f>'Secondary cum Calculation'!G475</f>
        <v>Tourism Demand &amp; Flows Database</v>
      </c>
      <c r="H491" s="57" t="str">
        <f>'Secondary cum Calculation'!H475</f>
        <v>New</v>
      </c>
      <c r="I491" s="57">
        <f>'Secondary cum Calculation'!I475</f>
        <v>0</v>
      </c>
      <c r="J491" s="57" t="str">
        <f>'Secondary cum Calculation'!J475</f>
        <v>Thousand</v>
      </c>
      <c r="K491" s="86">
        <f>'Secondary cum Calculation'!K475</f>
        <v>283.88900000000001</v>
      </c>
      <c r="L491" s="80">
        <f>'Secondary cum Calculation'!L475</f>
        <v>134.62580622548694</v>
      </c>
      <c r="M491" s="80">
        <f>'Secondary cum Calculation'!M475</f>
        <v>113.00152602826763</v>
      </c>
      <c r="N491" s="80">
        <f>'Secondary cum Calculation'!N475</f>
        <v>103.3937052330171</v>
      </c>
      <c r="O491" s="80">
        <f>'Secondary cum Calculation'!O475</f>
        <v>119.90965126419432</v>
      </c>
      <c r="P491" s="80">
        <f>'Secondary cum Calculation'!P475</f>
        <v>119.40595989696668</v>
      </c>
      <c r="Q491" s="80">
        <f>'Secondary cum Calculation'!Q475</f>
        <v>141.49119239388128</v>
      </c>
      <c r="R491" s="80">
        <f t="shared" ref="R491:V491" si="301">Q491*(1+R492)</f>
        <v>148.59480386411897</v>
      </c>
      <c r="S491" s="80">
        <f t="shared" si="301"/>
        <v>156.48883207213089</v>
      </c>
      <c r="T491" s="80">
        <f t="shared" si="301"/>
        <v>163.49592930046356</v>
      </c>
      <c r="U491" s="80">
        <f t="shared" si="301"/>
        <v>172.7034364516976</v>
      </c>
      <c r="V491" s="80">
        <f t="shared" si="301"/>
        <v>183.18555875981355</v>
      </c>
      <c r="W491" s="106">
        <f>'Secondary cum Calculation'!W475</f>
        <v>5.7818783702454635E-2</v>
      </c>
      <c r="X491" s="106">
        <f>'Secondary cum Calculation'!X475</f>
        <v>5.3009684498946052E-2</v>
      </c>
    </row>
    <row r="492" spans="1:26">
      <c r="A492" s="57"/>
      <c r="B492" s="57"/>
      <c r="C492" s="61" t="str">
        <f>'Secondary cum Calculation'!C476</f>
        <v>Growth Rate</v>
      </c>
      <c r="D492" s="61"/>
      <c r="E492" s="61"/>
      <c r="F492" s="61">
        <f>'Secondary cum Calculation'!F476</f>
        <v>0</v>
      </c>
      <c r="G492" s="61">
        <f>'Secondary cum Calculation'!G476</f>
        <v>0</v>
      </c>
      <c r="H492" s="61">
        <f>'Secondary cum Calculation'!H476</f>
        <v>0</v>
      </c>
      <c r="I492" s="61">
        <f>'Secondary cum Calculation'!I476</f>
        <v>0</v>
      </c>
      <c r="J492" s="61" t="str">
        <f>'Secondary cum Calculation'!J476</f>
        <v>%</v>
      </c>
      <c r="K492" s="58">
        <f>'Secondary cum Calculation'!K476</f>
        <v>0</v>
      </c>
      <c r="L492" s="59"/>
      <c r="M492" s="62">
        <f>'Secondary cum Calculation'!M476</f>
        <v>-0.1606250748166399</v>
      </c>
      <c r="N492" s="62">
        <f>'Secondary cum Calculation'!N476</f>
        <v>-8.5023814570850176E-2</v>
      </c>
      <c r="O492" s="62">
        <f>'Secondary cum Calculation'!O476</f>
        <v>0.15973840954780982</v>
      </c>
      <c r="P492" s="62">
        <f>'Secondary cum Calculation'!P476</f>
        <v>-4.2005907107333096E-3</v>
      </c>
      <c r="Q492" s="62">
        <f>'Secondary cum Calculation'!Q476</f>
        <v>0.18495921406244342</v>
      </c>
      <c r="R492" s="62">
        <f>0.01*((L491/P491)^(1/4)-1)+0.99*($E494*R495+$E496*R497+$E498*R499+$E500*R501)</f>
        <v>5.0205326211844703E-2</v>
      </c>
      <c r="S492" s="62">
        <f t="shared" ref="S492:V492" si="302">0.1*((M491/Q491)^(1/4)-1)+0.9*($E494*S495+$E496*S497+$E498*S499+$E500*S501)</f>
        <v>5.3124523891363712E-2</v>
      </c>
      <c r="T492" s="62">
        <f>0.15*((N491/R491)^(1/4)-1)+0.85*($E494*T495+$E496*T497+$E498*T499+$E500*T501)</f>
        <v>4.4776979516997412E-2</v>
      </c>
      <c r="U492" s="62">
        <f>0.15*((O491/S491)^(1/4)-1)+0.85*($E494*U495+$E496*U497+$E498*U499+$E500*U501)</f>
        <v>5.6316430571876866E-2</v>
      </c>
      <c r="V492" s="62">
        <f t="shared" si="302"/>
        <v>6.0694347046462031E-2</v>
      </c>
      <c r="W492" s="259"/>
      <c r="X492" s="259"/>
    </row>
    <row r="493" spans="1:26" outlineLevel="1">
      <c r="A493" s="306"/>
      <c r="B493" s="306"/>
      <c r="C493" s="306"/>
      <c r="D493" s="307" t="s">
        <v>912</v>
      </c>
      <c r="E493" s="112" t="s">
        <v>914</v>
      </c>
      <c r="F493" s="112"/>
      <c r="G493" s="112"/>
      <c r="H493" s="112"/>
      <c r="I493" s="112"/>
      <c r="J493" s="112"/>
      <c r="K493" s="113"/>
      <c r="L493" s="114"/>
      <c r="M493" s="115"/>
      <c r="N493" s="115"/>
      <c r="O493" s="115"/>
      <c r="P493" s="115"/>
      <c r="Q493" s="115"/>
      <c r="R493" s="115"/>
      <c r="S493" s="115"/>
      <c r="T493" s="115"/>
      <c r="U493" s="115"/>
      <c r="V493" s="115"/>
      <c r="W493" s="303"/>
      <c r="X493" s="303"/>
    </row>
    <row r="494" spans="1:26" ht="17.25" customHeight="1" outlineLevel="1">
      <c r="A494" s="310"/>
      <c r="B494" s="310"/>
      <c r="C494" s="310"/>
      <c r="D494" s="310" t="s">
        <v>967</v>
      </c>
      <c r="E494" s="309">
        <v>0.3</v>
      </c>
      <c r="F494" s="310"/>
      <c r="G494" s="310"/>
      <c r="H494" s="310"/>
      <c r="I494" s="310"/>
      <c r="J494" s="310"/>
      <c r="K494" s="310"/>
      <c r="L494" s="311">
        <f>L1208</f>
        <v>47.731999999999999</v>
      </c>
      <c r="M494" s="311">
        <f t="shared" ref="M494:U494" si="303">M1208</f>
        <v>58.506999999999998</v>
      </c>
      <c r="N494" s="311">
        <f t="shared" si="303"/>
        <v>56.529000000000003</v>
      </c>
      <c r="O494" s="311">
        <f t="shared" si="303"/>
        <v>61.491999999999997</v>
      </c>
      <c r="P494" s="311">
        <f t="shared" si="303"/>
        <v>65.891999999999996</v>
      </c>
      <c r="Q494" s="311">
        <f t="shared" si="303"/>
        <v>70.275999999999996</v>
      </c>
      <c r="R494" s="311">
        <f t="shared" si="303"/>
        <v>74.525999999999996</v>
      </c>
      <c r="S494" s="311">
        <f t="shared" si="303"/>
        <v>79.552000000000007</v>
      </c>
      <c r="T494" s="311">
        <f t="shared" si="303"/>
        <v>85.7</v>
      </c>
      <c r="U494" s="311">
        <f t="shared" si="303"/>
        <v>92.444000000000003</v>
      </c>
      <c r="V494" s="311">
        <f t="shared" ref="V494" si="304">V1208</f>
        <v>99.002611948100594</v>
      </c>
      <c r="W494" s="315"/>
      <c r="X494" s="315"/>
    </row>
    <row r="495" spans="1:26" outlineLevel="1">
      <c r="A495" s="312"/>
      <c r="B495" s="312"/>
      <c r="C495" s="312"/>
      <c r="D495" s="312" t="s">
        <v>892</v>
      </c>
      <c r="E495" s="312"/>
      <c r="F495" s="312"/>
      <c r="G495" s="312"/>
      <c r="H495" s="312"/>
      <c r="I495" s="312"/>
      <c r="J495" s="312"/>
      <c r="K495" s="312"/>
      <c r="L495" s="312"/>
      <c r="M495" s="316">
        <f>M494/L494-1</f>
        <v>0.22573954579736855</v>
      </c>
      <c r="N495" s="316">
        <f t="shared" ref="N495" si="305">N494/M494-1</f>
        <v>-3.3807920419778759E-2</v>
      </c>
      <c r="O495" s="316">
        <f t="shared" ref="O495" si="306">O494/N494-1</f>
        <v>8.7795644713332788E-2</v>
      </c>
      <c r="P495" s="316">
        <f t="shared" ref="P495" si="307">P494/O494-1</f>
        <v>7.1554023287582202E-2</v>
      </c>
      <c r="Q495" s="316">
        <f t="shared" ref="Q495" si="308">Q494/P494-1</f>
        <v>6.6533114793905224E-2</v>
      </c>
      <c r="R495" s="316">
        <f t="shared" ref="R495" si="309">R494/Q494-1</f>
        <v>6.0475838123968284E-2</v>
      </c>
      <c r="S495" s="316">
        <f t="shared" ref="S495" si="310">S494/R494-1</f>
        <v>6.7439551297533873E-2</v>
      </c>
      <c r="T495" s="316">
        <f t="shared" ref="T495" si="311">T494/S494-1</f>
        <v>7.7282783588093373E-2</v>
      </c>
      <c r="U495" s="316">
        <f t="shared" ref="U495:V495" si="312">U494/T494-1</f>
        <v>7.8693115519253176E-2</v>
      </c>
      <c r="V495" s="316">
        <f t="shared" si="312"/>
        <v>7.0946864567744683E-2</v>
      </c>
      <c r="W495" s="304">
        <f>CORREL(M495:P495,M$492:P$492)</f>
        <v>-0.26763833588211655</v>
      </c>
      <c r="X495" s="317"/>
    </row>
    <row r="496" spans="1:26" ht="18" customHeight="1" outlineLevel="1">
      <c r="A496" s="310"/>
      <c r="B496" s="310"/>
      <c r="C496" s="310"/>
      <c r="D496" s="310" t="s">
        <v>925</v>
      </c>
      <c r="E496" s="309">
        <v>0.2</v>
      </c>
      <c r="F496" s="310"/>
      <c r="G496" s="310"/>
      <c r="H496" s="310"/>
      <c r="I496" s="310"/>
      <c r="J496" s="310"/>
      <c r="K496" s="310"/>
      <c r="L496" s="311">
        <f>L1178</f>
        <v>0.25700000000000001</v>
      </c>
      <c r="M496" s="311">
        <f t="shared" ref="M496:U496" si="313">M1178</f>
        <v>0.33200000000000002</v>
      </c>
      <c r="N496" s="311">
        <f t="shared" si="313"/>
        <v>0.27100000000000002</v>
      </c>
      <c r="O496" s="311">
        <f t="shared" si="313"/>
        <v>0.30199999999999999</v>
      </c>
      <c r="P496" s="311">
        <f t="shared" si="313"/>
        <v>0.317</v>
      </c>
      <c r="Q496" s="311">
        <f t="shared" si="313"/>
        <v>0.3</v>
      </c>
      <c r="R496" s="311">
        <f t="shared" si="313"/>
        <v>0.315</v>
      </c>
      <c r="S496" s="311">
        <f t="shared" si="313"/>
        <v>0.33100000000000002</v>
      </c>
      <c r="T496" s="311">
        <f t="shared" si="313"/>
        <v>0.34</v>
      </c>
      <c r="U496" s="311">
        <f t="shared" si="313"/>
        <v>0.35599999999999998</v>
      </c>
      <c r="V496" s="311">
        <f t="shared" ref="V496" si="314">V1178</f>
        <v>0.373</v>
      </c>
      <c r="W496" s="304"/>
      <c r="X496" s="315"/>
    </row>
    <row r="497" spans="1:26" outlineLevel="1">
      <c r="A497" s="312"/>
      <c r="B497" s="312"/>
      <c r="C497" s="312"/>
      <c r="D497" s="312" t="s">
        <v>892</v>
      </c>
      <c r="E497" s="312"/>
      <c r="F497" s="312"/>
      <c r="G497" s="312"/>
      <c r="H497" s="312"/>
      <c r="I497" s="312"/>
      <c r="J497" s="312"/>
      <c r="K497" s="312"/>
      <c r="L497" s="312"/>
      <c r="M497" s="316">
        <f>M496/L496-1</f>
        <v>0.29182879377431914</v>
      </c>
      <c r="N497" s="316">
        <f t="shared" ref="N497" si="315">N496/M496-1</f>
        <v>-0.1837349397590361</v>
      </c>
      <c r="O497" s="316">
        <f t="shared" ref="O497" si="316">O496/N496-1</f>
        <v>0.1143911439114389</v>
      </c>
      <c r="P497" s="316">
        <f t="shared" ref="P497" si="317">P496/O496-1</f>
        <v>4.9668874172185573E-2</v>
      </c>
      <c r="Q497" s="316">
        <f t="shared" ref="Q497" si="318">Q496/P496-1</f>
        <v>-5.362776025236593E-2</v>
      </c>
      <c r="R497" s="316">
        <f t="shared" ref="R497" si="319">R496/Q496-1</f>
        <v>5.0000000000000044E-2</v>
      </c>
      <c r="S497" s="316">
        <f t="shared" ref="S497" si="320">S496/R496-1</f>
        <v>5.0793650793650835E-2</v>
      </c>
      <c r="T497" s="316">
        <f t="shared" ref="T497" si="321">T496/S496-1</f>
        <v>2.7190332326284095E-2</v>
      </c>
      <c r="U497" s="316">
        <f t="shared" ref="U497:V497" si="322">U496/T496-1</f>
        <v>4.7058823529411598E-2</v>
      </c>
      <c r="V497" s="316">
        <f t="shared" si="322"/>
        <v>4.7752808988763995E-2</v>
      </c>
      <c r="W497" s="304">
        <f>CORREL(M497:P497,M$492:P$492)</f>
        <v>-8.7173991853945892E-2</v>
      </c>
      <c r="X497" s="317"/>
    </row>
    <row r="498" spans="1:26" ht="14.25" customHeight="1" outlineLevel="1">
      <c r="A498" s="310"/>
      <c r="B498" s="310"/>
      <c r="C498" s="310"/>
      <c r="D498" s="310" t="s">
        <v>933</v>
      </c>
      <c r="E498" s="309">
        <v>0.2</v>
      </c>
      <c r="F498" s="310"/>
      <c r="G498" s="310"/>
      <c r="H498" s="310"/>
      <c r="I498" s="310"/>
      <c r="J498" s="310"/>
      <c r="K498" s="310"/>
      <c r="L498" s="311">
        <f>L1180</f>
        <v>24.585000000000001</v>
      </c>
      <c r="M498" s="311">
        <f t="shared" ref="M498:U498" si="323">M1180</f>
        <v>28.137</v>
      </c>
      <c r="N498" s="311">
        <f t="shared" si="323"/>
        <v>21.861999999999998</v>
      </c>
      <c r="O498" s="311">
        <f t="shared" si="323"/>
        <v>22.283999999999999</v>
      </c>
      <c r="P498" s="311">
        <f t="shared" si="323"/>
        <v>24.861000000000001</v>
      </c>
      <c r="Q498" s="311">
        <f t="shared" si="323"/>
        <v>24.689</v>
      </c>
      <c r="R498" s="311">
        <f t="shared" si="323"/>
        <v>25.759</v>
      </c>
      <c r="S498" s="311">
        <f t="shared" si="323"/>
        <v>27.472000000000001</v>
      </c>
      <c r="T498" s="311">
        <f t="shared" si="323"/>
        <v>29.088999999999999</v>
      </c>
      <c r="U498" s="311">
        <f t="shared" si="323"/>
        <v>31.286000000000001</v>
      </c>
      <c r="V498" s="311">
        <f t="shared" ref="V498" si="324">V1180</f>
        <v>33.866</v>
      </c>
      <c r="W498" s="304"/>
      <c r="X498" s="315"/>
    </row>
    <row r="499" spans="1:26" outlineLevel="1">
      <c r="A499" s="312"/>
      <c r="B499" s="312"/>
      <c r="C499" s="312"/>
      <c r="D499" s="312" t="s">
        <v>892</v>
      </c>
      <c r="E499" s="312"/>
      <c r="F499" s="312"/>
      <c r="G499" s="312"/>
      <c r="H499" s="312"/>
      <c r="I499" s="312"/>
      <c r="J499" s="312"/>
      <c r="K499" s="312"/>
      <c r="L499" s="312"/>
      <c r="M499" s="316">
        <f t="shared" ref="M499" si="325">M498/L498-1</f>
        <v>0.14447834045149488</v>
      </c>
      <c r="N499" s="316">
        <f t="shared" ref="N499" si="326">N498/M498-1</f>
        <v>-0.22301595763585325</v>
      </c>
      <c r="O499" s="316">
        <f t="shared" ref="O499" si="327">O498/N498-1</f>
        <v>1.9302900009148249E-2</v>
      </c>
      <c r="P499" s="316">
        <f t="shared" ref="P499" si="328">P498/O498-1</f>
        <v>0.11564351103931081</v>
      </c>
      <c r="Q499" s="316">
        <f t="shared" ref="Q499" si="329">Q498/P498-1</f>
        <v>-6.9184666747114099E-3</v>
      </c>
      <c r="R499" s="316">
        <f t="shared" ref="R499" si="330">R498/Q498-1</f>
        <v>4.3339138887763751E-2</v>
      </c>
      <c r="S499" s="316">
        <f t="shared" ref="S499" si="331">S498/R498-1</f>
        <v>6.6501028766644765E-2</v>
      </c>
      <c r="T499" s="316">
        <f t="shared" ref="T499" si="332">T498/S498-1</f>
        <v>5.8859930110658043E-2</v>
      </c>
      <c r="U499" s="316">
        <f t="shared" ref="U499:V499" si="333">U498/T498-1</f>
        <v>7.5526831448313958E-2</v>
      </c>
      <c r="V499" s="316">
        <f t="shared" si="333"/>
        <v>8.2465000319631665E-2</v>
      </c>
      <c r="W499" s="304">
        <f>CORREL(M499:P499,M$492:P$492)</f>
        <v>-5.4817800966439588E-3</v>
      </c>
      <c r="X499" s="317"/>
    </row>
    <row r="500" spans="1:26" ht="14.25" customHeight="1" outlineLevel="1">
      <c r="A500" s="310"/>
      <c r="B500" s="310"/>
      <c r="C500" s="310"/>
      <c r="D500" s="310" t="s">
        <v>927</v>
      </c>
      <c r="E500" s="309">
        <f>1-SUM(E498,E496,E494)</f>
        <v>0.30000000000000004</v>
      </c>
      <c r="F500" s="310"/>
      <c r="G500" s="310"/>
      <c r="H500" s="310"/>
      <c r="I500" s="310"/>
      <c r="J500" s="310"/>
      <c r="K500" s="310"/>
      <c r="L500" s="311">
        <f>L1182</f>
        <v>3.43</v>
      </c>
      <c r="M500" s="311">
        <f t="shared" ref="M500:U500" si="334">M1182</f>
        <v>4.0599999999999996</v>
      </c>
      <c r="N500" s="311">
        <f t="shared" si="334"/>
        <v>3.06</v>
      </c>
      <c r="O500" s="311">
        <f t="shared" si="334"/>
        <v>3.0670000000000002</v>
      </c>
      <c r="P500" s="311">
        <f t="shared" si="334"/>
        <v>3.4830000000000001</v>
      </c>
      <c r="Q500" s="311">
        <f t="shared" si="334"/>
        <v>3.2440000000000002</v>
      </c>
      <c r="R500" s="311">
        <f t="shared" si="334"/>
        <v>3.391</v>
      </c>
      <c r="S500" s="311">
        <f t="shared" si="334"/>
        <v>3.633</v>
      </c>
      <c r="T500" s="311">
        <f t="shared" si="334"/>
        <v>3.9670000000000001</v>
      </c>
      <c r="U500" s="311">
        <f t="shared" si="334"/>
        <v>4.3570000000000002</v>
      </c>
      <c r="V500" s="311">
        <f t="shared" ref="V500" si="335">V1182</f>
        <v>4.7709999999999999</v>
      </c>
      <c r="W500" s="304"/>
      <c r="X500" s="315"/>
    </row>
    <row r="501" spans="1:26" outlineLevel="1">
      <c r="A501" s="312"/>
      <c r="B501" s="312"/>
      <c r="C501" s="312"/>
      <c r="D501" s="312" t="s">
        <v>892</v>
      </c>
      <c r="E501" s="312"/>
      <c r="F501" s="312"/>
      <c r="G501" s="312"/>
      <c r="H501" s="312"/>
      <c r="I501" s="312"/>
      <c r="J501" s="312"/>
      <c r="K501" s="312"/>
      <c r="L501" s="312"/>
      <c r="M501" s="316">
        <f t="shared" ref="M501" si="336">M500/L500-1</f>
        <v>0.18367346938775486</v>
      </c>
      <c r="N501" s="316">
        <f t="shared" ref="N501" si="337">N500/M500-1</f>
        <v>-0.24630541871921174</v>
      </c>
      <c r="O501" s="316">
        <f t="shared" ref="O501" si="338">O500/N500-1</f>
        <v>2.2875816993463971E-3</v>
      </c>
      <c r="P501" s="316">
        <f t="shared" ref="P501" si="339">P500/O500-1</f>
        <v>0.13563743071405288</v>
      </c>
      <c r="Q501" s="316">
        <f t="shared" ref="Q501" si="340">Q500/P500-1</f>
        <v>-6.861900660350273E-2</v>
      </c>
      <c r="R501" s="316">
        <f t="shared" ref="R501" si="341">R500/Q500-1</f>
        <v>4.5314426633785487E-2</v>
      </c>
      <c r="S501" s="316">
        <f t="shared" ref="S501" si="342">S500/R500-1</f>
        <v>7.1365378944264313E-2</v>
      </c>
      <c r="T501" s="316">
        <f t="shared" ref="T501" si="343">T500/S500-1</f>
        <v>9.1935039911918537E-2</v>
      </c>
      <c r="U501" s="316">
        <f t="shared" ref="U501:V501" si="344">U500/T500-1</f>
        <v>9.8311066296949967E-2</v>
      </c>
      <c r="V501" s="316">
        <f t="shared" si="344"/>
        <v>9.5019508836355238E-2</v>
      </c>
      <c r="W501" s="304">
        <f>CORREL(M501:P501,M$492:P$492)</f>
        <v>-8.9079963173354829E-2</v>
      </c>
      <c r="X501" s="317"/>
    </row>
    <row r="502" spans="1:26" outlineLevel="1">
      <c r="A502" s="116"/>
      <c r="B502" s="318"/>
      <c r="C502" s="310"/>
      <c r="D502" s="319" t="s">
        <v>919</v>
      </c>
      <c r="E502" s="350">
        <f>E494+E496+E498+E500</f>
        <v>1</v>
      </c>
      <c r="F502" s="310"/>
      <c r="G502" s="310"/>
      <c r="H502" s="310"/>
      <c r="I502" s="310"/>
      <c r="J502" s="310"/>
      <c r="K502" s="310"/>
      <c r="L502" s="310"/>
      <c r="M502" s="310"/>
      <c r="N502" s="310"/>
      <c r="O502" s="310"/>
      <c r="P502" s="310"/>
      <c r="Q502" s="310"/>
      <c r="R502" s="310"/>
      <c r="S502" s="310"/>
      <c r="T502" s="310"/>
      <c r="U502" s="310"/>
      <c r="V502" s="310"/>
      <c r="W502" s="320">
        <f>SUM(W494:W501)</f>
        <v>-0.44937407100606119</v>
      </c>
      <c r="X502" s="315"/>
    </row>
    <row r="503" spans="1:26">
      <c r="A503" s="55" t="str">
        <f>'Secondary cum Calculation'!A477</f>
        <v>Poland</v>
      </c>
      <c r="B503" s="56" t="str">
        <f>'Secondary cum Calculation'!B477</f>
        <v>Tourism Flows</v>
      </c>
      <c r="C503" s="56" t="str">
        <f>'Secondary cum Calculation'!C477</f>
        <v>International Arrivals by Place of Origin</v>
      </c>
      <c r="D503" s="56" t="str">
        <f>'Secondary cum Calculation'!D477</f>
        <v>Middle East</v>
      </c>
      <c r="E503" s="55" t="str">
        <f>'Secondary cum Calculation'!E477</f>
        <v>Bahrain</v>
      </c>
      <c r="F503" s="57" t="str">
        <f>'Secondary cum Calculation'!F477</f>
        <v>The number of international arrivals to a country originating from Bahrain</v>
      </c>
      <c r="G503" s="57" t="str">
        <f>'Secondary cum Calculation'!G477</f>
        <v>Tourism Demand &amp; Flows Database</v>
      </c>
      <c r="H503" s="57" t="str">
        <f>'Secondary cum Calculation'!H477</f>
        <v>New</v>
      </c>
      <c r="I503" s="57">
        <f>'Secondary cum Calculation'!I477</f>
        <v>0</v>
      </c>
      <c r="J503" s="57" t="str">
        <f>'Secondary cum Calculation'!J477</f>
        <v>Thousand</v>
      </c>
      <c r="K503" s="58">
        <f>'Secondary cum Calculation'!K477</f>
        <v>0</v>
      </c>
      <c r="L503" s="59">
        <f>'Secondary cum Calculation'!L477</f>
        <v>0</v>
      </c>
      <c r="M503" s="59">
        <f>'Secondary cum Calculation'!M477</f>
        <v>0</v>
      </c>
      <c r="N503" s="59">
        <f>'Secondary cum Calculation'!N477</f>
        <v>0</v>
      </c>
      <c r="O503" s="59">
        <f>'Secondary cum Calculation'!O477</f>
        <v>0</v>
      </c>
      <c r="P503" s="59">
        <f>'Secondary cum Calculation'!P477</f>
        <v>0</v>
      </c>
      <c r="Q503" s="59"/>
      <c r="R503" s="59"/>
      <c r="S503" s="59"/>
      <c r="T503" s="59"/>
      <c r="U503" s="59"/>
      <c r="V503" s="59"/>
      <c r="W503" s="106" t="e">
        <f>'Secondary cum Calculation'!W477</f>
        <v>#DIV/0!</v>
      </c>
      <c r="X503" s="106" t="e">
        <f>'Secondary cum Calculation'!X477</f>
        <v>#DIV/0!</v>
      </c>
    </row>
    <row r="504" spans="1:26">
      <c r="A504" s="57"/>
      <c r="B504" s="57"/>
      <c r="C504" s="61" t="str">
        <f>'Secondary cum Calculation'!C478</f>
        <v>Growth Rate</v>
      </c>
      <c r="D504" s="61"/>
      <c r="E504" s="61"/>
      <c r="F504" s="61">
        <f>'Secondary cum Calculation'!F478</f>
        <v>0</v>
      </c>
      <c r="G504" s="61">
        <f>'Secondary cum Calculation'!G478</f>
        <v>0</v>
      </c>
      <c r="H504" s="61">
        <f>'Secondary cum Calculation'!H478</f>
        <v>0</v>
      </c>
      <c r="I504" s="61">
        <f>'Secondary cum Calculation'!I478</f>
        <v>0</v>
      </c>
      <c r="J504" s="61" t="str">
        <f>'Secondary cum Calculation'!J478</f>
        <v>%</v>
      </c>
      <c r="K504" s="58">
        <f>'Secondary cum Calculation'!K478</f>
        <v>0</v>
      </c>
      <c r="L504" s="59"/>
      <c r="M504" s="62" t="e">
        <f>'Secondary cum Calculation'!M478</f>
        <v>#DIV/0!</v>
      </c>
      <c r="N504" s="62" t="e">
        <f>'Secondary cum Calculation'!N478</f>
        <v>#DIV/0!</v>
      </c>
      <c r="O504" s="62" t="e">
        <f>'Secondary cum Calculation'!O478</f>
        <v>#DIV/0!</v>
      </c>
      <c r="P504" s="62" t="e">
        <f>'Secondary cum Calculation'!P478</f>
        <v>#DIV/0!</v>
      </c>
      <c r="Q504" s="62"/>
      <c r="R504" s="62"/>
      <c r="S504" s="62"/>
      <c r="T504" s="62"/>
      <c r="U504" s="62"/>
      <c r="V504" s="62"/>
      <c r="W504" s="259"/>
      <c r="X504" s="259"/>
    </row>
    <row r="505" spans="1:26">
      <c r="A505" s="55" t="str">
        <f>'Secondary cum Calculation'!A479</f>
        <v>Poland</v>
      </c>
      <c r="B505" s="56" t="str">
        <f>'Secondary cum Calculation'!B479</f>
        <v>Tourism Flows</v>
      </c>
      <c r="C505" s="56" t="str">
        <f>'Secondary cum Calculation'!C479</f>
        <v>International Arrivals by Place of Origin</v>
      </c>
      <c r="D505" s="56" t="str">
        <f>'Secondary cum Calculation'!D479</f>
        <v>Middle East</v>
      </c>
      <c r="E505" s="55" t="str">
        <f>'Secondary cum Calculation'!E479</f>
        <v>Iran (Islamic Republic of)</v>
      </c>
      <c r="F505" s="57" t="str">
        <f>'Secondary cum Calculation'!F479</f>
        <v>The number of international arrivals to a country originating from Iran (Islamic Republic of)</v>
      </c>
      <c r="G505" s="57" t="str">
        <f>'Secondary cum Calculation'!G479</f>
        <v>Tourism Demand &amp; Flows Database</v>
      </c>
      <c r="H505" s="57" t="str">
        <f>'Secondary cum Calculation'!H479</f>
        <v>New</v>
      </c>
      <c r="I505" s="57">
        <f>'Secondary cum Calculation'!I479</f>
        <v>0</v>
      </c>
      <c r="J505" s="57" t="str">
        <f>'Secondary cum Calculation'!J479</f>
        <v>Thousand</v>
      </c>
      <c r="K505" s="58">
        <f>'Secondary cum Calculation'!K479</f>
        <v>0</v>
      </c>
      <c r="L505" s="59">
        <f>'Secondary cum Calculation'!L479</f>
        <v>0</v>
      </c>
      <c r="M505" s="59">
        <f>'Secondary cum Calculation'!M479</f>
        <v>0</v>
      </c>
      <c r="N505" s="59">
        <f>'Secondary cum Calculation'!N479</f>
        <v>0</v>
      </c>
      <c r="O505" s="59">
        <f>'Secondary cum Calculation'!O479</f>
        <v>0</v>
      </c>
      <c r="P505" s="59">
        <f>'Secondary cum Calculation'!P479</f>
        <v>0</v>
      </c>
      <c r="Q505" s="59"/>
      <c r="R505" s="59"/>
      <c r="S505" s="59"/>
      <c r="T505" s="59"/>
      <c r="U505" s="59"/>
      <c r="V505" s="59"/>
      <c r="W505" s="106" t="e">
        <f>'Secondary cum Calculation'!W479</f>
        <v>#DIV/0!</v>
      </c>
      <c r="X505" s="106" t="e">
        <f>'Secondary cum Calculation'!X479</f>
        <v>#DIV/0!</v>
      </c>
    </row>
    <row r="506" spans="1:26">
      <c r="A506" s="57"/>
      <c r="B506" s="57"/>
      <c r="C506" s="61" t="str">
        <f>'Secondary cum Calculation'!C480</f>
        <v>Growth Rate</v>
      </c>
      <c r="D506" s="61"/>
      <c r="E506" s="61"/>
      <c r="F506" s="61">
        <f>'Secondary cum Calculation'!F480</f>
        <v>0</v>
      </c>
      <c r="G506" s="61">
        <f>'Secondary cum Calculation'!G480</f>
        <v>0</v>
      </c>
      <c r="H506" s="61">
        <f>'Secondary cum Calculation'!H480</f>
        <v>0</v>
      </c>
      <c r="I506" s="61">
        <f>'Secondary cum Calculation'!I480</f>
        <v>0</v>
      </c>
      <c r="J506" s="61" t="str">
        <f>'Secondary cum Calculation'!J480</f>
        <v>%</v>
      </c>
      <c r="K506" s="58">
        <f>'Secondary cum Calculation'!K480</f>
        <v>0</v>
      </c>
      <c r="L506" s="59"/>
      <c r="M506" s="62" t="e">
        <f>'Secondary cum Calculation'!M480</f>
        <v>#DIV/0!</v>
      </c>
      <c r="N506" s="62" t="e">
        <f>'Secondary cum Calculation'!N480</f>
        <v>#DIV/0!</v>
      </c>
      <c r="O506" s="62" t="e">
        <f>'Secondary cum Calculation'!O480</f>
        <v>#DIV/0!</v>
      </c>
      <c r="P506" s="62" t="e">
        <f>'Secondary cum Calculation'!P480</f>
        <v>#DIV/0!</v>
      </c>
      <c r="Q506" s="62"/>
      <c r="R506" s="62"/>
      <c r="S506" s="62"/>
      <c r="T506" s="62"/>
      <c r="U506" s="62"/>
      <c r="V506" s="62"/>
      <c r="W506" s="259"/>
      <c r="X506" s="259"/>
    </row>
    <row r="507" spans="1:26">
      <c r="A507" s="55" t="str">
        <f>'Secondary cum Calculation'!A481</f>
        <v>Poland</v>
      </c>
      <c r="B507" s="56" t="str">
        <f>'Secondary cum Calculation'!B481</f>
        <v>Tourism Flows</v>
      </c>
      <c r="C507" s="56" t="str">
        <f>'Secondary cum Calculation'!C481</f>
        <v>International Arrivals by Place of Origin</v>
      </c>
      <c r="D507" s="56" t="str">
        <f>'Secondary cum Calculation'!D481</f>
        <v>Middle East</v>
      </c>
      <c r="E507" s="55" t="str">
        <f>'Secondary cum Calculation'!E481</f>
        <v>Iraq</v>
      </c>
      <c r="F507" s="57" t="str">
        <f>'Secondary cum Calculation'!F481</f>
        <v>The number of international arrivals to a country originating from Iraq</v>
      </c>
      <c r="G507" s="57" t="str">
        <f>'Secondary cum Calculation'!G481</f>
        <v>Tourism Demand &amp; Flows Database</v>
      </c>
      <c r="H507" s="57" t="str">
        <f>'Secondary cum Calculation'!H481</f>
        <v>New</v>
      </c>
      <c r="I507" s="57">
        <f>'Secondary cum Calculation'!I481</f>
        <v>0</v>
      </c>
      <c r="J507" s="57" t="str">
        <f>'Secondary cum Calculation'!J481</f>
        <v>Thousand</v>
      </c>
      <c r="K507" s="58">
        <f>'Secondary cum Calculation'!K481</f>
        <v>0</v>
      </c>
      <c r="L507" s="59">
        <f>'Secondary cum Calculation'!L481</f>
        <v>0</v>
      </c>
      <c r="M507" s="59">
        <f>'Secondary cum Calculation'!M481</f>
        <v>0</v>
      </c>
      <c r="N507" s="59">
        <f>'Secondary cum Calculation'!N481</f>
        <v>0</v>
      </c>
      <c r="O507" s="59">
        <f>'Secondary cum Calculation'!O481</f>
        <v>0</v>
      </c>
      <c r="P507" s="59">
        <f>'Secondary cum Calculation'!P481</f>
        <v>0</v>
      </c>
      <c r="Q507" s="59"/>
      <c r="R507" s="59"/>
      <c r="S507" s="59"/>
      <c r="T507" s="59"/>
      <c r="U507" s="59"/>
      <c r="V507" s="59"/>
      <c r="W507" s="106" t="e">
        <f>'Secondary cum Calculation'!W481</f>
        <v>#DIV/0!</v>
      </c>
      <c r="X507" s="106" t="e">
        <f>'Secondary cum Calculation'!X481</f>
        <v>#DIV/0!</v>
      </c>
    </row>
    <row r="508" spans="1:26">
      <c r="A508" s="57"/>
      <c r="B508" s="57"/>
      <c r="C508" s="61" t="str">
        <f>'Secondary cum Calculation'!C482</f>
        <v>Growth Rate</v>
      </c>
      <c r="D508" s="61"/>
      <c r="E508" s="61"/>
      <c r="F508" s="61">
        <f>'Secondary cum Calculation'!F482</f>
        <v>0</v>
      </c>
      <c r="G508" s="61">
        <f>'Secondary cum Calculation'!G482</f>
        <v>0</v>
      </c>
      <c r="H508" s="61">
        <f>'Secondary cum Calculation'!H482</f>
        <v>0</v>
      </c>
      <c r="I508" s="61">
        <f>'Secondary cum Calculation'!I482</f>
        <v>0</v>
      </c>
      <c r="J508" s="61" t="str">
        <f>'Secondary cum Calculation'!J482</f>
        <v>%</v>
      </c>
      <c r="K508" s="58">
        <f>'Secondary cum Calculation'!K482</f>
        <v>0</v>
      </c>
      <c r="L508" s="59"/>
      <c r="M508" s="62" t="e">
        <f>'Secondary cum Calculation'!M482</f>
        <v>#DIV/0!</v>
      </c>
      <c r="N508" s="62" t="e">
        <f>'Secondary cum Calculation'!N482</f>
        <v>#DIV/0!</v>
      </c>
      <c r="O508" s="62" t="e">
        <f>'Secondary cum Calculation'!O482</f>
        <v>#DIV/0!</v>
      </c>
      <c r="P508" s="62" t="e">
        <f>'Secondary cum Calculation'!P482</f>
        <v>#DIV/0!</v>
      </c>
      <c r="Q508" s="62"/>
      <c r="R508" s="62"/>
      <c r="S508" s="62"/>
      <c r="T508" s="62"/>
      <c r="U508" s="62"/>
      <c r="V508" s="62"/>
      <c r="W508" s="259"/>
      <c r="X508" s="259"/>
    </row>
    <row r="509" spans="1:26">
      <c r="A509" s="55" t="str">
        <f>'Secondary cum Calculation'!A483</f>
        <v>Poland</v>
      </c>
      <c r="B509" s="56" t="str">
        <f>'Secondary cum Calculation'!B483</f>
        <v>Tourism Flows</v>
      </c>
      <c r="C509" s="56" t="str">
        <f>'Secondary cum Calculation'!C483</f>
        <v>International Arrivals by Place of Origin</v>
      </c>
      <c r="D509" s="56" t="str">
        <f>'Secondary cum Calculation'!D483</f>
        <v>Middle East</v>
      </c>
      <c r="E509" s="55" t="str">
        <f>'Secondary cum Calculation'!E483</f>
        <v>Israel</v>
      </c>
      <c r="F509" s="57" t="str">
        <f>'Secondary cum Calculation'!F483</f>
        <v>The number of international arrivals to a country originating from Israel</v>
      </c>
      <c r="G509" s="57" t="str">
        <f>'Secondary cum Calculation'!G483</f>
        <v>Tourism Demand &amp; Flows Database</v>
      </c>
      <c r="H509" s="57" t="str">
        <f>'Secondary cum Calculation'!H483</f>
        <v>New</v>
      </c>
      <c r="I509" s="57">
        <f>'Secondary cum Calculation'!I483</f>
        <v>0</v>
      </c>
      <c r="J509" s="57" t="str">
        <f>'Secondary cum Calculation'!J483</f>
        <v>Thousand</v>
      </c>
      <c r="K509" s="58">
        <f>'Secondary cum Calculation'!K483</f>
        <v>283.88900000000001</v>
      </c>
      <c r="L509" s="59">
        <f>'Secondary cum Calculation'!L483</f>
        <v>0</v>
      </c>
      <c r="M509" s="59">
        <f>'Secondary cum Calculation'!M483</f>
        <v>0</v>
      </c>
      <c r="N509" s="59">
        <f>'Secondary cum Calculation'!N483</f>
        <v>0</v>
      </c>
      <c r="O509" s="59">
        <f>'Secondary cum Calculation'!O483</f>
        <v>0</v>
      </c>
      <c r="P509" s="59">
        <f>'Secondary cum Calculation'!P483</f>
        <v>0</v>
      </c>
      <c r="Q509" s="59"/>
      <c r="R509" s="59"/>
      <c r="S509" s="59"/>
      <c r="T509" s="59"/>
      <c r="U509" s="59"/>
      <c r="V509" s="59"/>
      <c r="W509" s="106" t="e">
        <f>'Secondary cum Calculation'!W483</f>
        <v>#DIV/0!</v>
      </c>
      <c r="X509" s="106" t="e">
        <f>'Secondary cum Calculation'!X483</f>
        <v>#DIV/0!</v>
      </c>
      <c r="Z509" s="12"/>
    </row>
    <row r="510" spans="1:26">
      <c r="A510" s="57"/>
      <c r="B510" s="57"/>
      <c r="C510" s="61" t="str">
        <f>'Secondary cum Calculation'!C484</f>
        <v>Growth Rate</v>
      </c>
      <c r="D510" s="61"/>
      <c r="E510" s="61"/>
      <c r="F510" s="61">
        <f>'Secondary cum Calculation'!F484</f>
        <v>0</v>
      </c>
      <c r="G510" s="61">
        <f>'Secondary cum Calculation'!G484</f>
        <v>0</v>
      </c>
      <c r="H510" s="61">
        <f>'Secondary cum Calculation'!H484</f>
        <v>0</v>
      </c>
      <c r="I510" s="61">
        <f>'Secondary cum Calculation'!I484</f>
        <v>0</v>
      </c>
      <c r="J510" s="61" t="str">
        <f>'Secondary cum Calculation'!J484</f>
        <v>%</v>
      </c>
      <c r="K510" s="58">
        <f>'Secondary cum Calculation'!K484</f>
        <v>0</v>
      </c>
      <c r="L510" s="59"/>
      <c r="M510" s="62" t="e">
        <f>'Secondary cum Calculation'!M484</f>
        <v>#DIV/0!</v>
      </c>
      <c r="N510" s="62" t="e">
        <f>'Secondary cum Calculation'!N484</f>
        <v>#DIV/0!</v>
      </c>
      <c r="O510" s="62" t="e">
        <f>'Secondary cum Calculation'!O484</f>
        <v>#DIV/0!</v>
      </c>
      <c r="P510" s="62" t="e">
        <f>'Secondary cum Calculation'!P484</f>
        <v>#DIV/0!</v>
      </c>
      <c r="Q510" s="62"/>
      <c r="R510" s="62"/>
      <c r="S510" s="62"/>
      <c r="T510" s="62"/>
      <c r="U510" s="62"/>
      <c r="V510" s="62"/>
      <c r="W510" s="259"/>
      <c r="X510" s="259"/>
    </row>
    <row r="511" spans="1:26">
      <c r="A511" s="55" t="str">
        <f>'Secondary cum Calculation'!A485</f>
        <v>Poland</v>
      </c>
      <c r="B511" s="56" t="str">
        <f>'Secondary cum Calculation'!B485</f>
        <v>Tourism Flows</v>
      </c>
      <c r="C511" s="56" t="str">
        <f>'Secondary cum Calculation'!C485</f>
        <v>International Arrivals by Place of Origin</v>
      </c>
      <c r="D511" s="56" t="str">
        <f>'Secondary cum Calculation'!D485</f>
        <v>Middle East</v>
      </c>
      <c r="E511" s="55" t="str">
        <f>'Secondary cum Calculation'!E485</f>
        <v>Jordan</v>
      </c>
      <c r="F511" s="57" t="str">
        <f>'Secondary cum Calculation'!F485</f>
        <v>The number of international arrivals to a country originating from Jordan</v>
      </c>
      <c r="G511" s="57" t="str">
        <f>'Secondary cum Calculation'!G485</f>
        <v>Tourism Demand &amp; Flows Database</v>
      </c>
      <c r="H511" s="57" t="str">
        <f>'Secondary cum Calculation'!H485</f>
        <v>New</v>
      </c>
      <c r="I511" s="57">
        <f>'Secondary cum Calculation'!I485</f>
        <v>0</v>
      </c>
      <c r="J511" s="57" t="str">
        <f>'Secondary cum Calculation'!J485</f>
        <v>Thousand</v>
      </c>
      <c r="K511" s="58">
        <f>'Secondary cum Calculation'!K485</f>
        <v>0</v>
      </c>
      <c r="L511" s="59">
        <f>'Secondary cum Calculation'!L485</f>
        <v>0</v>
      </c>
      <c r="M511" s="59">
        <f>'Secondary cum Calculation'!M485</f>
        <v>0</v>
      </c>
      <c r="N511" s="59">
        <f>'Secondary cum Calculation'!N485</f>
        <v>0</v>
      </c>
      <c r="O511" s="88">
        <f>'Secondary cum Calculation'!O485</f>
        <v>0</v>
      </c>
      <c r="P511" s="88">
        <f>'Secondary cum Calculation'!P485</f>
        <v>0</v>
      </c>
      <c r="Q511" s="88"/>
      <c r="R511" s="88"/>
      <c r="S511" s="88"/>
      <c r="T511" s="88"/>
      <c r="U511" s="88"/>
      <c r="V511" s="88"/>
      <c r="W511" s="106" t="e">
        <f>'Secondary cum Calculation'!W485</f>
        <v>#DIV/0!</v>
      </c>
      <c r="X511" s="106" t="e">
        <f>'Secondary cum Calculation'!X485</f>
        <v>#DIV/0!</v>
      </c>
    </row>
    <row r="512" spans="1:26">
      <c r="A512" s="57"/>
      <c r="B512" s="57"/>
      <c r="C512" s="61" t="str">
        <f>'Secondary cum Calculation'!C486</f>
        <v>Growth Rate</v>
      </c>
      <c r="D512" s="61"/>
      <c r="E512" s="61"/>
      <c r="F512" s="61">
        <f>'Secondary cum Calculation'!F486</f>
        <v>0</v>
      </c>
      <c r="G512" s="61">
        <f>'Secondary cum Calculation'!G486</f>
        <v>0</v>
      </c>
      <c r="H512" s="61">
        <f>'Secondary cum Calculation'!H486</f>
        <v>0</v>
      </c>
      <c r="I512" s="61">
        <f>'Secondary cum Calculation'!I486</f>
        <v>0</v>
      </c>
      <c r="J512" s="61" t="str">
        <f>'Secondary cum Calculation'!J486</f>
        <v>%</v>
      </c>
      <c r="K512" s="58">
        <f>'Secondary cum Calculation'!K486</f>
        <v>0</v>
      </c>
      <c r="L512" s="59"/>
      <c r="M512" s="62" t="e">
        <f>'Secondary cum Calculation'!M486</f>
        <v>#DIV/0!</v>
      </c>
      <c r="N512" s="62" t="e">
        <f>'Secondary cum Calculation'!N486</f>
        <v>#DIV/0!</v>
      </c>
      <c r="O512" s="62" t="e">
        <f>'Secondary cum Calculation'!O486</f>
        <v>#DIV/0!</v>
      </c>
      <c r="P512" s="62" t="e">
        <f>'Secondary cum Calculation'!P486</f>
        <v>#DIV/0!</v>
      </c>
      <c r="Q512" s="62"/>
      <c r="R512" s="62"/>
      <c r="S512" s="62"/>
      <c r="T512" s="62"/>
      <c r="U512" s="62"/>
      <c r="V512" s="62"/>
      <c r="W512" s="259"/>
      <c r="X512" s="259"/>
    </row>
    <row r="513" spans="1:26">
      <c r="A513" s="55" t="str">
        <f>'Secondary cum Calculation'!A487</f>
        <v>Poland</v>
      </c>
      <c r="B513" s="56" t="str">
        <f>'Secondary cum Calculation'!B487</f>
        <v>Tourism Flows</v>
      </c>
      <c r="C513" s="56" t="str">
        <f>'Secondary cum Calculation'!C487</f>
        <v>International Arrivals by Place of Origin</v>
      </c>
      <c r="D513" s="56" t="str">
        <f>'Secondary cum Calculation'!D487</f>
        <v>Middle East</v>
      </c>
      <c r="E513" s="55" t="str">
        <f>'Secondary cum Calculation'!E487</f>
        <v>Kuwait</v>
      </c>
      <c r="F513" s="57" t="str">
        <f>'Secondary cum Calculation'!F487</f>
        <v>The number of international arrivals to a country originating from Kuwait</v>
      </c>
      <c r="G513" s="57" t="str">
        <f>'Secondary cum Calculation'!G487</f>
        <v>Tourism Demand &amp; Flows Database</v>
      </c>
      <c r="H513" s="57" t="str">
        <f>'Secondary cum Calculation'!H487</f>
        <v>New</v>
      </c>
      <c r="I513" s="57">
        <f>'Secondary cum Calculation'!I487</f>
        <v>0</v>
      </c>
      <c r="J513" s="57" t="str">
        <f>'Secondary cum Calculation'!J487</f>
        <v>Thousand</v>
      </c>
      <c r="K513" s="58">
        <f>'Secondary cum Calculation'!K487</f>
        <v>0</v>
      </c>
      <c r="L513" s="59">
        <f>'Secondary cum Calculation'!L487</f>
        <v>0</v>
      </c>
      <c r="M513" s="59">
        <f>'Secondary cum Calculation'!M487</f>
        <v>0</v>
      </c>
      <c r="N513" s="59">
        <f>'Secondary cum Calculation'!N487</f>
        <v>0</v>
      </c>
      <c r="O513" s="59">
        <f>'Secondary cum Calculation'!O487</f>
        <v>0</v>
      </c>
      <c r="P513" s="59">
        <f>'Secondary cum Calculation'!P487</f>
        <v>0</v>
      </c>
      <c r="Q513" s="59"/>
      <c r="R513" s="59"/>
      <c r="S513" s="59"/>
      <c r="T513" s="59"/>
      <c r="U513" s="59"/>
      <c r="V513" s="59"/>
      <c r="W513" s="106" t="e">
        <f>'Secondary cum Calculation'!W487</f>
        <v>#DIV/0!</v>
      </c>
      <c r="X513" s="106" t="e">
        <f>'Secondary cum Calculation'!X487</f>
        <v>#DIV/0!</v>
      </c>
    </row>
    <row r="514" spans="1:26">
      <c r="A514" s="57"/>
      <c r="B514" s="57"/>
      <c r="C514" s="61" t="str">
        <f>'Secondary cum Calculation'!C488</f>
        <v>Growth Rate</v>
      </c>
      <c r="D514" s="61"/>
      <c r="E514" s="61"/>
      <c r="F514" s="61">
        <f>'Secondary cum Calculation'!F488</f>
        <v>0</v>
      </c>
      <c r="G514" s="61">
        <f>'Secondary cum Calculation'!G488</f>
        <v>0</v>
      </c>
      <c r="H514" s="61">
        <f>'Secondary cum Calculation'!H488</f>
        <v>0</v>
      </c>
      <c r="I514" s="61">
        <f>'Secondary cum Calculation'!I488</f>
        <v>0</v>
      </c>
      <c r="J514" s="61" t="str">
        <f>'Secondary cum Calculation'!J488</f>
        <v>%</v>
      </c>
      <c r="K514" s="58">
        <f>'Secondary cum Calculation'!K488</f>
        <v>0</v>
      </c>
      <c r="L514" s="59"/>
      <c r="M514" s="62" t="e">
        <f>'Secondary cum Calculation'!M488</f>
        <v>#DIV/0!</v>
      </c>
      <c r="N514" s="62" t="e">
        <f>'Secondary cum Calculation'!N488</f>
        <v>#DIV/0!</v>
      </c>
      <c r="O514" s="62" t="e">
        <f>'Secondary cum Calculation'!O488</f>
        <v>#DIV/0!</v>
      </c>
      <c r="P514" s="62" t="e">
        <f>'Secondary cum Calculation'!P488</f>
        <v>#DIV/0!</v>
      </c>
      <c r="Q514" s="62"/>
      <c r="R514" s="62"/>
      <c r="S514" s="62"/>
      <c r="T514" s="62"/>
      <c r="U514" s="62"/>
      <c r="V514" s="62"/>
      <c r="W514" s="259"/>
      <c r="X514" s="259"/>
    </row>
    <row r="515" spans="1:26">
      <c r="A515" s="55" t="str">
        <f>'Secondary cum Calculation'!A489</f>
        <v>Poland</v>
      </c>
      <c r="B515" s="56" t="str">
        <f>'Secondary cum Calculation'!B489</f>
        <v>Tourism Flows</v>
      </c>
      <c r="C515" s="56" t="str">
        <f>'Secondary cum Calculation'!C489</f>
        <v>International Arrivals by Place of Origin</v>
      </c>
      <c r="D515" s="56" t="str">
        <f>'Secondary cum Calculation'!D489</f>
        <v>Middle East</v>
      </c>
      <c r="E515" s="55" t="str">
        <f>'Secondary cum Calculation'!E489</f>
        <v>Lebanon</v>
      </c>
      <c r="F515" s="57" t="str">
        <f>'Secondary cum Calculation'!F489</f>
        <v>The number of international arrivals to a country originating from Lebanon</v>
      </c>
      <c r="G515" s="57" t="str">
        <f>'Secondary cum Calculation'!G489</f>
        <v>Tourism Demand &amp; Flows Database</v>
      </c>
      <c r="H515" s="57" t="str">
        <f>'Secondary cum Calculation'!H489</f>
        <v>New</v>
      </c>
      <c r="I515" s="57">
        <f>'Secondary cum Calculation'!I489</f>
        <v>0</v>
      </c>
      <c r="J515" s="57" t="str">
        <f>'Secondary cum Calculation'!J489</f>
        <v>Thousand</v>
      </c>
      <c r="K515" s="58">
        <f>'Secondary cum Calculation'!K489</f>
        <v>0</v>
      </c>
      <c r="L515" s="59">
        <f>'Secondary cum Calculation'!L489</f>
        <v>0</v>
      </c>
      <c r="M515" s="59">
        <f>'Secondary cum Calculation'!M489</f>
        <v>0</v>
      </c>
      <c r="N515" s="59">
        <f>'Secondary cum Calculation'!N489</f>
        <v>0</v>
      </c>
      <c r="O515" s="59">
        <f>'Secondary cum Calculation'!O489</f>
        <v>0</v>
      </c>
      <c r="P515" s="59">
        <f>'Secondary cum Calculation'!P489</f>
        <v>0</v>
      </c>
      <c r="Q515" s="59"/>
      <c r="R515" s="59"/>
      <c r="S515" s="59"/>
      <c r="T515" s="59"/>
      <c r="U515" s="59"/>
      <c r="V515" s="59"/>
      <c r="W515" s="106" t="e">
        <f>'Secondary cum Calculation'!W489</f>
        <v>#DIV/0!</v>
      </c>
      <c r="X515" s="106" t="e">
        <f>'Secondary cum Calculation'!X489</f>
        <v>#DIV/0!</v>
      </c>
    </row>
    <row r="516" spans="1:26">
      <c r="A516" s="57"/>
      <c r="B516" s="57"/>
      <c r="C516" s="61" t="str">
        <f>'Secondary cum Calculation'!C490</f>
        <v>Growth Rate</v>
      </c>
      <c r="D516" s="61"/>
      <c r="E516" s="61"/>
      <c r="F516" s="61">
        <f>'Secondary cum Calculation'!F490</f>
        <v>0</v>
      </c>
      <c r="G516" s="61">
        <f>'Secondary cum Calculation'!G490</f>
        <v>0</v>
      </c>
      <c r="H516" s="61">
        <f>'Secondary cum Calculation'!H490</f>
        <v>0</v>
      </c>
      <c r="I516" s="61">
        <f>'Secondary cum Calculation'!I490</f>
        <v>0</v>
      </c>
      <c r="J516" s="61" t="str">
        <f>'Secondary cum Calculation'!J490</f>
        <v>%</v>
      </c>
      <c r="K516" s="58">
        <f>'Secondary cum Calculation'!K490</f>
        <v>0</v>
      </c>
      <c r="L516" s="59"/>
      <c r="M516" s="62" t="e">
        <f>'Secondary cum Calculation'!M490</f>
        <v>#DIV/0!</v>
      </c>
      <c r="N516" s="62" t="e">
        <f>'Secondary cum Calculation'!N490</f>
        <v>#DIV/0!</v>
      </c>
      <c r="O516" s="62" t="e">
        <f>'Secondary cum Calculation'!O490</f>
        <v>#DIV/0!</v>
      </c>
      <c r="P516" s="62" t="e">
        <f>'Secondary cum Calculation'!P490</f>
        <v>#DIV/0!</v>
      </c>
      <c r="Q516" s="62"/>
      <c r="R516" s="62"/>
      <c r="S516" s="62"/>
      <c r="T516" s="62"/>
      <c r="U516" s="62"/>
      <c r="V516" s="62"/>
      <c r="W516" s="259"/>
      <c r="X516" s="259"/>
    </row>
    <row r="517" spans="1:26">
      <c r="A517" s="55" t="str">
        <f>'Secondary cum Calculation'!A491</f>
        <v>Poland</v>
      </c>
      <c r="B517" s="56" t="str">
        <f>'Secondary cum Calculation'!B491</f>
        <v>Tourism Flows</v>
      </c>
      <c r="C517" s="56" t="str">
        <f>'Secondary cum Calculation'!C491</f>
        <v>International Arrivals by Place of Origin</v>
      </c>
      <c r="D517" s="56" t="str">
        <f>'Secondary cum Calculation'!D491</f>
        <v>Middle East</v>
      </c>
      <c r="E517" s="55" t="str">
        <f>'Secondary cum Calculation'!E491</f>
        <v>Occupied Palestinian Territory</v>
      </c>
      <c r="F517" s="57" t="str">
        <f>'Secondary cum Calculation'!F491</f>
        <v>The number of international arrivals to a country originating from Occupied Palestinian Territory</v>
      </c>
      <c r="G517" s="57" t="str">
        <f>'Secondary cum Calculation'!G491</f>
        <v>Tourism Demand &amp; Flows Database</v>
      </c>
      <c r="H517" s="57" t="str">
        <f>'Secondary cum Calculation'!H491</f>
        <v>New</v>
      </c>
      <c r="I517" s="57">
        <f>'Secondary cum Calculation'!I491</f>
        <v>0</v>
      </c>
      <c r="J517" s="57" t="str">
        <f>'Secondary cum Calculation'!J491</f>
        <v>Thousand</v>
      </c>
      <c r="K517" s="58">
        <f>'Secondary cum Calculation'!K491</f>
        <v>0</v>
      </c>
      <c r="L517" s="59">
        <f>'Secondary cum Calculation'!L491</f>
        <v>0</v>
      </c>
      <c r="M517" s="59">
        <f>'Secondary cum Calculation'!M491</f>
        <v>0</v>
      </c>
      <c r="N517" s="59">
        <f>'Secondary cum Calculation'!N491</f>
        <v>0</v>
      </c>
      <c r="O517" s="59">
        <f>'Secondary cum Calculation'!O491</f>
        <v>0</v>
      </c>
      <c r="P517" s="59">
        <f>'Secondary cum Calculation'!P491</f>
        <v>0</v>
      </c>
      <c r="Q517" s="59"/>
      <c r="R517" s="59"/>
      <c r="S517" s="59"/>
      <c r="T517" s="59"/>
      <c r="U517" s="59"/>
      <c r="V517" s="59"/>
      <c r="W517" s="106" t="e">
        <f>'Secondary cum Calculation'!W491</f>
        <v>#DIV/0!</v>
      </c>
      <c r="X517" s="106" t="e">
        <f>'Secondary cum Calculation'!X491</f>
        <v>#DIV/0!</v>
      </c>
    </row>
    <row r="518" spans="1:26">
      <c r="A518" s="57"/>
      <c r="B518" s="57"/>
      <c r="C518" s="61" t="str">
        <f>'Secondary cum Calculation'!C492</f>
        <v>Growth Rate</v>
      </c>
      <c r="D518" s="61"/>
      <c r="E518" s="61"/>
      <c r="F518" s="61">
        <f>'Secondary cum Calculation'!F492</f>
        <v>0</v>
      </c>
      <c r="G518" s="61">
        <f>'Secondary cum Calculation'!G492</f>
        <v>0</v>
      </c>
      <c r="H518" s="61">
        <f>'Secondary cum Calculation'!H492</f>
        <v>0</v>
      </c>
      <c r="I518" s="61">
        <f>'Secondary cum Calculation'!I492</f>
        <v>0</v>
      </c>
      <c r="J518" s="61" t="str">
        <f>'Secondary cum Calculation'!J492</f>
        <v>%</v>
      </c>
      <c r="K518" s="58">
        <f>'Secondary cum Calculation'!K492</f>
        <v>0</v>
      </c>
      <c r="L518" s="59"/>
      <c r="M518" s="62" t="e">
        <f>'Secondary cum Calculation'!M492</f>
        <v>#DIV/0!</v>
      </c>
      <c r="N518" s="62" t="e">
        <f>'Secondary cum Calculation'!N492</f>
        <v>#DIV/0!</v>
      </c>
      <c r="O518" s="62" t="e">
        <f>'Secondary cum Calculation'!O492</f>
        <v>#DIV/0!</v>
      </c>
      <c r="P518" s="62" t="e">
        <f>'Secondary cum Calculation'!P492</f>
        <v>#DIV/0!</v>
      </c>
      <c r="Q518" s="62"/>
      <c r="R518" s="62"/>
      <c r="S518" s="62"/>
      <c r="T518" s="62"/>
      <c r="U518" s="62"/>
      <c r="V518" s="62"/>
      <c r="W518" s="259"/>
      <c r="X518" s="259"/>
    </row>
    <row r="519" spans="1:26">
      <c r="A519" s="55" t="str">
        <f>'Secondary cum Calculation'!A493</f>
        <v>Poland</v>
      </c>
      <c r="B519" s="56" t="str">
        <f>'Secondary cum Calculation'!B493</f>
        <v>Tourism Flows</v>
      </c>
      <c r="C519" s="56" t="str">
        <f>'Secondary cum Calculation'!C493</f>
        <v>International Arrivals by Place of Origin</v>
      </c>
      <c r="D519" s="56" t="str">
        <f>'Secondary cum Calculation'!D493</f>
        <v>Middle East</v>
      </c>
      <c r="E519" s="55" t="str">
        <f>'Secondary cum Calculation'!E493</f>
        <v>Oman</v>
      </c>
      <c r="F519" s="57" t="str">
        <f>'Secondary cum Calculation'!F493</f>
        <v>The number of international arrivals to a country originating from Oman</v>
      </c>
      <c r="G519" s="57" t="str">
        <f>'Secondary cum Calculation'!G493</f>
        <v>Tourism Demand &amp; Flows Database</v>
      </c>
      <c r="H519" s="57" t="str">
        <f>'Secondary cum Calculation'!H493</f>
        <v>New</v>
      </c>
      <c r="I519" s="57">
        <f>'Secondary cum Calculation'!I493</f>
        <v>0</v>
      </c>
      <c r="J519" s="57" t="str">
        <f>'Secondary cum Calculation'!J493</f>
        <v>Thousand</v>
      </c>
      <c r="K519" s="58">
        <f>'Secondary cum Calculation'!K493</f>
        <v>0</v>
      </c>
      <c r="L519" s="59">
        <f>'Secondary cum Calculation'!L493</f>
        <v>0</v>
      </c>
      <c r="M519" s="59">
        <f>'Secondary cum Calculation'!M493</f>
        <v>0</v>
      </c>
      <c r="N519" s="59">
        <f>'Secondary cum Calculation'!N493</f>
        <v>0</v>
      </c>
      <c r="O519" s="59">
        <f>'Secondary cum Calculation'!O493</f>
        <v>0</v>
      </c>
      <c r="P519" s="59">
        <f>'Secondary cum Calculation'!P493</f>
        <v>0</v>
      </c>
      <c r="Q519" s="59"/>
      <c r="R519" s="59"/>
      <c r="S519" s="59"/>
      <c r="T519" s="59"/>
      <c r="U519" s="59"/>
      <c r="V519" s="59"/>
      <c r="W519" s="106" t="e">
        <f>'Secondary cum Calculation'!W493</f>
        <v>#DIV/0!</v>
      </c>
      <c r="X519" s="106" t="e">
        <f>'Secondary cum Calculation'!X493</f>
        <v>#DIV/0!</v>
      </c>
    </row>
    <row r="520" spans="1:26">
      <c r="A520" s="57"/>
      <c r="B520" s="57"/>
      <c r="C520" s="61" t="str">
        <f>'Secondary cum Calculation'!C494</f>
        <v>Growth Rate</v>
      </c>
      <c r="D520" s="61"/>
      <c r="E520" s="61"/>
      <c r="F520" s="61">
        <f>'Secondary cum Calculation'!F494</f>
        <v>0</v>
      </c>
      <c r="G520" s="61">
        <f>'Secondary cum Calculation'!G494</f>
        <v>0</v>
      </c>
      <c r="H520" s="61">
        <f>'Secondary cum Calculation'!H494</f>
        <v>0</v>
      </c>
      <c r="I520" s="61">
        <f>'Secondary cum Calculation'!I494</f>
        <v>0</v>
      </c>
      <c r="J520" s="61" t="str">
        <f>'Secondary cum Calculation'!J494</f>
        <v>%</v>
      </c>
      <c r="K520" s="58">
        <f>'Secondary cum Calculation'!K494</f>
        <v>0</v>
      </c>
      <c r="L520" s="59"/>
      <c r="M520" s="62" t="e">
        <f>'Secondary cum Calculation'!M494</f>
        <v>#DIV/0!</v>
      </c>
      <c r="N520" s="62" t="e">
        <f>'Secondary cum Calculation'!N494</f>
        <v>#DIV/0!</v>
      </c>
      <c r="O520" s="62" t="e">
        <f>'Secondary cum Calculation'!O494</f>
        <v>#DIV/0!</v>
      </c>
      <c r="P520" s="62" t="e">
        <f>'Secondary cum Calculation'!P494</f>
        <v>#DIV/0!</v>
      </c>
      <c r="Q520" s="62"/>
      <c r="R520" s="62"/>
      <c r="S520" s="62"/>
      <c r="T520" s="62"/>
      <c r="U520" s="62"/>
      <c r="V520" s="62"/>
      <c r="W520" s="259"/>
      <c r="X520" s="259"/>
    </row>
    <row r="521" spans="1:26">
      <c r="A521" s="55" t="str">
        <f>'Secondary cum Calculation'!A495</f>
        <v>Poland</v>
      </c>
      <c r="B521" s="56" t="str">
        <f>'Secondary cum Calculation'!B495</f>
        <v>Tourism Flows</v>
      </c>
      <c r="C521" s="56" t="str">
        <f>'Secondary cum Calculation'!C495</f>
        <v>International Arrivals by Place of Origin</v>
      </c>
      <c r="D521" s="56" t="str">
        <f>'Secondary cum Calculation'!D495</f>
        <v>Middle East</v>
      </c>
      <c r="E521" s="55" t="str">
        <f>'Secondary cum Calculation'!E495</f>
        <v>Qatar</v>
      </c>
      <c r="F521" s="57" t="str">
        <f>'Secondary cum Calculation'!F495</f>
        <v>The number of international arrivals to a country originating from Qatar</v>
      </c>
      <c r="G521" s="57" t="str">
        <f>'Secondary cum Calculation'!G495</f>
        <v>Tourism Demand &amp; Flows Database</v>
      </c>
      <c r="H521" s="57" t="str">
        <f>'Secondary cum Calculation'!H495</f>
        <v>New</v>
      </c>
      <c r="I521" s="57">
        <f>'Secondary cum Calculation'!I495</f>
        <v>0</v>
      </c>
      <c r="J521" s="57" t="str">
        <f>'Secondary cum Calculation'!J495</f>
        <v>Thousand</v>
      </c>
      <c r="K521" s="58">
        <f>'Secondary cum Calculation'!K495</f>
        <v>0</v>
      </c>
      <c r="L521" s="59">
        <f>'Secondary cum Calculation'!L495</f>
        <v>0</v>
      </c>
      <c r="M521" s="59">
        <f>'Secondary cum Calculation'!M495</f>
        <v>0</v>
      </c>
      <c r="N521" s="59">
        <f>'Secondary cum Calculation'!N495</f>
        <v>0</v>
      </c>
      <c r="O521" s="59">
        <f>'Secondary cum Calculation'!O495</f>
        <v>0</v>
      </c>
      <c r="P521" s="59">
        <f>'Secondary cum Calculation'!P495</f>
        <v>0</v>
      </c>
      <c r="Q521" s="59"/>
      <c r="R521" s="59"/>
      <c r="S521" s="59"/>
      <c r="T521" s="59"/>
      <c r="U521" s="59"/>
      <c r="V521" s="59"/>
      <c r="W521" s="106" t="e">
        <f>'Secondary cum Calculation'!W495</f>
        <v>#DIV/0!</v>
      </c>
      <c r="X521" s="106" t="e">
        <f>'Secondary cum Calculation'!X495</f>
        <v>#DIV/0!</v>
      </c>
    </row>
    <row r="522" spans="1:26">
      <c r="A522" s="57"/>
      <c r="B522" s="57"/>
      <c r="C522" s="61" t="str">
        <f>'Secondary cum Calculation'!C496</f>
        <v>Growth Rate</v>
      </c>
      <c r="D522" s="61"/>
      <c r="E522" s="61"/>
      <c r="F522" s="61">
        <f>'Secondary cum Calculation'!F496</f>
        <v>0</v>
      </c>
      <c r="G522" s="61">
        <f>'Secondary cum Calculation'!G496</f>
        <v>0</v>
      </c>
      <c r="H522" s="61">
        <f>'Secondary cum Calculation'!H496</f>
        <v>0</v>
      </c>
      <c r="I522" s="61">
        <f>'Secondary cum Calculation'!I496</f>
        <v>0</v>
      </c>
      <c r="J522" s="61" t="str">
        <f>'Secondary cum Calculation'!J496</f>
        <v>%</v>
      </c>
      <c r="K522" s="58">
        <f>'Secondary cum Calculation'!K496</f>
        <v>0</v>
      </c>
      <c r="L522" s="59"/>
      <c r="M522" s="62" t="e">
        <f>'Secondary cum Calculation'!M496</f>
        <v>#DIV/0!</v>
      </c>
      <c r="N522" s="62" t="e">
        <f>'Secondary cum Calculation'!N496</f>
        <v>#DIV/0!</v>
      </c>
      <c r="O522" s="62" t="e">
        <f>'Secondary cum Calculation'!O496</f>
        <v>#DIV/0!</v>
      </c>
      <c r="P522" s="62" t="e">
        <f>'Secondary cum Calculation'!P496</f>
        <v>#DIV/0!</v>
      </c>
      <c r="Q522" s="62"/>
      <c r="R522" s="62"/>
      <c r="S522" s="62"/>
      <c r="T522" s="62"/>
      <c r="U522" s="62"/>
      <c r="V522" s="62"/>
      <c r="W522" s="259"/>
      <c r="X522" s="259"/>
    </row>
    <row r="523" spans="1:26">
      <c r="A523" s="55" t="str">
        <f>'Secondary cum Calculation'!A497</f>
        <v>Poland</v>
      </c>
      <c r="B523" s="56" t="str">
        <f>'Secondary cum Calculation'!B497</f>
        <v>Tourism Flows</v>
      </c>
      <c r="C523" s="56" t="str">
        <f>'Secondary cum Calculation'!C497</f>
        <v>International Arrivals by Place of Origin</v>
      </c>
      <c r="D523" s="56" t="str">
        <f>'Secondary cum Calculation'!D497</f>
        <v>Middle East</v>
      </c>
      <c r="E523" s="55" t="str">
        <f>'Secondary cum Calculation'!E497</f>
        <v>Saudi Arabia</v>
      </c>
      <c r="F523" s="57" t="str">
        <f>'Secondary cum Calculation'!F497</f>
        <v>The number of international arrivals to a country originating from Saudi Arabia</v>
      </c>
      <c r="G523" s="57" t="str">
        <f>'Secondary cum Calculation'!G497</f>
        <v>Tourism Demand &amp; Flows Database</v>
      </c>
      <c r="H523" s="57" t="str">
        <f>'Secondary cum Calculation'!H497</f>
        <v>New</v>
      </c>
      <c r="I523" s="57">
        <f>'Secondary cum Calculation'!I497</f>
        <v>0</v>
      </c>
      <c r="J523" s="57" t="str">
        <f>'Secondary cum Calculation'!J497</f>
        <v>Thousand</v>
      </c>
      <c r="K523" s="58">
        <f>'Secondary cum Calculation'!K497</f>
        <v>31.510999999999999</v>
      </c>
      <c r="L523" s="59">
        <f>'Secondary cum Calculation'!L497</f>
        <v>0</v>
      </c>
      <c r="M523" s="59">
        <f>'Secondary cum Calculation'!M497</f>
        <v>0</v>
      </c>
      <c r="N523" s="59">
        <f>'Secondary cum Calculation'!N497</f>
        <v>0</v>
      </c>
      <c r="O523" s="59">
        <f>'Secondary cum Calculation'!O497</f>
        <v>0</v>
      </c>
      <c r="P523" s="59">
        <f>'Secondary cum Calculation'!P497</f>
        <v>0</v>
      </c>
      <c r="Q523" s="59"/>
      <c r="R523" s="59"/>
      <c r="S523" s="59"/>
      <c r="T523" s="59"/>
      <c r="U523" s="59"/>
      <c r="V523" s="59"/>
      <c r="W523" s="106" t="e">
        <f>'Secondary cum Calculation'!W497</f>
        <v>#DIV/0!</v>
      </c>
      <c r="X523" s="106" t="e">
        <f>'Secondary cum Calculation'!X497</f>
        <v>#DIV/0!</v>
      </c>
      <c r="Z523" s="12"/>
    </row>
    <row r="524" spans="1:26">
      <c r="A524" s="57"/>
      <c r="B524" s="57"/>
      <c r="C524" s="61" t="str">
        <f>'Secondary cum Calculation'!C498</f>
        <v>Growth Rate</v>
      </c>
      <c r="D524" s="61"/>
      <c r="E524" s="61"/>
      <c r="F524" s="61">
        <f>'Secondary cum Calculation'!F498</f>
        <v>0</v>
      </c>
      <c r="G524" s="61">
        <f>'Secondary cum Calculation'!G498</f>
        <v>0</v>
      </c>
      <c r="H524" s="61">
        <f>'Secondary cum Calculation'!H498</f>
        <v>0</v>
      </c>
      <c r="I524" s="61">
        <f>'Secondary cum Calculation'!I498</f>
        <v>0</v>
      </c>
      <c r="J524" s="61" t="str">
        <f>'Secondary cum Calculation'!J498</f>
        <v>%</v>
      </c>
      <c r="K524" s="58">
        <f>'Secondary cum Calculation'!K498</f>
        <v>0</v>
      </c>
      <c r="L524" s="59"/>
      <c r="M524" s="62" t="e">
        <f>'Secondary cum Calculation'!M498</f>
        <v>#DIV/0!</v>
      </c>
      <c r="N524" s="62" t="e">
        <f>'Secondary cum Calculation'!N498</f>
        <v>#DIV/0!</v>
      </c>
      <c r="O524" s="62" t="e">
        <f>'Secondary cum Calculation'!O498</f>
        <v>#DIV/0!</v>
      </c>
      <c r="P524" s="62" t="e">
        <f>'Secondary cum Calculation'!P498</f>
        <v>#DIV/0!</v>
      </c>
      <c r="Q524" s="62"/>
      <c r="R524" s="62"/>
      <c r="S524" s="62"/>
      <c r="T524" s="62"/>
      <c r="U524" s="62"/>
      <c r="V524" s="62"/>
      <c r="W524" s="259"/>
      <c r="X524" s="259"/>
    </row>
    <row r="525" spans="1:26">
      <c r="A525" s="55" t="str">
        <f>'Secondary cum Calculation'!A499</f>
        <v>Poland</v>
      </c>
      <c r="B525" s="56" t="str">
        <f>'Secondary cum Calculation'!B499</f>
        <v>Tourism Flows</v>
      </c>
      <c r="C525" s="56" t="str">
        <f>'Secondary cum Calculation'!C499</f>
        <v>International Arrivals by Place of Origin</v>
      </c>
      <c r="D525" s="56" t="str">
        <f>'Secondary cum Calculation'!D499</f>
        <v>Middle East</v>
      </c>
      <c r="E525" s="55" t="str">
        <f>'Secondary cum Calculation'!E499</f>
        <v>Syrian Arab Republic</v>
      </c>
      <c r="F525" s="57" t="str">
        <f>'Secondary cum Calculation'!F499</f>
        <v>The number of international arrivals to a country originating from Syrian Arab Republic</v>
      </c>
      <c r="G525" s="57" t="str">
        <f>'Secondary cum Calculation'!G499</f>
        <v>Tourism Demand &amp; Flows Database</v>
      </c>
      <c r="H525" s="57" t="str">
        <f>'Secondary cum Calculation'!H499</f>
        <v>New</v>
      </c>
      <c r="I525" s="57">
        <f>'Secondary cum Calculation'!I499</f>
        <v>0</v>
      </c>
      <c r="J525" s="57" t="str">
        <f>'Secondary cum Calculation'!J499</f>
        <v>Thousand</v>
      </c>
      <c r="K525" s="58">
        <f>'Secondary cum Calculation'!K499</f>
        <v>0</v>
      </c>
      <c r="L525" s="59">
        <f>'Secondary cum Calculation'!L499</f>
        <v>0</v>
      </c>
      <c r="M525" s="59">
        <f>'Secondary cum Calculation'!M499</f>
        <v>0</v>
      </c>
      <c r="N525" s="59">
        <f>'Secondary cum Calculation'!N499</f>
        <v>0</v>
      </c>
      <c r="O525" s="88">
        <f>'Secondary cum Calculation'!O499</f>
        <v>0</v>
      </c>
      <c r="P525" s="88">
        <f>'Secondary cum Calculation'!P499</f>
        <v>0</v>
      </c>
      <c r="Q525" s="88"/>
      <c r="R525" s="88"/>
      <c r="S525" s="88"/>
      <c r="T525" s="88"/>
      <c r="U525" s="88"/>
      <c r="V525" s="88"/>
      <c r="W525" s="106" t="e">
        <f>'Secondary cum Calculation'!W499</f>
        <v>#DIV/0!</v>
      </c>
      <c r="X525" s="106" t="e">
        <f>'Secondary cum Calculation'!X499</f>
        <v>#DIV/0!</v>
      </c>
    </row>
    <row r="526" spans="1:26">
      <c r="A526" s="57"/>
      <c r="B526" s="57"/>
      <c r="C526" s="61" t="str">
        <f>'Secondary cum Calculation'!C500</f>
        <v>Growth Rate</v>
      </c>
      <c r="D526" s="61"/>
      <c r="E526" s="61"/>
      <c r="F526" s="61">
        <f>'Secondary cum Calculation'!F500</f>
        <v>0</v>
      </c>
      <c r="G526" s="61">
        <f>'Secondary cum Calculation'!G500</f>
        <v>0</v>
      </c>
      <c r="H526" s="61">
        <f>'Secondary cum Calculation'!H500</f>
        <v>0</v>
      </c>
      <c r="I526" s="61">
        <f>'Secondary cum Calculation'!I500</f>
        <v>0</v>
      </c>
      <c r="J526" s="61" t="str">
        <f>'Secondary cum Calculation'!J500</f>
        <v>%</v>
      </c>
      <c r="K526" s="58">
        <f>'Secondary cum Calculation'!K500</f>
        <v>0</v>
      </c>
      <c r="L526" s="59"/>
      <c r="M526" s="62" t="e">
        <f>'Secondary cum Calculation'!M500</f>
        <v>#DIV/0!</v>
      </c>
      <c r="N526" s="62" t="e">
        <f>'Secondary cum Calculation'!N500</f>
        <v>#DIV/0!</v>
      </c>
      <c r="O526" s="62" t="e">
        <f>'Secondary cum Calculation'!O500</f>
        <v>#DIV/0!</v>
      </c>
      <c r="P526" s="62" t="e">
        <f>'Secondary cum Calculation'!P500</f>
        <v>#DIV/0!</v>
      </c>
      <c r="Q526" s="62"/>
      <c r="R526" s="62"/>
      <c r="S526" s="62"/>
      <c r="T526" s="62"/>
      <c r="U526" s="62"/>
      <c r="V526" s="62"/>
      <c r="W526" s="259"/>
      <c r="X526" s="259"/>
    </row>
    <row r="527" spans="1:26">
      <c r="A527" s="55" t="str">
        <f>'Secondary cum Calculation'!A501</f>
        <v>Poland</v>
      </c>
      <c r="B527" s="56" t="str">
        <f>'Secondary cum Calculation'!B501</f>
        <v>Tourism Flows</v>
      </c>
      <c r="C527" s="56" t="str">
        <f>'Secondary cum Calculation'!C501</f>
        <v>International Arrivals by Place of Origin</v>
      </c>
      <c r="D527" s="56" t="str">
        <f>'Secondary cum Calculation'!D501</f>
        <v>Middle East</v>
      </c>
      <c r="E527" s="55" t="str">
        <f>'Secondary cum Calculation'!E501</f>
        <v>United Arab Emirates</v>
      </c>
      <c r="F527" s="57" t="str">
        <f>'Secondary cum Calculation'!F501</f>
        <v>The number of international arrivals to a country originating from United Arab Emirates</v>
      </c>
      <c r="G527" s="57" t="str">
        <f>'Secondary cum Calculation'!G501</f>
        <v>Tourism Demand &amp; Flows Database</v>
      </c>
      <c r="H527" s="57" t="str">
        <f>'Secondary cum Calculation'!H501</f>
        <v>New</v>
      </c>
      <c r="I527" s="57">
        <f>'Secondary cum Calculation'!I501</f>
        <v>0</v>
      </c>
      <c r="J527" s="57" t="str">
        <f>'Secondary cum Calculation'!J501</f>
        <v>Thousand</v>
      </c>
      <c r="K527" s="58">
        <f>'Secondary cum Calculation'!K501</f>
        <v>0</v>
      </c>
      <c r="L527" s="59">
        <f>'Secondary cum Calculation'!L501</f>
        <v>0</v>
      </c>
      <c r="M527" s="59">
        <f>'Secondary cum Calculation'!M501</f>
        <v>0</v>
      </c>
      <c r="N527" s="59">
        <f>'Secondary cum Calculation'!N501</f>
        <v>0</v>
      </c>
      <c r="O527" s="59">
        <f>'Secondary cum Calculation'!O501</f>
        <v>0</v>
      </c>
      <c r="P527" s="59">
        <f>'Secondary cum Calculation'!P501</f>
        <v>0</v>
      </c>
      <c r="Q527" s="59"/>
      <c r="R527" s="59"/>
      <c r="S527" s="59"/>
      <c r="T527" s="59"/>
      <c r="U527" s="59"/>
      <c r="V527" s="59"/>
      <c r="W527" s="106" t="e">
        <f>'Secondary cum Calculation'!W501</f>
        <v>#DIV/0!</v>
      </c>
      <c r="X527" s="106" t="e">
        <f>'Secondary cum Calculation'!X501</f>
        <v>#DIV/0!</v>
      </c>
    </row>
    <row r="528" spans="1:26">
      <c r="A528" s="57"/>
      <c r="B528" s="57"/>
      <c r="C528" s="61" t="str">
        <f>'Secondary cum Calculation'!C502</f>
        <v>Growth Rate</v>
      </c>
      <c r="D528" s="61"/>
      <c r="E528" s="61"/>
      <c r="F528" s="61">
        <f>'Secondary cum Calculation'!F502</f>
        <v>0</v>
      </c>
      <c r="G528" s="61">
        <f>'Secondary cum Calculation'!G502</f>
        <v>0</v>
      </c>
      <c r="H528" s="61">
        <f>'Secondary cum Calculation'!H502</f>
        <v>0</v>
      </c>
      <c r="I528" s="61">
        <f>'Secondary cum Calculation'!I502</f>
        <v>0</v>
      </c>
      <c r="J528" s="61" t="str">
        <f>'Secondary cum Calculation'!J502</f>
        <v>%</v>
      </c>
      <c r="K528" s="58">
        <f>'Secondary cum Calculation'!K502</f>
        <v>0</v>
      </c>
      <c r="L528" s="59"/>
      <c r="M528" s="62" t="e">
        <f>'Secondary cum Calculation'!M502</f>
        <v>#DIV/0!</v>
      </c>
      <c r="N528" s="62" t="e">
        <f>'Secondary cum Calculation'!N502</f>
        <v>#DIV/0!</v>
      </c>
      <c r="O528" s="62" t="e">
        <f>'Secondary cum Calculation'!O502</f>
        <v>#DIV/0!</v>
      </c>
      <c r="P528" s="62" t="e">
        <f>'Secondary cum Calculation'!P502</f>
        <v>#DIV/0!</v>
      </c>
      <c r="Q528" s="62"/>
      <c r="R528" s="62"/>
      <c r="S528" s="62"/>
      <c r="T528" s="62"/>
      <c r="U528" s="62"/>
      <c r="V528" s="62"/>
      <c r="W528" s="259"/>
      <c r="X528" s="259"/>
    </row>
    <row r="529" spans="1:27">
      <c r="A529" s="55" t="str">
        <f>'Secondary cum Calculation'!A503</f>
        <v>Poland</v>
      </c>
      <c r="B529" s="56" t="str">
        <f>'Secondary cum Calculation'!B503</f>
        <v>Tourism Flows</v>
      </c>
      <c r="C529" s="56" t="str">
        <f>'Secondary cum Calculation'!C503</f>
        <v>International Arrivals by Place of Origin</v>
      </c>
      <c r="D529" s="56" t="str">
        <f>'Secondary cum Calculation'!D503</f>
        <v>Middle East</v>
      </c>
      <c r="E529" s="55" t="str">
        <f>'Secondary cum Calculation'!E503</f>
        <v>Yemen</v>
      </c>
      <c r="F529" s="57" t="str">
        <f>'Secondary cum Calculation'!F503</f>
        <v>The number of international arrivals to a country originating from Yemen</v>
      </c>
      <c r="G529" s="57" t="str">
        <f>'Secondary cum Calculation'!G503</f>
        <v>Tourism Demand &amp; Flows Database</v>
      </c>
      <c r="H529" s="57" t="str">
        <f>'Secondary cum Calculation'!H503</f>
        <v>New</v>
      </c>
      <c r="I529" s="57">
        <f>'Secondary cum Calculation'!I503</f>
        <v>0</v>
      </c>
      <c r="J529" s="57" t="str">
        <f>'Secondary cum Calculation'!J503</f>
        <v>Thousand</v>
      </c>
      <c r="K529" s="58">
        <f>'Secondary cum Calculation'!K503</f>
        <v>0</v>
      </c>
      <c r="L529" s="59">
        <f>'Secondary cum Calculation'!L503</f>
        <v>0</v>
      </c>
      <c r="M529" s="59">
        <f>'Secondary cum Calculation'!M503</f>
        <v>0</v>
      </c>
      <c r="N529" s="59">
        <f>'Secondary cum Calculation'!N503</f>
        <v>0</v>
      </c>
      <c r="O529" s="88">
        <f>'Secondary cum Calculation'!O503</f>
        <v>0</v>
      </c>
      <c r="P529" s="88">
        <f>'Secondary cum Calculation'!P503</f>
        <v>0</v>
      </c>
      <c r="Q529" s="88"/>
      <c r="R529" s="88"/>
      <c r="S529" s="88"/>
      <c r="T529" s="88"/>
      <c r="U529" s="88"/>
      <c r="V529" s="88"/>
      <c r="W529" s="106" t="e">
        <f>'Secondary cum Calculation'!W503</f>
        <v>#DIV/0!</v>
      </c>
      <c r="X529" s="106" t="e">
        <f>'Secondary cum Calculation'!X503</f>
        <v>#DIV/0!</v>
      </c>
    </row>
    <row r="530" spans="1:27">
      <c r="A530" s="57"/>
      <c r="B530" s="57"/>
      <c r="C530" s="61" t="str">
        <f>'Secondary cum Calculation'!C504</f>
        <v>Growth Rate</v>
      </c>
      <c r="D530" s="61"/>
      <c r="E530" s="61"/>
      <c r="F530" s="61">
        <f>'Secondary cum Calculation'!F504</f>
        <v>0</v>
      </c>
      <c r="G530" s="61">
        <f>'Secondary cum Calculation'!G504</f>
        <v>0</v>
      </c>
      <c r="H530" s="61">
        <f>'Secondary cum Calculation'!H504</f>
        <v>0</v>
      </c>
      <c r="I530" s="61">
        <f>'Secondary cum Calculation'!I504</f>
        <v>0</v>
      </c>
      <c r="J530" s="61" t="str">
        <f>'Secondary cum Calculation'!J504</f>
        <v>%</v>
      </c>
      <c r="K530" s="58">
        <f>'Secondary cum Calculation'!K504</f>
        <v>0</v>
      </c>
      <c r="L530" s="59"/>
      <c r="M530" s="62" t="e">
        <f>'Secondary cum Calculation'!M504</f>
        <v>#DIV/0!</v>
      </c>
      <c r="N530" s="62" t="e">
        <f>'Secondary cum Calculation'!N504</f>
        <v>#DIV/0!</v>
      </c>
      <c r="O530" s="62" t="e">
        <f>'Secondary cum Calculation'!O504</f>
        <v>#DIV/0!</v>
      </c>
      <c r="P530" s="62" t="e">
        <f>'Secondary cum Calculation'!P504</f>
        <v>#DIV/0!</v>
      </c>
      <c r="Q530" s="62"/>
      <c r="R530" s="62"/>
      <c r="S530" s="62"/>
      <c r="T530" s="62"/>
      <c r="U530" s="62"/>
      <c r="V530" s="62"/>
      <c r="W530" s="259"/>
      <c r="X530" s="259"/>
    </row>
    <row r="531" spans="1:27">
      <c r="A531" s="55" t="str">
        <f>'Secondary cum Calculation'!A505</f>
        <v>Poland</v>
      </c>
      <c r="B531" s="84" t="str">
        <f>'Secondary cum Calculation'!B505</f>
        <v>Tourism Flows</v>
      </c>
      <c r="C531" s="84" t="str">
        <f>'Secondary cum Calculation'!C505</f>
        <v>International Arrivals by Place of Origin</v>
      </c>
      <c r="D531" s="84" t="str">
        <f>'Secondary cum Calculation'!D505</f>
        <v>Middle East</v>
      </c>
      <c r="E531" s="97" t="str">
        <f>'Secondary cum Calculation'!E505</f>
        <v>Other Middle Eastern Countries</v>
      </c>
      <c r="F531" s="84" t="str">
        <f>'Secondary cum Calculation'!F505</f>
        <v>To be defined according to the gaps in the country data above</v>
      </c>
      <c r="G531" s="84">
        <f>'Secondary cum Calculation'!G505</f>
        <v>0</v>
      </c>
      <c r="H531" s="84">
        <f>'Secondary cum Calculation'!H505</f>
        <v>0</v>
      </c>
      <c r="I531" s="84">
        <f>'Secondary cum Calculation'!I505</f>
        <v>0</v>
      </c>
      <c r="J531" s="57" t="str">
        <f>'Secondary cum Calculation'!J505</f>
        <v>Thousand</v>
      </c>
      <c r="K531" s="98">
        <f>'Secondary cum Calculation'!K505</f>
        <v>0</v>
      </c>
      <c r="L531" s="99">
        <f>'Secondary cum Calculation'!L505</f>
        <v>134.62580622548694</v>
      </c>
      <c r="M531" s="99">
        <f>'Secondary cum Calculation'!M505</f>
        <v>113.00152602826763</v>
      </c>
      <c r="N531" s="99">
        <f>'Secondary cum Calculation'!N505</f>
        <v>103.3937052330171</v>
      </c>
      <c r="O531" s="88">
        <f>'Secondary cum Calculation'!O505</f>
        <v>119.90965126419432</v>
      </c>
      <c r="P531" s="88">
        <f>'Secondary cum Calculation'!P505</f>
        <v>119.40595989696668</v>
      </c>
      <c r="Q531" s="88"/>
      <c r="R531" s="88"/>
      <c r="S531" s="88"/>
      <c r="T531" s="88"/>
      <c r="U531" s="88"/>
      <c r="V531" s="88"/>
      <c r="W531" s="107">
        <f>'Secondary cum Calculation'!W505</f>
        <v>5.7818783702454635E-2</v>
      </c>
      <c r="X531" s="107">
        <f>'Secondary cum Calculation'!X505</f>
        <v>-1</v>
      </c>
      <c r="Y531" s="41"/>
      <c r="Z531" s="41"/>
      <c r="AA531" s="41"/>
    </row>
    <row r="532" spans="1:27">
      <c r="A532" s="57"/>
      <c r="B532" s="57"/>
      <c r="C532" s="61" t="str">
        <f>'Secondary cum Calculation'!C506</f>
        <v>Growth Rate</v>
      </c>
      <c r="D532" s="61"/>
      <c r="E532" s="61"/>
      <c r="F532" s="61">
        <f>'Secondary cum Calculation'!F506</f>
        <v>0</v>
      </c>
      <c r="G532" s="61">
        <f>'Secondary cum Calculation'!G506</f>
        <v>0</v>
      </c>
      <c r="H532" s="61">
        <f>'Secondary cum Calculation'!H506</f>
        <v>0</v>
      </c>
      <c r="I532" s="61">
        <f>'Secondary cum Calculation'!I506</f>
        <v>0</v>
      </c>
      <c r="J532" s="61" t="str">
        <f>'Secondary cum Calculation'!J506</f>
        <v>%</v>
      </c>
      <c r="K532" s="58">
        <f>'Secondary cum Calculation'!K506</f>
        <v>0</v>
      </c>
      <c r="L532" s="59"/>
      <c r="M532" s="62">
        <f>'Secondary cum Calculation'!M506</f>
        <v>-0.1606250748166399</v>
      </c>
      <c r="N532" s="62">
        <f>'Secondary cum Calculation'!N506</f>
        <v>-8.5023814570850176E-2</v>
      </c>
      <c r="O532" s="62">
        <f>'Secondary cum Calculation'!O506</f>
        <v>0.15973840954780982</v>
      </c>
      <c r="P532" s="62">
        <f>'Secondary cum Calculation'!P506</f>
        <v>-4.2005907107333096E-3</v>
      </c>
      <c r="Q532" s="62"/>
      <c r="R532" s="62"/>
      <c r="S532" s="62"/>
      <c r="T532" s="62"/>
      <c r="U532" s="62"/>
      <c r="V532" s="62"/>
      <c r="W532" s="259"/>
      <c r="X532" s="259"/>
    </row>
    <row r="533" spans="1:27">
      <c r="A533" s="55" t="str">
        <f>'Secondary cum Calculation'!A507</f>
        <v>Poland</v>
      </c>
      <c r="B533" s="56" t="str">
        <f>'Secondary cum Calculation'!B507</f>
        <v>Tourism Flows</v>
      </c>
      <c r="C533" s="56" t="str">
        <f>'Secondary cum Calculation'!C507</f>
        <v>International Arrivals by Place of Origin</v>
      </c>
      <c r="D533" s="55" t="str">
        <f>'Secondary cum Calculation'!D507</f>
        <v>North America</v>
      </c>
      <c r="E533" s="57"/>
      <c r="F533" s="57" t="str">
        <f>'Secondary cum Calculation'!F507</f>
        <v>The number of international arrivals to a country originating from North America</v>
      </c>
      <c r="G533" s="57" t="str">
        <f>'Secondary cum Calculation'!G507</f>
        <v>Tourism Demand &amp; Flows Database</v>
      </c>
      <c r="H533" s="57" t="str">
        <f>'Secondary cum Calculation'!H507</f>
        <v>New</v>
      </c>
      <c r="I533" s="57">
        <f>'Secondary cum Calculation'!I507</f>
        <v>0</v>
      </c>
      <c r="J533" s="57" t="str">
        <f>'Secondary cum Calculation'!J507</f>
        <v>Thousand</v>
      </c>
      <c r="K533" s="86">
        <f>'Secondary cum Calculation'!K507</f>
        <v>15992</v>
      </c>
      <c r="L533" s="80">
        <f>'Secondary cum Calculation'!L507</f>
        <v>346.2128642351725</v>
      </c>
      <c r="M533" s="80">
        <f>'Secondary cum Calculation'!M507</f>
        <v>299.37164272563712</v>
      </c>
      <c r="N533" s="80">
        <f>'Secondary cum Calculation'!N507</f>
        <v>262.23558628407193</v>
      </c>
      <c r="O533" s="80">
        <f>'Secondary cum Calculation'!O507</f>
        <v>296.45312197728828</v>
      </c>
      <c r="P533" s="80">
        <f>'Secondary cum Calculation'!P507</f>
        <v>304.31440017805778</v>
      </c>
      <c r="Q533" s="80">
        <f>'Secondary cum Calculation'!Q507</f>
        <v>339.37671561471467</v>
      </c>
      <c r="R533" s="80">
        <f t="shared" ref="R533:V533" si="345">Q533*(1+R534)</f>
        <v>352.75667966869656</v>
      </c>
      <c r="S533" s="80">
        <f t="shared" si="345"/>
        <v>368.37296657187579</v>
      </c>
      <c r="T533" s="80">
        <f t="shared" si="345"/>
        <v>386.43752938715971</v>
      </c>
      <c r="U533" s="80">
        <f t="shared" si="345"/>
        <v>401.25995750132438</v>
      </c>
      <c r="V533" s="80">
        <f t="shared" si="345"/>
        <v>417.31188669197456</v>
      </c>
      <c r="W533" s="106">
        <f>'Secondary cum Calculation'!W507</f>
        <v>3.1853034014171611E-2</v>
      </c>
      <c r="X533" s="106">
        <f>'Secondary cum Calculation'!X507</f>
        <v>4.221121592433108E-2</v>
      </c>
    </row>
    <row r="534" spans="1:27">
      <c r="A534" s="57"/>
      <c r="B534" s="57"/>
      <c r="C534" s="61" t="str">
        <f>'Secondary cum Calculation'!C508</f>
        <v>Growth Rate</v>
      </c>
      <c r="D534" s="61"/>
      <c r="E534" s="61"/>
      <c r="F534" s="61">
        <f>'Secondary cum Calculation'!F508</f>
        <v>0</v>
      </c>
      <c r="G534" s="61">
        <f>'Secondary cum Calculation'!G508</f>
        <v>0</v>
      </c>
      <c r="H534" s="61">
        <f>'Secondary cum Calculation'!H508</f>
        <v>0</v>
      </c>
      <c r="I534" s="61">
        <f>'Secondary cum Calculation'!I508</f>
        <v>0</v>
      </c>
      <c r="J534" s="61" t="str">
        <f>'Secondary cum Calculation'!J508</f>
        <v>%</v>
      </c>
      <c r="K534" s="58">
        <f>'Secondary cum Calculation'!K508</f>
        <v>0</v>
      </c>
      <c r="L534" s="59"/>
      <c r="M534" s="62">
        <f>'Secondary cum Calculation'!M508</f>
        <v>-0.14425427872860641</v>
      </c>
      <c r="N534" s="62">
        <f>'Secondary cum Calculation'!N508</f>
        <v>-0.12404667357087984</v>
      </c>
      <c r="O534" s="62">
        <f>'Secondary cum Calculation'!O508</f>
        <v>0.13048395215190034</v>
      </c>
      <c r="P534" s="62">
        <f>'Secondary cum Calculation'!P508</f>
        <v>2.6517778420872107E-2</v>
      </c>
      <c r="Q534" s="62">
        <f>'Secondary cum Calculation'!Q508</f>
        <v>0.11521740481601106</v>
      </c>
      <c r="R534" s="62">
        <f>0.61*((L533/P533)^(1/4)-1)+0.39*($E536*R537+$E538*R539+$E540*R541+$E542*R543)</f>
        <v>3.9425109143821815E-2</v>
      </c>
      <c r="S534" s="62">
        <f>0.2*((M533/Q533)^(1/4)-1)+0.8*($E536*S537+$E538*S539+$E540*S541+$E542*S543)</f>
        <v>4.4269287594626942E-2</v>
      </c>
      <c r="T534" s="62">
        <f>0.05*((N533/R533)^(1/4)-1)+0.95*($E536*T537+$E538*T539+$E540*T541+$E542*T543)</f>
        <v>4.9038785292511954E-2</v>
      </c>
      <c r="U534" s="62">
        <f>0.25*((O533/S533)^(1/4)-1)+0.75*($E536*U537+$E538*U539+$E540*U541+$E542*U543)</f>
        <v>3.8356595793558476E-2</v>
      </c>
      <c r="V534" s="62">
        <f>0.25*((P533/T533)^(1/4)-1)+0.75*($E536*V537+$E538*V539+$E540*V541+$E542*V543)</f>
        <v>4.0003815208990101E-2</v>
      </c>
      <c r="W534" s="259"/>
      <c r="X534" s="259"/>
    </row>
    <row r="535" spans="1:27" outlineLevel="1">
      <c r="A535" s="306"/>
      <c r="B535" s="306"/>
      <c r="C535" s="306"/>
      <c r="D535" s="307" t="s">
        <v>912</v>
      </c>
      <c r="E535" s="112" t="s">
        <v>914</v>
      </c>
      <c r="F535" s="112"/>
      <c r="G535" s="112"/>
      <c r="H535" s="112"/>
      <c r="I535" s="112"/>
      <c r="J535" s="112"/>
      <c r="K535" s="113"/>
      <c r="L535" s="114"/>
      <c r="M535" s="115"/>
      <c r="N535" s="115"/>
      <c r="O535" s="115"/>
      <c r="P535" s="115"/>
      <c r="Q535" s="115"/>
      <c r="R535" s="115"/>
      <c r="S535" s="115"/>
      <c r="T535" s="115"/>
      <c r="U535" s="115"/>
      <c r="V535" s="115"/>
      <c r="W535" s="303"/>
      <c r="X535" s="303"/>
    </row>
    <row r="536" spans="1:27" ht="15" customHeight="1" outlineLevel="1">
      <c r="A536" s="310"/>
      <c r="B536" s="310"/>
      <c r="C536" s="310"/>
      <c r="D536" s="310" t="s">
        <v>932</v>
      </c>
      <c r="E536" s="309">
        <v>0.1</v>
      </c>
      <c r="F536" s="310"/>
      <c r="G536" s="310"/>
      <c r="H536" s="310"/>
      <c r="I536" s="310"/>
      <c r="J536" s="310"/>
      <c r="K536" s="310"/>
      <c r="L536" s="311">
        <f>L1216</f>
        <v>177.17699999999999</v>
      </c>
      <c r="M536" s="311">
        <f t="shared" ref="M536:U536" si="346">M1216</f>
        <v>199.245</v>
      </c>
      <c r="N536" s="311">
        <f t="shared" si="346"/>
        <v>175.41399999999999</v>
      </c>
      <c r="O536" s="311">
        <f t="shared" si="346"/>
        <v>193.86500000000001</v>
      </c>
      <c r="P536" s="311">
        <f t="shared" si="346"/>
        <v>207.83699999999999</v>
      </c>
      <c r="Q536" s="311">
        <f t="shared" si="346"/>
        <v>219.655</v>
      </c>
      <c r="R536" s="311">
        <f t="shared" si="346"/>
        <v>238.172</v>
      </c>
      <c r="S536" s="311">
        <f t="shared" si="346"/>
        <v>254.70699999999999</v>
      </c>
      <c r="T536" s="311">
        <f t="shared" si="346"/>
        <v>268.18700000000001</v>
      </c>
      <c r="U536" s="311">
        <f t="shared" si="346"/>
        <v>280.97800000000001</v>
      </c>
      <c r="V536" s="311">
        <f t="shared" ref="V536" si="347">V1216</f>
        <v>298.81687711777596</v>
      </c>
      <c r="W536" s="315"/>
      <c r="X536" s="315"/>
    </row>
    <row r="537" spans="1:27" outlineLevel="1">
      <c r="A537" s="312"/>
      <c r="B537" s="312"/>
      <c r="C537" s="312"/>
      <c r="D537" s="312" t="s">
        <v>892</v>
      </c>
      <c r="E537" s="312"/>
      <c r="F537" s="312"/>
      <c r="G537" s="312"/>
      <c r="H537" s="312"/>
      <c r="I537" s="312"/>
      <c r="J537" s="312"/>
      <c r="K537" s="312"/>
      <c r="L537" s="312"/>
      <c r="M537" s="316">
        <f>M536/L536-1</f>
        <v>0.12455341268900599</v>
      </c>
      <c r="N537" s="316">
        <f t="shared" ref="N537" si="348">N536/M536-1</f>
        <v>-0.11960651459258709</v>
      </c>
      <c r="O537" s="316">
        <f t="shared" ref="O537" si="349">O536/N536-1</f>
        <v>0.10518544699966959</v>
      </c>
      <c r="P537" s="316">
        <f t="shared" ref="P537" si="350">P536/O536-1</f>
        <v>7.2070770897273873E-2</v>
      </c>
      <c r="Q537" s="316">
        <f t="shared" ref="Q537" si="351">Q536/P536-1</f>
        <v>5.686186771364099E-2</v>
      </c>
      <c r="R537" s="316">
        <f t="shared" ref="R537" si="352">R536/Q536-1</f>
        <v>8.4300380141585585E-2</v>
      </c>
      <c r="S537" s="316">
        <f t="shared" ref="S537" si="353">S536/R536-1</f>
        <v>6.9424617503316854E-2</v>
      </c>
      <c r="T537" s="316">
        <f t="shared" ref="T537" si="354">T536/S536-1</f>
        <v>5.2923555300796732E-2</v>
      </c>
      <c r="U537" s="316">
        <f t="shared" ref="U537:V537" si="355">U536/T536-1</f>
        <v>4.7694332685775276E-2</v>
      </c>
      <c r="V537" s="316">
        <f t="shared" si="355"/>
        <v>6.3488519093224172E-2</v>
      </c>
      <c r="W537" s="304">
        <f>CORREL(M537:P537,M$534:P$534)</f>
        <v>0.40107746717961201</v>
      </c>
      <c r="X537" s="317"/>
    </row>
    <row r="538" spans="1:27" ht="11.25" customHeight="1" outlineLevel="1">
      <c r="A538" s="310"/>
      <c r="B538" s="310"/>
      <c r="C538" s="310"/>
      <c r="D538" s="310" t="s">
        <v>925</v>
      </c>
      <c r="E538" s="309">
        <v>0.3</v>
      </c>
      <c r="F538" s="310"/>
      <c r="G538" s="310"/>
      <c r="H538" s="310"/>
      <c r="I538" s="310"/>
      <c r="J538" s="310"/>
      <c r="K538" s="310"/>
      <c r="L538" s="311">
        <f>L1178</f>
        <v>0.25700000000000001</v>
      </c>
      <c r="M538" s="311">
        <f t="shared" ref="M538:U538" si="356">M1178</f>
        <v>0.33200000000000002</v>
      </c>
      <c r="N538" s="311">
        <f t="shared" si="356"/>
        <v>0.27100000000000002</v>
      </c>
      <c r="O538" s="311">
        <f t="shared" si="356"/>
        <v>0.30199999999999999</v>
      </c>
      <c r="P538" s="311">
        <f t="shared" si="356"/>
        <v>0.317</v>
      </c>
      <c r="Q538" s="311">
        <f t="shared" si="356"/>
        <v>0.3</v>
      </c>
      <c r="R538" s="311">
        <f t="shared" si="356"/>
        <v>0.315</v>
      </c>
      <c r="S538" s="311">
        <f t="shared" si="356"/>
        <v>0.33100000000000002</v>
      </c>
      <c r="T538" s="311">
        <f t="shared" si="356"/>
        <v>0.34</v>
      </c>
      <c r="U538" s="311">
        <f t="shared" si="356"/>
        <v>0.35599999999999998</v>
      </c>
      <c r="V538" s="311">
        <f t="shared" ref="V538" si="357">V1178</f>
        <v>0.373</v>
      </c>
      <c r="W538" s="304"/>
      <c r="X538" s="315"/>
    </row>
    <row r="539" spans="1:27" outlineLevel="1">
      <c r="A539" s="312"/>
      <c r="B539" s="312"/>
      <c r="C539" s="312"/>
      <c r="D539" s="312" t="s">
        <v>892</v>
      </c>
      <c r="E539" s="312"/>
      <c r="F539" s="312"/>
      <c r="G539" s="312"/>
      <c r="H539" s="312"/>
      <c r="I539" s="312"/>
      <c r="J539" s="312"/>
      <c r="K539" s="312"/>
      <c r="L539" s="312"/>
      <c r="M539" s="316">
        <f>M538/L538-1</f>
        <v>0.29182879377431914</v>
      </c>
      <c r="N539" s="316">
        <f t="shared" ref="N539" si="358">N538/M538-1</f>
        <v>-0.1837349397590361</v>
      </c>
      <c r="O539" s="316">
        <f t="shared" ref="O539" si="359">O538/N538-1</f>
        <v>0.1143911439114389</v>
      </c>
      <c r="P539" s="316">
        <f t="shared" ref="P539" si="360">P538/O538-1</f>
        <v>4.9668874172185573E-2</v>
      </c>
      <c r="Q539" s="316">
        <f t="shared" ref="Q539" si="361">Q538/P538-1</f>
        <v>-5.362776025236593E-2</v>
      </c>
      <c r="R539" s="316">
        <f t="shared" ref="R539" si="362">R538/Q538-1</f>
        <v>5.0000000000000044E-2</v>
      </c>
      <c r="S539" s="316">
        <f t="shared" ref="S539" si="363">S538/R538-1</f>
        <v>5.0793650793650835E-2</v>
      </c>
      <c r="T539" s="316">
        <f t="shared" ref="T539" si="364">T538/S538-1</f>
        <v>2.7190332326284095E-2</v>
      </c>
      <c r="U539" s="316">
        <f t="shared" ref="U539:V539" si="365">U538/T538-1</f>
        <v>4.7058823529411598E-2</v>
      </c>
      <c r="V539" s="316">
        <f t="shared" si="365"/>
        <v>4.7752808988763995E-2</v>
      </c>
      <c r="W539" s="304">
        <f>CORREL(M539:P539,M$534:P$534)</f>
        <v>5.8746113101837437E-2</v>
      </c>
      <c r="X539" s="317"/>
    </row>
    <row r="540" spans="1:27" ht="17.25" customHeight="1" outlineLevel="1">
      <c r="A540" s="310"/>
      <c r="B540" s="310"/>
      <c r="C540" s="310"/>
      <c r="D540" s="310" t="s">
        <v>933</v>
      </c>
      <c r="E540" s="309">
        <v>0.4</v>
      </c>
      <c r="F540" s="310"/>
      <c r="G540" s="310"/>
      <c r="H540" s="310"/>
      <c r="I540" s="310"/>
      <c r="J540" s="310"/>
      <c r="K540" s="310"/>
      <c r="L540" s="311">
        <f>L1180</f>
        <v>24.585000000000001</v>
      </c>
      <c r="M540" s="311">
        <f t="shared" ref="M540:U540" si="366">M1180</f>
        <v>28.137</v>
      </c>
      <c r="N540" s="311">
        <f t="shared" si="366"/>
        <v>21.861999999999998</v>
      </c>
      <c r="O540" s="311">
        <f t="shared" si="366"/>
        <v>22.283999999999999</v>
      </c>
      <c r="P540" s="311">
        <f t="shared" si="366"/>
        <v>24.861000000000001</v>
      </c>
      <c r="Q540" s="311">
        <f t="shared" si="366"/>
        <v>24.689</v>
      </c>
      <c r="R540" s="311">
        <f t="shared" si="366"/>
        <v>25.759</v>
      </c>
      <c r="S540" s="311">
        <f t="shared" si="366"/>
        <v>27.472000000000001</v>
      </c>
      <c r="T540" s="311">
        <f t="shared" si="366"/>
        <v>29.088999999999999</v>
      </c>
      <c r="U540" s="311">
        <f t="shared" si="366"/>
        <v>31.286000000000001</v>
      </c>
      <c r="V540" s="311">
        <f t="shared" ref="V540" si="367">V1180</f>
        <v>33.866</v>
      </c>
      <c r="W540" s="304"/>
      <c r="X540" s="315"/>
    </row>
    <row r="541" spans="1:27" outlineLevel="1">
      <c r="A541" s="312"/>
      <c r="B541" s="312"/>
      <c r="C541" s="312"/>
      <c r="D541" s="312" t="s">
        <v>892</v>
      </c>
      <c r="E541" s="312"/>
      <c r="F541" s="312"/>
      <c r="G541" s="312"/>
      <c r="H541" s="312"/>
      <c r="I541" s="312"/>
      <c r="J541" s="312"/>
      <c r="K541" s="312"/>
      <c r="L541" s="312"/>
      <c r="M541" s="316">
        <f t="shared" ref="M541" si="368">M540/L540-1</f>
        <v>0.14447834045149488</v>
      </c>
      <c r="N541" s="316">
        <f t="shared" ref="N541" si="369">N540/M540-1</f>
        <v>-0.22301595763585325</v>
      </c>
      <c r="O541" s="316">
        <f t="shared" ref="O541" si="370">O540/N540-1</f>
        <v>1.9302900009148249E-2</v>
      </c>
      <c r="P541" s="316">
        <f t="shared" ref="P541" si="371">P540/O540-1</f>
        <v>0.11564351103931081</v>
      </c>
      <c r="Q541" s="316">
        <f t="shared" ref="Q541" si="372">Q540/P540-1</f>
        <v>-6.9184666747114099E-3</v>
      </c>
      <c r="R541" s="316">
        <f t="shared" ref="R541" si="373">R540/Q540-1</f>
        <v>4.3339138887763751E-2</v>
      </c>
      <c r="S541" s="316">
        <f t="shared" ref="S541" si="374">S540/R540-1</f>
        <v>6.6501028766644765E-2</v>
      </c>
      <c r="T541" s="316">
        <f t="shared" ref="T541" si="375">T540/S540-1</f>
        <v>5.8859930110658043E-2</v>
      </c>
      <c r="U541" s="316">
        <f t="shared" ref="U541:V541" si="376">U540/T540-1</f>
        <v>7.5526831448313958E-2</v>
      </c>
      <c r="V541" s="316">
        <f t="shared" si="376"/>
        <v>8.2465000319631665E-2</v>
      </c>
      <c r="W541" s="304">
        <f>CORREL(M541:P541,M$534:P$534)</f>
        <v>0.21447503385227054</v>
      </c>
      <c r="X541" s="317"/>
    </row>
    <row r="542" spans="1:27" ht="12.75" customHeight="1" outlineLevel="1">
      <c r="A542" s="310"/>
      <c r="B542" s="310"/>
      <c r="C542" s="310"/>
      <c r="D542" s="310" t="s">
        <v>927</v>
      </c>
      <c r="E542" s="309">
        <f>1-SUM(E540,E538,E536)</f>
        <v>0.20000000000000007</v>
      </c>
      <c r="F542" s="310"/>
      <c r="G542" s="310"/>
      <c r="H542" s="310"/>
      <c r="I542" s="310"/>
      <c r="J542" s="310"/>
      <c r="K542" s="310"/>
      <c r="L542" s="311">
        <f>L1182</f>
        <v>3.43</v>
      </c>
      <c r="M542" s="311">
        <f t="shared" ref="M542:U542" si="377">M1182</f>
        <v>4.0599999999999996</v>
      </c>
      <c r="N542" s="311">
        <f t="shared" si="377"/>
        <v>3.06</v>
      </c>
      <c r="O542" s="311">
        <f t="shared" si="377"/>
        <v>3.0670000000000002</v>
      </c>
      <c r="P542" s="311">
        <f t="shared" si="377"/>
        <v>3.4830000000000001</v>
      </c>
      <c r="Q542" s="311">
        <f t="shared" si="377"/>
        <v>3.2440000000000002</v>
      </c>
      <c r="R542" s="311">
        <f t="shared" si="377"/>
        <v>3.391</v>
      </c>
      <c r="S542" s="311">
        <f t="shared" si="377"/>
        <v>3.633</v>
      </c>
      <c r="T542" s="311">
        <f t="shared" si="377"/>
        <v>3.9670000000000001</v>
      </c>
      <c r="U542" s="311">
        <f t="shared" si="377"/>
        <v>4.3570000000000002</v>
      </c>
      <c r="V542" s="311">
        <f t="shared" ref="V542" si="378">V1182</f>
        <v>4.7709999999999999</v>
      </c>
      <c r="W542" s="304"/>
      <c r="X542" s="315"/>
    </row>
    <row r="543" spans="1:27" outlineLevel="1">
      <c r="A543" s="312"/>
      <c r="B543" s="312"/>
      <c r="C543" s="312"/>
      <c r="D543" s="312" t="s">
        <v>892</v>
      </c>
      <c r="E543" s="312"/>
      <c r="F543" s="312"/>
      <c r="G543" s="312"/>
      <c r="H543" s="312"/>
      <c r="I543" s="312"/>
      <c r="J543" s="312"/>
      <c r="K543" s="312"/>
      <c r="L543" s="312"/>
      <c r="M543" s="316">
        <f t="shared" ref="M543" si="379">M542/L542-1</f>
        <v>0.18367346938775486</v>
      </c>
      <c r="N543" s="316">
        <f t="shared" ref="N543" si="380">N542/M542-1</f>
        <v>-0.24630541871921174</v>
      </c>
      <c r="O543" s="316">
        <f t="shared" ref="O543" si="381">O542/N542-1</f>
        <v>2.2875816993463971E-3</v>
      </c>
      <c r="P543" s="316">
        <f t="shared" ref="P543" si="382">P542/O542-1</f>
        <v>0.13563743071405288</v>
      </c>
      <c r="Q543" s="316">
        <f t="shared" ref="Q543" si="383">Q542/P542-1</f>
        <v>-6.861900660350273E-2</v>
      </c>
      <c r="R543" s="316">
        <f t="shared" ref="R543" si="384">R542/Q542-1</f>
        <v>4.5314426633785487E-2</v>
      </c>
      <c r="S543" s="316">
        <f t="shared" ref="S543" si="385">S542/R542-1</f>
        <v>7.1365378944264313E-2</v>
      </c>
      <c r="T543" s="316">
        <f t="shared" ref="T543" si="386">T542/S542-1</f>
        <v>9.1935039911918537E-2</v>
      </c>
      <c r="U543" s="316">
        <f t="shared" ref="U543:V543" si="387">U542/T542-1</f>
        <v>9.8311066296949967E-2</v>
      </c>
      <c r="V543" s="316">
        <f t="shared" si="387"/>
        <v>9.5019508836355238E-2</v>
      </c>
      <c r="W543" s="304">
        <f>CORREL(M543:P543,M$534:P$534)</f>
        <v>0.13353766253325025</v>
      </c>
      <c r="X543" s="317"/>
    </row>
    <row r="544" spans="1:27" outlineLevel="1">
      <c r="A544" s="116"/>
      <c r="B544" s="318"/>
      <c r="C544" s="310"/>
      <c r="D544" s="319" t="s">
        <v>919</v>
      </c>
      <c r="E544" s="350">
        <f>E536+E538+E540+E542</f>
        <v>1</v>
      </c>
      <c r="F544" s="310"/>
      <c r="G544" s="310"/>
      <c r="H544" s="310"/>
      <c r="I544" s="310"/>
      <c r="J544" s="310"/>
      <c r="K544" s="310"/>
      <c r="L544" s="310"/>
      <c r="M544" s="310"/>
      <c r="N544" s="310"/>
      <c r="O544" s="310"/>
      <c r="P544" s="310"/>
      <c r="Q544" s="310"/>
      <c r="R544" s="310"/>
      <c r="S544" s="310"/>
      <c r="T544" s="310"/>
      <c r="U544" s="310"/>
      <c r="V544" s="310"/>
      <c r="W544" s="320">
        <f>SUM(W536:W543)</f>
        <v>0.80783627666697022</v>
      </c>
      <c r="X544" s="315"/>
    </row>
    <row r="545" spans="1:26">
      <c r="A545" s="55" t="str">
        <f>'Secondary cum Calculation'!A509</f>
        <v>Poland</v>
      </c>
      <c r="B545" s="56" t="str">
        <f>'Secondary cum Calculation'!B509</f>
        <v>Tourism Flows</v>
      </c>
      <c r="C545" s="56" t="str">
        <f>'Secondary cum Calculation'!C509</f>
        <v>International Arrivals by Place of Origin</v>
      </c>
      <c r="D545" s="56" t="str">
        <f>'Secondary cum Calculation'!D509</f>
        <v>North America</v>
      </c>
      <c r="E545" s="55" t="str">
        <f>'Secondary cum Calculation'!E509</f>
        <v>Canada</v>
      </c>
      <c r="F545" s="57" t="str">
        <f>'Secondary cum Calculation'!F509</f>
        <v>The number of international arrivals to a country originating from Canada</v>
      </c>
      <c r="G545" s="57" t="str">
        <f>'Secondary cum Calculation'!G509</f>
        <v>Tourism Demand &amp; Flows Database</v>
      </c>
      <c r="H545" s="57" t="str">
        <f>'Secondary cum Calculation'!H509</f>
        <v>New</v>
      </c>
      <c r="I545" s="57">
        <f>'Secondary cum Calculation'!I509</f>
        <v>0</v>
      </c>
      <c r="J545" s="57" t="str">
        <f>'Secondary cum Calculation'!J509</f>
        <v>Thousand</v>
      </c>
      <c r="K545" s="58">
        <f>'Secondary cum Calculation'!K509</f>
        <v>15992</v>
      </c>
      <c r="L545" s="59">
        <f>'Secondary cum Calculation'!L509</f>
        <v>45.896268227840721</v>
      </c>
      <c r="M545" s="59">
        <f>'Secondary cum Calculation'!M509</f>
        <v>42.763728471674511</v>
      </c>
      <c r="N545" s="59">
        <f>'Secondary cum Calculation'!N509</f>
        <v>35.52062726637439</v>
      </c>
      <c r="O545" s="59">
        <f>'Secondary cum Calculation'!O509</f>
        <v>43.126700360656933</v>
      </c>
      <c r="P545" s="59">
        <f>'Secondary cum Calculation'!P509</f>
        <v>42.033918533133075</v>
      </c>
      <c r="Q545" s="59"/>
      <c r="R545" s="59"/>
      <c r="S545" s="59"/>
      <c r="T545" s="59"/>
      <c r="U545" s="59"/>
      <c r="V545" s="59"/>
      <c r="W545" s="106">
        <f>'Secondary cum Calculation'!W509</f>
        <v>1.3654352193729125E-2</v>
      </c>
      <c r="X545" s="106">
        <f>'Secondary cum Calculation'!X509</f>
        <v>-1</v>
      </c>
      <c r="Z545" s="12"/>
    </row>
    <row r="546" spans="1:26">
      <c r="A546" s="57"/>
      <c r="B546" s="57"/>
      <c r="C546" s="61" t="str">
        <f>'Secondary cum Calculation'!C510</f>
        <v>Growth Rate</v>
      </c>
      <c r="D546" s="61"/>
      <c r="E546" s="61"/>
      <c r="F546" s="61">
        <f>'Secondary cum Calculation'!F510</f>
        <v>0</v>
      </c>
      <c r="G546" s="61">
        <f>'Secondary cum Calculation'!G510</f>
        <v>0</v>
      </c>
      <c r="H546" s="61">
        <f>'Secondary cum Calculation'!H510</f>
        <v>0</v>
      </c>
      <c r="I546" s="61">
        <f>'Secondary cum Calculation'!I510</f>
        <v>0</v>
      </c>
      <c r="J546" s="61" t="str">
        <f>'Secondary cum Calculation'!J510</f>
        <v>%</v>
      </c>
      <c r="K546" s="58">
        <f>'Secondary cum Calculation'!K510</f>
        <v>0</v>
      </c>
      <c r="L546" s="59"/>
      <c r="M546" s="62">
        <f>'Secondary cum Calculation'!M510</f>
        <v>-6.8252602599747081E-2</v>
      </c>
      <c r="N546" s="62">
        <f>'Secondary cum Calculation'!N510</f>
        <v>-0.16937487595586398</v>
      </c>
      <c r="O546" s="62">
        <f>'Secondary cum Calculation'!O510</f>
        <v>0.21413115926257409</v>
      </c>
      <c r="P546" s="62">
        <f>'Secondary cum Calculation'!P510</f>
        <v>-2.533886938683505E-2</v>
      </c>
      <c r="Q546" s="62"/>
      <c r="R546" s="62"/>
      <c r="S546" s="62"/>
      <c r="T546" s="62"/>
      <c r="U546" s="62"/>
      <c r="V546" s="62"/>
      <c r="W546" s="259"/>
      <c r="X546" s="259"/>
    </row>
    <row r="547" spans="1:26">
      <c r="A547" s="55" t="str">
        <f>'Secondary cum Calculation'!A511</f>
        <v>Poland</v>
      </c>
      <c r="B547" s="56" t="str">
        <f>'Secondary cum Calculation'!B511</f>
        <v>Tourism Flows</v>
      </c>
      <c r="C547" s="56" t="str">
        <f>'Secondary cum Calculation'!C511</f>
        <v>International Arrivals by Place of Origin</v>
      </c>
      <c r="D547" s="56" t="str">
        <f>'Secondary cum Calculation'!D511</f>
        <v>North America</v>
      </c>
      <c r="E547" s="55" t="str">
        <f>'Secondary cum Calculation'!E511</f>
        <v>Mexico</v>
      </c>
      <c r="F547" s="57" t="str">
        <f>'Secondary cum Calculation'!F511</f>
        <v>The number of international arrivals to a country originating from Mexico</v>
      </c>
      <c r="G547" s="57" t="str">
        <f>'Secondary cum Calculation'!G511</f>
        <v>Tourism Demand &amp; Flows Database</v>
      </c>
      <c r="H547" s="57" t="str">
        <f>'Secondary cum Calculation'!H511</f>
        <v>New</v>
      </c>
      <c r="I547" s="57">
        <f>'Secondary cum Calculation'!I511</f>
        <v>0</v>
      </c>
      <c r="J547" s="57" t="str">
        <f>'Secondary cum Calculation'!J511</f>
        <v>Thousand</v>
      </c>
      <c r="K547" s="58">
        <f>'Secondary cum Calculation'!K511</f>
        <v>13317</v>
      </c>
      <c r="L547" s="59">
        <f>'Secondary cum Calculation'!L511</f>
        <v>16.382974071338502</v>
      </c>
      <c r="M547" s="59">
        <f>'Secondary cum Calculation'!M511</f>
        <v>14.000912197431335</v>
      </c>
      <c r="N547" s="59">
        <f>'Secondary cum Calculation'!N511</f>
        <v>11.71495901769754</v>
      </c>
      <c r="O547" s="59">
        <f>'Secondary cum Calculation'!O511</f>
        <v>13.326421616631322</v>
      </c>
      <c r="P547" s="59">
        <f>'Secondary cum Calculation'!P511</f>
        <v>12.28048164492469</v>
      </c>
      <c r="Q547" s="59"/>
      <c r="R547" s="59"/>
      <c r="S547" s="59"/>
      <c r="T547" s="59"/>
      <c r="U547" s="59"/>
      <c r="V547" s="59"/>
      <c r="W547" s="106">
        <f>'Secondary cum Calculation'!W511</f>
        <v>4.0492943494856437E-3</v>
      </c>
      <c r="X547" s="106">
        <f>'Secondary cum Calculation'!X511</f>
        <v>-1</v>
      </c>
      <c r="Z547" s="12"/>
    </row>
    <row r="548" spans="1:26">
      <c r="A548" s="57"/>
      <c r="B548" s="57"/>
      <c r="C548" s="61" t="str">
        <f>'Secondary cum Calculation'!C512</f>
        <v>Growth Rate</v>
      </c>
      <c r="D548" s="61"/>
      <c r="E548" s="61"/>
      <c r="F548" s="61">
        <f>'Secondary cum Calculation'!F512</f>
        <v>0</v>
      </c>
      <c r="G548" s="61">
        <f>'Secondary cum Calculation'!G512</f>
        <v>0</v>
      </c>
      <c r="H548" s="61">
        <f>'Secondary cum Calculation'!H512</f>
        <v>0</v>
      </c>
      <c r="I548" s="61">
        <f>'Secondary cum Calculation'!I512</f>
        <v>0</v>
      </c>
      <c r="J548" s="61" t="str">
        <f>'Secondary cum Calculation'!J512</f>
        <v>%</v>
      </c>
      <c r="K548" s="58">
        <f>'Secondary cum Calculation'!K512</f>
        <v>0</v>
      </c>
      <c r="L548" s="59"/>
      <c r="M548" s="62">
        <f>'Secondary cum Calculation'!M512</f>
        <v>-0.14539862320080876</v>
      </c>
      <c r="N548" s="62">
        <f>'Secondary cum Calculation'!N512</f>
        <v>-0.16327173169139542</v>
      </c>
      <c r="O548" s="62">
        <f>'Secondary cum Calculation'!O512</f>
        <v>0.13755597407548592</v>
      </c>
      <c r="P548" s="62">
        <f>'Secondary cum Calculation'!P512</f>
        <v>-7.8486183447873503E-2</v>
      </c>
      <c r="Q548" s="62"/>
      <c r="R548" s="62"/>
      <c r="S548" s="62"/>
      <c r="T548" s="62"/>
      <c r="U548" s="62"/>
      <c r="V548" s="62"/>
      <c r="W548" s="259"/>
      <c r="X548" s="259"/>
    </row>
    <row r="549" spans="1:26">
      <c r="A549" s="55" t="str">
        <f>'Secondary cum Calculation'!A513</f>
        <v>Poland</v>
      </c>
      <c r="B549" s="56" t="str">
        <f>'Secondary cum Calculation'!B513</f>
        <v>Tourism Flows</v>
      </c>
      <c r="C549" s="56" t="str">
        <f>'Secondary cum Calculation'!C513</f>
        <v>International Arrivals by Place of Origin</v>
      </c>
      <c r="D549" s="56" t="str">
        <f>'Secondary cum Calculation'!D513</f>
        <v>North America</v>
      </c>
      <c r="E549" s="55" t="str">
        <f>'Secondary cum Calculation'!E513</f>
        <v>United States of America</v>
      </c>
      <c r="F549" s="57" t="str">
        <f>'Secondary cum Calculation'!F513</f>
        <v>The number of international arrivals to a country originating from South &amp; Central America</v>
      </c>
      <c r="G549" s="57" t="str">
        <f>'Secondary cum Calculation'!G513</f>
        <v>Tourism Demand &amp; Flows Database</v>
      </c>
      <c r="H549" s="57" t="str">
        <f>'Secondary cum Calculation'!H513</f>
        <v>New</v>
      </c>
      <c r="I549" s="57">
        <f>'Secondary cum Calculation'!I513</f>
        <v>0</v>
      </c>
      <c r="J549" s="57" t="str">
        <f>'Secondary cum Calculation'!J513</f>
        <v>Thousand</v>
      </c>
      <c r="K549" s="58">
        <f>'Secondary cum Calculation'!K513</f>
        <v>0</v>
      </c>
      <c r="L549" s="59">
        <f>'Secondary cum Calculation'!L513</f>
        <v>283.9336219359933</v>
      </c>
      <c r="M549" s="59">
        <f>'Secondary cum Calculation'!M513</f>
        <v>242.60700205653126</v>
      </c>
      <c r="N549" s="59">
        <f>'Secondary cum Calculation'!N513</f>
        <v>215</v>
      </c>
      <c r="O549" s="88">
        <f>'Secondary cum Calculation'!O513</f>
        <v>240</v>
      </c>
      <c r="P549" s="88">
        <f>'Secondary cum Calculation'!P513</f>
        <v>250</v>
      </c>
      <c r="Q549" s="88"/>
      <c r="R549" s="88"/>
      <c r="S549" s="88"/>
      <c r="T549" s="88"/>
      <c r="U549" s="88"/>
      <c r="V549" s="88"/>
      <c r="W549" s="106">
        <f>'Secondary cum Calculation'!W513</f>
        <v>3.6486560036040672E-2</v>
      </c>
      <c r="X549" s="106">
        <f>'Secondary cum Calculation'!X513</f>
        <v>-1</v>
      </c>
    </row>
    <row r="550" spans="1:26">
      <c r="A550" s="57"/>
      <c r="B550" s="57"/>
      <c r="C550" s="61" t="str">
        <f>'Secondary cum Calculation'!C514</f>
        <v>Growth Rate</v>
      </c>
      <c r="D550" s="61"/>
      <c r="E550" s="61"/>
      <c r="F550" s="61">
        <f>'Secondary cum Calculation'!F514</f>
        <v>0</v>
      </c>
      <c r="G550" s="61">
        <f>'Secondary cum Calculation'!G514</f>
        <v>0</v>
      </c>
      <c r="H550" s="61">
        <f>'Secondary cum Calculation'!H514</f>
        <v>0</v>
      </c>
      <c r="I550" s="61">
        <f>'Secondary cum Calculation'!I514</f>
        <v>0</v>
      </c>
      <c r="J550" s="61" t="str">
        <f>'Secondary cum Calculation'!J514</f>
        <v>%</v>
      </c>
      <c r="K550" s="58">
        <f>'Secondary cum Calculation'!K514</f>
        <v>0</v>
      </c>
      <c r="L550" s="59"/>
      <c r="M550" s="62">
        <f>'Secondary cum Calculation'!M514</f>
        <v>-0.18429003021148038</v>
      </c>
      <c r="N550" s="62">
        <f>'Secondary cum Calculation'!N514</f>
        <v>-0.11379309674705262</v>
      </c>
      <c r="O550" s="62">
        <f>'Secondary cum Calculation'!O514</f>
        <v>0.11627906976744184</v>
      </c>
      <c r="P550" s="62">
        <f>'Secondary cum Calculation'!P514</f>
        <v>4.1666666666666741E-2</v>
      </c>
      <c r="Q550" s="62"/>
      <c r="R550" s="62"/>
      <c r="S550" s="62"/>
      <c r="T550" s="62"/>
      <c r="U550" s="62"/>
      <c r="V550" s="62"/>
      <c r="W550" s="259"/>
      <c r="X550" s="259"/>
    </row>
    <row r="551" spans="1:26">
      <c r="A551" s="55" t="str">
        <f>'Secondary cum Calculation'!A515</f>
        <v>Poland</v>
      </c>
      <c r="B551" s="56" t="str">
        <f>'Secondary cum Calculation'!B515</f>
        <v>Tourism Flows</v>
      </c>
      <c r="C551" s="56" t="str">
        <f>'Secondary cum Calculation'!C515</f>
        <v>International Arrivals by Place of Origin</v>
      </c>
      <c r="D551" s="55" t="str">
        <f>'Secondary cum Calculation'!D515</f>
        <v>South &amp; Central America</v>
      </c>
      <c r="E551" s="57"/>
      <c r="F551" s="57" t="str">
        <f>'Secondary cum Calculation'!F515</f>
        <v xml:space="preserve">The number of international arrivals to a country originating from </v>
      </c>
      <c r="G551" s="57" t="str">
        <f>'Secondary cum Calculation'!G515</f>
        <v>Tourism Demand &amp; Flows Database</v>
      </c>
      <c r="H551" s="57" t="str">
        <f>'Secondary cum Calculation'!H515</f>
        <v>New</v>
      </c>
      <c r="I551" s="57">
        <f>'Secondary cum Calculation'!I515</f>
        <v>0</v>
      </c>
      <c r="J551" s="55" t="str">
        <f>'Secondary cum Calculation'!J515</f>
        <v>Thousand</v>
      </c>
      <c r="K551" s="86">
        <f>'Secondary cum Calculation'!K515</f>
        <v>2266.15</v>
      </c>
      <c r="L551" s="80">
        <f>'Secondary cum Calculation'!L515</f>
        <v>124.7215478821098</v>
      </c>
      <c r="M551" s="80">
        <f>'Secondary cum Calculation'!M515</f>
        <v>105.61380313813152</v>
      </c>
      <c r="N551" s="80">
        <f>'Secondary cum Calculation'!N515</f>
        <v>89.982485120907882</v>
      </c>
      <c r="O551" s="80">
        <f>'Secondary cum Calculation'!O515</f>
        <v>101.64829680960473</v>
      </c>
      <c r="P551" s="80">
        <f>'Secondary cum Calculation'!P515</f>
        <v>92.827273713447013</v>
      </c>
      <c r="Q551" s="80">
        <f>'Secondary cum Calculation'!Q515</f>
        <v>110.3944584958241</v>
      </c>
      <c r="R551" s="80">
        <f t="shared" ref="R551:V551" si="388">Q551*(1+R552)</f>
        <v>115.36232275436232</v>
      </c>
      <c r="S551" s="80">
        <f t="shared" si="388"/>
        <v>118.28013619075453</v>
      </c>
      <c r="T551" s="80">
        <f t="shared" si="388"/>
        <v>120.27753185432343</v>
      </c>
      <c r="U551" s="80">
        <f t="shared" si="388"/>
        <v>123.76897001992225</v>
      </c>
      <c r="V551" s="80">
        <f t="shared" si="388"/>
        <v>126.42703074011808</v>
      </c>
      <c r="W551" s="106">
        <f>'Secondary cum Calculation'!W515</f>
        <v>1.1129189632818504E-2</v>
      </c>
      <c r="X551" s="106">
        <f>'Secondary cum Calculation'!X515</f>
        <v>2.7492198201930051E-2</v>
      </c>
    </row>
    <row r="552" spans="1:26">
      <c r="A552" s="57"/>
      <c r="B552" s="57"/>
      <c r="C552" s="61" t="str">
        <f>'Secondary cum Calculation'!C516</f>
        <v>Growth Rate</v>
      </c>
      <c r="D552" s="61"/>
      <c r="E552" s="61"/>
      <c r="F552" s="61">
        <f>'Secondary cum Calculation'!F516</f>
        <v>0</v>
      </c>
      <c r="G552" s="61">
        <f>'Secondary cum Calculation'!G516</f>
        <v>0</v>
      </c>
      <c r="H552" s="61">
        <f>'Secondary cum Calculation'!H516</f>
        <v>0</v>
      </c>
      <c r="I552" s="61">
        <f>'Secondary cum Calculation'!I516</f>
        <v>0</v>
      </c>
      <c r="J552" s="61" t="str">
        <f>'Secondary cum Calculation'!J516</f>
        <v>%</v>
      </c>
      <c r="K552" s="58">
        <f>'Secondary cum Calculation'!K516</f>
        <v>0</v>
      </c>
      <c r="L552" s="59"/>
      <c r="M552" s="62">
        <f>'Secondary cum Calculation'!M516</f>
        <v>-4.0763458383481499E-3</v>
      </c>
      <c r="N552" s="62">
        <f>'Secondary cum Calculation'!N516</f>
        <v>-0.14800449896477597</v>
      </c>
      <c r="O552" s="62">
        <f>'Secondary cum Calculation'!O516</f>
        <v>0.12964536012782601</v>
      </c>
      <c r="P552" s="62">
        <f>'Secondary cum Calculation'!P516</f>
        <v>-8.6779841601086427E-2</v>
      </c>
      <c r="Q552" s="62">
        <f>'Secondary cum Calculation'!Q516</f>
        <v>0.18924594119402971</v>
      </c>
      <c r="R552" s="62">
        <f>0.1*((M551/Q551)^(1/4)-1)+0.9*($E554*R555+$E556*R557+$E558*R559+$E560*R561)</f>
        <v>4.5001029274727079E-2</v>
      </c>
      <c r="S552" s="62">
        <f>0.5*((M551/Q551)^(1/4)-1)+0.5*($E554*S555+$E556*S557+$E558*S559+$E560*S561)</f>
        <v>2.5292603050348042E-2</v>
      </c>
      <c r="T552" s="62">
        <f>0.6*((M551/Q551)^(1/4)-1)+0.4*($E554*T555+$E556*T557+$E558*T559+$E560*T561)</f>
        <v>1.6886991576908664E-2</v>
      </c>
      <c r="U552" s="62">
        <f>0.5*((M551/Q551)^(1/4)-1)+0.5*($E554*U555+$E556*U557+$E558*U559+$E560*U561)</f>
        <v>2.9028182668626175E-2</v>
      </c>
      <c r="V552" s="62">
        <f>0.45*((O551/S551)^(1/4)-1)+0.55*($E554*V555+$E556*V557+$E558*V559+$E560*V561)</f>
        <v>2.1475986426710999E-2</v>
      </c>
      <c r="W552" s="259"/>
      <c r="X552" s="259"/>
    </row>
    <row r="553" spans="1:26" outlineLevel="1">
      <c r="A553" s="306"/>
      <c r="B553" s="306"/>
      <c r="C553" s="306"/>
      <c r="D553" s="307" t="s">
        <v>912</v>
      </c>
      <c r="E553" s="112" t="s">
        <v>914</v>
      </c>
      <c r="F553" s="112"/>
      <c r="G553" s="112"/>
      <c r="H553" s="112"/>
      <c r="I553" s="112"/>
      <c r="J553" s="112"/>
      <c r="K553" s="113"/>
      <c r="L553" s="114"/>
      <c r="M553" s="115"/>
      <c r="N553" s="115"/>
      <c r="O553" s="115"/>
      <c r="P553" s="115"/>
      <c r="Q553" s="115"/>
      <c r="R553" s="115"/>
      <c r="S553" s="115"/>
      <c r="T553" s="115"/>
      <c r="U553" s="115"/>
      <c r="V553" s="115"/>
      <c r="W553" s="303"/>
      <c r="X553" s="303"/>
    </row>
    <row r="554" spans="1:26" ht="19.5" customHeight="1" outlineLevel="1">
      <c r="A554" s="310"/>
      <c r="B554" s="310"/>
      <c r="C554" s="310"/>
      <c r="D554" s="310" t="s">
        <v>934</v>
      </c>
      <c r="E554" s="351">
        <f>W555/W562</f>
        <v>0.28766541019123576</v>
      </c>
      <c r="F554" s="310"/>
      <c r="G554" s="310"/>
      <c r="H554" s="310"/>
      <c r="I554" s="310"/>
      <c r="J554" s="310"/>
      <c r="K554" s="310"/>
      <c r="L554" s="311">
        <f>L1224</f>
        <v>23.765999999999998</v>
      </c>
      <c r="M554" s="311">
        <f t="shared" ref="M554:U554" si="389">M1224</f>
        <v>24.672999999999998</v>
      </c>
      <c r="N554" s="311">
        <f t="shared" si="389"/>
        <v>22.920999999999999</v>
      </c>
      <c r="O554" s="311">
        <f t="shared" si="389"/>
        <v>24.291</v>
      </c>
      <c r="P554" s="311">
        <f t="shared" si="389"/>
        <v>26.23</v>
      </c>
      <c r="Q554" s="311">
        <f t="shared" si="389"/>
        <v>27.891999999999999</v>
      </c>
      <c r="R554" s="311">
        <f t="shared" si="389"/>
        <v>29.631</v>
      </c>
      <c r="S554" s="311">
        <f t="shared" si="389"/>
        <v>31.498999999999999</v>
      </c>
      <c r="T554" s="311">
        <f t="shared" si="389"/>
        <v>33.725000000000001</v>
      </c>
      <c r="U554" s="311">
        <f t="shared" si="389"/>
        <v>36.039000000000001</v>
      </c>
      <c r="V554" s="311">
        <f t="shared" ref="V554" si="390">V1224</f>
        <v>38.42341845934984</v>
      </c>
      <c r="W554" s="315"/>
      <c r="X554" s="315"/>
    </row>
    <row r="555" spans="1:26" outlineLevel="1">
      <c r="A555" s="312"/>
      <c r="B555" s="312"/>
      <c r="C555" s="312"/>
      <c r="D555" s="312" t="s">
        <v>892</v>
      </c>
      <c r="E555" s="312"/>
      <c r="F555" s="312"/>
      <c r="G555" s="312"/>
      <c r="H555" s="312"/>
      <c r="I555" s="312"/>
      <c r="J555" s="312"/>
      <c r="K555" s="312"/>
      <c r="L555" s="312"/>
      <c r="M555" s="316">
        <f>M554/L554-1</f>
        <v>3.8163763359420955E-2</v>
      </c>
      <c r="N555" s="316">
        <f t="shared" ref="N555" si="391">N554/M554-1</f>
        <v>-7.1008795039111505E-2</v>
      </c>
      <c r="O555" s="316">
        <f t="shared" ref="O555" si="392">O554/N554-1</f>
        <v>5.9770516120588146E-2</v>
      </c>
      <c r="P555" s="316">
        <f t="shared" ref="P555" si="393">P554/O554-1</f>
        <v>7.9823803054629217E-2</v>
      </c>
      <c r="Q555" s="316">
        <f t="shared" ref="Q555" si="394">Q554/P554-1</f>
        <v>6.3362561951963325E-2</v>
      </c>
      <c r="R555" s="316">
        <f t="shared" ref="R555" si="395">R554/Q554-1</f>
        <v>6.2347626559587033E-2</v>
      </c>
      <c r="S555" s="316">
        <f t="shared" ref="S555" si="396">S554/R554-1</f>
        <v>6.3042084303600809E-2</v>
      </c>
      <c r="T555" s="316">
        <f t="shared" ref="T555" si="397">T554/S554-1</f>
        <v>7.0668910124130901E-2</v>
      </c>
      <c r="U555" s="316">
        <f t="shared" ref="U555:V555" si="398">U554/T554-1</f>
        <v>6.8613787991104624E-2</v>
      </c>
      <c r="V555" s="316">
        <f t="shared" si="398"/>
        <v>6.6162170408441856E-2</v>
      </c>
      <c r="W555" s="304">
        <f>CORREL(M555:P555,M$552:P$552)</f>
        <v>0.58091865115115127</v>
      </c>
      <c r="X555" s="317"/>
    </row>
    <row r="556" spans="1:26" ht="24" customHeight="1" outlineLevel="1">
      <c r="A556" s="310"/>
      <c r="B556" s="310"/>
      <c r="C556" s="310"/>
      <c r="D556" s="310" t="s">
        <v>925</v>
      </c>
      <c r="E556" s="309">
        <f>W557/W562</f>
        <v>0.30725033122932294</v>
      </c>
      <c r="F556" s="310"/>
      <c r="G556" s="310"/>
      <c r="H556" s="310"/>
      <c r="I556" s="310"/>
      <c r="J556" s="310"/>
      <c r="K556" s="310"/>
      <c r="L556" s="311">
        <f>L1178</f>
        <v>0.25700000000000001</v>
      </c>
      <c r="M556" s="311">
        <f t="shared" ref="M556:U556" si="399">M1178</f>
        <v>0.33200000000000002</v>
      </c>
      <c r="N556" s="311">
        <f t="shared" si="399"/>
        <v>0.27100000000000002</v>
      </c>
      <c r="O556" s="311">
        <f t="shared" si="399"/>
        <v>0.30199999999999999</v>
      </c>
      <c r="P556" s="311">
        <f t="shared" si="399"/>
        <v>0.317</v>
      </c>
      <c r="Q556" s="311">
        <f t="shared" si="399"/>
        <v>0.3</v>
      </c>
      <c r="R556" s="311">
        <f t="shared" si="399"/>
        <v>0.315</v>
      </c>
      <c r="S556" s="311">
        <f t="shared" si="399"/>
        <v>0.33100000000000002</v>
      </c>
      <c r="T556" s="311">
        <f t="shared" si="399"/>
        <v>0.34</v>
      </c>
      <c r="U556" s="311">
        <f t="shared" si="399"/>
        <v>0.35599999999999998</v>
      </c>
      <c r="V556" s="311">
        <f t="shared" ref="V556" si="400">V1178</f>
        <v>0.373</v>
      </c>
      <c r="W556" s="304"/>
      <c r="X556" s="315"/>
    </row>
    <row r="557" spans="1:26" outlineLevel="1">
      <c r="A557" s="312"/>
      <c r="B557" s="312"/>
      <c r="C557" s="312"/>
      <c r="D557" s="312" t="s">
        <v>892</v>
      </c>
      <c r="E557" s="312"/>
      <c r="F557" s="312"/>
      <c r="G557" s="312"/>
      <c r="H557" s="312"/>
      <c r="I557" s="312"/>
      <c r="J557" s="312"/>
      <c r="K557" s="312"/>
      <c r="L557" s="312"/>
      <c r="M557" s="316">
        <f>M556/L556-1</f>
        <v>0.29182879377431914</v>
      </c>
      <c r="N557" s="316">
        <f t="shared" ref="N557" si="401">N556/M556-1</f>
        <v>-0.1837349397590361</v>
      </c>
      <c r="O557" s="316">
        <f t="shared" ref="O557" si="402">O556/N556-1</f>
        <v>0.1143911439114389</v>
      </c>
      <c r="P557" s="316">
        <f t="shared" ref="P557" si="403">P556/O556-1</f>
        <v>4.9668874172185573E-2</v>
      </c>
      <c r="Q557" s="316">
        <f t="shared" ref="Q557" si="404">Q556/P556-1</f>
        <v>-5.362776025236593E-2</v>
      </c>
      <c r="R557" s="316">
        <f t="shared" ref="R557" si="405">R556/Q556-1</f>
        <v>5.0000000000000044E-2</v>
      </c>
      <c r="S557" s="316">
        <f t="shared" ref="S557" si="406">S556/R556-1</f>
        <v>5.0793650793650835E-2</v>
      </c>
      <c r="T557" s="316">
        <f t="shared" ref="T557" si="407">T556/S556-1</f>
        <v>2.7190332326284095E-2</v>
      </c>
      <c r="U557" s="316">
        <f t="shared" ref="U557:V557" si="408">U556/T556-1</f>
        <v>4.7058823529411598E-2</v>
      </c>
      <c r="V557" s="316">
        <f t="shared" si="408"/>
        <v>4.7752808988763995E-2</v>
      </c>
      <c r="W557" s="304">
        <f>CORREL(M557:P557,M$552:P$552)</f>
        <v>0.62046892556469302</v>
      </c>
      <c r="X557" s="317"/>
    </row>
    <row r="558" spans="1:26" ht="22.5" customHeight="1" outlineLevel="1">
      <c r="A558" s="310"/>
      <c r="B558" s="310"/>
      <c r="C558" s="310"/>
      <c r="D558" s="310" t="s">
        <v>933</v>
      </c>
      <c r="E558" s="309">
        <f>W559/W562</f>
        <v>0.21760039927236038</v>
      </c>
      <c r="F558" s="310"/>
      <c r="G558" s="310"/>
      <c r="H558" s="310"/>
      <c r="I558" s="310"/>
      <c r="J558" s="310"/>
      <c r="K558" s="310"/>
      <c r="L558" s="311">
        <f>L1180</f>
        <v>24.585000000000001</v>
      </c>
      <c r="M558" s="311">
        <f t="shared" ref="M558:U558" si="409">M1180</f>
        <v>28.137</v>
      </c>
      <c r="N558" s="311">
        <f t="shared" si="409"/>
        <v>21.861999999999998</v>
      </c>
      <c r="O558" s="311">
        <f t="shared" si="409"/>
        <v>22.283999999999999</v>
      </c>
      <c r="P558" s="311">
        <f t="shared" si="409"/>
        <v>24.861000000000001</v>
      </c>
      <c r="Q558" s="311">
        <f t="shared" si="409"/>
        <v>24.689</v>
      </c>
      <c r="R558" s="311">
        <f t="shared" si="409"/>
        <v>25.759</v>
      </c>
      <c r="S558" s="311">
        <f t="shared" si="409"/>
        <v>27.472000000000001</v>
      </c>
      <c r="T558" s="311">
        <f t="shared" si="409"/>
        <v>29.088999999999999</v>
      </c>
      <c r="U558" s="311">
        <f t="shared" si="409"/>
        <v>31.286000000000001</v>
      </c>
      <c r="V558" s="311">
        <f t="shared" ref="V558" si="410">V1180</f>
        <v>33.866</v>
      </c>
      <c r="W558" s="304"/>
      <c r="X558" s="315"/>
    </row>
    <row r="559" spans="1:26" outlineLevel="1">
      <c r="A559" s="312"/>
      <c r="B559" s="312"/>
      <c r="C559" s="312"/>
      <c r="D559" s="312" t="s">
        <v>892</v>
      </c>
      <c r="E559" s="312"/>
      <c r="F559" s="312"/>
      <c r="G559" s="312"/>
      <c r="H559" s="312"/>
      <c r="I559" s="312"/>
      <c r="J559" s="312"/>
      <c r="K559" s="312"/>
      <c r="L559" s="312"/>
      <c r="M559" s="316">
        <f t="shared" ref="M559" si="411">M558/L558-1</f>
        <v>0.14447834045149488</v>
      </c>
      <c r="N559" s="316">
        <f t="shared" ref="N559" si="412">N558/M558-1</f>
        <v>-0.22301595763585325</v>
      </c>
      <c r="O559" s="316">
        <f t="shared" ref="O559" si="413">O558/N558-1</f>
        <v>1.9302900009148249E-2</v>
      </c>
      <c r="P559" s="316">
        <f t="shared" ref="P559" si="414">P558/O558-1</f>
        <v>0.11564351103931081</v>
      </c>
      <c r="Q559" s="316">
        <f t="shared" ref="Q559" si="415">Q558/P558-1</f>
        <v>-6.9184666747114099E-3</v>
      </c>
      <c r="R559" s="316">
        <f t="shared" ref="R559" si="416">R558/Q558-1</f>
        <v>4.3339138887763751E-2</v>
      </c>
      <c r="S559" s="316">
        <f t="shared" ref="S559" si="417">S558/R558-1</f>
        <v>6.6501028766644765E-2</v>
      </c>
      <c r="T559" s="316">
        <f t="shared" ref="T559" si="418">T558/S558-1</f>
        <v>5.8859930110658043E-2</v>
      </c>
      <c r="U559" s="316">
        <f t="shared" ref="U559:V559" si="419">U558/T558-1</f>
        <v>7.5526831448313958E-2</v>
      </c>
      <c r="V559" s="316">
        <f t="shared" si="419"/>
        <v>8.2465000319631665E-2</v>
      </c>
      <c r="W559" s="304">
        <f>CORREL(M559:P559,M$552:P$552)</f>
        <v>0.43942763348300123</v>
      </c>
      <c r="X559" s="317"/>
    </row>
    <row r="560" spans="1:26" ht="20.25" customHeight="1" outlineLevel="1">
      <c r="A560" s="310"/>
      <c r="B560" s="310"/>
      <c r="C560" s="310"/>
      <c r="D560" s="310" t="s">
        <v>927</v>
      </c>
      <c r="E560" s="309">
        <f>1-SUM(E558,E556,E554)</f>
        <v>0.18748385930708089</v>
      </c>
      <c r="F560" s="310"/>
      <c r="G560" s="310"/>
      <c r="H560" s="310"/>
      <c r="I560" s="310"/>
      <c r="J560" s="310"/>
      <c r="K560" s="310"/>
      <c r="L560" s="311">
        <f>L1182</f>
        <v>3.43</v>
      </c>
      <c r="M560" s="311">
        <f t="shared" ref="M560:U560" si="420">M1182</f>
        <v>4.0599999999999996</v>
      </c>
      <c r="N560" s="311">
        <f t="shared" si="420"/>
        <v>3.06</v>
      </c>
      <c r="O560" s="311">
        <f t="shared" si="420"/>
        <v>3.0670000000000002</v>
      </c>
      <c r="P560" s="311">
        <f t="shared" si="420"/>
        <v>3.4830000000000001</v>
      </c>
      <c r="Q560" s="311">
        <f t="shared" si="420"/>
        <v>3.2440000000000002</v>
      </c>
      <c r="R560" s="311">
        <f t="shared" si="420"/>
        <v>3.391</v>
      </c>
      <c r="S560" s="311">
        <f t="shared" si="420"/>
        <v>3.633</v>
      </c>
      <c r="T560" s="311">
        <f t="shared" si="420"/>
        <v>3.9670000000000001</v>
      </c>
      <c r="U560" s="311">
        <f t="shared" si="420"/>
        <v>4.3570000000000002</v>
      </c>
      <c r="V560" s="311">
        <f t="shared" ref="V560" si="421">V1182</f>
        <v>4.7709999999999999</v>
      </c>
      <c r="W560" s="304"/>
      <c r="X560" s="315"/>
    </row>
    <row r="561" spans="1:26" outlineLevel="1">
      <c r="A561" s="312"/>
      <c r="B561" s="312"/>
      <c r="C561" s="312"/>
      <c r="D561" s="312" t="s">
        <v>892</v>
      </c>
      <c r="E561" s="312"/>
      <c r="F561" s="312"/>
      <c r="G561" s="312"/>
      <c r="H561" s="312"/>
      <c r="I561" s="312"/>
      <c r="J561" s="312"/>
      <c r="K561" s="312"/>
      <c r="L561" s="312"/>
      <c r="M561" s="316">
        <f t="shared" ref="M561" si="422">M560/L560-1</f>
        <v>0.18367346938775486</v>
      </c>
      <c r="N561" s="316">
        <f t="shared" ref="N561" si="423">N560/M560-1</f>
        <v>-0.24630541871921174</v>
      </c>
      <c r="O561" s="316">
        <f t="shared" ref="O561" si="424">O560/N560-1</f>
        <v>2.2875816993463971E-3</v>
      </c>
      <c r="P561" s="316">
        <f t="shared" ref="P561" si="425">P560/O560-1</f>
        <v>0.13563743071405288</v>
      </c>
      <c r="Q561" s="316">
        <f t="shared" ref="Q561" si="426">Q560/P560-1</f>
        <v>-6.861900660350273E-2</v>
      </c>
      <c r="R561" s="316">
        <f t="shared" ref="R561" si="427">R560/Q560-1</f>
        <v>4.5314426633785487E-2</v>
      </c>
      <c r="S561" s="316">
        <f t="shared" ref="S561" si="428">S560/R560-1</f>
        <v>7.1365378944264313E-2</v>
      </c>
      <c r="T561" s="316">
        <f t="shared" ref="T561" si="429">T560/S560-1</f>
        <v>9.1935039911918537E-2</v>
      </c>
      <c r="U561" s="316">
        <f t="shared" ref="U561:V561" si="430">U560/T560-1</f>
        <v>9.8311066296949967E-2</v>
      </c>
      <c r="V561" s="316">
        <f t="shared" si="430"/>
        <v>9.5019508836355238E-2</v>
      </c>
      <c r="W561" s="304">
        <f>CORREL(M561:P561,M$552:P$552)</f>
        <v>0.3786095470737269</v>
      </c>
      <c r="X561" s="317"/>
    </row>
    <row r="562" spans="1:26" outlineLevel="1">
      <c r="A562" s="116"/>
      <c r="B562" s="318"/>
      <c r="C562" s="310"/>
      <c r="D562" s="319" t="s">
        <v>919</v>
      </c>
      <c r="E562" s="350">
        <f>E554+E556+E558+E560</f>
        <v>1</v>
      </c>
      <c r="F562" s="310"/>
      <c r="G562" s="310"/>
      <c r="H562" s="310"/>
      <c r="I562" s="310"/>
      <c r="J562" s="310"/>
      <c r="K562" s="310"/>
      <c r="L562" s="310"/>
      <c r="M562" s="310"/>
      <c r="N562" s="310"/>
      <c r="O562" s="310"/>
      <c r="P562" s="310"/>
      <c r="Q562" s="310"/>
      <c r="R562" s="310"/>
      <c r="S562" s="310"/>
      <c r="T562" s="310"/>
      <c r="U562" s="310"/>
      <c r="V562" s="310"/>
      <c r="W562" s="320">
        <f>SUM(W554:W561)</f>
        <v>2.0194247572725725</v>
      </c>
      <c r="X562" s="315"/>
    </row>
    <row r="563" spans="1:26">
      <c r="A563" s="55" t="str">
        <f>'Secondary cum Calculation'!A517</f>
        <v>Poland</v>
      </c>
      <c r="B563" s="56" t="str">
        <f>'Secondary cum Calculation'!B517</f>
        <v>Tourism Flows</v>
      </c>
      <c r="C563" s="56" t="str">
        <f>'Secondary cum Calculation'!C517</f>
        <v>International Arrivals by Place of Origin</v>
      </c>
      <c r="D563" s="56" t="str">
        <f>'Secondary cum Calculation'!D517</f>
        <v>South &amp; Central America</v>
      </c>
      <c r="E563" s="55" t="str">
        <f>'Secondary cum Calculation'!E517</f>
        <v>Argentina</v>
      </c>
      <c r="F563" s="57" t="str">
        <f>'Secondary cum Calculation'!F517</f>
        <v>The number of international arrivals to a country originating from Argentina</v>
      </c>
      <c r="G563" s="57" t="str">
        <f>'Secondary cum Calculation'!G517</f>
        <v>Tourism Demand &amp; Flows Database</v>
      </c>
      <c r="H563" s="57" t="str">
        <f>'Secondary cum Calculation'!H517</f>
        <v>New</v>
      </c>
      <c r="I563" s="57">
        <f>'Secondary cum Calculation'!I517</f>
        <v>0</v>
      </c>
      <c r="J563" s="57" t="str">
        <f>'Secondary cum Calculation'!J517</f>
        <v>Thousand</v>
      </c>
      <c r="K563" s="58">
        <f>'Secondary cum Calculation'!K517</f>
        <v>212.096</v>
      </c>
      <c r="L563" s="59">
        <f>'Secondary cum Calculation'!L517</f>
        <v>0</v>
      </c>
      <c r="M563" s="59">
        <f>'Secondary cum Calculation'!M517</f>
        <v>0</v>
      </c>
      <c r="N563" s="59">
        <f>'Secondary cum Calculation'!N517</f>
        <v>0</v>
      </c>
      <c r="O563" s="59">
        <f>'Secondary cum Calculation'!O517</f>
        <v>0</v>
      </c>
      <c r="P563" s="59">
        <f>'Secondary cum Calculation'!P517</f>
        <v>0</v>
      </c>
      <c r="Q563" s="59"/>
      <c r="R563" s="59"/>
      <c r="S563" s="59"/>
      <c r="T563" s="59"/>
      <c r="U563" s="59"/>
      <c r="V563" s="59"/>
      <c r="W563" s="106" t="e">
        <f>'Secondary cum Calculation'!W517</f>
        <v>#DIV/0!</v>
      </c>
      <c r="X563" s="106" t="e">
        <f>'Secondary cum Calculation'!X517</f>
        <v>#DIV/0!</v>
      </c>
      <c r="Z563" s="12"/>
    </row>
    <row r="564" spans="1:26">
      <c r="A564" s="57"/>
      <c r="B564" s="57"/>
      <c r="C564" s="61" t="str">
        <f>'Secondary cum Calculation'!C518</f>
        <v>Growth Rate</v>
      </c>
      <c r="D564" s="61"/>
      <c r="E564" s="61"/>
      <c r="F564" s="61">
        <f>'Secondary cum Calculation'!F518</f>
        <v>0</v>
      </c>
      <c r="G564" s="61">
        <f>'Secondary cum Calculation'!G518</f>
        <v>0</v>
      </c>
      <c r="H564" s="61">
        <f>'Secondary cum Calculation'!H518</f>
        <v>0</v>
      </c>
      <c r="I564" s="61">
        <f>'Secondary cum Calculation'!I518</f>
        <v>0</v>
      </c>
      <c r="J564" s="61" t="str">
        <f>'Secondary cum Calculation'!J518</f>
        <v>%</v>
      </c>
      <c r="K564" s="58">
        <f>'Secondary cum Calculation'!K518</f>
        <v>0</v>
      </c>
      <c r="L564" s="59"/>
      <c r="M564" s="62" t="e">
        <f>'Secondary cum Calculation'!M518</f>
        <v>#DIV/0!</v>
      </c>
      <c r="N564" s="62" t="e">
        <f>'Secondary cum Calculation'!N518</f>
        <v>#DIV/0!</v>
      </c>
      <c r="O564" s="62" t="e">
        <f>'Secondary cum Calculation'!O518</f>
        <v>#DIV/0!</v>
      </c>
      <c r="P564" s="62" t="e">
        <f>'Secondary cum Calculation'!P518</f>
        <v>#DIV/0!</v>
      </c>
      <c r="Q564" s="62"/>
      <c r="R564" s="62"/>
      <c r="S564" s="62"/>
      <c r="T564" s="62"/>
      <c r="U564" s="62"/>
      <c r="V564" s="62"/>
      <c r="W564" s="259"/>
      <c r="X564" s="259"/>
    </row>
    <row r="565" spans="1:26">
      <c r="A565" s="55" t="str">
        <f>'Secondary cum Calculation'!A519</f>
        <v>Poland</v>
      </c>
      <c r="B565" s="56" t="str">
        <f>'Secondary cum Calculation'!B519</f>
        <v>Tourism Flows</v>
      </c>
      <c r="C565" s="56" t="str">
        <f>'Secondary cum Calculation'!C519</f>
        <v>International Arrivals by Place of Origin</v>
      </c>
      <c r="D565" s="56" t="str">
        <f>'Secondary cum Calculation'!D519</f>
        <v>South &amp; Central America</v>
      </c>
      <c r="E565" s="55" t="str">
        <f>'Secondary cum Calculation'!E519</f>
        <v>Aruba</v>
      </c>
      <c r="F565" s="57" t="str">
        <f>'Secondary cum Calculation'!F519</f>
        <v>The number of international arrivals to a country originating from Aruba</v>
      </c>
      <c r="G565" s="57" t="str">
        <f>'Secondary cum Calculation'!G519</f>
        <v>Tourism Demand &amp; Flows Database</v>
      </c>
      <c r="H565" s="57" t="str">
        <f>'Secondary cum Calculation'!H519</f>
        <v>New</v>
      </c>
      <c r="I565" s="57">
        <f>'Secondary cum Calculation'!I519</f>
        <v>0</v>
      </c>
      <c r="J565" s="57" t="str">
        <f>'Secondary cum Calculation'!J519</f>
        <v>Thousand</v>
      </c>
      <c r="K565" s="58">
        <f>'Secondary cum Calculation'!K519</f>
        <v>0</v>
      </c>
      <c r="L565" s="59">
        <f>'Secondary cum Calculation'!L519</f>
        <v>0</v>
      </c>
      <c r="M565" s="59">
        <f>'Secondary cum Calculation'!M519</f>
        <v>0</v>
      </c>
      <c r="N565" s="59">
        <f>'Secondary cum Calculation'!N519</f>
        <v>0</v>
      </c>
      <c r="O565" s="88">
        <f>'Secondary cum Calculation'!O519</f>
        <v>0</v>
      </c>
      <c r="P565" s="88">
        <f>'Secondary cum Calculation'!P519</f>
        <v>0</v>
      </c>
      <c r="Q565" s="88"/>
      <c r="R565" s="88"/>
      <c r="S565" s="88"/>
      <c r="T565" s="88"/>
      <c r="U565" s="88"/>
      <c r="V565" s="88"/>
      <c r="W565" s="106" t="e">
        <f>'Secondary cum Calculation'!W519</f>
        <v>#DIV/0!</v>
      </c>
      <c r="X565" s="106" t="e">
        <f>'Secondary cum Calculation'!X519</f>
        <v>#DIV/0!</v>
      </c>
    </row>
    <row r="566" spans="1:26">
      <c r="A566" s="57"/>
      <c r="B566" s="57"/>
      <c r="C566" s="61" t="str">
        <f>'Secondary cum Calculation'!C520</f>
        <v>Growth Rate</v>
      </c>
      <c r="D566" s="61"/>
      <c r="E566" s="61"/>
      <c r="F566" s="61">
        <f>'Secondary cum Calculation'!F520</f>
        <v>0</v>
      </c>
      <c r="G566" s="61">
        <f>'Secondary cum Calculation'!G520</f>
        <v>0</v>
      </c>
      <c r="H566" s="61">
        <f>'Secondary cum Calculation'!H520</f>
        <v>0</v>
      </c>
      <c r="I566" s="61">
        <f>'Secondary cum Calculation'!I520</f>
        <v>0</v>
      </c>
      <c r="J566" s="61" t="str">
        <f>'Secondary cum Calculation'!J520</f>
        <v>%</v>
      </c>
      <c r="K566" s="58">
        <f>'Secondary cum Calculation'!K520</f>
        <v>0</v>
      </c>
      <c r="L566" s="59"/>
      <c r="M566" s="62" t="e">
        <f>'Secondary cum Calculation'!M520</f>
        <v>#DIV/0!</v>
      </c>
      <c r="N566" s="62" t="e">
        <f>'Secondary cum Calculation'!N520</f>
        <v>#DIV/0!</v>
      </c>
      <c r="O566" s="62" t="e">
        <f>'Secondary cum Calculation'!O520</f>
        <v>#DIV/0!</v>
      </c>
      <c r="P566" s="62" t="e">
        <f>'Secondary cum Calculation'!P520</f>
        <v>#DIV/0!</v>
      </c>
      <c r="Q566" s="62"/>
      <c r="R566" s="62"/>
      <c r="S566" s="62"/>
      <c r="T566" s="62"/>
      <c r="U566" s="62"/>
      <c r="V566" s="62"/>
      <c r="W566" s="259"/>
      <c r="X566" s="259"/>
    </row>
    <row r="567" spans="1:26">
      <c r="A567" s="55" t="str">
        <f>'Secondary cum Calculation'!A521</f>
        <v>Poland</v>
      </c>
      <c r="B567" s="56" t="str">
        <f>'Secondary cum Calculation'!B521</f>
        <v>Tourism Flows</v>
      </c>
      <c r="C567" s="56" t="str">
        <f>'Secondary cum Calculation'!C521</f>
        <v>International Arrivals by Place of Origin</v>
      </c>
      <c r="D567" s="56" t="str">
        <f>'Secondary cum Calculation'!D521</f>
        <v>South &amp; Central America</v>
      </c>
      <c r="E567" s="55" t="str">
        <f>'Secondary cum Calculation'!E521</f>
        <v>Bahamas</v>
      </c>
      <c r="F567" s="57" t="str">
        <f>'Secondary cum Calculation'!F521</f>
        <v>The number of international arrivals to a country originating from Bahamas</v>
      </c>
      <c r="G567" s="57" t="str">
        <f>'Secondary cum Calculation'!G521</f>
        <v>Tourism Demand &amp; Flows Database</v>
      </c>
      <c r="H567" s="57" t="str">
        <f>'Secondary cum Calculation'!H521</f>
        <v>New</v>
      </c>
      <c r="I567" s="57">
        <f>'Secondary cum Calculation'!I521</f>
        <v>0</v>
      </c>
      <c r="J567" s="57" t="str">
        <f>'Secondary cum Calculation'!J521</f>
        <v>Thousand</v>
      </c>
      <c r="K567" s="58">
        <f>'Secondary cum Calculation'!K521</f>
        <v>243.3</v>
      </c>
      <c r="L567" s="59">
        <f>'Secondary cum Calculation'!L521</f>
        <v>0</v>
      </c>
      <c r="M567" s="59">
        <f>'Secondary cum Calculation'!M521</f>
        <v>0</v>
      </c>
      <c r="N567" s="59">
        <f>'Secondary cum Calculation'!N521</f>
        <v>0</v>
      </c>
      <c r="O567" s="59">
        <f>'Secondary cum Calculation'!O521</f>
        <v>0</v>
      </c>
      <c r="P567" s="59">
        <f>'Secondary cum Calculation'!P521</f>
        <v>0</v>
      </c>
      <c r="Q567" s="59"/>
      <c r="R567" s="59"/>
      <c r="S567" s="59"/>
      <c r="T567" s="59"/>
      <c r="U567" s="59"/>
      <c r="V567" s="59"/>
      <c r="W567" s="106" t="e">
        <f>'Secondary cum Calculation'!W521</f>
        <v>#DIV/0!</v>
      </c>
      <c r="X567" s="106" t="e">
        <f>'Secondary cum Calculation'!X521</f>
        <v>#DIV/0!</v>
      </c>
      <c r="Z567" s="12"/>
    </row>
    <row r="568" spans="1:26">
      <c r="A568" s="57"/>
      <c r="B568" s="57"/>
      <c r="C568" s="61" t="str">
        <f>'Secondary cum Calculation'!C522</f>
        <v>Growth Rate</v>
      </c>
      <c r="D568" s="61"/>
      <c r="E568" s="61"/>
      <c r="F568" s="61">
        <f>'Secondary cum Calculation'!F522</f>
        <v>0</v>
      </c>
      <c r="G568" s="61">
        <f>'Secondary cum Calculation'!G522</f>
        <v>0</v>
      </c>
      <c r="H568" s="61">
        <f>'Secondary cum Calculation'!H522</f>
        <v>0</v>
      </c>
      <c r="I568" s="61">
        <f>'Secondary cum Calculation'!I522</f>
        <v>0</v>
      </c>
      <c r="J568" s="61" t="str">
        <f>'Secondary cum Calculation'!J522</f>
        <v>%</v>
      </c>
      <c r="K568" s="58">
        <f>'Secondary cum Calculation'!K522</f>
        <v>0</v>
      </c>
      <c r="L568" s="59"/>
      <c r="M568" s="62" t="e">
        <f>'Secondary cum Calculation'!M522</f>
        <v>#DIV/0!</v>
      </c>
      <c r="N568" s="62" t="e">
        <f>'Secondary cum Calculation'!N522</f>
        <v>#DIV/0!</v>
      </c>
      <c r="O568" s="62" t="e">
        <f>'Secondary cum Calculation'!O522</f>
        <v>#DIV/0!</v>
      </c>
      <c r="P568" s="62" t="e">
        <f>'Secondary cum Calculation'!P522</f>
        <v>#DIV/0!</v>
      </c>
      <c r="Q568" s="62"/>
      <c r="R568" s="62"/>
      <c r="S568" s="62"/>
      <c r="T568" s="62"/>
      <c r="U568" s="62"/>
      <c r="V568" s="62"/>
      <c r="W568" s="259"/>
      <c r="X568" s="259"/>
    </row>
    <row r="569" spans="1:26">
      <c r="A569" s="55" t="str">
        <f>'Secondary cum Calculation'!A523</f>
        <v>Poland</v>
      </c>
      <c r="B569" s="56" t="str">
        <f>'Secondary cum Calculation'!B523</f>
        <v>Tourism Flows</v>
      </c>
      <c r="C569" s="56" t="str">
        <f>'Secondary cum Calculation'!C523</f>
        <v>International Arrivals by Place of Origin</v>
      </c>
      <c r="D569" s="56" t="str">
        <f>'Secondary cum Calculation'!D523</f>
        <v>South &amp; Central America</v>
      </c>
      <c r="E569" s="55" t="str">
        <f>'Secondary cum Calculation'!E523</f>
        <v>Barbados</v>
      </c>
      <c r="F569" s="57" t="str">
        <f>'Secondary cum Calculation'!F523</f>
        <v>The number of international arrivals to a country originating from Barbados</v>
      </c>
      <c r="G569" s="57" t="str">
        <f>'Secondary cum Calculation'!G523</f>
        <v>Tourism Demand &amp; Flows Database</v>
      </c>
      <c r="H569" s="57" t="str">
        <f>'Secondary cum Calculation'!H523</f>
        <v>New</v>
      </c>
      <c r="I569" s="57">
        <f>'Secondary cum Calculation'!I523</f>
        <v>0</v>
      </c>
      <c r="J569" s="57" t="str">
        <f>'Secondary cum Calculation'!J523</f>
        <v>Thousand</v>
      </c>
      <c r="K569" s="58">
        <f>'Secondary cum Calculation'!K523</f>
        <v>0</v>
      </c>
      <c r="L569" s="59">
        <f>'Secondary cum Calculation'!L523</f>
        <v>0</v>
      </c>
      <c r="M569" s="59">
        <f>'Secondary cum Calculation'!M523</f>
        <v>0</v>
      </c>
      <c r="N569" s="59">
        <f>'Secondary cum Calculation'!N523</f>
        <v>0</v>
      </c>
      <c r="O569" s="88">
        <f>'Secondary cum Calculation'!O523</f>
        <v>0</v>
      </c>
      <c r="P569" s="88">
        <f>'Secondary cum Calculation'!P523</f>
        <v>0</v>
      </c>
      <c r="Q569" s="88"/>
      <c r="R569" s="88"/>
      <c r="S569" s="88"/>
      <c r="T569" s="88"/>
      <c r="U569" s="88"/>
      <c r="V569" s="88"/>
      <c r="W569" s="106" t="e">
        <f>'Secondary cum Calculation'!W523</f>
        <v>#DIV/0!</v>
      </c>
      <c r="X569" s="106" t="e">
        <f>'Secondary cum Calculation'!X523</f>
        <v>#DIV/0!</v>
      </c>
    </row>
    <row r="570" spans="1:26">
      <c r="A570" s="57"/>
      <c r="B570" s="57"/>
      <c r="C570" s="61" t="str">
        <f>'Secondary cum Calculation'!C524</f>
        <v>Growth Rate</v>
      </c>
      <c r="D570" s="61"/>
      <c r="E570" s="61"/>
      <c r="F570" s="61">
        <f>'Secondary cum Calculation'!F524</f>
        <v>0</v>
      </c>
      <c r="G570" s="61">
        <f>'Secondary cum Calculation'!G524</f>
        <v>0</v>
      </c>
      <c r="H570" s="61">
        <f>'Secondary cum Calculation'!H524</f>
        <v>0</v>
      </c>
      <c r="I570" s="61">
        <f>'Secondary cum Calculation'!I524</f>
        <v>0</v>
      </c>
      <c r="J570" s="61" t="str">
        <f>'Secondary cum Calculation'!J524</f>
        <v>%</v>
      </c>
      <c r="K570" s="58">
        <f>'Secondary cum Calculation'!K524</f>
        <v>0</v>
      </c>
      <c r="L570" s="59"/>
      <c r="M570" s="62" t="e">
        <f>'Secondary cum Calculation'!M524</f>
        <v>#DIV/0!</v>
      </c>
      <c r="N570" s="62" t="e">
        <f>'Secondary cum Calculation'!N524</f>
        <v>#DIV/0!</v>
      </c>
      <c r="O570" s="62" t="e">
        <f>'Secondary cum Calculation'!O524</f>
        <v>#DIV/0!</v>
      </c>
      <c r="P570" s="62" t="e">
        <f>'Secondary cum Calculation'!P524</f>
        <v>#DIV/0!</v>
      </c>
      <c r="Q570" s="62"/>
      <c r="R570" s="62"/>
      <c r="S570" s="62"/>
      <c r="T570" s="62"/>
      <c r="U570" s="62"/>
      <c r="V570" s="62"/>
      <c r="W570" s="259"/>
      <c r="X570" s="259"/>
    </row>
    <row r="571" spans="1:26">
      <c r="A571" s="55" t="str">
        <f>'Secondary cum Calculation'!A525</f>
        <v>Poland</v>
      </c>
      <c r="B571" s="56" t="str">
        <f>'Secondary cum Calculation'!B525</f>
        <v>Tourism Flows</v>
      </c>
      <c r="C571" s="56" t="str">
        <f>'Secondary cum Calculation'!C525</f>
        <v>International Arrivals by Place of Origin</v>
      </c>
      <c r="D571" s="56" t="str">
        <f>'Secondary cum Calculation'!D525</f>
        <v>South &amp; Central America</v>
      </c>
      <c r="E571" s="55" t="str">
        <f>'Secondary cum Calculation'!E525</f>
        <v>Belize</v>
      </c>
      <c r="F571" s="57" t="str">
        <f>'Secondary cum Calculation'!F525</f>
        <v>The number of international arrivals to a country originating from Belize</v>
      </c>
      <c r="G571" s="57" t="str">
        <f>'Secondary cum Calculation'!G525</f>
        <v>Tourism Demand &amp; Flows Database</v>
      </c>
      <c r="H571" s="57" t="str">
        <f>'Secondary cum Calculation'!H525</f>
        <v>New</v>
      </c>
      <c r="I571" s="57">
        <f>'Secondary cum Calculation'!I525</f>
        <v>0</v>
      </c>
      <c r="J571" s="57" t="str">
        <f>'Secondary cum Calculation'!J525</f>
        <v>Thousand</v>
      </c>
      <c r="K571" s="58">
        <f>'Secondary cum Calculation'!K525</f>
        <v>0</v>
      </c>
      <c r="L571" s="59">
        <f>'Secondary cum Calculation'!L525</f>
        <v>0</v>
      </c>
      <c r="M571" s="59">
        <f>'Secondary cum Calculation'!M525</f>
        <v>0</v>
      </c>
      <c r="N571" s="59">
        <f>'Secondary cum Calculation'!N525</f>
        <v>0</v>
      </c>
      <c r="O571" s="59">
        <f>'Secondary cum Calculation'!O525</f>
        <v>0</v>
      </c>
      <c r="P571" s="59">
        <f>'Secondary cum Calculation'!P525</f>
        <v>0</v>
      </c>
      <c r="Q571" s="59"/>
      <c r="R571" s="59"/>
      <c r="S571" s="59"/>
      <c r="T571" s="59"/>
      <c r="U571" s="59"/>
      <c r="V571" s="59"/>
      <c r="W571" s="106" t="e">
        <f>'Secondary cum Calculation'!W525</f>
        <v>#DIV/0!</v>
      </c>
      <c r="X571" s="106" t="e">
        <f>'Secondary cum Calculation'!X525</f>
        <v>#DIV/0!</v>
      </c>
    </row>
    <row r="572" spans="1:26">
      <c r="A572" s="57"/>
      <c r="B572" s="57"/>
      <c r="C572" s="61" t="str">
        <f>'Secondary cum Calculation'!C526</f>
        <v>Growth Rate</v>
      </c>
      <c r="D572" s="61"/>
      <c r="E572" s="61"/>
      <c r="F572" s="61">
        <f>'Secondary cum Calculation'!F526</f>
        <v>0</v>
      </c>
      <c r="G572" s="61">
        <f>'Secondary cum Calculation'!G526</f>
        <v>0</v>
      </c>
      <c r="H572" s="61">
        <f>'Secondary cum Calculation'!H526</f>
        <v>0</v>
      </c>
      <c r="I572" s="61">
        <f>'Secondary cum Calculation'!I526</f>
        <v>0</v>
      </c>
      <c r="J572" s="61" t="str">
        <f>'Secondary cum Calculation'!J526</f>
        <v>%</v>
      </c>
      <c r="K572" s="58">
        <f>'Secondary cum Calculation'!K526</f>
        <v>0</v>
      </c>
      <c r="L572" s="59"/>
      <c r="M572" s="62" t="e">
        <f>'Secondary cum Calculation'!M526</f>
        <v>#DIV/0!</v>
      </c>
      <c r="N572" s="62" t="e">
        <f>'Secondary cum Calculation'!N526</f>
        <v>#DIV/0!</v>
      </c>
      <c r="O572" s="62" t="e">
        <f>'Secondary cum Calculation'!O526</f>
        <v>#DIV/0!</v>
      </c>
      <c r="P572" s="62" t="e">
        <f>'Secondary cum Calculation'!P526</f>
        <v>#DIV/0!</v>
      </c>
      <c r="Q572" s="62"/>
      <c r="R572" s="62"/>
      <c r="S572" s="62"/>
      <c r="T572" s="62"/>
      <c r="U572" s="62"/>
      <c r="V572" s="62"/>
      <c r="W572" s="259"/>
      <c r="X572" s="259"/>
    </row>
    <row r="573" spans="1:26">
      <c r="A573" s="55" t="str">
        <f>'Secondary cum Calculation'!A527</f>
        <v>Poland</v>
      </c>
      <c r="B573" s="56" t="str">
        <f>'Secondary cum Calculation'!B527</f>
        <v>Tourism Flows</v>
      </c>
      <c r="C573" s="56" t="str">
        <f>'Secondary cum Calculation'!C527</f>
        <v>International Arrivals by Place of Origin</v>
      </c>
      <c r="D573" s="56" t="str">
        <f>'Secondary cum Calculation'!D527</f>
        <v>South &amp; Central America</v>
      </c>
      <c r="E573" s="55" t="str">
        <f>'Secondary cum Calculation'!E527</f>
        <v>Bolivia (Plurinational State of)</v>
      </c>
      <c r="F573" s="57" t="str">
        <f>'Secondary cum Calculation'!F527</f>
        <v>The number of international arrivals to a country originating from Bolivia (Plurinational State of)</v>
      </c>
      <c r="G573" s="57" t="str">
        <f>'Secondary cum Calculation'!G527</f>
        <v>Tourism Demand &amp; Flows Database</v>
      </c>
      <c r="H573" s="57" t="str">
        <f>'Secondary cum Calculation'!H527</f>
        <v>New</v>
      </c>
      <c r="I573" s="57">
        <f>'Secondary cum Calculation'!I527</f>
        <v>0</v>
      </c>
      <c r="J573" s="57" t="str">
        <f>'Secondary cum Calculation'!J527</f>
        <v>Thousand</v>
      </c>
      <c r="K573" s="58">
        <f>'Secondary cum Calculation'!K527</f>
        <v>0</v>
      </c>
      <c r="L573" s="59">
        <f>'Secondary cum Calculation'!L527</f>
        <v>0</v>
      </c>
      <c r="M573" s="59">
        <f>'Secondary cum Calculation'!M527</f>
        <v>0</v>
      </c>
      <c r="N573" s="59">
        <f>'Secondary cum Calculation'!N527</f>
        <v>0</v>
      </c>
      <c r="O573" s="88">
        <f>'Secondary cum Calculation'!O527</f>
        <v>0</v>
      </c>
      <c r="P573" s="88">
        <f>'Secondary cum Calculation'!P527</f>
        <v>0</v>
      </c>
      <c r="Q573" s="88"/>
      <c r="R573" s="88"/>
      <c r="S573" s="88"/>
      <c r="T573" s="88"/>
      <c r="U573" s="88"/>
      <c r="V573" s="88"/>
      <c r="W573" s="106" t="e">
        <f>'Secondary cum Calculation'!W527</f>
        <v>#DIV/0!</v>
      </c>
      <c r="X573" s="106" t="e">
        <f>'Secondary cum Calculation'!X527</f>
        <v>#DIV/0!</v>
      </c>
    </row>
    <row r="574" spans="1:26">
      <c r="A574" s="57"/>
      <c r="B574" s="57"/>
      <c r="C574" s="61" t="str">
        <f>'Secondary cum Calculation'!C528</f>
        <v>Growth Rate</v>
      </c>
      <c r="D574" s="61"/>
      <c r="E574" s="61"/>
      <c r="F574" s="61">
        <f>'Secondary cum Calculation'!F528</f>
        <v>0</v>
      </c>
      <c r="G574" s="61">
        <f>'Secondary cum Calculation'!G528</f>
        <v>0</v>
      </c>
      <c r="H574" s="61">
        <f>'Secondary cum Calculation'!H528</f>
        <v>0</v>
      </c>
      <c r="I574" s="61">
        <f>'Secondary cum Calculation'!I528</f>
        <v>0</v>
      </c>
      <c r="J574" s="61" t="str">
        <f>'Secondary cum Calculation'!J528</f>
        <v>%</v>
      </c>
      <c r="K574" s="58">
        <f>'Secondary cum Calculation'!K528</f>
        <v>0</v>
      </c>
      <c r="L574" s="59"/>
      <c r="M574" s="62" t="e">
        <f>'Secondary cum Calculation'!M528</f>
        <v>#DIV/0!</v>
      </c>
      <c r="N574" s="62" t="e">
        <f>'Secondary cum Calculation'!N528</f>
        <v>#DIV/0!</v>
      </c>
      <c r="O574" s="62" t="e">
        <f>'Secondary cum Calculation'!O528</f>
        <v>#DIV/0!</v>
      </c>
      <c r="P574" s="62" t="e">
        <f>'Secondary cum Calculation'!P528</f>
        <v>#DIV/0!</v>
      </c>
      <c r="Q574" s="62"/>
      <c r="R574" s="62"/>
      <c r="S574" s="62"/>
      <c r="T574" s="62"/>
      <c r="U574" s="62"/>
      <c r="V574" s="62"/>
      <c r="W574" s="259"/>
      <c r="X574" s="259"/>
    </row>
    <row r="575" spans="1:26">
      <c r="A575" s="55" t="str">
        <f>'Secondary cum Calculation'!A529</f>
        <v>Poland</v>
      </c>
      <c r="B575" s="56" t="str">
        <f>'Secondary cum Calculation'!B529</f>
        <v>Tourism Flows</v>
      </c>
      <c r="C575" s="56" t="str">
        <f>'Secondary cum Calculation'!C529</f>
        <v>International Arrivals by Place of Origin</v>
      </c>
      <c r="D575" s="56" t="str">
        <f>'Secondary cum Calculation'!D529</f>
        <v>South &amp; Central America</v>
      </c>
      <c r="E575" s="55" t="str">
        <f>'Secondary cum Calculation'!E529</f>
        <v>Brazil</v>
      </c>
      <c r="F575" s="57" t="str">
        <f>'Secondary cum Calculation'!F529</f>
        <v>The number of international arrivals to a country originating from Brazil</v>
      </c>
      <c r="G575" s="57" t="str">
        <f>'Secondary cum Calculation'!G529</f>
        <v>Tourism Demand &amp; Flows Database</v>
      </c>
      <c r="H575" s="57" t="str">
        <f>'Secondary cum Calculation'!H529</f>
        <v>New</v>
      </c>
      <c r="I575" s="57">
        <f>'Secondary cum Calculation'!I529</f>
        <v>0</v>
      </c>
      <c r="J575" s="57" t="str">
        <f>'Secondary cum Calculation'!J529</f>
        <v>Thousand</v>
      </c>
      <c r="K575" s="58">
        <f>'Secondary cum Calculation'!K529</f>
        <v>525.27099999999996</v>
      </c>
      <c r="L575" s="59">
        <f>'Secondary cum Calculation'!L529</f>
        <v>0</v>
      </c>
      <c r="M575" s="59">
        <f>'Secondary cum Calculation'!M529</f>
        <v>0</v>
      </c>
      <c r="N575" s="59">
        <f>'Secondary cum Calculation'!N529</f>
        <v>0</v>
      </c>
      <c r="O575" s="59">
        <f>'Secondary cum Calculation'!O529</f>
        <v>0</v>
      </c>
      <c r="P575" s="59">
        <f>'Secondary cum Calculation'!P529</f>
        <v>0</v>
      </c>
      <c r="Q575" s="59"/>
      <c r="R575" s="59"/>
      <c r="S575" s="59"/>
      <c r="T575" s="59"/>
      <c r="U575" s="59"/>
      <c r="V575" s="59"/>
      <c r="W575" s="106" t="e">
        <f>'Secondary cum Calculation'!W529</f>
        <v>#DIV/0!</v>
      </c>
      <c r="X575" s="106" t="e">
        <f>'Secondary cum Calculation'!X529</f>
        <v>#DIV/0!</v>
      </c>
      <c r="Z575" s="12"/>
    </row>
    <row r="576" spans="1:26">
      <c r="A576" s="57"/>
      <c r="B576" s="57"/>
      <c r="C576" s="61" t="str">
        <f>'Secondary cum Calculation'!C530</f>
        <v>Growth Rate</v>
      </c>
      <c r="D576" s="61"/>
      <c r="E576" s="61"/>
      <c r="F576" s="61">
        <f>'Secondary cum Calculation'!F530</f>
        <v>0</v>
      </c>
      <c r="G576" s="61">
        <f>'Secondary cum Calculation'!G530</f>
        <v>0</v>
      </c>
      <c r="H576" s="61">
        <f>'Secondary cum Calculation'!H530</f>
        <v>0</v>
      </c>
      <c r="I576" s="61">
        <f>'Secondary cum Calculation'!I530</f>
        <v>0</v>
      </c>
      <c r="J576" s="61" t="str">
        <f>'Secondary cum Calculation'!J530</f>
        <v>%</v>
      </c>
      <c r="K576" s="58">
        <f>'Secondary cum Calculation'!K530</f>
        <v>0</v>
      </c>
      <c r="L576" s="59"/>
      <c r="M576" s="62" t="e">
        <f>'Secondary cum Calculation'!M530</f>
        <v>#DIV/0!</v>
      </c>
      <c r="N576" s="62" t="e">
        <f>'Secondary cum Calculation'!N530</f>
        <v>#DIV/0!</v>
      </c>
      <c r="O576" s="62" t="e">
        <f>'Secondary cum Calculation'!O530</f>
        <v>#DIV/0!</v>
      </c>
      <c r="P576" s="62" t="e">
        <f>'Secondary cum Calculation'!P530</f>
        <v>#DIV/0!</v>
      </c>
      <c r="Q576" s="62"/>
      <c r="R576" s="62"/>
      <c r="S576" s="62"/>
      <c r="T576" s="62"/>
      <c r="U576" s="62"/>
      <c r="V576" s="62"/>
      <c r="W576" s="259"/>
      <c r="X576" s="259"/>
    </row>
    <row r="577" spans="1:26">
      <c r="A577" s="55" t="str">
        <f>'Secondary cum Calculation'!A531</f>
        <v>Poland</v>
      </c>
      <c r="B577" s="56" t="str">
        <f>'Secondary cum Calculation'!B531</f>
        <v>Tourism Flows</v>
      </c>
      <c r="C577" s="56" t="str">
        <f>'Secondary cum Calculation'!C531</f>
        <v>International Arrivals by Place of Origin</v>
      </c>
      <c r="D577" s="56" t="str">
        <f>'Secondary cum Calculation'!D531</f>
        <v>South &amp; Central America</v>
      </c>
      <c r="E577" s="55" t="str">
        <f>'Secondary cum Calculation'!E531</f>
        <v>Chile</v>
      </c>
      <c r="F577" s="57" t="str">
        <f>'Secondary cum Calculation'!F531</f>
        <v>The number of international arrivals to a country originating from Chile</v>
      </c>
      <c r="G577" s="57" t="str">
        <f>'Secondary cum Calculation'!G531</f>
        <v>Tourism Demand &amp; Flows Database</v>
      </c>
      <c r="H577" s="57" t="str">
        <f>'Secondary cum Calculation'!H531</f>
        <v>New</v>
      </c>
      <c r="I577" s="57">
        <f>'Secondary cum Calculation'!I531</f>
        <v>0</v>
      </c>
      <c r="J577" s="57" t="str">
        <f>'Secondary cum Calculation'!J531</f>
        <v>Thousand</v>
      </c>
      <c r="K577" s="58">
        <f>'Secondary cum Calculation'!K531</f>
        <v>110.143</v>
      </c>
      <c r="L577" s="59">
        <f>'Secondary cum Calculation'!L531</f>
        <v>0</v>
      </c>
      <c r="M577" s="59">
        <f>'Secondary cum Calculation'!M531</f>
        <v>0</v>
      </c>
      <c r="N577" s="59">
        <f>'Secondary cum Calculation'!N531</f>
        <v>0</v>
      </c>
      <c r="O577" s="59">
        <f>'Secondary cum Calculation'!O531</f>
        <v>0</v>
      </c>
      <c r="P577" s="59">
        <f>'Secondary cum Calculation'!P531</f>
        <v>0</v>
      </c>
      <c r="Q577" s="59"/>
      <c r="R577" s="59"/>
      <c r="S577" s="59"/>
      <c r="T577" s="59"/>
      <c r="U577" s="59"/>
      <c r="V577" s="59"/>
      <c r="W577" s="106" t="e">
        <f>'Secondary cum Calculation'!W531</f>
        <v>#DIV/0!</v>
      </c>
      <c r="X577" s="106" t="e">
        <f>'Secondary cum Calculation'!X531</f>
        <v>#DIV/0!</v>
      </c>
      <c r="Z577" s="12"/>
    </row>
    <row r="578" spans="1:26">
      <c r="A578" s="57"/>
      <c r="B578" s="57"/>
      <c r="C578" s="61" t="str">
        <f>'Secondary cum Calculation'!C532</f>
        <v>Growth Rate</v>
      </c>
      <c r="D578" s="61"/>
      <c r="E578" s="61"/>
      <c r="F578" s="61">
        <f>'Secondary cum Calculation'!F532</f>
        <v>0</v>
      </c>
      <c r="G578" s="61">
        <f>'Secondary cum Calculation'!G532</f>
        <v>0</v>
      </c>
      <c r="H578" s="61">
        <f>'Secondary cum Calculation'!H532</f>
        <v>0</v>
      </c>
      <c r="I578" s="61">
        <f>'Secondary cum Calculation'!I532</f>
        <v>0</v>
      </c>
      <c r="J578" s="61" t="str">
        <f>'Secondary cum Calculation'!J532</f>
        <v>%</v>
      </c>
      <c r="K578" s="58">
        <f>'Secondary cum Calculation'!K532</f>
        <v>0</v>
      </c>
      <c r="L578" s="59"/>
      <c r="M578" s="62" t="e">
        <f>'Secondary cum Calculation'!M532</f>
        <v>#DIV/0!</v>
      </c>
      <c r="N578" s="62" t="e">
        <f>'Secondary cum Calculation'!N532</f>
        <v>#DIV/0!</v>
      </c>
      <c r="O578" s="62" t="e">
        <f>'Secondary cum Calculation'!O532</f>
        <v>#DIV/0!</v>
      </c>
      <c r="P578" s="62" t="e">
        <f>'Secondary cum Calculation'!P532</f>
        <v>#DIV/0!</v>
      </c>
      <c r="Q578" s="62"/>
      <c r="R578" s="62"/>
      <c r="S578" s="62"/>
      <c r="T578" s="62"/>
      <c r="U578" s="62"/>
      <c r="V578" s="62"/>
      <c r="W578" s="259"/>
      <c r="X578" s="259"/>
    </row>
    <row r="579" spans="1:26">
      <c r="A579" s="55" t="str">
        <f>'Secondary cum Calculation'!A533</f>
        <v>Poland</v>
      </c>
      <c r="B579" s="56" t="str">
        <f>'Secondary cum Calculation'!B533</f>
        <v>Tourism Flows</v>
      </c>
      <c r="C579" s="56" t="str">
        <f>'Secondary cum Calculation'!C533</f>
        <v>International Arrivals by Place of Origin</v>
      </c>
      <c r="D579" s="56" t="str">
        <f>'Secondary cum Calculation'!D533</f>
        <v>South &amp; Central America</v>
      </c>
      <c r="E579" s="55" t="str">
        <f>'Secondary cum Calculation'!E533</f>
        <v>Colombia</v>
      </c>
      <c r="F579" s="57" t="str">
        <f>'Secondary cum Calculation'!F533</f>
        <v>The number of international arrivals to a country originating from Colombia</v>
      </c>
      <c r="G579" s="57" t="str">
        <f>'Secondary cum Calculation'!G533</f>
        <v>Tourism Demand &amp; Flows Database</v>
      </c>
      <c r="H579" s="57" t="str">
        <f>'Secondary cum Calculation'!H533</f>
        <v>New</v>
      </c>
      <c r="I579" s="57">
        <f>'Secondary cum Calculation'!I533</f>
        <v>0</v>
      </c>
      <c r="J579" s="57" t="str">
        <f>'Secondary cum Calculation'!J533</f>
        <v>Thousand</v>
      </c>
      <c r="K579" s="58">
        <f>'Secondary cum Calculation'!K533</f>
        <v>348.38799999999998</v>
      </c>
      <c r="L579" s="59">
        <f>'Secondary cum Calculation'!L533</f>
        <v>0</v>
      </c>
      <c r="M579" s="59">
        <f>'Secondary cum Calculation'!M533</f>
        <v>0</v>
      </c>
      <c r="N579" s="59">
        <f>'Secondary cum Calculation'!N533</f>
        <v>0</v>
      </c>
      <c r="O579" s="59">
        <f>'Secondary cum Calculation'!O533</f>
        <v>0</v>
      </c>
      <c r="P579" s="59">
        <f>'Secondary cum Calculation'!P533</f>
        <v>0</v>
      </c>
      <c r="Q579" s="59"/>
      <c r="R579" s="59"/>
      <c r="S579" s="59"/>
      <c r="T579" s="59"/>
      <c r="U579" s="59"/>
      <c r="V579" s="59"/>
      <c r="W579" s="106" t="e">
        <f>'Secondary cum Calculation'!W533</f>
        <v>#DIV/0!</v>
      </c>
      <c r="X579" s="106" t="e">
        <f>'Secondary cum Calculation'!X533</f>
        <v>#DIV/0!</v>
      </c>
      <c r="Z579" s="12"/>
    </row>
    <row r="580" spans="1:26">
      <c r="A580" s="57"/>
      <c r="B580" s="57"/>
      <c r="C580" s="61" t="str">
        <f>'Secondary cum Calculation'!C534</f>
        <v>Growth Rate</v>
      </c>
      <c r="D580" s="61"/>
      <c r="E580" s="61"/>
      <c r="F580" s="61">
        <f>'Secondary cum Calculation'!F534</f>
        <v>0</v>
      </c>
      <c r="G580" s="61">
        <f>'Secondary cum Calculation'!G534</f>
        <v>0</v>
      </c>
      <c r="H580" s="61">
        <f>'Secondary cum Calculation'!H534</f>
        <v>0</v>
      </c>
      <c r="I580" s="61">
        <f>'Secondary cum Calculation'!I534</f>
        <v>0</v>
      </c>
      <c r="J580" s="61" t="str">
        <f>'Secondary cum Calculation'!J534</f>
        <v>%</v>
      </c>
      <c r="K580" s="58">
        <f>'Secondary cum Calculation'!K534</f>
        <v>0</v>
      </c>
      <c r="L580" s="59"/>
      <c r="M580" s="62" t="e">
        <f>'Secondary cum Calculation'!M534</f>
        <v>#DIV/0!</v>
      </c>
      <c r="N580" s="62" t="e">
        <f>'Secondary cum Calculation'!N534</f>
        <v>#DIV/0!</v>
      </c>
      <c r="O580" s="62" t="e">
        <f>'Secondary cum Calculation'!O534</f>
        <v>#DIV/0!</v>
      </c>
      <c r="P580" s="62" t="e">
        <f>'Secondary cum Calculation'!P534</f>
        <v>#DIV/0!</v>
      </c>
      <c r="Q580" s="62"/>
      <c r="R580" s="62"/>
      <c r="S580" s="62"/>
      <c r="T580" s="62"/>
      <c r="U580" s="62"/>
      <c r="V580" s="62"/>
      <c r="W580" s="259"/>
      <c r="X580" s="259"/>
    </row>
    <row r="581" spans="1:26">
      <c r="A581" s="55" t="str">
        <f>'Secondary cum Calculation'!A535</f>
        <v>Poland</v>
      </c>
      <c r="B581" s="56" t="str">
        <f>'Secondary cum Calculation'!B535</f>
        <v>Tourism Flows</v>
      </c>
      <c r="C581" s="56" t="str">
        <f>'Secondary cum Calculation'!C535</f>
        <v>International Arrivals by Place of Origin</v>
      </c>
      <c r="D581" s="56" t="str">
        <f>'Secondary cum Calculation'!D535</f>
        <v>South &amp; Central America</v>
      </c>
      <c r="E581" s="55" t="str">
        <f>'Secondary cum Calculation'!E535</f>
        <v>Costa Rica</v>
      </c>
      <c r="F581" s="57" t="str">
        <f>'Secondary cum Calculation'!F535</f>
        <v>The number of international arrivals to a country originating from Costa Rica</v>
      </c>
      <c r="G581" s="57" t="str">
        <f>'Secondary cum Calculation'!G535</f>
        <v>Tourism Demand &amp; Flows Database</v>
      </c>
      <c r="H581" s="57" t="str">
        <f>'Secondary cum Calculation'!H535</f>
        <v>New</v>
      </c>
      <c r="I581" s="57">
        <f>'Secondary cum Calculation'!I535</f>
        <v>0</v>
      </c>
      <c r="J581" s="57" t="str">
        <f>'Secondary cum Calculation'!J535</f>
        <v>Thousand</v>
      </c>
      <c r="K581" s="58">
        <f>'Secondary cum Calculation'!K535</f>
        <v>130.702</v>
      </c>
      <c r="L581" s="59">
        <f>'Secondary cum Calculation'!L535</f>
        <v>0</v>
      </c>
      <c r="M581" s="59">
        <f>'Secondary cum Calculation'!M535</f>
        <v>0</v>
      </c>
      <c r="N581" s="59">
        <f>'Secondary cum Calculation'!N535</f>
        <v>0</v>
      </c>
      <c r="O581" s="59">
        <f>'Secondary cum Calculation'!O535</f>
        <v>0</v>
      </c>
      <c r="P581" s="59">
        <f>'Secondary cum Calculation'!P535</f>
        <v>0</v>
      </c>
      <c r="Q581" s="59"/>
      <c r="R581" s="59"/>
      <c r="S581" s="59"/>
      <c r="T581" s="59"/>
      <c r="U581" s="59"/>
      <c r="V581" s="59"/>
      <c r="W581" s="106" t="e">
        <f>'Secondary cum Calculation'!W535</f>
        <v>#DIV/0!</v>
      </c>
      <c r="X581" s="106" t="e">
        <f>'Secondary cum Calculation'!X535</f>
        <v>#DIV/0!</v>
      </c>
      <c r="Z581" s="12"/>
    </row>
    <row r="582" spans="1:26">
      <c r="A582" s="57"/>
      <c r="B582" s="57"/>
      <c r="C582" s="61" t="str">
        <f>'Secondary cum Calculation'!C536</f>
        <v>Growth Rate</v>
      </c>
      <c r="D582" s="61"/>
      <c r="E582" s="61"/>
      <c r="F582" s="61">
        <f>'Secondary cum Calculation'!F536</f>
        <v>0</v>
      </c>
      <c r="G582" s="61">
        <f>'Secondary cum Calculation'!G536</f>
        <v>0</v>
      </c>
      <c r="H582" s="61">
        <f>'Secondary cum Calculation'!H536</f>
        <v>0</v>
      </c>
      <c r="I582" s="61">
        <f>'Secondary cum Calculation'!I536</f>
        <v>0</v>
      </c>
      <c r="J582" s="61" t="str">
        <f>'Secondary cum Calculation'!J536</f>
        <v>%</v>
      </c>
      <c r="K582" s="58">
        <f>'Secondary cum Calculation'!K536</f>
        <v>0</v>
      </c>
      <c r="L582" s="59"/>
      <c r="M582" s="62" t="e">
        <f>'Secondary cum Calculation'!M536</f>
        <v>#DIV/0!</v>
      </c>
      <c r="N582" s="62" t="e">
        <f>'Secondary cum Calculation'!N536</f>
        <v>#DIV/0!</v>
      </c>
      <c r="O582" s="62" t="e">
        <f>'Secondary cum Calculation'!O536</f>
        <v>#DIV/0!</v>
      </c>
      <c r="P582" s="62" t="e">
        <f>'Secondary cum Calculation'!P536</f>
        <v>#DIV/0!</v>
      </c>
      <c r="Q582" s="62"/>
      <c r="R582" s="62"/>
      <c r="S582" s="62"/>
      <c r="T582" s="62"/>
      <c r="U582" s="62"/>
      <c r="V582" s="62"/>
      <c r="W582" s="259"/>
      <c r="X582" s="259"/>
    </row>
    <row r="583" spans="1:26">
      <c r="A583" s="55" t="str">
        <f>'Secondary cum Calculation'!A537</f>
        <v>Poland</v>
      </c>
      <c r="B583" s="56" t="str">
        <f>'Secondary cum Calculation'!B537</f>
        <v>Tourism Flows</v>
      </c>
      <c r="C583" s="56" t="str">
        <f>'Secondary cum Calculation'!C537</f>
        <v>International Arrivals by Place of Origin</v>
      </c>
      <c r="D583" s="56" t="str">
        <f>'Secondary cum Calculation'!D537</f>
        <v>South &amp; Central America</v>
      </c>
      <c r="E583" s="55" t="str">
        <f>'Secondary cum Calculation'!E537</f>
        <v>Cuba</v>
      </c>
      <c r="F583" s="57" t="str">
        <f>'Secondary cum Calculation'!F537</f>
        <v>The number of international arrivals to a country originating from Cuba</v>
      </c>
      <c r="G583" s="57" t="str">
        <f>'Secondary cum Calculation'!G537</f>
        <v>Tourism Demand &amp; Flows Database</v>
      </c>
      <c r="H583" s="57" t="str">
        <f>'Secondary cum Calculation'!H537</f>
        <v>New</v>
      </c>
      <c r="I583" s="57">
        <f>'Secondary cum Calculation'!I537</f>
        <v>0</v>
      </c>
      <c r="J583" s="57" t="str">
        <f>'Secondary cum Calculation'!J537</f>
        <v>Thousand</v>
      </c>
      <c r="K583" s="58">
        <f>'Secondary cum Calculation'!K537</f>
        <v>0</v>
      </c>
      <c r="L583" s="59">
        <f>'Secondary cum Calculation'!L537</f>
        <v>0</v>
      </c>
      <c r="M583" s="59">
        <f>'Secondary cum Calculation'!M537</f>
        <v>0</v>
      </c>
      <c r="N583" s="59">
        <f>'Secondary cum Calculation'!N537</f>
        <v>0</v>
      </c>
      <c r="O583" s="88">
        <f>'Secondary cum Calculation'!O537</f>
        <v>0</v>
      </c>
      <c r="P583" s="88">
        <f>'Secondary cum Calculation'!P537</f>
        <v>0</v>
      </c>
      <c r="Q583" s="88"/>
      <c r="R583" s="88"/>
      <c r="S583" s="88"/>
      <c r="T583" s="88"/>
      <c r="U583" s="88"/>
      <c r="V583" s="88"/>
      <c r="W583" s="106" t="e">
        <f>'Secondary cum Calculation'!W537</f>
        <v>#DIV/0!</v>
      </c>
      <c r="X583" s="106" t="e">
        <f>'Secondary cum Calculation'!X537</f>
        <v>#DIV/0!</v>
      </c>
    </row>
    <row r="584" spans="1:26">
      <c r="A584" s="57"/>
      <c r="B584" s="57"/>
      <c r="C584" s="61" t="str">
        <f>'Secondary cum Calculation'!C538</f>
        <v>Growth Rate</v>
      </c>
      <c r="D584" s="61"/>
      <c r="E584" s="61"/>
      <c r="F584" s="61">
        <f>'Secondary cum Calculation'!F538</f>
        <v>0</v>
      </c>
      <c r="G584" s="61">
        <f>'Secondary cum Calculation'!G538</f>
        <v>0</v>
      </c>
      <c r="H584" s="61">
        <f>'Secondary cum Calculation'!H538</f>
        <v>0</v>
      </c>
      <c r="I584" s="61">
        <f>'Secondary cum Calculation'!I538</f>
        <v>0</v>
      </c>
      <c r="J584" s="61" t="str">
        <f>'Secondary cum Calculation'!J538</f>
        <v>%</v>
      </c>
      <c r="K584" s="58">
        <f>'Secondary cum Calculation'!K538</f>
        <v>0</v>
      </c>
      <c r="L584" s="59"/>
      <c r="M584" s="62" t="e">
        <f>'Secondary cum Calculation'!M538</f>
        <v>#DIV/0!</v>
      </c>
      <c r="N584" s="62" t="e">
        <f>'Secondary cum Calculation'!N538</f>
        <v>#DIV/0!</v>
      </c>
      <c r="O584" s="62" t="e">
        <f>'Secondary cum Calculation'!O538</f>
        <v>#DIV/0!</v>
      </c>
      <c r="P584" s="62" t="e">
        <f>'Secondary cum Calculation'!P538</f>
        <v>#DIV/0!</v>
      </c>
      <c r="Q584" s="62"/>
      <c r="R584" s="62"/>
      <c r="S584" s="62"/>
      <c r="T584" s="62"/>
      <c r="U584" s="62"/>
      <c r="V584" s="62"/>
      <c r="W584" s="259"/>
      <c r="X584" s="259"/>
    </row>
    <row r="585" spans="1:26">
      <c r="A585" s="55" t="str">
        <f>'Secondary cum Calculation'!A539</f>
        <v>Poland</v>
      </c>
      <c r="B585" s="56" t="str">
        <f>'Secondary cum Calculation'!B539</f>
        <v>Tourism Flows</v>
      </c>
      <c r="C585" s="56" t="str">
        <f>'Secondary cum Calculation'!C539</f>
        <v>International Arrivals by Place of Origin</v>
      </c>
      <c r="D585" s="56" t="str">
        <f>'Secondary cum Calculation'!D539</f>
        <v>South &amp; Central America</v>
      </c>
      <c r="E585" s="55" t="str">
        <f>'Secondary cum Calculation'!E539</f>
        <v>Dominican Republic</v>
      </c>
      <c r="F585" s="57" t="str">
        <f>'Secondary cum Calculation'!F539</f>
        <v>The number of international arrivals to a country originating from Dominican Republic</v>
      </c>
      <c r="G585" s="57" t="str">
        <f>'Secondary cum Calculation'!G539</f>
        <v>Tourism Demand &amp; Flows Database</v>
      </c>
      <c r="H585" s="57" t="str">
        <f>'Secondary cum Calculation'!H539</f>
        <v>New</v>
      </c>
      <c r="I585" s="57">
        <f>'Secondary cum Calculation'!I539</f>
        <v>0</v>
      </c>
      <c r="J585" s="57" t="str">
        <f>'Secondary cum Calculation'!J539</f>
        <v>Thousand</v>
      </c>
      <c r="K585" s="58">
        <f>'Secondary cum Calculation'!K539</f>
        <v>221.44900000000001</v>
      </c>
      <c r="L585" s="59">
        <f>'Secondary cum Calculation'!L539</f>
        <v>0</v>
      </c>
      <c r="M585" s="59">
        <f>'Secondary cum Calculation'!M539</f>
        <v>0</v>
      </c>
      <c r="N585" s="59">
        <f>'Secondary cum Calculation'!N539</f>
        <v>0</v>
      </c>
      <c r="O585" s="59">
        <f>'Secondary cum Calculation'!O539</f>
        <v>0</v>
      </c>
      <c r="P585" s="59">
        <f>'Secondary cum Calculation'!P539</f>
        <v>0</v>
      </c>
      <c r="Q585" s="59"/>
      <c r="R585" s="59"/>
      <c r="S585" s="59"/>
      <c r="T585" s="59"/>
      <c r="U585" s="59"/>
      <c r="V585" s="59"/>
      <c r="W585" s="106" t="e">
        <f>'Secondary cum Calculation'!W539</f>
        <v>#DIV/0!</v>
      </c>
      <c r="X585" s="106" t="e">
        <f>'Secondary cum Calculation'!X539</f>
        <v>#DIV/0!</v>
      </c>
      <c r="Z585" s="12"/>
    </row>
    <row r="586" spans="1:26">
      <c r="A586" s="57"/>
      <c r="B586" s="57"/>
      <c r="C586" s="61" t="str">
        <f>'Secondary cum Calculation'!C540</f>
        <v>Growth Rate</v>
      </c>
      <c r="D586" s="61"/>
      <c r="E586" s="61"/>
      <c r="F586" s="61">
        <f>'Secondary cum Calculation'!F540</f>
        <v>0</v>
      </c>
      <c r="G586" s="61">
        <f>'Secondary cum Calculation'!G540</f>
        <v>0</v>
      </c>
      <c r="H586" s="61">
        <f>'Secondary cum Calculation'!H540</f>
        <v>0</v>
      </c>
      <c r="I586" s="61">
        <f>'Secondary cum Calculation'!I540</f>
        <v>0</v>
      </c>
      <c r="J586" s="61" t="str">
        <f>'Secondary cum Calculation'!J540</f>
        <v>%</v>
      </c>
      <c r="K586" s="58">
        <f>'Secondary cum Calculation'!K540</f>
        <v>0</v>
      </c>
      <c r="L586" s="59"/>
      <c r="M586" s="62" t="e">
        <f>'Secondary cum Calculation'!M540</f>
        <v>#DIV/0!</v>
      </c>
      <c r="N586" s="62" t="e">
        <f>'Secondary cum Calculation'!N540</f>
        <v>#DIV/0!</v>
      </c>
      <c r="O586" s="62" t="e">
        <f>'Secondary cum Calculation'!O540</f>
        <v>#DIV/0!</v>
      </c>
      <c r="P586" s="62" t="e">
        <f>'Secondary cum Calculation'!P540</f>
        <v>#DIV/0!</v>
      </c>
      <c r="Q586" s="62"/>
      <c r="R586" s="62"/>
      <c r="S586" s="62"/>
      <c r="T586" s="62"/>
      <c r="U586" s="62"/>
      <c r="V586" s="62"/>
      <c r="W586" s="259"/>
      <c r="X586" s="259"/>
    </row>
    <row r="587" spans="1:26">
      <c r="A587" s="55" t="str">
        <f>'Secondary cum Calculation'!A541</f>
        <v>Poland</v>
      </c>
      <c r="B587" s="56" t="str">
        <f>'Secondary cum Calculation'!B541</f>
        <v>Tourism Flows</v>
      </c>
      <c r="C587" s="56" t="str">
        <f>'Secondary cum Calculation'!C541</f>
        <v>International Arrivals by Place of Origin</v>
      </c>
      <c r="D587" s="56" t="str">
        <f>'Secondary cum Calculation'!D541</f>
        <v>South &amp; Central America</v>
      </c>
      <c r="E587" s="55" t="str">
        <f>'Secondary cum Calculation'!E541</f>
        <v>Ecuador</v>
      </c>
      <c r="F587" s="57" t="str">
        <f>'Secondary cum Calculation'!F541</f>
        <v>The number of international arrivals to a country originating from Ecuador</v>
      </c>
      <c r="G587" s="57" t="str">
        <f>'Secondary cum Calculation'!G541</f>
        <v>Tourism Demand &amp; Flows Database</v>
      </c>
      <c r="H587" s="57" t="str">
        <f>'Secondary cum Calculation'!H541</f>
        <v>New</v>
      </c>
      <c r="I587" s="57">
        <f>'Secondary cum Calculation'!I541</f>
        <v>0</v>
      </c>
      <c r="J587" s="57" t="str">
        <f>'Secondary cum Calculation'!J541</f>
        <v>Thousand</v>
      </c>
      <c r="K587" s="58">
        <f>'Secondary cum Calculation'!K541</f>
        <v>147.173</v>
      </c>
      <c r="L587" s="59">
        <f>'Secondary cum Calculation'!L541</f>
        <v>0</v>
      </c>
      <c r="M587" s="59">
        <f>'Secondary cum Calculation'!M541</f>
        <v>0</v>
      </c>
      <c r="N587" s="59">
        <f>'Secondary cum Calculation'!N541</f>
        <v>0</v>
      </c>
      <c r="O587" s="59">
        <f>'Secondary cum Calculation'!O541</f>
        <v>0</v>
      </c>
      <c r="P587" s="59">
        <f>'Secondary cum Calculation'!P541</f>
        <v>0</v>
      </c>
      <c r="Q587" s="59"/>
      <c r="R587" s="59"/>
      <c r="S587" s="59"/>
      <c r="T587" s="59"/>
      <c r="U587" s="59"/>
      <c r="V587" s="59"/>
      <c r="W587" s="106" t="e">
        <f>'Secondary cum Calculation'!W541</f>
        <v>#DIV/0!</v>
      </c>
      <c r="X587" s="106" t="e">
        <f>'Secondary cum Calculation'!X541</f>
        <v>#DIV/0!</v>
      </c>
      <c r="Z587" s="12"/>
    </row>
    <row r="588" spans="1:26">
      <c r="A588" s="57"/>
      <c r="B588" s="57"/>
      <c r="C588" s="61" t="str">
        <f>'Secondary cum Calculation'!C542</f>
        <v>Growth Rate</v>
      </c>
      <c r="D588" s="61"/>
      <c r="E588" s="61"/>
      <c r="F588" s="61">
        <f>'Secondary cum Calculation'!F542</f>
        <v>0</v>
      </c>
      <c r="G588" s="61">
        <f>'Secondary cum Calculation'!G542</f>
        <v>0</v>
      </c>
      <c r="H588" s="61">
        <f>'Secondary cum Calculation'!H542</f>
        <v>0</v>
      </c>
      <c r="I588" s="61">
        <f>'Secondary cum Calculation'!I542</f>
        <v>0</v>
      </c>
      <c r="J588" s="61" t="str">
        <f>'Secondary cum Calculation'!J542</f>
        <v>%</v>
      </c>
      <c r="K588" s="58">
        <f>'Secondary cum Calculation'!K542</f>
        <v>0</v>
      </c>
      <c r="L588" s="59"/>
      <c r="M588" s="62" t="e">
        <f>'Secondary cum Calculation'!M542</f>
        <v>#DIV/0!</v>
      </c>
      <c r="N588" s="62" t="e">
        <f>'Secondary cum Calculation'!N542</f>
        <v>#DIV/0!</v>
      </c>
      <c r="O588" s="62" t="e">
        <f>'Secondary cum Calculation'!O542</f>
        <v>#DIV/0!</v>
      </c>
      <c r="P588" s="62" t="e">
        <f>'Secondary cum Calculation'!P542</f>
        <v>#DIV/0!</v>
      </c>
      <c r="Q588" s="62"/>
      <c r="R588" s="62"/>
      <c r="S588" s="62"/>
      <c r="T588" s="62"/>
      <c r="U588" s="62"/>
      <c r="V588" s="62"/>
      <c r="W588" s="259"/>
      <c r="X588" s="259"/>
    </row>
    <row r="589" spans="1:26">
      <c r="A589" s="55" t="str">
        <f>'Secondary cum Calculation'!A543</f>
        <v>Poland</v>
      </c>
      <c r="B589" s="56" t="str">
        <f>'Secondary cum Calculation'!B543</f>
        <v>Tourism Flows</v>
      </c>
      <c r="C589" s="56" t="str">
        <f>'Secondary cum Calculation'!C543</f>
        <v>International Arrivals by Place of Origin</v>
      </c>
      <c r="D589" s="56" t="str">
        <f>'Secondary cum Calculation'!D543</f>
        <v>South &amp; Central America</v>
      </c>
      <c r="E589" s="55" t="str">
        <f>'Secondary cum Calculation'!E543</f>
        <v>El Salvador</v>
      </c>
      <c r="F589" s="57" t="str">
        <f>'Secondary cum Calculation'!F543</f>
        <v>The number of international arrivals to a country originating from El Salvador</v>
      </c>
      <c r="G589" s="57" t="str">
        <f>'Secondary cum Calculation'!G543</f>
        <v>Tourism Demand &amp; Flows Database</v>
      </c>
      <c r="H589" s="57" t="str">
        <f>'Secondary cum Calculation'!H543</f>
        <v>New</v>
      </c>
      <c r="I589" s="57">
        <f>'Secondary cum Calculation'!I543</f>
        <v>0</v>
      </c>
      <c r="J589" s="57" t="str">
        <f>'Secondary cum Calculation'!J543</f>
        <v>Thousand</v>
      </c>
      <c r="K589" s="58">
        <f>'Secondary cum Calculation'!K543</f>
        <v>153.83500000000001</v>
      </c>
      <c r="L589" s="59">
        <f>'Secondary cum Calculation'!L543</f>
        <v>0</v>
      </c>
      <c r="M589" s="59">
        <f>'Secondary cum Calculation'!M543</f>
        <v>0</v>
      </c>
      <c r="N589" s="59">
        <f>'Secondary cum Calculation'!N543</f>
        <v>0</v>
      </c>
      <c r="O589" s="59">
        <f>'Secondary cum Calculation'!O543</f>
        <v>0</v>
      </c>
      <c r="P589" s="59">
        <f>'Secondary cum Calculation'!P543</f>
        <v>0</v>
      </c>
      <c r="Q589" s="59"/>
      <c r="R589" s="59"/>
      <c r="S589" s="59"/>
      <c r="T589" s="59"/>
      <c r="U589" s="59"/>
      <c r="V589" s="59"/>
      <c r="W589" s="106" t="e">
        <f>'Secondary cum Calculation'!W543</f>
        <v>#DIV/0!</v>
      </c>
      <c r="X589" s="106" t="e">
        <f>'Secondary cum Calculation'!X543</f>
        <v>#DIV/0!</v>
      </c>
      <c r="Z589" s="12"/>
    </row>
    <row r="590" spans="1:26">
      <c r="A590" s="57"/>
      <c r="B590" s="57"/>
      <c r="C590" s="61" t="str">
        <f>'Secondary cum Calculation'!C544</f>
        <v>Growth Rate</v>
      </c>
      <c r="D590" s="61"/>
      <c r="E590" s="61"/>
      <c r="F590" s="61">
        <f>'Secondary cum Calculation'!F544</f>
        <v>0</v>
      </c>
      <c r="G590" s="61">
        <f>'Secondary cum Calculation'!G544</f>
        <v>0</v>
      </c>
      <c r="H590" s="61">
        <f>'Secondary cum Calculation'!H544</f>
        <v>0</v>
      </c>
      <c r="I590" s="61">
        <f>'Secondary cum Calculation'!I544</f>
        <v>0</v>
      </c>
      <c r="J590" s="61" t="str">
        <f>'Secondary cum Calculation'!J544</f>
        <v>%</v>
      </c>
      <c r="K590" s="58">
        <f>'Secondary cum Calculation'!K544</f>
        <v>0</v>
      </c>
      <c r="L590" s="59"/>
      <c r="M590" s="62" t="e">
        <f>'Secondary cum Calculation'!M544</f>
        <v>#DIV/0!</v>
      </c>
      <c r="N590" s="62" t="e">
        <f>'Secondary cum Calculation'!N544</f>
        <v>#DIV/0!</v>
      </c>
      <c r="O590" s="62" t="e">
        <f>'Secondary cum Calculation'!O544</f>
        <v>#DIV/0!</v>
      </c>
      <c r="P590" s="62" t="e">
        <f>'Secondary cum Calculation'!P544</f>
        <v>#DIV/0!</v>
      </c>
      <c r="Q590" s="62"/>
      <c r="R590" s="62"/>
      <c r="S590" s="62"/>
      <c r="T590" s="62"/>
      <c r="U590" s="62"/>
      <c r="V590" s="62"/>
      <c r="W590" s="259"/>
      <c r="X590" s="259"/>
    </row>
    <row r="591" spans="1:26">
      <c r="A591" s="55" t="str">
        <f>'Secondary cum Calculation'!A545</f>
        <v>Poland</v>
      </c>
      <c r="B591" s="56" t="str">
        <f>'Secondary cum Calculation'!B545</f>
        <v>Tourism Flows</v>
      </c>
      <c r="C591" s="56" t="str">
        <f>'Secondary cum Calculation'!C545</f>
        <v>International Arrivals by Place of Origin</v>
      </c>
      <c r="D591" s="56" t="str">
        <f>'Secondary cum Calculation'!D545</f>
        <v>South &amp; Central America</v>
      </c>
      <c r="E591" s="55" t="str">
        <f>'Secondary cum Calculation'!E545</f>
        <v>French Guiana</v>
      </c>
      <c r="F591" s="57" t="str">
        <f>'Secondary cum Calculation'!F545</f>
        <v>The number of international arrivals to a country originating from French Guiana</v>
      </c>
      <c r="G591" s="57" t="str">
        <f>'Secondary cum Calculation'!G545</f>
        <v>Tourism Demand &amp; Flows Database</v>
      </c>
      <c r="H591" s="57" t="str">
        <f>'Secondary cum Calculation'!H545</f>
        <v>New</v>
      </c>
      <c r="I591" s="57">
        <f>'Secondary cum Calculation'!I545</f>
        <v>0</v>
      </c>
      <c r="J591" s="57" t="str">
        <f>'Secondary cum Calculation'!J545</f>
        <v>Thousand</v>
      </c>
      <c r="K591" s="58">
        <f>'Secondary cum Calculation'!K545</f>
        <v>0</v>
      </c>
      <c r="L591" s="59">
        <f>'Secondary cum Calculation'!L545</f>
        <v>0</v>
      </c>
      <c r="M591" s="59">
        <f>'Secondary cum Calculation'!M545</f>
        <v>0</v>
      </c>
      <c r="N591" s="59">
        <f>'Secondary cum Calculation'!N545</f>
        <v>0</v>
      </c>
      <c r="O591" s="59">
        <f>'Secondary cum Calculation'!O545</f>
        <v>0</v>
      </c>
      <c r="P591" s="59">
        <f>'Secondary cum Calculation'!P545</f>
        <v>0</v>
      </c>
      <c r="Q591" s="59"/>
      <c r="R591" s="59"/>
      <c r="S591" s="59"/>
      <c r="T591" s="59"/>
      <c r="U591" s="59"/>
      <c r="V591" s="59"/>
      <c r="W591" s="106" t="e">
        <f>'Secondary cum Calculation'!W545</f>
        <v>#DIV/0!</v>
      </c>
      <c r="X591" s="106" t="e">
        <f>'Secondary cum Calculation'!X545</f>
        <v>#DIV/0!</v>
      </c>
    </row>
    <row r="592" spans="1:26">
      <c r="A592" s="57"/>
      <c r="B592" s="57"/>
      <c r="C592" s="61" t="str">
        <f>'Secondary cum Calculation'!C546</f>
        <v>Growth Rate</v>
      </c>
      <c r="D592" s="61"/>
      <c r="E592" s="61"/>
      <c r="F592" s="61">
        <f>'Secondary cum Calculation'!F546</f>
        <v>0</v>
      </c>
      <c r="G592" s="61">
        <f>'Secondary cum Calculation'!G546</f>
        <v>0</v>
      </c>
      <c r="H592" s="61">
        <f>'Secondary cum Calculation'!H546</f>
        <v>0</v>
      </c>
      <c r="I592" s="61">
        <f>'Secondary cum Calculation'!I546</f>
        <v>0</v>
      </c>
      <c r="J592" s="61" t="str">
        <f>'Secondary cum Calculation'!J546</f>
        <v>%</v>
      </c>
      <c r="K592" s="58">
        <f>'Secondary cum Calculation'!K546</f>
        <v>0</v>
      </c>
      <c r="L592" s="59"/>
      <c r="M592" s="62" t="e">
        <f>'Secondary cum Calculation'!M546</f>
        <v>#DIV/0!</v>
      </c>
      <c r="N592" s="62" t="e">
        <f>'Secondary cum Calculation'!N546</f>
        <v>#DIV/0!</v>
      </c>
      <c r="O592" s="62" t="e">
        <f>'Secondary cum Calculation'!O546</f>
        <v>#DIV/0!</v>
      </c>
      <c r="P592" s="62" t="e">
        <f>'Secondary cum Calculation'!P546</f>
        <v>#DIV/0!</v>
      </c>
      <c r="Q592" s="62"/>
      <c r="R592" s="62"/>
      <c r="S592" s="62"/>
      <c r="T592" s="62"/>
      <c r="U592" s="62"/>
      <c r="V592" s="62"/>
      <c r="W592" s="259"/>
      <c r="X592" s="259"/>
    </row>
    <row r="593" spans="1:26">
      <c r="A593" s="55" t="str">
        <f>'Secondary cum Calculation'!A547</f>
        <v>Poland</v>
      </c>
      <c r="B593" s="56" t="str">
        <f>'Secondary cum Calculation'!B547</f>
        <v>Tourism Flows</v>
      </c>
      <c r="C593" s="56" t="str">
        <f>'Secondary cum Calculation'!C547</f>
        <v>International Arrivals by Place of Origin</v>
      </c>
      <c r="D593" s="56" t="str">
        <f>'Secondary cum Calculation'!D547</f>
        <v>South &amp; Central America</v>
      </c>
      <c r="E593" s="55" t="str">
        <f>'Secondary cum Calculation'!E547</f>
        <v>Grenada</v>
      </c>
      <c r="F593" s="57" t="str">
        <f>'Secondary cum Calculation'!F547</f>
        <v>The number of international arrivals to a country originating from Grenada</v>
      </c>
      <c r="G593" s="57" t="str">
        <f>'Secondary cum Calculation'!G547</f>
        <v>Tourism Demand &amp; Flows Database</v>
      </c>
      <c r="H593" s="57" t="str">
        <f>'Secondary cum Calculation'!H547</f>
        <v>New</v>
      </c>
      <c r="I593" s="57">
        <f>'Secondary cum Calculation'!I547</f>
        <v>0</v>
      </c>
      <c r="J593" s="57" t="str">
        <f>'Secondary cum Calculation'!J547</f>
        <v>Thousand</v>
      </c>
      <c r="K593" s="58">
        <f>'Secondary cum Calculation'!K547</f>
        <v>0</v>
      </c>
      <c r="L593" s="59">
        <f>'Secondary cum Calculation'!L547</f>
        <v>0</v>
      </c>
      <c r="M593" s="59">
        <f>'Secondary cum Calculation'!M547</f>
        <v>0</v>
      </c>
      <c r="N593" s="59">
        <f>'Secondary cum Calculation'!N547</f>
        <v>0</v>
      </c>
      <c r="O593" s="59">
        <f>'Secondary cum Calculation'!O547</f>
        <v>0</v>
      </c>
      <c r="P593" s="59">
        <f>'Secondary cum Calculation'!P547</f>
        <v>0</v>
      </c>
      <c r="Q593" s="59"/>
      <c r="R593" s="59"/>
      <c r="S593" s="59"/>
      <c r="T593" s="59"/>
      <c r="U593" s="59"/>
      <c r="V593" s="59"/>
      <c r="W593" s="106" t="e">
        <f>'Secondary cum Calculation'!W547</f>
        <v>#DIV/0!</v>
      </c>
      <c r="X593" s="106" t="e">
        <f>'Secondary cum Calculation'!X547</f>
        <v>#DIV/0!</v>
      </c>
    </row>
    <row r="594" spans="1:26">
      <c r="A594" s="57"/>
      <c r="B594" s="57"/>
      <c r="C594" s="61" t="str">
        <f>'Secondary cum Calculation'!C548</f>
        <v>Growth Rate</v>
      </c>
      <c r="D594" s="61"/>
      <c r="E594" s="61"/>
      <c r="F594" s="61">
        <f>'Secondary cum Calculation'!F548</f>
        <v>0</v>
      </c>
      <c r="G594" s="61">
        <f>'Secondary cum Calculation'!G548</f>
        <v>0</v>
      </c>
      <c r="H594" s="61">
        <f>'Secondary cum Calculation'!H548</f>
        <v>0</v>
      </c>
      <c r="I594" s="61">
        <f>'Secondary cum Calculation'!I548</f>
        <v>0</v>
      </c>
      <c r="J594" s="61" t="str">
        <f>'Secondary cum Calculation'!J548</f>
        <v>%</v>
      </c>
      <c r="K594" s="58">
        <f>'Secondary cum Calculation'!K548</f>
        <v>0</v>
      </c>
      <c r="L594" s="59"/>
      <c r="M594" s="62" t="e">
        <f>'Secondary cum Calculation'!M548</f>
        <v>#DIV/0!</v>
      </c>
      <c r="N594" s="62" t="e">
        <f>'Secondary cum Calculation'!N548</f>
        <v>#DIV/0!</v>
      </c>
      <c r="O594" s="62" t="e">
        <f>'Secondary cum Calculation'!O548</f>
        <v>#DIV/0!</v>
      </c>
      <c r="P594" s="62" t="e">
        <f>'Secondary cum Calculation'!P548</f>
        <v>#DIV/0!</v>
      </c>
      <c r="Q594" s="62"/>
      <c r="R594" s="62"/>
      <c r="S594" s="62"/>
      <c r="T594" s="62"/>
      <c r="U594" s="62"/>
      <c r="V594" s="62"/>
      <c r="W594" s="259"/>
      <c r="X594" s="259"/>
    </row>
    <row r="595" spans="1:26">
      <c r="A595" s="55" t="str">
        <f>'Secondary cum Calculation'!A549</f>
        <v>Poland</v>
      </c>
      <c r="B595" s="56" t="str">
        <f>'Secondary cum Calculation'!B549</f>
        <v>Tourism Flows</v>
      </c>
      <c r="C595" s="56" t="str">
        <f>'Secondary cum Calculation'!C549</f>
        <v>International Arrivals by Place of Origin</v>
      </c>
      <c r="D595" s="56" t="str">
        <f>'Secondary cum Calculation'!D549</f>
        <v>South &amp; Central America</v>
      </c>
      <c r="E595" s="55" t="str">
        <f>'Secondary cum Calculation'!E549</f>
        <v>Guadeloupe</v>
      </c>
      <c r="F595" s="57" t="str">
        <f>'Secondary cum Calculation'!F549</f>
        <v>The number of international arrivals to a country originating from Guadeloupe</v>
      </c>
      <c r="G595" s="57" t="str">
        <f>'Secondary cum Calculation'!G549</f>
        <v>Tourism Demand &amp; Flows Database</v>
      </c>
      <c r="H595" s="57" t="str">
        <f>'Secondary cum Calculation'!H549</f>
        <v>New</v>
      </c>
      <c r="I595" s="57">
        <f>'Secondary cum Calculation'!I549</f>
        <v>0</v>
      </c>
      <c r="J595" s="57" t="str">
        <f>'Secondary cum Calculation'!J549</f>
        <v>Thousand</v>
      </c>
      <c r="K595" s="58">
        <f>'Secondary cum Calculation'!K549</f>
        <v>0</v>
      </c>
      <c r="L595" s="59">
        <f>'Secondary cum Calculation'!L549</f>
        <v>0</v>
      </c>
      <c r="M595" s="59">
        <f>'Secondary cum Calculation'!M549</f>
        <v>0</v>
      </c>
      <c r="N595" s="59">
        <f>'Secondary cum Calculation'!N549</f>
        <v>0</v>
      </c>
      <c r="O595" s="88">
        <f>'Secondary cum Calculation'!O549</f>
        <v>0</v>
      </c>
      <c r="P595" s="88">
        <f>'Secondary cum Calculation'!P549</f>
        <v>0</v>
      </c>
      <c r="Q595" s="88"/>
      <c r="R595" s="88"/>
      <c r="S595" s="88"/>
      <c r="T595" s="88"/>
      <c r="U595" s="88"/>
      <c r="V595" s="88"/>
      <c r="W595" s="106" t="e">
        <f>'Secondary cum Calculation'!W549</f>
        <v>#DIV/0!</v>
      </c>
      <c r="X595" s="106" t="e">
        <f>'Secondary cum Calculation'!X549</f>
        <v>#DIV/0!</v>
      </c>
    </row>
    <row r="596" spans="1:26">
      <c r="A596" s="57"/>
      <c r="B596" s="57"/>
      <c r="C596" s="61" t="str">
        <f>'Secondary cum Calculation'!C550</f>
        <v>Growth Rate</v>
      </c>
      <c r="D596" s="61"/>
      <c r="E596" s="61"/>
      <c r="F596" s="61">
        <f>'Secondary cum Calculation'!F550</f>
        <v>0</v>
      </c>
      <c r="G596" s="61">
        <f>'Secondary cum Calculation'!G550</f>
        <v>0</v>
      </c>
      <c r="H596" s="61">
        <f>'Secondary cum Calculation'!H550</f>
        <v>0</v>
      </c>
      <c r="I596" s="61">
        <f>'Secondary cum Calculation'!I550</f>
        <v>0</v>
      </c>
      <c r="J596" s="61" t="str">
        <f>'Secondary cum Calculation'!J550</f>
        <v>%</v>
      </c>
      <c r="K596" s="58">
        <f>'Secondary cum Calculation'!K550</f>
        <v>0</v>
      </c>
      <c r="L596" s="59"/>
      <c r="M596" s="62" t="e">
        <f>'Secondary cum Calculation'!M550</f>
        <v>#DIV/0!</v>
      </c>
      <c r="N596" s="62" t="e">
        <f>'Secondary cum Calculation'!N550</f>
        <v>#DIV/0!</v>
      </c>
      <c r="O596" s="62" t="e">
        <f>'Secondary cum Calculation'!O550</f>
        <v>#DIV/0!</v>
      </c>
      <c r="P596" s="62" t="e">
        <f>'Secondary cum Calculation'!P550</f>
        <v>#DIV/0!</v>
      </c>
      <c r="Q596" s="62"/>
      <c r="R596" s="62"/>
      <c r="S596" s="62"/>
      <c r="T596" s="62"/>
      <c r="U596" s="62"/>
      <c r="V596" s="62"/>
      <c r="W596" s="259"/>
      <c r="X596" s="259"/>
    </row>
    <row r="597" spans="1:26">
      <c r="A597" s="55" t="str">
        <f>'Secondary cum Calculation'!A551</f>
        <v>Poland</v>
      </c>
      <c r="B597" s="56" t="str">
        <f>'Secondary cum Calculation'!B551</f>
        <v>Tourism Flows</v>
      </c>
      <c r="C597" s="56" t="str">
        <f>'Secondary cum Calculation'!C551</f>
        <v>International Arrivals by Place of Origin</v>
      </c>
      <c r="D597" s="56" t="str">
        <f>'Secondary cum Calculation'!D551</f>
        <v>South &amp; Central America</v>
      </c>
      <c r="E597" s="55" t="str">
        <f>'Secondary cum Calculation'!E551</f>
        <v>Guatemala</v>
      </c>
      <c r="F597" s="57" t="str">
        <f>'Secondary cum Calculation'!F551</f>
        <v>The number of international arrivals to a country originating from Guatemala</v>
      </c>
      <c r="G597" s="57" t="str">
        <f>'Secondary cum Calculation'!G551</f>
        <v>Tourism Demand &amp; Flows Database</v>
      </c>
      <c r="H597" s="57" t="str">
        <f>'Secondary cum Calculation'!H551</f>
        <v>New</v>
      </c>
      <c r="I597" s="57">
        <f>'Secondary cum Calculation'!I551</f>
        <v>0</v>
      </c>
      <c r="J597" s="57" t="str">
        <f>'Secondary cum Calculation'!J551</f>
        <v>Thousand</v>
      </c>
      <c r="K597" s="58">
        <f>'Secondary cum Calculation'!K551</f>
        <v>173.79300000000001</v>
      </c>
      <c r="L597" s="59">
        <f>'Secondary cum Calculation'!L551</f>
        <v>0</v>
      </c>
      <c r="M597" s="59">
        <f>'Secondary cum Calculation'!M551</f>
        <v>0</v>
      </c>
      <c r="N597" s="59">
        <f>'Secondary cum Calculation'!N551</f>
        <v>0</v>
      </c>
      <c r="O597" s="59">
        <f>'Secondary cum Calculation'!O551</f>
        <v>0</v>
      </c>
      <c r="P597" s="59">
        <f>'Secondary cum Calculation'!P551</f>
        <v>0</v>
      </c>
      <c r="Q597" s="59"/>
      <c r="R597" s="59"/>
      <c r="S597" s="59"/>
      <c r="T597" s="59"/>
      <c r="U597" s="59"/>
      <c r="V597" s="59"/>
      <c r="W597" s="106" t="e">
        <f>'Secondary cum Calculation'!W551</f>
        <v>#DIV/0!</v>
      </c>
      <c r="X597" s="106" t="e">
        <f>'Secondary cum Calculation'!X551</f>
        <v>#DIV/0!</v>
      </c>
      <c r="Z597" s="12"/>
    </row>
    <row r="598" spans="1:26">
      <c r="A598" s="57"/>
      <c r="B598" s="57"/>
      <c r="C598" s="61" t="str">
        <f>'Secondary cum Calculation'!C552</f>
        <v>Growth Rate</v>
      </c>
      <c r="D598" s="61"/>
      <c r="E598" s="61"/>
      <c r="F598" s="61">
        <f>'Secondary cum Calculation'!F552</f>
        <v>0</v>
      </c>
      <c r="G598" s="61">
        <f>'Secondary cum Calculation'!G552</f>
        <v>0</v>
      </c>
      <c r="H598" s="61">
        <f>'Secondary cum Calculation'!H552</f>
        <v>0</v>
      </c>
      <c r="I598" s="61">
        <f>'Secondary cum Calculation'!I552</f>
        <v>0</v>
      </c>
      <c r="J598" s="61" t="str">
        <f>'Secondary cum Calculation'!J552</f>
        <v>%</v>
      </c>
      <c r="K598" s="58">
        <f>'Secondary cum Calculation'!K552</f>
        <v>0</v>
      </c>
      <c r="L598" s="59"/>
      <c r="M598" s="62" t="e">
        <f>'Secondary cum Calculation'!M552</f>
        <v>#DIV/0!</v>
      </c>
      <c r="N598" s="62" t="e">
        <f>'Secondary cum Calculation'!N552</f>
        <v>#DIV/0!</v>
      </c>
      <c r="O598" s="62" t="e">
        <f>'Secondary cum Calculation'!O552</f>
        <v>#DIV/0!</v>
      </c>
      <c r="P598" s="62" t="e">
        <f>'Secondary cum Calculation'!P552</f>
        <v>#DIV/0!</v>
      </c>
      <c r="Q598" s="62"/>
      <c r="R598" s="62"/>
      <c r="S598" s="62"/>
      <c r="T598" s="62"/>
      <c r="U598" s="62"/>
      <c r="V598" s="62"/>
      <c r="W598" s="259"/>
      <c r="X598" s="259"/>
    </row>
    <row r="599" spans="1:26">
      <c r="A599" s="55" t="str">
        <f>'Secondary cum Calculation'!A553</f>
        <v>Poland</v>
      </c>
      <c r="B599" s="56" t="str">
        <f>'Secondary cum Calculation'!B553</f>
        <v>Tourism Flows</v>
      </c>
      <c r="C599" s="56" t="str">
        <f>'Secondary cum Calculation'!C553</f>
        <v>International Arrivals by Place of Origin</v>
      </c>
      <c r="D599" s="56" t="str">
        <f>'Secondary cum Calculation'!D553</f>
        <v>South &amp; Central America</v>
      </c>
      <c r="E599" s="55" t="str">
        <f>'Secondary cum Calculation'!E553</f>
        <v>Guyana</v>
      </c>
      <c r="F599" s="57" t="str">
        <f>'Secondary cum Calculation'!F553</f>
        <v>The number of international arrivals to a country originating from Guyana</v>
      </c>
      <c r="G599" s="57" t="str">
        <f>'Secondary cum Calculation'!G553</f>
        <v>Tourism Demand &amp; Flows Database</v>
      </c>
      <c r="H599" s="57" t="str">
        <f>'Secondary cum Calculation'!H553</f>
        <v>New</v>
      </c>
      <c r="I599" s="57">
        <f>'Secondary cum Calculation'!I553</f>
        <v>0</v>
      </c>
      <c r="J599" s="57" t="str">
        <f>'Secondary cum Calculation'!J553</f>
        <v>Thousand</v>
      </c>
      <c r="K599" s="58">
        <f>'Secondary cum Calculation'!K553</f>
        <v>0</v>
      </c>
      <c r="L599" s="59">
        <f>'Secondary cum Calculation'!L553</f>
        <v>0</v>
      </c>
      <c r="M599" s="59">
        <f>'Secondary cum Calculation'!M553</f>
        <v>0</v>
      </c>
      <c r="N599" s="59">
        <f>'Secondary cum Calculation'!N553</f>
        <v>0</v>
      </c>
      <c r="O599" s="88">
        <f>'Secondary cum Calculation'!O553</f>
        <v>0</v>
      </c>
      <c r="P599" s="88">
        <f>'Secondary cum Calculation'!P553</f>
        <v>0</v>
      </c>
      <c r="Q599" s="88"/>
      <c r="R599" s="88"/>
      <c r="S599" s="88"/>
      <c r="T599" s="88"/>
      <c r="U599" s="88"/>
      <c r="V599" s="88"/>
      <c r="W599" s="106" t="e">
        <f>'Secondary cum Calculation'!W553</f>
        <v>#DIV/0!</v>
      </c>
      <c r="X599" s="106" t="e">
        <f>'Secondary cum Calculation'!X553</f>
        <v>#DIV/0!</v>
      </c>
    </row>
    <row r="600" spans="1:26">
      <c r="A600" s="57"/>
      <c r="B600" s="57"/>
      <c r="C600" s="61" t="str">
        <f>'Secondary cum Calculation'!C554</f>
        <v>Growth Rate</v>
      </c>
      <c r="D600" s="61"/>
      <c r="E600" s="61"/>
      <c r="F600" s="61">
        <f>'Secondary cum Calculation'!F554</f>
        <v>0</v>
      </c>
      <c r="G600" s="61">
        <f>'Secondary cum Calculation'!G554</f>
        <v>0</v>
      </c>
      <c r="H600" s="61">
        <f>'Secondary cum Calculation'!H554</f>
        <v>0</v>
      </c>
      <c r="I600" s="61">
        <f>'Secondary cum Calculation'!I554</f>
        <v>0</v>
      </c>
      <c r="J600" s="61" t="str">
        <f>'Secondary cum Calculation'!J554</f>
        <v>%</v>
      </c>
      <c r="K600" s="58">
        <f>'Secondary cum Calculation'!K554</f>
        <v>0</v>
      </c>
      <c r="L600" s="59"/>
      <c r="M600" s="62" t="e">
        <f>'Secondary cum Calculation'!M554</f>
        <v>#DIV/0!</v>
      </c>
      <c r="N600" s="62" t="e">
        <f>'Secondary cum Calculation'!N554</f>
        <v>#DIV/0!</v>
      </c>
      <c r="O600" s="62" t="e">
        <f>'Secondary cum Calculation'!O554</f>
        <v>#DIV/0!</v>
      </c>
      <c r="P600" s="62" t="e">
        <f>'Secondary cum Calculation'!P554</f>
        <v>#DIV/0!</v>
      </c>
      <c r="Q600" s="62"/>
      <c r="R600" s="62"/>
      <c r="S600" s="62"/>
      <c r="T600" s="62"/>
      <c r="U600" s="62"/>
      <c r="V600" s="62"/>
      <c r="W600" s="259"/>
      <c r="X600" s="259"/>
    </row>
    <row r="601" spans="1:26">
      <c r="A601" s="55" t="str">
        <f>'Secondary cum Calculation'!A555</f>
        <v>Poland</v>
      </c>
      <c r="B601" s="56" t="str">
        <f>'Secondary cum Calculation'!B555</f>
        <v>Tourism Flows</v>
      </c>
      <c r="C601" s="56" t="str">
        <f>'Secondary cum Calculation'!C555</f>
        <v>International Arrivals by Place of Origin</v>
      </c>
      <c r="D601" s="56" t="str">
        <f>'Secondary cum Calculation'!D555</f>
        <v>South &amp; Central America</v>
      </c>
      <c r="E601" s="55" t="str">
        <f>'Secondary cum Calculation'!E555</f>
        <v>Haiti</v>
      </c>
      <c r="F601" s="57" t="str">
        <f>'Secondary cum Calculation'!F555</f>
        <v>The number of international arrivals to a country originating from Haiti</v>
      </c>
      <c r="G601" s="57" t="str">
        <f>'Secondary cum Calculation'!G555</f>
        <v>Tourism Demand &amp; Flows Database</v>
      </c>
      <c r="H601" s="57" t="str">
        <f>'Secondary cum Calculation'!H555</f>
        <v>New</v>
      </c>
      <c r="I601" s="57">
        <f>'Secondary cum Calculation'!I555</f>
        <v>0</v>
      </c>
      <c r="J601" s="57" t="str">
        <f>'Secondary cum Calculation'!J555</f>
        <v>Thousand</v>
      </c>
      <c r="K601" s="58">
        <f>'Secondary cum Calculation'!K555</f>
        <v>58.917999999999999</v>
      </c>
      <c r="L601" s="59">
        <f>'Secondary cum Calculation'!L555</f>
        <v>0</v>
      </c>
      <c r="M601" s="59">
        <f>'Secondary cum Calculation'!M555</f>
        <v>0</v>
      </c>
      <c r="N601" s="59">
        <f>'Secondary cum Calculation'!N555</f>
        <v>0</v>
      </c>
      <c r="O601" s="59">
        <f>'Secondary cum Calculation'!O555</f>
        <v>0</v>
      </c>
      <c r="P601" s="59">
        <f>'Secondary cum Calculation'!P555</f>
        <v>0</v>
      </c>
      <c r="Q601" s="59"/>
      <c r="R601" s="59"/>
      <c r="S601" s="59"/>
      <c r="T601" s="59"/>
      <c r="U601" s="59"/>
      <c r="V601" s="59"/>
      <c r="W601" s="106" t="e">
        <f>'Secondary cum Calculation'!W555</f>
        <v>#DIV/0!</v>
      </c>
      <c r="X601" s="106" t="e">
        <f>'Secondary cum Calculation'!X555</f>
        <v>#DIV/0!</v>
      </c>
      <c r="Z601" s="12"/>
    </row>
    <row r="602" spans="1:26">
      <c r="A602" s="57"/>
      <c r="B602" s="57"/>
      <c r="C602" s="61" t="str">
        <f>'Secondary cum Calculation'!C556</f>
        <v>Growth Rate</v>
      </c>
      <c r="D602" s="61"/>
      <c r="E602" s="61"/>
      <c r="F602" s="61">
        <f>'Secondary cum Calculation'!F556</f>
        <v>0</v>
      </c>
      <c r="G602" s="61">
        <f>'Secondary cum Calculation'!G556</f>
        <v>0</v>
      </c>
      <c r="H602" s="61">
        <f>'Secondary cum Calculation'!H556</f>
        <v>0</v>
      </c>
      <c r="I602" s="61">
        <f>'Secondary cum Calculation'!I556</f>
        <v>0</v>
      </c>
      <c r="J602" s="61" t="str">
        <f>'Secondary cum Calculation'!J556</f>
        <v>%</v>
      </c>
      <c r="K602" s="58">
        <f>'Secondary cum Calculation'!K556</f>
        <v>0</v>
      </c>
      <c r="L602" s="59"/>
      <c r="M602" s="62" t="e">
        <f>'Secondary cum Calculation'!M556</f>
        <v>#DIV/0!</v>
      </c>
      <c r="N602" s="62" t="e">
        <f>'Secondary cum Calculation'!N556</f>
        <v>#DIV/0!</v>
      </c>
      <c r="O602" s="62" t="e">
        <f>'Secondary cum Calculation'!O556</f>
        <v>#DIV/0!</v>
      </c>
      <c r="P602" s="62" t="e">
        <f>'Secondary cum Calculation'!P556</f>
        <v>#DIV/0!</v>
      </c>
      <c r="Q602" s="62"/>
      <c r="R602" s="62"/>
      <c r="S602" s="62"/>
      <c r="T602" s="62"/>
      <c r="U602" s="62"/>
      <c r="V602" s="62"/>
      <c r="W602" s="259"/>
      <c r="X602" s="259"/>
    </row>
    <row r="603" spans="1:26">
      <c r="A603" s="55" t="str">
        <f>'Secondary cum Calculation'!A557</f>
        <v>Poland</v>
      </c>
      <c r="B603" s="56" t="str">
        <f>'Secondary cum Calculation'!B557</f>
        <v>Tourism Flows</v>
      </c>
      <c r="C603" s="56" t="str">
        <f>'Secondary cum Calculation'!C557</f>
        <v>International Arrivals by Place of Origin</v>
      </c>
      <c r="D603" s="56" t="str">
        <f>'Secondary cum Calculation'!D557</f>
        <v>South &amp; Central America</v>
      </c>
      <c r="E603" s="55" t="str">
        <f>'Secondary cum Calculation'!E557</f>
        <v>Honduras</v>
      </c>
      <c r="F603" s="57" t="str">
        <f>'Secondary cum Calculation'!F557</f>
        <v>The number of international arrivals to a country originating from Honduras</v>
      </c>
      <c r="G603" s="57" t="str">
        <f>'Secondary cum Calculation'!G557</f>
        <v>Tourism Demand &amp; Flows Database</v>
      </c>
      <c r="H603" s="57" t="str">
        <f>'Secondary cum Calculation'!H557</f>
        <v>New</v>
      </c>
      <c r="I603" s="57">
        <f>'Secondary cum Calculation'!I557</f>
        <v>0</v>
      </c>
      <c r="J603" s="57" t="str">
        <f>'Secondary cum Calculation'!J557</f>
        <v>Thousand</v>
      </c>
      <c r="K603" s="58">
        <f>'Secondary cum Calculation'!K557</f>
        <v>92.444999999999993</v>
      </c>
      <c r="L603" s="59">
        <f>'Secondary cum Calculation'!L557</f>
        <v>0</v>
      </c>
      <c r="M603" s="59">
        <f>'Secondary cum Calculation'!M557</f>
        <v>0</v>
      </c>
      <c r="N603" s="59">
        <f>'Secondary cum Calculation'!N557</f>
        <v>0</v>
      </c>
      <c r="O603" s="59">
        <f>'Secondary cum Calculation'!O557</f>
        <v>0</v>
      </c>
      <c r="P603" s="59">
        <f>'Secondary cum Calculation'!P557</f>
        <v>0</v>
      </c>
      <c r="Q603" s="59"/>
      <c r="R603" s="59"/>
      <c r="S603" s="59"/>
      <c r="T603" s="59"/>
      <c r="U603" s="59"/>
      <c r="V603" s="59"/>
      <c r="W603" s="106" t="e">
        <f>'Secondary cum Calculation'!W557</f>
        <v>#DIV/0!</v>
      </c>
      <c r="X603" s="106" t="e">
        <f>'Secondary cum Calculation'!X557</f>
        <v>#DIV/0!</v>
      </c>
      <c r="Z603" s="12"/>
    </row>
    <row r="604" spans="1:26">
      <c r="A604" s="57"/>
      <c r="B604" s="57"/>
      <c r="C604" s="61" t="str">
        <f>'Secondary cum Calculation'!C558</f>
        <v>Growth Rate</v>
      </c>
      <c r="D604" s="61"/>
      <c r="E604" s="61"/>
      <c r="F604" s="61">
        <f>'Secondary cum Calculation'!F558</f>
        <v>0</v>
      </c>
      <c r="G604" s="61">
        <f>'Secondary cum Calculation'!G558</f>
        <v>0</v>
      </c>
      <c r="H604" s="61">
        <f>'Secondary cum Calculation'!H558</f>
        <v>0</v>
      </c>
      <c r="I604" s="61">
        <f>'Secondary cum Calculation'!I558</f>
        <v>0</v>
      </c>
      <c r="J604" s="61" t="str">
        <f>'Secondary cum Calculation'!J558</f>
        <v>%</v>
      </c>
      <c r="K604" s="58">
        <f>'Secondary cum Calculation'!K558</f>
        <v>0</v>
      </c>
      <c r="L604" s="59"/>
      <c r="M604" s="62" t="e">
        <f>'Secondary cum Calculation'!M558</f>
        <v>#DIV/0!</v>
      </c>
      <c r="N604" s="62" t="e">
        <f>'Secondary cum Calculation'!N558</f>
        <v>#DIV/0!</v>
      </c>
      <c r="O604" s="62" t="e">
        <f>'Secondary cum Calculation'!O558</f>
        <v>#DIV/0!</v>
      </c>
      <c r="P604" s="62" t="e">
        <f>'Secondary cum Calculation'!P558</f>
        <v>#DIV/0!</v>
      </c>
      <c r="Q604" s="62"/>
      <c r="R604" s="62"/>
      <c r="S604" s="62"/>
      <c r="T604" s="62"/>
      <c r="U604" s="62"/>
      <c r="V604" s="62"/>
      <c r="W604" s="259"/>
      <c r="X604" s="259"/>
    </row>
    <row r="605" spans="1:26">
      <c r="A605" s="55" t="str">
        <f>'Secondary cum Calculation'!A559</f>
        <v>Poland</v>
      </c>
      <c r="B605" s="56" t="str">
        <f>'Secondary cum Calculation'!B559</f>
        <v>Tourism Flows</v>
      </c>
      <c r="C605" s="56" t="str">
        <f>'Secondary cum Calculation'!C559</f>
        <v>International Arrivals by Place of Origin</v>
      </c>
      <c r="D605" s="56" t="str">
        <f>'Secondary cum Calculation'!D559</f>
        <v>South &amp; Central America</v>
      </c>
      <c r="E605" s="55" t="str">
        <f>'Secondary cum Calculation'!E559</f>
        <v>Jamaica</v>
      </c>
      <c r="F605" s="57" t="str">
        <f>'Secondary cum Calculation'!F559</f>
        <v>The number of international arrivals to a country originating from Jamaica</v>
      </c>
      <c r="G605" s="57" t="str">
        <f>'Secondary cum Calculation'!G559</f>
        <v>Tourism Demand &amp; Flows Database</v>
      </c>
      <c r="H605" s="57" t="str">
        <f>'Secondary cum Calculation'!H559</f>
        <v>New</v>
      </c>
      <c r="I605" s="57">
        <f>'Secondary cum Calculation'!I559</f>
        <v>0</v>
      </c>
      <c r="J605" s="57" t="str">
        <f>'Secondary cum Calculation'!J559</f>
        <v>Thousand</v>
      </c>
      <c r="K605" s="58">
        <f>'Secondary cum Calculation'!K559</f>
        <v>204.91200000000001</v>
      </c>
      <c r="L605" s="59">
        <f>'Secondary cum Calculation'!L559</f>
        <v>0</v>
      </c>
      <c r="M605" s="59">
        <f>'Secondary cum Calculation'!M559</f>
        <v>0</v>
      </c>
      <c r="N605" s="59">
        <f>'Secondary cum Calculation'!N559</f>
        <v>0</v>
      </c>
      <c r="O605" s="59">
        <f>'Secondary cum Calculation'!O559</f>
        <v>0</v>
      </c>
      <c r="P605" s="59">
        <f>'Secondary cum Calculation'!P559</f>
        <v>0</v>
      </c>
      <c r="Q605" s="59"/>
      <c r="R605" s="59"/>
      <c r="S605" s="59"/>
      <c r="T605" s="59"/>
      <c r="U605" s="59"/>
      <c r="V605" s="59"/>
      <c r="W605" s="106" t="e">
        <f>'Secondary cum Calculation'!W559</f>
        <v>#DIV/0!</v>
      </c>
      <c r="X605" s="106" t="e">
        <f>'Secondary cum Calculation'!X559</f>
        <v>#DIV/0!</v>
      </c>
      <c r="Z605" s="12"/>
    </row>
    <row r="606" spans="1:26">
      <c r="A606" s="57"/>
      <c r="B606" s="57"/>
      <c r="C606" s="61" t="str">
        <f>'Secondary cum Calculation'!C560</f>
        <v>Growth Rate</v>
      </c>
      <c r="D606" s="61"/>
      <c r="E606" s="61"/>
      <c r="F606" s="61">
        <f>'Secondary cum Calculation'!F560</f>
        <v>0</v>
      </c>
      <c r="G606" s="61">
        <f>'Secondary cum Calculation'!G560</f>
        <v>0</v>
      </c>
      <c r="H606" s="61">
        <f>'Secondary cum Calculation'!H560</f>
        <v>0</v>
      </c>
      <c r="I606" s="61">
        <f>'Secondary cum Calculation'!I560</f>
        <v>0</v>
      </c>
      <c r="J606" s="61" t="str">
        <f>'Secondary cum Calculation'!J560</f>
        <v>%</v>
      </c>
      <c r="K606" s="58">
        <f>'Secondary cum Calculation'!K560</f>
        <v>0</v>
      </c>
      <c r="L606" s="59"/>
      <c r="M606" s="62" t="e">
        <f>'Secondary cum Calculation'!M560</f>
        <v>#DIV/0!</v>
      </c>
      <c r="N606" s="62" t="e">
        <f>'Secondary cum Calculation'!N560</f>
        <v>#DIV/0!</v>
      </c>
      <c r="O606" s="62" t="e">
        <f>'Secondary cum Calculation'!O560</f>
        <v>#DIV/0!</v>
      </c>
      <c r="P606" s="62" t="e">
        <f>'Secondary cum Calculation'!P560</f>
        <v>#DIV/0!</v>
      </c>
      <c r="Q606" s="62"/>
      <c r="R606" s="62"/>
      <c r="S606" s="62"/>
      <c r="T606" s="62"/>
      <c r="U606" s="62"/>
      <c r="V606" s="62"/>
      <c r="W606" s="259"/>
      <c r="X606" s="259"/>
    </row>
    <row r="607" spans="1:26">
      <c r="A607" s="55" t="str">
        <f>'Secondary cum Calculation'!A561</f>
        <v>Poland</v>
      </c>
      <c r="B607" s="56" t="str">
        <f>'Secondary cum Calculation'!B561</f>
        <v>Tourism Flows</v>
      </c>
      <c r="C607" s="56" t="str">
        <f>'Secondary cum Calculation'!C561</f>
        <v>International Arrivals by Place of Origin</v>
      </c>
      <c r="D607" s="56" t="str">
        <f>'Secondary cum Calculation'!D561</f>
        <v>South &amp; Central America</v>
      </c>
      <c r="E607" s="55" t="str">
        <f>'Secondary cum Calculation'!E561</f>
        <v>Martinique</v>
      </c>
      <c r="F607" s="57" t="str">
        <f>'Secondary cum Calculation'!F561</f>
        <v>The number of international arrivals to a country originating from Martinique</v>
      </c>
      <c r="G607" s="57" t="str">
        <f>'Secondary cum Calculation'!G561</f>
        <v>Tourism Demand &amp; Flows Database</v>
      </c>
      <c r="H607" s="57" t="str">
        <f>'Secondary cum Calculation'!H561</f>
        <v>New</v>
      </c>
      <c r="I607" s="57">
        <f>'Secondary cum Calculation'!I561</f>
        <v>0</v>
      </c>
      <c r="J607" s="57" t="str">
        <f>'Secondary cum Calculation'!J561</f>
        <v>Thousand</v>
      </c>
      <c r="K607" s="58">
        <f>'Secondary cum Calculation'!K561</f>
        <v>0</v>
      </c>
      <c r="L607" s="59">
        <f>'Secondary cum Calculation'!L561</f>
        <v>0</v>
      </c>
      <c r="M607" s="59">
        <f>'Secondary cum Calculation'!M561</f>
        <v>0</v>
      </c>
      <c r="N607" s="59">
        <f>'Secondary cum Calculation'!N561</f>
        <v>0</v>
      </c>
      <c r="O607" s="59">
        <f>'Secondary cum Calculation'!O561</f>
        <v>0</v>
      </c>
      <c r="P607" s="59">
        <f>'Secondary cum Calculation'!P561</f>
        <v>0</v>
      </c>
      <c r="Q607" s="59"/>
      <c r="R607" s="59"/>
      <c r="S607" s="59"/>
      <c r="T607" s="59"/>
      <c r="U607" s="59"/>
      <c r="V607" s="59"/>
      <c r="W607" s="106" t="e">
        <f>'Secondary cum Calculation'!W561</f>
        <v>#DIV/0!</v>
      </c>
      <c r="X607" s="106" t="e">
        <f>'Secondary cum Calculation'!X561</f>
        <v>#DIV/0!</v>
      </c>
    </row>
    <row r="608" spans="1:26">
      <c r="A608" s="57"/>
      <c r="B608" s="57"/>
      <c r="C608" s="61" t="str">
        <f>'Secondary cum Calculation'!C562</f>
        <v>Growth Rate</v>
      </c>
      <c r="D608" s="61"/>
      <c r="E608" s="61"/>
      <c r="F608" s="61">
        <f>'Secondary cum Calculation'!F562</f>
        <v>0</v>
      </c>
      <c r="G608" s="61">
        <f>'Secondary cum Calculation'!G562</f>
        <v>0</v>
      </c>
      <c r="H608" s="61">
        <f>'Secondary cum Calculation'!H562</f>
        <v>0</v>
      </c>
      <c r="I608" s="61">
        <f>'Secondary cum Calculation'!I562</f>
        <v>0</v>
      </c>
      <c r="J608" s="61" t="str">
        <f>'Secondary cum Calculation'!J562</f>
        <v>%</v>
      </c>
      <c r="K608" s="58">
        <f>'Secondary cum Calculation'!K562</f>
        <v>0</v>
      </c>
      <c r="L608" s="59"/>
      <c r="M608" s="62" t="e">
        <f>'Secondary cum Calculation'!M562</f>
        <v>#DIV/0!</v>
      </c>
      <c r="N608" s="62" t="e">
        <f>'Secondary cum Calculation'!N562</f>
        <v>#DIV/0!</v>
      </c>
      <c r="O608" s="62" t="e">
        <f>'Secondary cum Calculation'!O562</f>
        <v>#DIV/0!</v>
      </c>
      <c r="P608" s="62" t="e">
        <f>'Secondary cum Calculation'!P562</f>
        <v>#DIV/0!</v>
      </c>
      <c r="Q608" s="62"/>
      <c r="R608" s="62"/>
      <c r="S608" s="62"/>
      <c r="T608" s="62"/>
      <c r="U608" s="62"/>
      <c r="V608" s="62"/>
      <c r="W608" s="259"/>
      <c r="X608" s="259"/>
    </row>
    <row r="609" spans="1:26">
      <c r="A609" s="55" t="str">
        <f>'Secondary cum Calculation'!A563</f>
        <v>Poland</v>
      </c>
      <c r="B609" s="56" t="str">
        <f>'Secondary cum Calculation'!B563</f>
        <v>Tourism Flows</v>
      </c>
      <c r="C609" s="56" t="str">
        <f>'Secondary cum Calculation'!C563</f>
        <v>International Arrivals by Place of Origin</v>
      </c>
      <c r="D609" s="56" t="str">
        <f>'Secondary cum Calculation'!D563</f>
        <v>South &amp; Central America</v>
      </c>
      <c r="E609" s="55" t="str">
        <f>'Secondary cum Calculation'!E563</f>
        <v>Netherlands Antilles</v>
      </c>
      <c r="F609" s="57" t="str">
        <f>'Secondary cum Calculation'!F563</f>
        <v>The number of international arrivals to a country originating from Netherlands Antilles</v>
      </c>
      <c r="G609" s="57" t="str">
        <f>'Secondary cum Calculation'!G563</f>
        <v>Tourism Demand &amp; Flows Database</v>
      </c>
      <c r="H609" s="57" t="str">
        <f>'Secondary cum Calculation'!H563</f>
        <v>New</v>
      </c>
      <c r="I609" s="57">
        <f>'Secondary cum Calculation'!I563</f>
        <v>0</v>
      </c>
      <c r="J609" s="57" t="str">
        <f>'Secondary cum Calculation'!J563</f>
        <v>Thousand</v>
      </c>
      <c r="K609" s="58">
        <f>'Secondary cum Calculation'!K563</f>
        <v>0</v>
      </c>
      <c r="L609" s="59">
        <f>'Secondary cum Calculation'!L563</f>
        <v>0</v>
      </c>
      <c r="M609" s="59">
        <f>'Secondary cum Calculation'!M563</f>
        <v>0</v>
      </c>
      <c r="N609" s="59">
        <f>'Secondary cum Calculation'!N563</f>
        <v>0</v>
      </c>
      <c r="O609" s="59">
        <f>'Secondary cum Calculation'!O563</f>
        <v>0</v>
      </c>
      <c r="P609" s="59">
        <f>'Secondary cum Calculation'!P563</f>
        <v>0</v>
      </c>
      <c r="Q609" s="59"/>
      <c r="R609" s="59"/>
      <c r="S609" s="59"/>
      <c r="T609" s="59"/>
      <c r="U609" s="59"/>
      <c r="V609" s="59"/>
      <c r="W609" s="106" t="e">
        <f>'Secondary cum Calculation'!W563</f>
        <v>#DIV/0!</v>
      </c>
      <c r="X609" s="106" t="e">
        <f>'Secondary cum Calculation'!X563</f>
        <v>#DIV/0!</v>
      </c>
    </row>
    <row r="610" spans="1:26">
      <c r="A610" s="57"/>
      <c r="B610" s="57"/>
      <c r="C610" s="61" t="str">
        <f>'Secondary cum Calculation'!C564</f>
        <v>Growth Rate</v>
      </c>
      <c r="D610" s="61"/>
      <c r="E610" s="61"/>
      <c r="F610" s="61">
        <f>'Secondary cum Calculation'!F564</f>
        <v>0</v>
      </c>
      <c r="G610" s="61">
        <f>'Secondary cum Calculation'!G564</f>
        <v>0</v>
      </c>
      <c r="H610" s="61">
        <f>'Secondary cum Calculation'!H564</f>
        <v>0</v>
      </c>
      <c r="I610" s="61">
        <f>'Secondary cum Calculation'!I564</f>
        <v>0</v>
      </c>
      <c r="J610" s="61" t="str">
        <f>'Secondary cum Calculation'!J564</f>
        <v>%</v>
      </c>
      <c r="K610" s="58">
        <f>'Secondary cum Calculation'!K564</f>
        <v>0</v>
      </c>
      <c r="L610" s="59"/>
      <c r="M610" s="62" t="e">
        <f>'Secondary cum Calculation'!M564</f>
        <v>#DIV/0!</v>
      </c>
      <c r="N610" s="62" t="e">
        <f>'Secondary cum Calculation'!N564</f>
        <v>#DIV/0!</v>
      </c>
      <c r="O610" s="62" t="e">
        <f>'Secondary cum Calculation'!O564</f>
        <v>#DIV/0!</v>
      </c>
      <c r="P610" s="62" t="e">
        <f>'Secondary cum Calculation'!P564</f>
        <v>#DIV/0!</v>
      </c>
      <c r="Q610" s="62"/>
      <c r="R610" s="62"/>
      <c r="S610" s="62"/>
      <c r="T610" s="62"/>
      <c r="U610" s="62"/>
      <c r="V610" s="62"/>
      <c r="W610" s="259"/>
      <c r="X610" s="259"/>
    </row>
    <row r="611" spans="1:26">
      <c r="A611" s="55" t="str">
        <f>'Secondary cum Calculation'!A565</f>
        <v>Poland</v>
      </c>
      <c r="B611" s="56" t="str">
        <f>'Secondary cum Calculation'!B565</f>
        <v>Tourism Flows</v>
      </c>
      <c r="C611" s="56" t="str">
        <f>'Secondary cum Calculation'!C565</f>
        <v>International Arrivals by Place of Origin</v>
      </c>
      <c r="D611" s="56" t="str">
        <f>'Secondary cum Calculation'!D565</f>
        <v>South &amp; Central America</v>
      </c>
      <c r="E611" s="55" t="str">
        <f>'Secondary cum Calculation'!E565</f>
        <v>Nicaragua</v>
      </c>
      <c r="F611" s="57" t="str">
        <f>'Secondary cum Calculation'!F565</f>
        <v>The number of international arrivals to a country originating from Nicaragua</v>
      </c>
      <c r="G611" s="57" t="str">
        <f>'Secondary cum Calculation'!G565</f>
        <v>Tourism Demand &amp; Flows Database</v>
      </c>
      <c r="H611" s="57" t="str">
        <f>'Secondary cum Calculation'!H565</f>
        <v>New</v>
      </c>
      <c r="I611" s="57">
        <f>'Secondary cum Calculation'!I565</f>
        <v>0</v>
      </c>
      <c r="J611" s="57" t="str">
        <f>'Secondary cum Calculation'!J565</f>
        <v>Thousand</v>
      </c>
      <c r="K611" s="58">
        <f>'Secondary cum Calculation'!K565</f>
        <v>0</v>
      </c>
      <c r="L611" s="59">
        <f>'Secondary cum Calculation'!L565</f>
        <v>0</v>
      </c>
      <c r="M611" s="59">
        <f>'Secondary cum Calculation'!M565</f>
        <v>0</v>
      </c>
      <c r="N611" s="59">
        <f>'Secondary cum Calculation'!N565</f>
        <v>0</v>
      </c>
      <c r="O611" s="88">
        <f>'Secondary cum Calculation'!O565</f>
        <v>0</v>
      </c>
      <c r="P611" s="88">
        <f>'Secondary cum Calculation'!P565</f>
        <v>0</v>
      </c>
      <c r="Q611" s="88"/>
      <c r="R611" s="88"/>
      <c r="S611" s="88"/>
      <c r="T611" s="88"/>
      <c r="U611" s="88"/>
      <c r="V611" s="88"/>
      <c r="W611" s="106" t="e">
        <f>'Secondary cum Calculation'!W565</f>
        <v>#DIV/0!</v>
      </c>
      <c r="X611" s="106" t="e">
        <f>'Secondary cum Calculation'!X565</f>
        <v>#DIV/0!</v>
      </c>
    </row>
    <row r="612" spans="1:26">
      <c r="A612" s="57"/>
      <c r="B612" s="57"/>
      <c r="C612" s="61" t="str">
        <f>'Secondary cum Calculation'!C566</f>
        <v>Growth Rate</v>
      </c>
      <c r="D612" s="61"/>
      <c r="E612" s="61"/>
      <c r="F612" s="61">
        <f>'Secondary cum Calculation'!F566</f>
        <v>0</v>
      </c>
      <c r="G612" s="61">
        <f>'Secondary cum Calculation'!G566</f>
        <v>0</v>
      </c>
      <c r="H612" s="61">
        <f>'Secondary cum Calculation'!H566</f>
        <v>0</v>
      </c>
      <c r="I612" s="61">
        <f>'Secondary cum Calculation'!I566</f>
        <v>0</v>
      </c>
      <c r="J612" s="61" t="str">
        <f>'Secondary cum Calculation'!J566</f>
        <v>%</v>
      </c>
      <c r="K612" s="58">
        <f>'Secondary cum Calculation'!K566</f>
        <v>0</v>
      </c>
      <c r="L612" s="59"/>
      <c r="M612" s="62" t="e">
        <f>'Secondary cum Calculation'!M566</f>
        <v>#DIV/0!</v>
      </c>
      <c r="N612" s="62" t="e">
        <f>'Secondary cum Calculation'!N566</f>
        <v>#DIV/0!</v>
      </c>
      <c r="O612" s="62" t="e">
        <f>'Secondary cum Calculation'!O566</f>
        <v>#DIV/0!</v>
      </c>
      <c r="P612" s="62" t="e">
        <f>'Secondary cum Calculation'!P566</f>
        <v>#DIV/0!</v>
      </c>
      <c r="Q612" s="62"/>
      <c r="R612" s="62"/>
      <c r="S612" s="62"/>
      <c r="T612" s="62"/>
      <c r="U612" s="62"/>
      <c r="V612" s="62"/>
      <c r="W612" s="259"/>
      <c r="X612" s="259"/>
    </row>
    <row r="613" spans="1:26">
      <c r="A613" s="55" t="str">
        <f>'Secondary cum Calculation'!A567</f>
        <v>Poland</v>
      </c>
      <c r="B613" s="56" t="str">
        <f>'Secondary cum Calculation'!B567</f>
        <v>Tourism Flows</v>
      </c>
      <c r="C613" s="56" t="str">
        <f>'Secondary cum Calculation'!C567</f>
        <v>International Arrivals by Place of Origin</v>
      </c>
      <c r="D613" s="56" t="str">
        <f>'Secondary cum Calculation'!D567</f>
        <v>South &amp; Central America</v>
      </c>
      <c r="E613" s="55" t="str">
        <f>'Secondary cum Calculation'!E567</f>
        <v>Panama</v>
      </c>
      <c r="F613" s="57" t="str">
        <f>'Secondary cum Calculation'!F567</f>
        <v>The number of international arrivals to a country originating from Panama</v>
      </c>
      <c r="G613" s="57" t="str">
        <f>'Secondary cum Calculation'!G567</f>
        <v>Tourism Demand &amp; Flows Database</v>
      </c>
      <c r="H613" s="57" t="str">
        <f>'Secondary cum Calculation'!H567</f>
        <v>New</v>
      </c>
      <c r="I613" s="57">
        <f>'Secondary cum Calculation'!I567</f>
        <v>0</v>
      </c>
      <c r="J613" s="57" t="str">
        <f>'Secondary cum Calculation'!J567</f>
        <v>Thousand</v>
      </c>
      <c r="K613" s="58">
        <f>'Secondary cum Calculation'!K567</f>
        <v>81.358000000000004</v>
      </c>
      <c r="L613" s="59">
        <f>'Secondary cum Calculation'!L567</f>
        <v>0</v>
      </c>
      <c r="M613" s="59">
        <f>'Secondary cum Calculation'!M567</f>
        <v>0</v>
      </c>
      <c r="N613" s="59">
        <f>'Secondary cum Calculation'!N567</f>
        <v>0</v>
      </c>
      <c r="O613" s="59">
        <f>'Secondary cum Calculation'!O567</f>
        <v>0</v>
      </c>
      <c r="P613" s="59">
        <f>'Secondary cum Calculation'!P567</f>
        <v>0</v>
      </c>
      <c r="Q613" s="59"/>
      <c r="R613" s="59"/>
      <c r="S613" s="59"/>
      <c r="T613" s="59"/>
      <c r="U613" s="59"/>
      <c r="V613" s="59"/>
      <c r="W613" s="106" t="e">
        <f>'Secondary cum Calculation'!W567</f>
        <v>#DIV/0!</v>
      </c>
      <c r="X613" s="106" t="e">
        <f>'Secondary cum Calculation'!X567</f>
        <v>#DIV/0!</v>
      </c>
      <c r="Z613" s="12"/>
    </row>
    <row r="614" spans="1:26">
      <c r="A614" s="57"/>
      <c r="B614" s="57"/>
      <c r="C614" s="61" t="str">
        <f>'Secondary cum Calculation'!C568</f>
        <v>Growth Rate</v>
      </c>
      <c r="D614" s="61"/>
      <c r="E614" s="61"/>
      <c r="F614" s="61">
        <f>'Secondary cum Calculation'!F568</f>
        <v>0</v>
      </c>
      <c r="G614" s="61">
        <f>'Secondary cum Calculation'!G568</f>
        <v>0</v>
      </c>
      <c r="H614" s="61">
        <f>'Secondary cum Calculation'!H568</f>
        <v>0</v>
      </c>
      <c r="I614" s="61">
        <f>'Secondary cum Calculation'!I568</f>
        <v>0</v>
      </c>
      <c r="J614" s="61" t="str">
        <f>'Secondary cum Calculation'!J568</f>
        <v>%</v>
      </c>
      <c r="K614" s="58">
        <f>'Secondary cum Calculation'!K568</f>
        <v>0</v>
      </c>
      <c r="L614" s="59"/>
      <c r="M614" s="62" t="e">
        <f>'Secondary cum Calculation'!M568</f>
        <v>#DIV/0!</v>
      </c>
      <c r="N614" s="62" t="e">
        <f>'Secondary cum Calculation'!N568</f>
        <v>#DIV/0!</v>
      </c>
      <c r="O614" s="62" t="e">
        <f>'Secondary cum Calculation'!O568</f>
        <v>#DIV/0!</v>
      </c>
      <c r="P614" s="62" t="e">
        <f>'Secondary cum Calculation'!P568</f>
        <v>#DIV/0!</v>
      </c>
      <c r="Q614" s="62"/>
      <c r="R614" s="62"/>
      <c r="S614" s="62"/>
      <c r="T614" s="62"/>
      <c r="U614" s="62"/>
      <c r="V614" s="62"/>
      <c r="W614" s="259"/>
      <c r="X614" s="259"/>
    </row>
    <row r="615" spans="1:26">
      <c r="A615" s="55" t="str">
        <f>'Secondary cum Calculation'!A569</f>
        <v>Poland</v>
      </c>
      <c r="B615" s="56" t="str">
        <f>'Secondary cum Calculation'!B569</f>
        <v>Tourism Flows</v>
      </c>
      <c r="C615" s="56" t="str">
        <f>'Secondary cum Calculation'!C569</f>
        <v>International Arrivals by Place of Origin</v>
      </c>
      <c r="D615" s="56" t="str">
        <f>'Secondary cum Calculation'!D569</f>
        <v>South &amp; Central America</v>
      </c>
      <c r="E615" s="55" t="str">
        <f>'Secondary cum Calculation'!E569</f>
        <v>Paraguay</v>
      </c>
      <c r="F615" s="57" t="str">
        <f>'Secondary cum Calculation'!F569</f>
        <v>The number of international arrivals to a country originating from Paraguay</v>
      </c>
      <c r="G615" s="57" t="str">
        <f>'Secondary cum Calculation'!G569</f>
        <v>Tourism Demand &amp; Flows Database</v>
      </c>
      <c r="H615" s="57" t="str">
        <f>'Secondary cum Calculation'!H569</f>
        <v>New</v>
      </c>
      <c r="I615" s="57">
        <f>'Secondary cum Calculation'!I569</f>
        <v>0</v>
      </c>
      <c r="J615" s="57" t="str">
        <f>'Secondary cum Calculation'!J569</f>
        <v>Thousand</v>
      </c>
      <c r="K615" s="58">
        <f>'Secondary cum Calculation'!K569</f>
        <v>0</v>
      </c>
      <c r="L615" s="59">
        <f>'Secondary cum Calculation'!L569</f>
        <v>0</v>
      </c>
      <c r="M615" s="59">
        <f>'Secondary cum Calculation'!M569</f>
        <v>0</v>
      </c>
      <c r="N615" s="59">
        <f>'Secondary cum Calculation'!N569</f>
        <v>0</v>
      </c>
      <c r="O615" s="88">
        <f>'Secondary cum Calculation'!O569</f>
        <v>0</v>
      </c>
      <c r="P615" s="88">
        <f>'Secondary cum Calculation'!P569</f>
        <v>0</v>
      </c>
      <c r="Q615" s="88"/>
      <c r="R615" s="88"/>
      <c r="S615" s="88"/>
      <c r="T615" s="88"/>
      <c r="U615" s="88"/>
      <c r="V615" s="88"/>
      <c r="W615" s="106" t="e">
        <f>'Secondary cum Calculation'!W569</f>
        <v>#DIV/0!</v>
      </c>
      <c r="X615" s="106" t="e">
        <f>'Secondary cum Calculation'!X569</f>
        <v>#DIV/0!</v>
      </c>
    </row>
    <row r="616" spans="1:26">
      <c r="A616" s="57"/>
      <c r="B616" s="57"/>
      <c r="C616" s="61" t="str">
        <f>'Secondary cum Calculation'!C570</f>
        <v>Growth Rate</v>
      </c>
      <c r="D616" s="61"/>
      <c r="E616" s="61"/>
      <c r="F616" s="61">
        <f>'Secondary cum Calculation'!F570</f>
        <v>0</v>
      </c>
      <c r="G616" s="61">
        <f>'Secondary cum Calculation'!G570</f>
        <v>0</v>
      </c>
      <c r="H616" s="61">
        <f>'Secondary cum Calculation'!H570</f>
        <v>0</v>
      </c>
      <c r="I616" s="61">
        <f>'Secondary cum Calculation'!I570</f>
        <v>0</v>
      </c>
      <c r="J616" s="61" t="str">
        <f>'Secondary cum Calculation'!J570</f>
        <v>%</v>
      </c>
      <c r="K616" s="58">
        <f>'Secondary cum Calculation'!K570</f>
        <v>0</v>
      </c>
      <c r="L616" s="59"/>
      <c r="M616" s="62" t="e">
        <f>'Secondary cum Calculation'!M570</f>
        <v>#DIV/0!</v>
      </c>
      <c r="N616" s="62" t="e">
        <f>'Secondary cum Calculation'!N570</f>
        <v>#DIV/0!</v>
      </c>
      <c r="O616" s="62" t="e">
        <f>'Secondary cum Calculation'!O570</f>
        <v>#DIV/0!</v>
      </c>
      <c r="P616" s="62" t="e">
        <f>'Secondary cum Calculation'!P570</f>
        <v>#DIV/0!</v>
      </c>
      <c r="Q616" s="62"/>
      <c r="R616" s="62"/>
      <c r="S616" s="62"/>
      <c r="T616" s="62"/>
      <c r="U616" s="62"/>
      <c r="V616" s="62"/>
      <c r="W616" s="259"/>
      <c r="X616" s="259"/>
    </row>
    <row r="617" spans="1:26">
      <c r="A617" s="55" t="str">
        <f>'Secondary cum Calculation'!A571</f>
        <v>Poland</v>
      </c>
      <c r="B617" s="56" t="str">
        <f>'Secondary cum Calculation'!B571</f>
        <v>Tourism Flows</v>
      </c>
      <c r="C617" s="56" t="str">
        <f>'Secondary cum Calculation'!C571</f>
        <v>International Arrivals by Place of Origin</v>
      </c>
      <c r="D617" s="56" t="str">
        <f>'Secondary cum Calculation'!D571</f>
        <v>South &amp; Central America</v>
      </c>
      <c r="E617" s="55" t="str">
        <f>'Secondary cum Calculation'!E571</f>
        <v>Peru</v>
      </c>
      <c r="F617" s="57" t="str">
        <f>'Secondary cum Calculation'!F571</f>
        <v>The number of international arrivals to a country originating from Peru</v>
      </c>
      <c r="G617" s="57" t="str">
        <f>'Secondary cum Calculation'!G571</f>
        <v>Tourism Demand &amp; Flows Database</v>
      </c>
      <c r="H617" s="57" t="str">
        <f>'Secondary cum Calculation'!H571</f>
        <v>New</v>
      </c>
      <c r="I617" s="57">
        <f>'Secondary cum Calculation'!I571</f>
        <v>0</v>
      </c>
      <c r="J617" s="57" t="str">
        <f>'Secondary cum Calculation'!J571</f>
        <v>Thousand</v>
      </c>
      <c r="K617" s="58">
        <f>'Secondary cum Calculation'!K571</f>
        <v>133.398</v>
      </c>
      <c r="L617" s="59">
        <f>'Secondary cum Calculation'!L571</f>
        <v>0</v>
      </c>
      <c r="M617" s="59">
        <f>'Secondary cum Calculation'!M571</f>
        <v>0</v>
      </c>
      <c r="N617" s="59">
        <f>'Secondary cum Calculation'!N571</f>
        <v>0</v>
      </c>
      <c r="O617" s="59">
        <f>'Secondary cum Calculation'!O571</f>
        <v>0</v>
      </c>
      <c r="P617" s="59">
        <f>'Secondary cum Calculation'!P571</f>
        <v>0</v>
      </c>
      <c r="Q617" s="59"/>
      <c r="R617" s="59"/>
      <c r="S617" s="59"/>
      <c r="T617" s="59"/>
      <c r="U617" s="59"/>
      <c r="V617" s="59"/>
      <c r="W617" s="106" t="e">
        <f>'Secondary cum Calculation'!W571</f>
        <v>#DIV/0!</v>
      </c>
      <c r="X617" s="106" t="e">
        <f>'Secondary cum Calculation'!X571</f>
        <v>#DIV/0!</v>
      </c>
      <c r="Z617" s="12"/>
    </row>
    <row r="618" spans="1:26">
      <c r="A618" s="57"/>
      <c r="B618" s="57"/>
      <c r="C618" s="61" t="str">
        <f>'Secondary cum Calculation'!C572</f>
        <v>Growth Rate</v>
      </c>
      <c r="D618" s="61"/>
      <c r="E618" s="61"/>
      <c r="F618" s="61">
        <f>'Secondary cum Calculation'!F572</f>
        <v>0</v>
      </c>
      <c r="G618" s="61">
        <f>'Secondary cum Calculation'!G572</f>
        <v>0</v>
      </c>
      <c r="H618" s="61">
        <f>'Secondary cum Calculation'!H572</f>
        <v>0</v>
      </c>
      <c r="I618" s="61">
        <f>'Secondary cum Calculation'!I572</f>
        <v>0</v>
      </c>
      <c r="J618" s="61" t="str">
        <f>'Secondary cum Calculation'!J572</f>
        <v>%</v>
      </c>
      <c r="K618" s="58">
        <f>'Secondary cum Calculation'!K572</f>
        <v>0</v>
      </c>
      <c r="L618" s="59"/>
      <c r="M618" s="62" t="e">
        <f>'Secondary cum Calculation'!M572</f>
        <v>#DIV/0!</v>
      </c>
      <c r="N618" s="62" t="e">
        <f>'Secondary cum Calculation'!N572</f>
        <v>#DIV/0!</v>
      </c>
      <c r="O618" s="62" t="e">
        <f>'Secondary cum Calculation'!O572</f>
        <v>#DIV/0!</v>
      </c>
      <c r="P618" s="62" t="e">
        <f>'Secondary cum Calculation'!P572</f>
        <v>#DIV/0!</v>
      </c>
      <c r="Q618" s="62"/>
      <c r="R618" s="62"/>
      <c r="S618" s="62"/>
      <c r="T618" s="62"/>
      <c r="U618" s="62"/>
      <c r="V618" s="62"/>
      <c r="W618" s="259"/>
      <c r="X618" s="259"/>
    </row>
    <row r="619" spans="1:26">
      <c r="A619" s="55" t="str">
        <f>'Secondary cum Calculation'!A573</f>
        <v>Poland</v>
      </c>
      <c r="B619" s="56" t="str">
        <f>'Secondary cum Calculation'!B573</f>
        <v>Tourism Flows</v>
      </c>
      <c r="C619" s="56" t="str">
        <f>'Secondary cum Calculation'!C573</f>
        <v>International Arrivals by Place of Origin</v>
      </c>
      <c r="D619" s="56" t="str">
        <f>'Secondary cum Calculation'!D573</f>
        <v>South &amp; Central America</v>
      </c>
      <c r="E619" s="55" t="str">
        <f>'Secondary cum Calculation'!E573</f>
        <v>Puerto Rico</v>
      </c>
      <c r="F619" s="57" t="str">
        <f>'Secondary cum Calculation'!F573</f>
        <v>The number of international arrivals to a country originating from Puerto Rico</v>
      </c>
      <c r="G619" s="57" t="str">
        <f>'Secondary cum Calculation'!G573</f>
        <v>Tourism Demand &amp; Flows Database</v>
      </c>
      <c r="H619" s="57" t="str">
        <f>'Secondary cum Calculation'!H573</f>
        <v>New</v>
      </c>
      <c r="I619" s="57">
        <f>'Secondary cum Calculation'!I573</f>
        <v>0</v>
      </c>
      <c r="J619" s="57" t="str">
        <f>'Secondary cum Calculation'!J573</f>
        <v>Thousand</v>
      </c>
      <c r="K619" s="58">
        <f>'Secondary cum Calculation'!K573</f>
        <v>0</v>
      </c>
      <c r="L619" s="59">
        <f>'Secondary cum Calculation'!L573</f>
        <v>0</v>
      </c>
      <c r="M619" s="59">
        <f>'Secondary cum Calculation'!M573</f>
        <v>0</v>
      </c>
      <c r="N619" s="59">
        <f>'Secondary cum Calculation'!N573</f>
        <v>0</v>
      </c>
      <c r="O619" s="59">
        <f>'Secondary cum Calculation'!O573</f>
        <v>0</v>
      </c>
      <c r="P619" s="59">
        <f>'Secondary cum Calculation'!P573</f>
        <v>0</v>
      </c>
      <c r="Q619" s="59"/>
      <c r="R619" s="59"/>
      <c r="S619" s="59"/>
      <c r="T619" s="59"/>
      <c r="U619" s="59"/>
      <c r="V619" s="59"/>
      <c r="W619" s="106" t="e">
        <f>'Secondary cum Calculation'!W573</f>
        <v>#DIV/0!</v>
      </c>
      <c r="X619" s="106" t="e">
        <f>'Secondary cum Calculation'!X573</f>
        <v>#DIV/0!</v>
      </c>
    </row>
    <row r="620" spans="1:26">
      <c r="A620" s="57"/>
      <c r="B620" s="57"/>
      <c r="C620" s="61" t="str">
        <f>'Secondary cum Calculation'!C574</f>
        <v>Growth Rate</v>
      </c>
      <c r="D620" s="61"/>
      <c r="E620" s="61"/>
      <c r="F620" s="61">
        <f>'Secondary cum Calculation'!F574</f>
        <v>0</v>
      </c>
      <c r="G620" s="61">
        <f>'Secondary cum Calculation'!G574</f>
        <v>0</v>
      </c>
      <c r="H620" s="61">
        <f>'Secondary cum Calculation'!H574</f>
        <v>0</v>
      </c>
      <c r="I620" s="61">
        <f>'Secondary cum Calculation'!I574</f>
        <v>0</v>
      </c>
      <c r="J620" s="61" t="str">
        <f>'Secondary cum Calculation'!J574</f>
        <v>%</v>
      </c>
      <c r="K620" s="58">
        <f>'Secondary cum Calculation'!K574</f>
        <v>0</v>
      </c>
      <c r="L620" s="59"/>
      <c r="M620" s="62" t="e">
        <f>'Secondary cum Calculation'!M574</f>
        <v>#DIV/0!</v>
      </c>
      <c r="N620" s="62" t="e">
        <f>'Secondary cum Calculation'!N574</f>
        <v>#DIV/0!</v>
      </c>
      <c r="O620" s="62" t="e">
        <f>'Secondary cum Calculation'!O574</f>
        <v>#DIV/0!</v>
      </c>
      <c r="P620" s="62" t="e">
        <f>'Secondary cum Calculation'!P574</f>
        <v>#DIV/0!</v>
      </c>
      <c r="Q620" s="62"/>
      <c r="R620" s="62"/>
      <c r="S620" s="62"/>
      <c r="T620" s="62"/>
      <c r="U620" s="62"/>
      <c r="V620" s="62"/>
      <c r="W620" s="259"/>
      <c r="X620" s="259"/>
    </row>
    <row r="621" spans="1:26">
      <c r="A621" s="55" t="str">
        <f>'Secondary cum Calculation'!A575</f>
        <v>Poland</v>
      </c>
      <c r="B621" s="56" t="str">
        <f>'Secondary cum Calculation'!B575</f>
        <v>Tourism Flows</v>
      </c>
      <c r="C621" s="56" t="str">
        <f>'Secondary cum Calculation'!C575</f>
        <v>International Arrivals by Place of Origin</v>
      </c>
      <c r="D621" s="56" t="str">
        <f>'Secondary cum Calculation'!D575</f>
        <v>South &amp; Central America</v>
      </c>
      <c r="E621" s="55" t="str">
        <f>'Secondary cum Calculation'!E575</f>
        <v>Saint Lucia</v>
      </c>
      <c r="F621" s="57" t="str">
        <f>'Secondary cum Calculation'!F575</f>
        <v>The number of international arrivals to a country originating from Saint Lucia</v>
      </c>
      <c r="G621" s="57" t="str">
        <f>'Secondary cum Calculation'!G575</f>
        <v>Tourism Demand &amp; Flows Database</v>
      </c>
      <c r="H621" s="57" t="str">
        <f>'Secondary cum Calculation'!H575</f>
        <v>New</v>
      </c>
      <c r="I621" s="57">
        <f>'Secondary cum Calculation'!I575</f>
        <v>0</v>
      </c>
      <c r="J621" s="57" t="str">
        <f>'Secondary cum Calculation'!J575</f>
        <v>Thousand</v>
      </c>
      <c r="K621" s="58">
        <f>'Secondary cum Calculation'!K575</f>
        <v>0</v>
      </c>
      <c r="L621" s="59">
        <f>'Secondary cum Calculation'!L575</f>
        <v>0</v>
      </c>
      <c r="M621" s="59">
        <f>'Secondary cum Calculation'!M575</f>
        <v>0</v>
      </c>
      <c r="N621" s="59">
        <f>'Secondary cum Calculation'!N575</f>
        <v>0</v>
      </c>
      <c r="O621" s="59">
        <f>'Secondary cum Calculation'!O575</f>
        <v>0</v>
      </c>
      <c r="P621" s="59">
        <f>'Secondary cum Calculation'!P575</f>
        <v>0</v>
      </c>
      <c r="Q621" s="59"/>
      <c r="R621" s="59"/>
      <c r="S621" s="59"/>
      <c r="T621" s="59"/>
      <c r="U621" s="59"/>
      <c r="V621" s="59"/>
      <c r="W621" s="106" t="e">
        <f>'Secondary cum Calculation'!W575</f>
        <v>#DIV/0!</v>
      </c>
      <c r="X621" s="106" t="e">
        <f>'Secondary cum Calculation'!X575</f>
        <v>#DIV/0!</v>
      </c>
    </row>
    <row r="622" spans="1:26">
      <c r="A622" s="57"/>
      <c r="B622" s="57"/>
      <c r="C622" s="61" t="str">
        <f>'Secondary cum Calculation'!C576</f>
        <v>Growth Rate</v>
      </c>
      <c r="D622" s="61"/>
      <c r="E622" s="61"/>
      <c r="F622" s="61">
        <f>'Secondary cum Calculation'!F576</f>
        <v>0</v>
      </c>
      <c r="G622" s="61">
        <f>'Secondary cum Calculation'!G576</f>
        <v>0</v>
      </c>
      <c r="H622" s="61">
        <f>'Secondary cum Calculation'!H576</f>
        <v>0</v>
      </c>
      <c r="I622" s="61">
        <f>'Secondary cum Calculation'!I576</f>
        <v>0</v>
      </c>
      <c r="J622" s="61" t="str">
        <f>'Secondary cum Calculation'!J576</f>
        <v>%</v>
      </c>
      <c r="K622" s="58">
        <f>'Secondary cum Calculation'!K576</f>
        <v>0</v>
      </c>
      <c r="L622" s="59"/>
      <c r="M622" s="62" t="e">
        <f>'Secondary cum Calculation'!M576</f>
        <v>#DIV/0!</v>
      </c>
      <c r="N622" s="62" t="e">
        <f>'Secondary cum Calculation'!N576</f>
        <v>#DIV/0!</v>
      </c>
      <c r="O622" s="62" t="e">
        <f>'Secondary cum Calculation'!O576</f>
        <v>#DIV/0!</v>
      </c>
      <c r="P622" s="62" t="e">
        <f>'Secondary cum Calculation'!P576</f>
        <v>#DIV/0!</v>
      </c>
      <c r="Q622" s="62"/>
      <c r="R622" s="62"/>
      <c r="S622" s="62"/>
      <c r="T622" s="62"/>
      <c r="U622" s="62"/>
      <c r="V622" s="62"/>
      <c r="W622" s="259"/>
      <c r="X622" s="259"/>
    </row>
    <row r="623" spans="1:26">
      <c r="A623" s="55" t="str">
        <f>'Secondary cum Calculation'!A577</f>
        <v>Poland</v>
      </c>
      <c r="B623" s="56" t="str">
        <f>'Secondary cum Calculation'!B577</f>
        <v>Tourism Flows</v>
      </c>
      <c r="C623" s="56" t="str">
        <f>'Secondary cum Calculation'!C577</f>
        <v>International Arrivals by Place of Origin</v>
      </c>
      <c r="D623" s="56" t="str">
        <f>'Secondary cum Calculation'!D577</f>
        <v>South &amp; Central America</v>
      </c>
      <c r="E623" s="55" t="str">
        <f>'Secondary cum Calculation'!E577</f>
        <v>Sao Tome and Principe</v>
      </c>
      <c r="F623" s="57" t="str">
        <f>'Secondary cum Calculation'!F577</f>
        <v>The number of international arrivals to a country originating from Sao Tome and Principe</v>
      </c>
      <c r="G623" s="57" t="str">
        <f>'Secondary cum Calculation'!G577</f>
        <v>Tourism Demand &amp; Flows Database</v>
      </c>
      <c r="H623" s="57" t="str">
        <f>'Secondary cum Calculation'!H577</f>
        <v>New</v>
      </c>
      <c r="I623" s="57">
        <f>'Secondary cum Calculation'!I577</f>
        <v>0</v>
      </c>
      <c r="J623" s="57" t="str">
        <f>'Secondary cum Calculation'!J577</f>
        <v>Thousand</v>
      </c>
      <c r="K623" s="58">
        <f>'Secondary cum Calculation'!K577</f>
        <v>0</v>
      </c>
      <c r="L623" s="59">
        <f>'Secondary cum Calculation'!L577</f>
        <v>0</v>
      </c>
      <c r="M623" s="59">
        <f>'Secondary cum Calculation'!M577</f>
        <v>0</v>
      </c>
      <c r="N623" s="59">
        <f>'Secondary cum Calculation'!N577</f>
        <v>0</v>
      </c>
      <c r="O623" s="59">
        <f>'Secondary cum Calculation'!O577</f>
        <v>0</v>
      </c>
      <c r="P623" s="59">
        <f>'Secondary cum Calculation'!P577</f>
        <v>0</v>
      </c>
      <c r="Q623" s="59"/>
      <c r="R623" s="59"/>
      <c r="S623" s="59"/>
      <c r="T623" s="59"/>
      <c r="U623" s="59"/>
      <c r="V623" s="59"/>
      <c r="W623" s="106" t="e">
        <f>'Secondary cum Calculation'!W577</f>
        <v>#DIV/0!</v>
      </c>
      <c r="X623" s="106" t="e">
        <f>'Secondary cum Calculation'!X577</f>
        <v>#DIV/0!</v>
      </c>
    </row>
    <row r="624" spans="1:26">
      <c r="A624" s="57"/>
      <c r="B624" s="57"/>
      <c r="C624" s="61" t="str">
        <f>'Secondary cum Calculation'!C578</f>
        <v>Growth Rate</v>
      </c>
      <c r="D624" s="61"/>
      <c r="E624" s="61"/>
      <c r="F624" s="61">
        <f>'Secondary cum Calculation'!F578</f>
        <v>0</v>
      </c>
      <c r="G624" s="61">
        <f>'Secondary cum Calculation'!G578</f>
        <v>0</v>
      </c>
      <c r="H624" s="61">
        <f>'Secondary cum Calculation'!H578</f>
        <v>0</v>
      </c>
      <c r="I624" s="61">
        <f>'Secondary cum Calculation'!I578</f>
        <v>0</v>
      </c>
      <c r="J624" s="61" t="str">
        <f>'Secondary cum Calculation'!J578</f>
        <v>%</v>
      </c>
      <c r="K624" s="58">
        <f>'Secondary cum Calculation'!K578</f>
        <v>0</v>
      </c>
      <c r="L624" s="59"/>
      <c r="M624" s="62" t="e">
        <f>'Secondary cum Calculation'!M578</f>
        <v>#DIV/0!</v>
      </c>
      <c r="N624" s="62" t="e">
        <f>'Secondary cum Calculation'!N578</f>
        <v>#DIV/0!</v>
      </c>
      <c r="O624" s="62" t="e">
        <f>'Secondary cum Calculation'!O578</f>
        <v>#DIV/0!</v>
      </c>
      <c r="P624" s="62" t="e">
        <f>'Secondary cum Calculation'!P578</f>
        <v>#DIV/0!</v>
      </c>
      <c r="Q624" s="62"/>
      <c r="R624" s="62"/>
      <c r="S624" s="62"/>
      <c r="T624" s="62"/>
      <c r="U624" s="62"/>
      <c r="V624" s="62"/>
      <c r="W624" s="259"/>
      <c r="X624" s="259"/>
    </row>
    <row r="625" spans="1:27">
      <c r="A625" s="55" t="str">
        <f>'Secondary cum Calculation'!A579</f>
        <v>Poland</v>
      </c>
      <c r="B625" s="56" t="str">
        <f>'Secondary cum Calculation'!B579</f>
        <v>Tourism Flows</v>
      </c>
      <c r="C625" s="56" t="str">
        <f>'Secondary cum Calculation'!C579</f>
        <v>International Arrivals by Place of Origin</v>
      </c>
      <c r="D625" s="56" t="str">
        <f>'Secondary cum Calculation'!D579</f>
        <v>South &amp; Central America</v>
      </c>
      <c r="E625" s="55" t="str">
        <f>'Secondary cum Calculation'!E579</f>
        <v>St. Vincent and the Grenadines</v>
      </c>
      <c r="F625" s="57" t="str">
        <f>'Secondary cum Calculation'!F579</f>
        <v>The number of international arrivals to a country originating from St. Vincent and the Grenadines</v>
      </c>
      <c r="G625" s="57" t="str">
        <f>'Secondary cum Calculation'!G579</f>
        <v>Tourism Demand &amp; Flows Database</v>
      </c>
      <c r="H625" s="57" t="str">
        <f>'Secondary cum Calculation'!H579</f>
        <v>New</v>
      </c>
      <c r="I625" s="57">
        <f>'Secondary cum Calculation'!I579</f>
        <v>0</v>
      </c>
      <c r="J625" s="57" t="str">
        <f>'Secondary cum Calculation'!J579</f>
        <v>Thousand</v>
      </c>
      <c r="K625" s="58">
        <f>'Secondary cum Calculation'!K579</f>
        <v>0</v>
      </c>
      <c r="L625" s="59">
        <f>'Secondary cum Calculation'!L579</f>
        <v>0</v>
      </c>
      <c r="M625" s="59">
        <f>'Secondary cum Calculation'!M579</f>
        <v>0</v>
      </c>
      <c r="N625" s="59">
        <f>'Secondary cum Calculation'!N579</f>
        <v>0</v>
      </c>
      <c r="O625" s="59">
        <f>'Secondary cum Calculation'!O579</f>
        <v>0</v>
      </c>
      <c r="P625" s="59">
        <f>'Secondary cum Calculation'!P579</f>
        <v>0</v>
      </c>
      <c r="Q625" s="59"/>
      <c r="R625" s="59"/>
      <c r="S625" s="59"/>
      <c r="T625" s="59"/>
      <c r="U625" s="59"/>
      <c r="V625" s="59"/>
      <c r="W625" s="106" t="e">
        <f>'Secondary cum Calculation'!W579</f>
        <v>#DIV/0!</v>
      </c>
      <c r="X625" s="106" t="e">
        <f>'Secondary cum Calculation'!X579</f>
        <v>#DIV/0!</v>
      </c>
    </row>
    <row r="626" spans="1:27">
      <c r="A626" s="57"/>
      <c r="B626" s="57"/>
      <c r="C626" s="61" t="str">
        <f>'Secondary cum Calculation'!C580</f>
        <v>Growth Rate</v>
      </c>
      <c r="D626" s="61"/>
      <c r="E626" s="61"/>
      <c r="F626" s="61">
        <f>'Secondary cum Calculation'!F580</f>
        <v>0</v>
      </c>
      <c r="G626" s="61">
        <f>'Secondary cum Calculation'!G580</f>
        <v>0</v>
      </c>
      <c r="H626" s="61">
        <f>'Secondary cum Calculation'!H580</f>
        <v>0</v>
      </c>
      <c r="I626" s="61">
        <f>'Secondary cum Calculation'!I580</f>
        <v>0</v>
      </c>
      <c r="J626" s="61" t="str">
        <f>'Secondary cum Calculation'!J580</f>
        <v>%</v>
      </c>
      <c r="K626" s="58">
        <f>'Secondary cum Calculation'!K580</f>
        <v>0</v>
      </c>
      <c r="L626" s="59"/>
      <c r="M626" s="62" t="e">
        <f>'Secondary cum Calculation'!M580</f>
        <v>#DIV/0!</v>
      </c>
      <c r="N626" s="62" t="e">
        <f>'Secondary cum Calculation'!N580</f>
        <v>#DIV/0!</v>
      </c>
      <c r="O626" s="62" t="e">
        <f>'Secondary cum Calculation'!O580</f>
        <v>#DIV/0!</v>
      </c>
      <c r="P626" s="62" t="e">
        <f>'Secondary cum Calculation'!P580</f>
        <v>#DIV/0!</v>
      </c>
      <c r="Q626" s="62"/>
      <c r="R626" s="62"/>
      <c r="S626" s="62"/>
      <c r="T626" s="62"/>
      <c r="U626" s="62"/>
      <c r="V626" s="62"/>
      <c r="W626" s="259"/>
      <c r="X626" s="259"/>
    </row>
    <row r="627" spans="1:27">
      <c r="A627" s="55" t="str">
        <f>'Secondary cum Calculation'!A581</f>
        <v>Poland</v>
      </c>
      <c r="B627" s="56" t="str">
        <f>'Secondary cum Calculation'!B581</f>
        <v>Tourism Flows</v>
      </c>
      <c r="C627" s="56" t="str">
        <f>'Secondary cum Calculation'!C581</f>
        <v>International Arrivals by Place of Origin</v>
      </c>
      <c r="D627" s="56" t="str">
        <f>'Secondary cum Calculation'!D581</f>
        <v>South &amp; Central America</v>
      </c>
      <c r="E627" s="55" t="str">
        <f>'Secondary cum Calculation'!E581</f>
        <v>Suriname</v>
      </c>
      <c r="F627" s="57" t="str">
        <f>'Secondary cum Calculation'!F581</f>
        <v>The number of international arrivals to a country originating from Suriname</v>
      </c>
      <c r="G627" s="57" t="str">
        <f>'Secondary cum Calculation'!G581</f>
        <v>Tourism Demand &amp; Flows Database</v>
      </c>
      <c r="H627" s="57" t="str">
        <f>'Secondary cum Calculation'!H581</f>
        <v>New</v>
      </c>
      <c r="I627" s="57">
        <f>'Secondary cum Calculation'!I581</f>
        <v>0</v>
      </c>
      <c r="J627" s="57" t="str">
        <f>'Secondary cum Calculation'!J581</f>
        <v>Thousand</v>
      </c>
      <c r="K627" s="58">
        <f>'Secondary cum Calculation'!K581</f>
        <v>0</v>
      </c>
      <c r="L627" s="59">
        <f>'Secondary cum Calculation'!L581</f>
        <v>0</v>
      </c>
      <c r="M627" s="59">
        <f>'Secondary cum Calculation'!M581</f>
        <v>0</v>
      </c>
      <c r="N627" s="59">
        <f>'Secondary cum Calculation'!N581</f>
        <v>0</v>
      </c>
      <c r="O627" s="88">
        <f>'Secondary cum Calculation'!O581</f>
        <v>0</v>
      </c>
      <c r="P627" s="88">
        <f>'Secondary cum Calculation'!P581</f>
        <v>0</v>
      </c>
      <c r="Q627" s="88"/>
      <c r="R627" s="88"/>
      <c r="S627" s="88"/>
      <c r="T627" s="88"/>
      <c r="U627" s="88"/>
      <c r="V627" s="88"/>
      <c r="W627" s="106" t="e">
        <f>'Secondary cum Calculation'!W581</f>
        <v>#DIV/0!</v>
      </c>
      <c r="X627" s="106" t="e">
        <f>'Secondary cum Calculation'!X581</f>
        <v>#DIV/0!</v>
      </c>
    </row>
    <row r="628" spans="1:27">
      <c r="A628" s="57"/>
      <c r="B628" s="57"/>
      <c r="C628" s="61" t="str">
        <f>'Secondary cum Calculation'!C582</f>
        <v>Growth Rate</v>
      </c>
      <c r="D628" s="61"/>
      <c r="E628" s="61"/>
      <c r="F628" s="61">
        <f>'Secondary cum Calculation'!F582</f>
        <v>0</v>
      </c>
      <c r="G628" s="61">
        <f>'Secondary cum Calculation'!G582</f>
        <v>0</v>
      </c>
      <c r="H628" s="61">
        <f>'Secondary cum Calculation'!H582</f>
        <v>0</v>
      </c>
      <c r="I628" s="61">
        <f>'Secondary cum Calculation'!I582</f>
        <v>0</v>
      </c>
      <c r="J628" s="61" t="str">
        <f>'Secondary cum Calculation'!J582</f>
        <v>%</v>
      </c>
      <c r="K628" s="58">
        <f>'Secondary cum Calculation'!K582</f>
        <v>0</v>
      </c>
      <c r="L628" s="59"/>
      <c r="M628" s="62" t="e">
        <f>'Secondary cum Calculation'!M582</f>
        <v>#DIV/0!</v>
      </c>
      <c r="N628" s="62" t="e">
        <f>'Secondary cum Calculation'!N582</f>
        <v>#DIV/0!</v>
      </c>
      <c r="O628" s="62" t="e">
        <f>'Secondary cum Calculation'!O582</f>
        <v>#DIV/0!</v>
      </c>
      <c r="P628" s="62" t="e">
        <f>'Secondary cum Calculation'!P582</f>
        <v>#DIV/0!</v>
      </c>
      <c r="Q628" s="62"/>
      <c r="R628" s="62"/>
      <c r="S628" s="62"/>
      <c r="T628" s="62"/>
      <c r="U628" s="62"/>
      <c r="V628" s="62"/>
      <c r="W628" s="259"/>
      <c r="X628" s="259"/>
    </row>
    <row r="629" spans="1:27">
      <c r="A629" s="55" t="str">
        <f>'Secondary cum Calculation'!A583</f>
        <v>Poland</v>
      </c>
      <c r="B629" s="56" t="str">
        <f>'Secondary cum Calculation'!B583</f>
        <v>Tourism Flows</v>
      </c>
      <c r="C629" s="56" t="str">
        <f>'Secondary cum Calculation'!C583</f>
        <v>International Arrivals by Place of Origin</v>
      </c>
      <c r="D629" s="56" t="str">
        <f>'Secondary cum Calculation'!D583</f>
        <v>South &amp; Central America</v>
      </c>
      <c r="E629" s="55" t="str">
        <f>'Secondary cum Calculation'!E583</f>
        <v>Trinidad and Tobago</v>
      </c>
      <c r="F629" s="57" t="str">
        <f>'Secondary cum Calculation'!F583</f>
        <v>The number of international arrivals to a country originating from Trinidad and Tobago</v>
      </c>
      <c r="G629" s="57" t="str">
        <f>'Secondary cum Calculation'!G583</f>
        <v>Tourism Demand &amp; Flows Database</v>
      </c>
      <c r="H629" s="57" t="str">
        <f>'Secondary cum Calculation'!H583</f>
        <v>New</v>
      </c>
      <c r="I629" s="57">
        <f>'Secondary cum Calculation'!I583</f>
        <v>0</v>
      </c>
      <c r="J629" s="57" t="str">
        <f>'Secondary cum Calculation'!J583</f>
        <v>Thousand</v>
      </c>
      <c r="K629" s="58">
        <f>'Secondary cum Calculation'!K583</f>
        <v>133.90600000000001</v>
      </c>
      <c r="L629" s="59">
        <f>'Secondary cum Calculation'!L583</f>
        <v>0</v>
      </c>
      <c r="M629" s="59">
        <f>'Secondary cum Calculation'!M583</f>
        <v>0</v>
      </c>
      <c r="N629" s="59">
        <f>'Secondary cum Calculation'!N583</f>
        <v>0</v>
      </c>
      <c r="O629" s="59">
        <f>'Secondary cum Calculation'!O583</f>
        <v>0</v>
      </c>
      <c r="P629" s="59">
        <f>'Secondary cum Calculation'!P583</f>
        <v>0</v>
      </c>
      <c r="Q629" s="59"/>
      <c r="R629" s="59"/>
      <c r="S629" s="59"/>
      <c r="T629" s="59"/>
      <c r="U629" s="59"/>
      <c r="V629" s="59"/>
      <c r="W629" s="106" t="e">
        <f>'Secondary cum Calculation'!W583</f>
        <v>#DIV/0!</v>
      </c>
      <c r="X629" s="106" t="e">
        <f>'Secondary cum Calculation'!X583</f>
        <v>#DIV/0!</v>
      </c>
      <c r="Z629" s="12"/>
    </row>
    <row r="630" spans="1:27">
      <c r="A630" s="57"/>
      <c r="B630" s="57"/>
      <c r="C630" s="61" t="str">
        <f>'Secondary cum Calculation'!C584</f>
        <v>Growth Rate</v>
      </c>
      <c r="D630" s="61"/>
      <c r="E630" s="61"/>
      <c r="F630" s="61">
        <f>'Secondary cum Calculation'!F584</f>
        <v>0</v>
      </c>
      <c r="G630" s="61">
        <f>'Secondary cum Calculation'!G584</f>
        <v>0</v>
      </c>
      <c r="H630" s="61">
        <f>'Secondary cum Calculation'!H584</f>
        <v>0</v>
      </c>
      <c r="I630" s="61">
        <f>'Secondary cum Calculation'!I584</f>
        <v>0</v>
      </c>
      <c r="J630" s="61" t="str">
        <f>'Secondary cum Calculation'!J584</f>
        <v>%</v>
      </c>
      <c r="K630" s="58">
        <f>'Secondary cum Calculation'!K584</f>
        <v>0</v>
      </c>
      <c r="L630" s="59"/>
      <c r="M630" s="62" t="e">
        <f>'Secondary cum Calculation'!M584</f>
        <v>#DIV/0!</v>
      </c>
      <c r="N630" s="62" t="e">
        <f>'Secondary cum Calculation'!N584</f>
        <v>#DIV/0!</v>
      </c>
      <c r="O630" s="62" t="e">
        <f>'Secondary cum Calculation'!O584</f>
        <v>#DIV/0!</v>
      </c>
      <c r="P630" s="62" t="e">
        <f>'Secondary cum Calculation'!P584</f>
        <v>#DIV/0!</v>
      </c>
      <c r="Q630" s="62"/>
      <c r="R630" s="62"/>
      <c r="S630" s="62"/>
      <c r="T630" s="62"/>
      <c r="U630" s="62"/>
      <c r="V630" s="62"/>
      <c r="W630" s="259"/>
      <c r="X630" s="259"/>
    </row>
    <row r="631" spans="1:27">
      <c r="A631" s="55" t="str">
        <f>'Secondary cum Calculation'!A585</f>
        <v>Poland</v>
      </c>
      <c r="B631" s="56" t="str">
        <f>'Secondary cum Calculation'!B585</f>
        <v>Tourism Flows</v>
      </c>
      <c r="C631" s="56" t="str">
        <f>'Secondary cum Calculation'!C585</f>
        <v>International Arrivals by Place of Origin</v>
      </c>
      <c r="D631" s="56" t="str">
        <f>'Secondary cum Calculation'!D585</f>
        <v>South &amp; Central America</v>
      </c>
      <c r="E631" s="55" t="str">
        <f>'Secondary cum Calculation'!E585</f>
        <v>United States Virgin Islands</v>
      </c>
      <c r="F631" s="57" t="str">
        <f>'Secondary cum Calculation'!F585</f>
        <v>The number of international arrivals to a country originating from United States Virgin Islands</v>
      </c>
      <c r="G631" s="57" t="str">
        <f>'Secondary cum Calculation'!G585</f>
        <v>Tourism Demand &amp; Flows Database</v>
      </c>
      <c r="H631" s="57" t="str">
        <f>'Secondary cum Calculation'!H585</f>
        <v>New</v>
      </c>
      <c r="I631" s="57">
        <f>'Secondary cum Calculation'!I585</f>
        <v>0</v>
      </c>
      <c r="J631" s="57" t="str">
        <f>'Secondary cum Calculation'!J585</f>
        <v>Thousand</v>
      </c>
      <c r="K631" s="58">
        <f>'Secondary cum Calculation'!K585</f>
        <v>0</v>
      </c>
      <c r="L631" s="59">
        <f>'Secondary cum Calculation'!L585</f>
        <v>0</v>
      </c>
      <c r="M631" s="59">
        <f>'Secondary cum Calculation'!M585</f>
        <v>0</v>
      </c>
      <c r="N631" s="59">
        <f>'Secondary cum Calculation'!N585</f>
        <v>0</v>
      </c>
      <c r="O631" s="59">
        <f>'Secondary cum Calculation'!O585</f>
        <v>0</v>
      </c>
      <c r="P631" s="59">
        <f>'Secondary cum Calculation'!P585</f>
        <v>0</v>
      </c>
      <c r="Q631" s="59"/>
      <c r="R631" s="59"/>
      <c r="S631" s="59"/>
      <c r="T631" s="59"/>
      <c r="U631" s="59"/>
      <c r="V631" s="59"/>
      <c r="W631" s="106" t="e">
        <f>'Secondary cum Calculation'!W585</f>
        <v>#DIV/0!</v>
      </c>
      <c r="X631" s="106" t="e">
        <f>'Secondary cum Calculation'!X585</f>
        <v>#DIV/0!</v>
      </c>
    </row>
    <row r="632" spans="1:27">
      <c r="A632" s="57"/>
      <c r="B632" s="57"/>
      <c r="C632" s="61" t="str">
        <f>'Secondary cum Calculation'!C586</f>
        <v>Growth Rate</v>
      </c>
      <c r="D632" s="61"/>
      <c r="E632" s="61"/>
      <c r="F632" s="61">
        <f>'Secondary cum Calculation'!F586</f>
        <v>0</v>
      </c>
      <c r="G632" s="61">
        <f>'Secondary cum Calculation'!G586</f>
        <v>0</v>
      </c>
      <c r="H632" s="61">
        <f>'Secondary cum Calculation'!H586</f>
        <v>0</v>
      </c>
      <c r="I632" s="61">
        <f>'Secondary cum Calculation'!I586</f>
        <v>0</v>
      </c>
      <c r="J632" s="61" t="str">
        <f>'Secondary cum Calculation'!J586</f>
        <v>%</v>
      </c>
      <c r="K632" s="58">
        <f>'Secondary cum Calculation'!K586</f>
        <v>0</v>
      </c>
      <c r="L632" s="59"/>
      <c r="M632" s="62" t="e">
        <f>'Secondary cum Calculation'!M586</f>
        <v>#DIV/0!</v>
      </c>
      <c r="N632" s="62" t="e">
        <f>'Secondary cum Calculation'!N586</f>
        <v>#DIV/0!</v>
      </c>
      <c r="O632" s="62" t="e">
        <f>'Secondary cum Calculation'!O586</f>
        <v>#DIV/0!</v>
      </c>
      <c r="P632" s="62" t="e">
        <f>'Secondary cum Calculation'!P586</f>
        <v>#DIV/0!</v>
      </c>
      <c r="Q632" s="62"/>
      <c r="R632" s="62"/>
      <c r="S632" s="62"/>
      <c r="T632" s="62"/>
      <c r="U632" s="62"/>
      <c r="V632" s="62"/>
      <c r="W632" s="259"/>
      <c r="X632" s="259"/>
    </row>
    <row r="633" spans="1:27">
      <c r="A633" s="55" t="str">
        <f>'Secondary cum Calculation'!A587</f>
        <v>Poland</v>
      </c>
      <c r="B633" s="56" t="str">
        <f>'Secondary cum Calculation'!B587</f>
        <v>Tourism Flows</v>
      </c>
      <c r="C633" s="56" t="str">
        <f>'Secondary cum Calculation'!C587</f>
        <v>International Arrivals by Place of Origin</v>
      </c>
      <c r="D633" s="56" t="str">
        <f>'Secondary cum Calculation'!D587</f>
        <v>South &amp; Central America</v>
      </c>
      <c r="E633" s="55" t="str">
        <f>'Secondary cum Calculation'!E587</f>
        <v>Uruguay</v>
      </c>
      <c r="F633" s="57" t="str">
        <f>'Secondary cum Calculation'!F587</f>
        <v>The number of international arrivals to a country originating from Uruguay</v>
      </c>
      <c r="G633" s="57" t="str">
        <f>'Secondary cum Calculation'!G587</f>
        <v>Tourism Demand &amp; Flows Database</v>
      </c>
      <c r="H633" s="57" t="str">
        <f>'Secondary cum Calculation'!H587</f>
        <v>New</v>
      </c>
      <c r="I633" s="57">
        <f>'Secondary cum Calculation'!I587</f>
        <v>0</v>
      </c>
      <c r="J633" s="57" t="str">
        <f>'Secondary cum Calculation'!J587</f>
        <v>Thousand</v>
      </c>
      <c r="K633" s="58">
        <f>'Secondary cum Calculation'!K587</f>
        <v>0</v>
      </c>
      <c r="L633" s="59">
        <f>'Secondary cum Calculation'!L587</f>
        <v>0</v>
      </c>
      <c r="M633" s="59">
        <f>'Secondary cum Calculation'!M587</f>
        <v>0</v>
      </c>
      <c r="N633" s="59">
        <f>'Secondary cum Calculation'!N587</f>
        <v>0</v>
      </c>
      <c r="O633" s="88">
        <f>'Secondary cum Calculation'!O587</f>
        <v>0</v>
      </c>
      <c r="P633" s="88">
        <f>'Secondary cum Calculation'!P587</f>
        <v>0</v>
      </c>
      <c r="Q633" s="88"/>
      <c r="R633" s="88"/>
      <c r="S633" s="88"/>
      <c r="T633" s="88"/>
      <c r="U633" s="88"/>
      <c r="V633" s="88"/>
      <c r="W633" s="106" t="e">
        <f>'Secondary cum Calculation'!W587</f>
        <v>#DIV/0!</v>
      </c>
      <c r="X633" s="106" t="e">
        <f>'Secondary cum Calculation'!X587</f>
        <v>#DIV/0!</v>
      </c>
    </row>
    <row r="634" spans="1:27">
      <c r="A634" s="57"/>
      <c r="B634" s="57"/>
      <c r="C634" s="61" t="str">
        <f>'Secondary cum Calculation'!C588</f>
        <v>Growth Rate</v>
      </c>
      <c r="D634" s="61"/>
      <c r="E634" s="61"/>
      <c r="F634" s="61">
        <f>'Secondary cum Calculation'!F588</f>
        <v>0</v>
      </c>
      <c r="G634" s="61">
        <f>'Secondary cum Calculation'!G588</f>
        <v>0</v>
      </c>
      <c r="H634" s="61">
        <f>'Secondary cum Calculation'!H588</f>
        <v>0</v>
      </c>
      <c r="I634" s="61">
        <f>'Secondary cum Calculation'!I588</f>
        <v>0</v>
      </c>
      <c r="J634" s="61" t="str">
        <f>'Secondary cum Calculation'!J588</f>
        <v>%</v>
      </c>
      <c r="K634" s="58">
        <f>'Secondary cum Calculation'!K588</f>
        <v>0</v>
      </c>
      <c r="L634" s="59"/>
      <c r="M634" s="62" t="e">
        <f>'Secondary cum Calculation'!M588</f>
        <v>#DIV/0!</v>
      </c>
      <c r="N634" s="62" t="e">
        <f>'Secondary cum Calculation'!N588</f>
        <v>#DIV/0!</v>
      </c>
      <c r="O634" s="62" t="e">
        <f>'Secondary cum Calculation'!O588</f>
        <v>#DIV/0!</v>
      </c>
      <c r="P634" s="62" t="e">
        <f>'Secondary cum Calculation'!P588</f>
        <v>#DIV/0!</v>
      </c>
      <c r="Q634" s="62"/>
      <c r="R634" s="62"/>
      <c r="S634" s="62"/>
      <c r="T634" s="62"/>
      <c r="U634" s="62"/>
      <c r="V634" s="62"/>
      <c r="W634" s="259"/>
      <c r="X634" s="259"/>
    </row>
    <row r="635" spans="1:27">
      <c r="A635" s="55" t="str">
        <f>'Secondary cum Calculation'!A589</f>
        <v>Poland</v>
      </c>
      <c r="B635" s="56" t="str">
        <f>'Secondary cum Calculation'!B589</f>
        <v>Tourism Flows</v>
      </c>
      <c r="C635" s="56" t="str">
        <f>'Secondary cum Calculation'!C589</f>
        <v>International Arrivals by Place of Origin</v>
      </c>
      <c r="D635" s="56" t="str">
        <f>'Secondary cum Calculation'!D589</f>
        <v>South &amp; Central America</v>
      </c>
      <c r="E635" s="55" t="str">
        <f>'Secondary cum Calculation'!E589</f>
        <v>Venezuela</v>
      </c>
      <c r="F635" s="57" t="str">
        <f>'Secondary cum Calculation'!F589</f>
        <v>The number of international arrivals to a country originating from Venezuela</v>
      </c>
      <c r="G635" s="57" t="str">
        <f>'Secondary cum Calculation'!G589</f>
        <v>Tourism Demand &amp; Flows Database</v>
      </c>
      <c r="H635" s="57" t="str">
        <f>'Secondary cum Calculation'!H589</f>
        <v>New</v>
      </c>
      <c r="I635" s="57">
        <f>'Secondary cum Calculation'!I589</f>
        <v>0</v>
      </c>
      <c r="J635" s="57" t="str">
        <f>'Secondary cum Calculation'!J589</f>
        <v>Thousand</v>
      </c>
      <c r="K635" s="58">
        <f>'Secondary cum Calculation'!K589</f>
        <v>369.03699999999998</v>
      </c>
      <c r="L635" s="59">
        <f>'Secondary cum Calculation'!L589</f>
        <v>0</v>
      </c>
      <c r="M635" s="59">
        <f>'Secondary cum Calculation'!M589</f>
        <v>0</v>
      </c>
      <c r="N635" s="59">
        <f>'Secondary cum Calculation'!N589</f>
        <v>0</v>
      </c>
      <c r="O635" s="59">
        <f>'Secondary cum Calculation'!O589</f>
        <v>0</v>
      </c>
      <c r="P635" s="59">
        <f>'Secondary cum Calculation'!P589</f>
        <v>0</v>
      </c>
      <c r="Q635" s="59"/>
      <c r="R635" s="59"/>
      <c r="S635" s="59"/>
      <c r="T635" s="59"/>
      <c r="U635" s="59"/>
      <c r="V635" s="59"/>
      <c r="W635" s="106" t="e">
        <f>'Secondary cum Calculation'!W589</f>
        <v>#DIV/0!</v>
      </c>
      <c r="X635" s="106" t="e">
        <f>'Secondary cum Calculation'!X589</f>
        <v>#DIV/0!</v>
      </c>
      <c r="Z635" s="12"/>
    </row>
    <row r="636" spans="1:27">
      <c r="A636" s="57"/>
      <c r="B636" s="57"/>
      <c r="C636" s="61" t="str">
        <f>'Secondary cum Calculation'!C590</f>
        <v>Growth Rate</v>
      </c>
      <c r="D636" s="61"/>
      <c r="E636" s="61"/>
      <c r="F636" s="61">
        <f>'Secondary cum Calculation'!F590</f>
        <v>0</v>
      </c>
      <c r="G636" s="61">
        <f>'Secondary cum Calculation'!G590</f>
        <v>0</v>
      </c>
      <c r="H636" s="61">
        <f>'Secondary cum Calculation'!H590</f>
        <v>0</v>
      </c>
      <c r="I636" s="61">
        <f>'Secondary cum Calculation'!I590</f>
        <v>0</v>
      </c>
      <c r="J636" s="61" t="str">
        <f>'Secondary cum Calculation'!J590</f>
        <v>%</v>
      </c>
      <c r="K636" s="58">
        <f>'Secondary cum Calculation'!K590</f>
        <v>0</v>
      </c>
      <c r="L636" s="59"/>
      <c r="M636" s="62" t="e">
        <f>'Secondary cum Calculation'!M590</f>
        <v>#DIV/0!</v>
      </c>
      <c r="N636" s="62" t="e">
        <f>'Secondary cum Calculation'!N590</f>
        <v>#DIV/0!</v>
      </c>
      <c r="O636" s="62" t="e">
        <f>'Secondary cum Calculation'!O590</f>
        <v>#DIV/0!</v>
      </c>
      <c r="P636" s="62" t="e">
        <f>'Secondary cum Calculation'!P590</f>
        <v>#DIV/0!</v>
      </c>
      <c r="Q636" s="62"/>
      <c r="R636" s="62"/>
      <c r="S636" s="62"/>
      <c r="T636" s="62"/>
      <c r="U636" s="62"/>
      <c r="V636" s="62"/>
      <c r="W636" s="259"/>
      <c r="X636" s="259"/>
    </row>
    <row r="637" spans="1:27">
      <c r="A637" s="55" t="str">
        <f>'Secondary cum Calculation'!A591</f>
        <v>Poland</v>
      </c>
      <c r="B637" s="84" t="str">
        <f>'Secondary cum Calculation'!B591</f>
        <v>Tourism Flows</v>
      </c>
      <c r="C637" s="84" t="str">
        <f>'Secondary cum Calculation'!C591</f>
        <v>International Arrivals by Place of Origin</v>
      </c>
      <c r="D637" s="84" t="str">
        <f>'Secondary cum Calculation'!D591</f>
        <v>South &amp; Central America</v>
      </c>
      <c r="E637" s="97" t="str">
        <f>'Secondary cum Calculation'!E591</f>
        <v>Other South American Countries</v>
      </c>
      <c r="F637" s="84" t="str">
        <f>'Secondary cum Calculation'!F591</f>
        <v>To be defined according to the gaps in the country data above</v>
      </c>
      <c r="G637" s="84" t="str">
        <f>'Secondary cum Calculation'!G591</f>
        <v>Tourism Demand &amp; Flows Database</v>
      </c>
      <c r="H637" s="84" t="str">
        <f>'Secondary cum Calculation'!H591</f>
        <v>New</v>
      </c>
      <c r="I637" s="84">
        <f>'Secondary cum Calculation'!I591</f>
        <v>0</v>
      </c>
      <c r="J637" s="57" t="str">
        <f>'Secondary cum Calculation'!J591</f>
        <v>Thousand</v>
      </c>
      <c r="K637" s="101">
        <f>'Secondary cum Calculation'!K591</f>
        <v>0</v>
      </c>
      <c r="L637" s="99">
        <f>'Secondary cum Calculation'!L591</f>
        <v>124.7215478821098</v>
      </c>
      <c r="M637" s="99">
        <f>'Secondary cum Calculation'!M591</f>
        <v>105.61380313813152</v>
      </c>
      <c r="N637" s="99">
        <f>'Secondary cum Calculation'!N591</f>
        <v>89.982485120907882</v>
      </c>
      <c r="O637" s="99">
        <f>'Secondary cum Calculation'!O591</f>
        <v>101.64829680960473</v>
      </c>
      <c r="P637" s="99">
        <f>'Secondary cum Calculation'!P591</f>
        <v>92.827273713447013</v>
      </c>
      <c r="Q637" s="99"/>
      <c r="R637" s="99"/>
      <c r="S637" s="99"/>
      <c r="T637" s="99"/>
      <c r="U637" s="99"/>
      <c r="V637" s="99"/>
      <c r="W637" s="107">
        <f>'Secondary cum Calculation'!W591</f>
        <v>1.1129189632818504E-2</v>
      </c>
      <c r="X637" s="107">
        <f>'Secondary cum Calculation'!X591</f>
        <v>-1</v>
      </c>
      <c r="Y637" s="41"/>
      <c r="Z637" s="41"/>
      <c r="AA637" s="41"/>
    </row>
    <row r="638" spans="1:27">
      <c r="A638" s="57"/>
      <c r="B638" s="57"/>
      <c r="C638" s="61" t="str">
        <f>'Secondary cum Calculation'!C592</f>
        <v>Growth Rate</v>
      </c>
      <c r="D638" s="61"/>
      <c r="E638" s="61"/>
      <c r="F638" s="61">
        <f>'Secondary cum Calculation'!F592</f>
        <v>0</v>
      </c>
      <c r="G638" s="61">
        <f>'Secondary cum Calculation'!G592</f>
        <v>0</v>
      </c>
      <c r="H638" s="61">
        <f>'Secondary cum Calculation'!H592</f>
        <v>0</v>
      </c>
      <c r="I638" s="61">
        <f>'Secondary cum Calculation'!I592</f>
        <v>0</v>
      </c>
      <c r="J638" s="61" t="str">
        <f>'Secondary cum Calculation'!J592</f>
        <v>%</v>
      </c>
      <c r="K638" s="58">
        <f>'Secondary cum Calculation'!K592</f>
        <v>0</v>
      </c>
      <c r="L638" s="59"/>
      <c r="M638" s="62">
        <f>'Secondary cum Calculation'!M592</f>
        <v>-0.15320323607625086</v>
      </c>
      <c r="N638" s="62">
        <f>'Secondary cum Calculation'!N592</f>
        <v>-0.14800449896477597</v>
      </c>
      <c r="O638" s="62">
        <f>'Secondary cum Calculation'!O592</f>
        <v>0.12964536012782601</v>
      </c>
      <c r="P638" s="62">
        <f>'Secondary cum Calculation'!P592</f>
        <v>-8.6779841601086427E-2</v>
      </c>
      <c r="Q638" s="62"/>
      <c r="R638" s="62"/>
      <c r="S638" s="62"/>
      <c r="T638" s="62"/>
      <c r="U638" s="62"/>
      <c r="V638" s="62"/>
      <c r="W638" s="259"/>
      <c r="X638" s="259"/>
    </row>
    <row r="639" spans="1:27">
      <c r="A639" s="46" t="str">
        <f>'Secondary cum Calculation'!A593</f>
        <v>Poland</v>
      </c>
      <c r="B639" s="47" t="str">
        <f>'Secondary cum Calculation'!B593</f>
        <v>Tourism Flows</v>
      </c>
      <c r="C639" s="46" t="str">
        <f>'Secondary cum Calculation'!C593</f>
        <v>International Arrivals by Purpose of Visit</v>
      </c>
      <c r="D639" s="48"/>
      <c r="E639" s="48"/>
      <c r="F639" s="48" t="str">
        <f>'Secondary cum Calculation'!F593</f>
        <v>The total number of international arrivals to a country, segmented by the purpose of the visit and the mode of transport used to get to and from the destination.</v>
      </c>
      <c r="G639" s="48" t="str">
        <f>'Secondary cum Calculation'!G593</f>
        <v>Tourism Demand &amp; Flows Database</v>
      </c>
      <c r="H639" s="48" t="str">
        <f>'Secondary cum Calculation'!H593</f>
        <v>Exists</v>
      </c>
      <c r="I639" s="48">
        <f>'Secondary cum Calculation'!I593</f>
        <v>0</v>
      </c>
      <c r="J639" s="46" t="str">
        <f>'Secondary cum Calculation'!J593</f>
        <v>Thousand</v>
      </c>
      <c r="K639" s="76">
        <f>'Secondary cum Calculation'!K593</f>
        <v>0</v>
      </c>
      <c r="L639" s="269">
        <f>'Secondary cum Calculation'!L593</f>
        <v>14975.131262212246</v>
      </c>
      <c r="M639" s="269">
        <f>'Secondary cum Calculation'!M593</f>
        <v>12959.850226300863</v>
      </c>
      <c r="N639" s="269">
        <f>'Secondary cum Calculation'!N593</f>
        <v>11890</v>
      </c>
      <c r="O639" s="269">
        <f>'Secondary cum Calculation'!O593</f>
        <v>12470</v>
      </c>
      <c r="P639" s="269">
        <f>'Secondary cum Calculation'!P593</f>
        <v>13350</v>
      </c>
      <c r="Q639" s="269">
        <f>'Secondary cum Calculation'!Q593</f>
        <v>14840.000000000002</v>
      </c>
      <c r="R639" s="269">
        <f t="shared" ref="R639:U639" si="431">R163</f>
        <v>15491.394687244565</v>
      </c>
      <c r="S639" s="269">
        <f t="shared" si="431"/>
        <v>16075.885905664962</v>
      </c>
      <c r="T639" s="269">
        <f t="shared" si="431"/>
        <v>16743.512843757366</v>
      </c>
      <c r="U639" s="269">
        <f t="shared" si="431"/>
        <v>17530.93536460535</v>
      </c>
      <c r="V639" s="269">
        <f t="shared" ref="V639" si="432">V163</f>
        <v>18417.93995094355</v>
      </c>
      <c r="W639" s="262">
        <f>'Secondary cum Calculation'!W593</f>
        <v>3.4447560113938902E-2</v>
      </c>
      <c r="X639" s="262">
        <f>'Secondary cum Calculation'!X593</f>
        <v>4.4146483873642506E-2</v>
      </c>
    </row>
    <row r="640" spans="1:27">
      <c r="A640" s="48"/>
      <c r="B640" s="48"/>
      <c r="C640" s="52" t="str">
        <f>'Secondary cum Calculation'!C594</f>
        <v>Growth Rate</v>
      </c>
      <c r="D640" s="52"/>
      <c r="E640" s="52"/>
      <c r="F640" s="52">
        <f>'Secondary cum Calculation'!F594</f>
        <v>0</v>
      </c>
      <c r="G640" s="52">
        <f>'Secondary cum Calculation'!G594</f>
        <v>0</v>
      </c>
      <c r="H640" s="52">
        <f>'Secondary cum Calculation'!H594</f>
        <v>0</v>
      </c>
      <c r="I640" s="52">
        <f>'Secondary cum Calculation'!I594</f>
        <v>0</v>
      </c>
      <c r="J640" s="52" t="str">
        <f>'Secondary cum Calculation'!J594</f>
        <v>%</v>
      </c>
      <c r="K640" s="49">
        <f>'Secondary cum Calculation'!K594</f>
        <v>0</v>
      </c>
      <c r="L640" s="53"/>
      <c r="M640" s="54">
        <f>'Secondary cum Calculation'!M594</f>
        <v>-0.13457518339065755</v>
      </c>
      <c r="N640" s="54">
        <f>'Secondary cum Calculation'!N594</f>
        <v>-8.2551125793853486E-2</v>
      </c>
      <c r="O640" s="54">
        <f>'Secondary cum Calculation'!O594</f>
        <v>4.8780487804878092E-2</v>
      </c>
      <c r="P640" s="54">
        <f>'Secondary cum Calculation'!P594</f>
        <v>7.0569366479551032E-2</v>
      </c>
      <c r="Q640" s="54">
        <f>'Secondary cum Calculation'!Q594</f>
        <v>0.11161048689138586</v>
      </c>
      <c r="R640" s="54">
        <f t="shared" ref="R640:V640" si="433">R639/Q639-1</f>
        <v>4.3894520703811502E-2</v>
      </c>
      <c r="S640" s="54">
        <f t="shared" si="433"/>
        <v>3.7730057894765245E-2</v>
      </c>
      <c r="T640" s="54">
        <f t="shared" si="433"/>
        <v>4.1529713635074961E-2</v>
      </c>
      <c r="U640" s="54">
        <f t="shared" si="433"/>
        <v>4.7028513561989227E-2</v>
      </c>
      <c r="V640" s="54">
        <f t="shared" si="433"/>
        <v>5.0596535090138284E-2</v>
      </c>
      <c r="W640" s="258"/>
      <c r="X640" s="258"/>
    </row>
    <row r="641" spans="1:26">
      <c r="A641" s="46" t="str">
        <f>'Secondary cum Calculation'!A595</f>
        <v>Poland</v>
      </c>
      <c r="B641" s="47" t="str">
        <f>'Secondary cum Calculation'!B595</f>
        <v>Tourism Flows</v>
      </c>
      <c r="C641" s="47" t="str">
        <f>'Secondary cum Calculation'!C595</f>
        <v>International Arrivals by Purpose of Visit</v>
      </c>
      <c r="D641" s="46" t="str">
        <f>'Secondary cum Calculation'!D595</f>
        <v>Business</v>
      </c>
      <c r="E641" s="48"/>
      <c r="F641" s="48" t="str">
        <f>'Secondary cum Calculation'!F595</f>
        <v>The number of international arrivals to a country who are engaging in travel &amp; tourism activities on behalf of their business or employer.</v>
      </c>
      <c r="G641" s="48" t="str">
        <f>'Secondary cum Calculation'!G595</f>
        <v>Tourism Demand &amp; Flows Database</v>
      </c>
      <c r="H641" s="48" t="str">
        <f>'Secondary cum Calculation'!H595</f>
        <v>Exists</v>
      </c>
      <c r="I641" s="48" t="str">
        <f>'Secondary cum Calculation'!I595</f>
        <v>UNWTO</v>
      </c>
      <c r="J641" s="48" t="str">
        <f>'Secondary cum Calculation'!J595</f>
        <v>Thousand</v>
      </c>
      <c r="K641" s="49" t="e">
        <f>'Secondary cum Calculation'!K595</f>
        <v>#REF!</v>
      </c>
      <c r="L641" s="268">
        <f>'Secondary cum Calculation'!L595</f>
        <v>4297.9058436177911</v>
      </c>
      <c r="M641" s="268">
        <f>'Secondary cum Calculation'!M595</f>
        <v>3628.7580633642419</v>
      </c>
      <c r="N641" s="268">
        <f>'Secondary cum Calculation'!N595</f>
        <v>3210.3</v>
      </c>
      <c r="O641" s="268">
        <f>'Secondary cum Calculation'!O595</f>
        <v>3117.5</v>
      </c>
      <c r="P641" s="268">
        <f>'Secondary cum Calculation'!P595</f>
        <v>3471</v>
      </c>
      <c r="Q641" s="268">
        <f>'Secondary cum Calculation'!Q595</f>
        <v>3839.5399690028439</v>
      </c>
      <c r="R641" s="268">
        <f t="shared" ref="R641:U645" si="434">R$639*R647</f>
        <v>3933.6136609789919</v>
      </c>
      <c r="S641" s="268">
        <f t="shared" si="434"/>
        <v>4020.2576053901921</v>
      </c>
      <c r="T641" s="268">
        <f t="shared" si="434"/>
        <v>4103.80165074468</v>
      </c>
      <c r="U641" s="268">
        <f t="shared" si="434"/>
        <v>4234.7066364105376</v>
      </c>
      <c r="V641" s="268">
        <f t="shared" ref="V641" si="435">V$639*V647</f>
        <v>4377.6053695505616</v>
      </c>
      <c r="W641" s="102">
        <f>'Secondary cum Calculation'!W595</f>
        <v>1.4215619747853347E-2</v>
      </c>
      <c r="X641" s="102">
        <f>'Secondary cum Calculation'!X595</f>
        <v>2.6576889481508159E-2</v>
      </c>
      <c r="Y641" s="13"/>
    </row>
    <row r="642" spans="1:26">
      <c r="A642" s="48"/>
      <c r="B642" s="48"/>
      <c r="C642" s="52" t="str">
        <f>'Secondary cum Calculation'!C596</f>
        <v>Growth Rate</v>
      </c>
      <c r="D642" s="52"/>
      <c r="E642" s="52"/>
      <c r="F642" s="52">
        <f>'Secondary cum Calculation'!F596</f>
        <v>0</v>
      </c>
      <c r="G642" s="52">
        <f>'Secondary cum Calculation'!G596</f>
        <v>0</v>
      </c>
      <c r="H642" s="52">
        <f>'Secondary cum Calculation'!H596</f>
        <v>0</v>
      </c>
      <c r="I642" s="52">
        <f>'Secondary cum Calculation'!I596</f>
        <v>0</v>
      </c>
      <c r="J642" s="52" t="str">
        <f>'Secondary cum Calculation'!J596</f>
        <v>%</v>
      </c>
      <c r="K642" s="49">
        <f>'Secondary cum Calculation'!K596</f>
        <v>0</v>
      </c>
      <c r="L642" s="53"/>
      <c r="M642" s="54">
        <f>'Secondary cum Calculation'!M596</f>
        <v>-0.15569158669383265</v>
      </c>
      <c r="N642" s="54">
        <f>'Secondary cum Calculation'!N596</f>
        <v>-0.1153171570155016</v>
      </c>
      <c r="O642" s="54">
        <f>'Secondary cum Calculation'!O596</f>
        <v>-2.8906955736224038E-2</v>
      </c>
      <c r="P642" s="54">
        <f>'Secondary cum Calculation'!P596</f>
        <v>0.11339214113873286</v>
      </c>
      <c r="Q642" s="54">
        <f>'Secondary cum Calculation'!Q596</f>
        <v>0.10617688533645753</v>
      </c>
      <c r="R642" s="54">
        <f t="shared" ref="R642" si="436">R641/Q641-1</f>
        <v>2.4501292533902097E-2</v>
      </c>
      <c r="S642" s="54">
        <f t="shared" ref="S642" si="437">S641/R641-1</f>
        <v>2.2026551633857361E-2</v>
      </c>
      <c r="T642" s="54">
        <f t="shared" ref="T642" si="438">T641/S641-1</f>
        <v>2.0780769183167624E-2</v>
      </c>
      <c r="U642" s="54">
        <f t="shared" ref="U642:V642" si="439">U641/T641-1</f>
        <v>3.1898468007610203E-2</v>
      </c>
      <c r="V642" s="54">
        <f t="shared" si="439"/>
        <v>3.3744659408366795E-2</v>
      </c>
      <c r="W642" s="258"/>
      <c r="X642" s="258"/>
    </row>
    <row r="643" spans="1:26">
      <c r="A643" s="46" t="str">
        <f>'Secondary cum Calculation'!A597</f>
        <v>Poland</v>
      </c>
      <c r="B643" s="47" t="str">
        <f>'Secondary cum Calculation'!B597</f>
        <v>Tourism Flows</v>
      </c>
      <c r="C643" s="47" t="str">
        <f>'Secondary cum Calculation'!C597</f>
        <v>International Arrivals by Purpose of Visit</v>
      </c>
      <c r="D643" s="46" t="str">
        <f>'Secondary cum Calculation'!D597</f>
        <v>Leisure</v>
      </c>
      <c r="E643" s="48"/>
      <c r="F643" s="48" t="str">
        <f>'Secondary cum Calculation'!F597</f>
        <v>The number of international arrivals to a country who are engaging in travel &amp; tourism activities for personal reasons related to leisure.</v>
      </c>
      <c r="G643" s="48" t="str">
        <f>'Secondary cum Calculation'!G597</f>
        <v>Tourism Demand &amp; Flows Database</v>
      </c>
      <c r="H643" s="48" t="str">
        <f>'Secondary cum Calculation'!H597</f>
        <v>Exists</v>
      </c>
      <c r="I643" s="48" t="str">
        <f>'Secondary cum Calculation'!I597</f>
        <v>UNWTO</v>
      </c>
      <c r="J643" s="48" t="str">
        <f>'Secondary cum Calculation'!J597</f>
        <v>Thousand</v>
      </c>
      <c r="K643" s="49" t="e">
        <f>'Secondary cum Calculation'!K597</f>
        <v>#REF!</v>
      </c>
      <c r="L643" s="268">
        <f>'Secondary cum Calculation'!L597</f>
        <v>9019.9085652861395</v>
      </c>
      <c r="M643" s="268">
        <f>'Secondary cum Calculation'!M597</f>
        <v>7775.9101357805193</v>
      </c>
      <c r="N643" s="268">
        <f>'Secondary cum Calculation'!N597</f>
        <v>7015.0999999999995</v>
      </c>
      <c r="O643" s="268">
        <f>'Secondary cum Calculation'!O597</f>
        <v>7606.7</v>
      </c>
      <c r="P643" s="268">
        <f>'Secondary cum Calculation'!P597</f>
        <v>8010.0000000000009</v>
      </c>
      <c r="Q643" s="268">
        <f>'Secondary cum Calculation'!Q597</f>
        <v>8941.8938197013758</v>
      </c>
      <c r="R643" s="268">
        <f t="shared" si="434"/>
        <v>9353.6538367743979</v>
      </c>
      <c r="S643" s="268">
        <f t="shared" si="434"/>
        <v>9704.2452729572615</v>
      </c>
      <c r="T643" s="268">
        <f t="shared" si="434"/>
        <v>10161.509202673269</v>
      </c>
      <c r="U643" s="268">
        <f t="shared" si="434"/>
        <v>10680.483105977279</v>
      </c>
      <c r="V643" s="268">
        <f t="shared" ref="V643" si="440">V$639*V649</f>
        <v>11263.114246042038</v>
      </c>
      <c r="W643" s="102">
        <f>'Secondary cum Calculation'!W597</f>
        <v>3.5546413577605351E-2</v>
      </c>
      <c r="X643" s="102">
        <f>'Secondary cum Calculation'!X597</f>
        <v>4.7238973115547367E-2</v>
      </c>
      <c r="Y643" s="13"/>
    </row>
    <row r="644" spans="1:26">
      <c r="A644" s="48"/>
      <c r="B644" s="48"/>
      <c r="C644" s="52" t="str">
        <f>'Secondary cum Calculation'!C598</f>
        <v>Growth Rate</v>
      </c>
      <c r="D644" s="52"/>
      <c r="E644" s="52"/>
      <c r="F644" s="52">
        <f>'Secondary cum Calculation'!F598</f>
        <v>0</v>
      </c>
      <c r="G644" s="52">
        <f>'Secondary cum Calculation'!G598</f>
        <v>0</v>
      </c>
      <c r="H644" s="52">
        <f>'Secondary cum Calculation'!H598</f>
        <v>0</v>
      </c>
      <c r="I644" s="52">
        <f>'Secondary cum Calculation'!I598</f>
        <v>0</v>
      </c>
      <c r="J644" s="52" t="str">
        <f>'Secondary cum Calculation'!J598</f>
        <v>%</v>
      </c>
      <c r="K644" s="49">
        <f>'Secondary cum Calculation'!K598</f>
        <v>0</v>
      </c>
      <c r="L644" s="53"/>
      <c r="M644" s="54">
        <f>'Secondary cum Calculation'!M598</f>
        <v>-0.13791696672993459</v>
      </c>
      <c r="N644" s="54">
        <f>'Secondary cum Calculation'!N598</f>
        <v>-9.7841940363956215E-2</v>
      </c>
      <c r="O644" s="54">
        <f>'Secondary cum Calculation'!O598</f>
        <v>8.4332368747416453E-2</v>
      </c>
      <c r="P644" s="54">
        <f>'Secondary cum Calculation'!P598</f>
        <v>5.3019048996279849E-2</v>
      </c>
      <c r="Q644" s="54">
        <f>'Secondary cum Calculation'!Q598</f>
        <v>0.11634130083662608</v>
      </c>
      <c r="R644" s="54">
        <f t="shared" ref="R644" si="441">R643/Q643-1</f>
        <v>4.6048412716085396E-2</v>
      </c>
      <c r="S644" s="54">
        <f t="shared" ref="S644" si="442">S643/R643-1</f>
        <v>3.7481762988116341E-2</v>
      </c>
      <c r="T644" s="54">
        <f t="shared" ref="T644" si="443">T643/S643-1</f>
        <v>4.7119988917660782E-2</v>
      </c>
      <c r="U644" s="54">
        <f t="shared" ref="U644:V644" si="444">U643/T643-1</f>
        <v>5.1072522098142503E-2</v>
      </c>
      <c r="V644" s="54">
        <f t="shared" si="444"/>
        <v>5.455100993874451E-2</v>
      </c>
      <c r="W644" s="258"/>
      <c r="X644" s="258"/>
    </row>
    <row r="645" spans="1:26">
      <c r="A645" s="46" t="str">
        <f>'Secondary cum Calculation'!A599</f>
        <v>Poland</v>
      </c>
      <c r="B645" s="47" t="str">
        <f>'Secondary cum Calculation'!B599</f>
        <v>Tourism Flows</v>
      </c>
      <c r="C645" s="47" t="str">
        <f>'Secondary cum Calculation'!C599</f>
        <v>International Arrivals by Purpose of Visit</v>
      </c>
      <c r="D645" s="46" t="str">
        <f>'Secondary cum Calculation'!D599</f>
        <v>Other Personal</v>
      </c>
      <c r="E645" s="46"/>
      <c r="F645" s="48" t="str">
        <f>'Secondary cum Calculation'!F599</f>
        <v>The number of international arrivals to a country who are engaging in travel &amp; tourism activities for non-business or non-leisure related personal reasons, including for the purpose of pilgrimage, health and medical, education and training, transit, volunteer work (not included elsewhere), investigative work and migration possibilities, and the undertaking any other temporary non-remunerated activities not included elsewhere.</v>
      </c>
      <c r="G645" s="48" t="str">
        <f>'Secondary cum Calculation'!G599</f>
        <v>Tourism Demand &amp; Flows Database</v>
      </c>
      <c r="H645" s="48" t="str">
        <f>'Secondary cum Calculation'!H599</f>
        <v>Exists</v>
      </c>
      <c r="I645" s="48" t="str">
        <f>'Secondary cum Calculation'!I599</f>
        <v>UNWTO</v>
      </c>
      <c r="J645" s="48" t="str">
        <f>'Secondary cum Calculation'!J599</f>
        <v>Thousand</v>
      </c>
      <c r="K645" s="49" t="e">
        <f>'Secondary cum Calculation'!K599</f>
        <v>#REF!</v>
      </c>
      <c r="L645" s="268">
        <f>'Secondary cum Calculation'!L599</f>
        <v>1657.3168533083151</v>
      </c>
      <c r="M645" s="268">
        <f>'Secondary cum Calculation'!M599</f>
        <v>1555.1820271561021</v>
      </c>
      <c r="N645" s="268">
        <f>'Secondary cum Calculation'!N599</f>
        <v>1664.6000000000001</v>
      </c>
      <c r="O645" s="268">
        <f>'Secondary cum Calculation'!O599</f>
        <v>1745.8000000000002</v>
      </c>
      <c r="P645" s="268">
        <f>'Secondary cum Calculation'!P599</f>
        <v>1868.9999999999986</v>
      </c>
      <c r="Q645" s="268">
        <f>'Secondary cum Calculation'!Q599</f>
        <v>2058.566211295783</v>
      </c>
      <c r="R645" s="268">
        <f t="shared" si="434"/>
        <v>2204.1271894911756</v>
      </c>
      <c r="S645" s="268">
        <f t="shared" si="434"/>
        <v>2351.3830273175081</v>
      </c>
      <c r="T645" s="268">
        <f t="shared" si="434"/>
        <v>2478.2019903394175</v>
      </c>
      <c r="U645" s="268">
        <f t="shared" si="434"/>
        <v>2615.7456222175324</v>
      </c>
      <c r="V645" s="268">
        <f t="shared" ref="V645" si="445">V$639*V651</f>
        <v>2777.2203353509494</v>
      </c>
      <c r="W645" s="102">
        <f>'Secondary cum Calculation'!W599</f>
        <v>7.2620030516287182E-2</v>
      </c>
      <c r="X645" s="102">
        <f>'Secondary cum Calculation'!X599</f>
        <v>6.1717801969430441E-2</v>
      </c>
      <c r="Y645" s="13"/>
    </row>
    <row r="646" spans="1:26">
      <c r="A646" s="48"/>
      <c r="B646" s="48"/>
      <c r="C646" s="52" t="str">
        <f>'Secondary cum Calculation'!C600</f>
        <v>Growth Rate</v>
      </c>
      <c r="D646" s="52"/>
      <c r="E646" s="52"/>
      <c r="F646" s="52">
        <f>'Secondary cum Calculation'!F600</f>
        <v>0</v>
      </c>
      <c r="G646" s="52">
        <f>'Secondary cum Calculation'!G600</f>
        <v>0</v>
      </c>
      <c r="H646" s="52">
        <f>'Secondary cum Calculation'!H600</f>
        <v>0</v>
      </c>
      <c r="I646" s="52">
        <f>'Secondary cum Calculation'!I600</f>
        <v>0</v>
      </c>
      <c r="J646" s="52" t="str">
        <f>'Secondary cum Calculation'!J600</f>
        <v>%</v>
      </c>
      <c r="K646" s="49">
        <f>'Secondary cum Calculation'!K600</f>
        <v>0</v>
      </c>
      <c r="L646" s="53"/>
      <c r="M646" s="54">
        <f>'Secondary cum Calculation'!M600</f>
        <v>-6.1626614095145915E-2</v>
      </c>
      <c r="N646" s="54">
        <f>'Secondary cum Calculation'!N600</f>
        <v>7.0357019907172136E-2</v>
      </c>
      <c r="O646" s="54">
        <f>'Secondary cum Calculation'!O600</f>
        <v>4.8780487804878092E-2</v>
      </c>
      <c r="P646" s="54">
        <f>'Secondary cum Calculation'!P600</f>
        <v>7.0569366479549922E-2</v>
      </c>
      <c r="Q646" s="54">
        <f>'Secondary cum Calculation'!Q600</f>
        <v>0.10142654429951015</v>
      </c>
      <c r="R646" s="54">
        <f t="shared" ref="R646" si="446">R645/Q645-1</f>
        <v>7.0709884091494812E-2</v>
      </c>
      <c r="S646" s="54">
        <f t="shared" ref="S646" si="447">S645/R645-1</f>
        <v>6.6809138115267563E-2</v>
      </c>
      <c r="T646" s="54">
        <f t="shared" ref="T646" si="448">T645/S645-1</f>
        <v>5.393377495226126E-2</v>
      </c>
      <c r="U646" s="54">
        <f t="shared" ref="U646:V646" si="449">U645/T645-1</f>
        <v>5.5501380603474093E-2</v>
      </c>
      <c r="V646" s="54">
        <f t="shared" si="449"/>
        <v>6.1731810525415209E-2</v>
      </c>
      <c r="W646" s="258"/>
      <c r="X646" s="258"/>
    </row>
    <row r="647" spans="1:26" s="116" customFormat="1" outlineLevel="1">
      <c r="A647" s="67"/>
      <c r="B647" s="67"/>
      <c r="C647" s="67"/>
      <c r="D647" s="67" t="str">
        <f>'Secondary cum Calculation'!D601</f>
        <v>Business</v>
      </c>
      <c r="E647" s="67"/>
      <c r="F647" s="67">
        <f>'Secondary cum Calculation'!F601</f>
        <v>0</v>
      </c>
      <c r="G647" s="67">
        <f>'Secondary cum Calculation'!G601</f>
        <v>0</v>
      </c>
      <c r="H647" s="67">
        <f>'Secondary cum Calculation'!H601</f>
        <v>0</v>
      </c>
      <c r="I647" s="67">
        <f>'Secondary cum Calculation'!I601</f>
        <v>0</v>
      </c>
      <c r="J647" s="67"/>
      <c r="K647" s="67">
        <f>'Secondary cum Calculation'!K601</f>
        <v>0</v>
      </c>
      <c r="L647" s="154">
        <f>'Secondary cum Calculation'!L601</f>
        <v>0.28700288287041498</v>
      </c>
      <c r="M647" s="154">
        <f>'Secondary cum Calculation'!M601</f>
        <v>0.28000000000000003</v>
      </c>
      <c r="N647" s="154">
        <f>'Secondary cum Calculation'!N601</f>
        <v>0.27</v>
      </c>
      <c r="O647" s="154">
        <f>'Secondary cum Calculation'!O601</f>
        <v>0.25</v>
      </c>
      <c r="P647" s="154">
        <f>'Secondary cum Calculation'!P601</f>
        <v>0.26</v>
      </c>
      <c r="Q647" s="154">
        <f>'Secondary cum Calculation'!Q601</f>
        <v>0.25872910842337221</v>
      </c>
      <c r="R647" s="154">
        <f>Q647*(1+((Q647/M647)^(1/4))-1)*1.001</f>
        <v>0.25392249958087271</v>
      </c>
      <c r="S647" s="154">
        <f>R647*(1+((R647/N647)^(1/4))-1)*1.0001</f>
        <v>0.25008000361420196</v>
      </c>
      <c r="T647" s="154">
        <f>S647*(1+((S647/O647)^(1/4))-1)*0.98</f>
        <v>0.24509800834743808</v>
      </c>
      <c r="U647" s="154">
        <f>T647*(1+((T647/P647)^(1/4))-1)*1.0002</f>
        <v>0.24155622893689607</v>
      </c>
      <c r="V647" s="154">
        <f t="shared" ref="V647" si="450">U647*(1+((U647/Q647)^(1/4))-1)*1.001</f>
        <v>0.23768159637887715</v>
      </c>
      <c r="W647" s="75"/>
      <c r="X647" s="75"/>
    </row>
    <row r="648" spans="1:26" s="116" customFormat="1" outlineLevel="1">
      <c r="A648" s="67"/>
      <c r="B648" s="67"/>
      <c r="C648" s="67"/>
      <c r="D648" s="67"/>
      <c r="E648" s="67"/>
      <c r="F648" s="67">
        <f>'Secondary cum Calculation'!F602</f>
        <v>0</v>
      </c>
      <c r="G648" s="67">
        <f>'Secondary cum Calculation'!G602</f>
        <v>0</v>
      </c>
      <c r="H648" s="67">
        <f>'Secondary cum Calculation'!H602</f>
        <v>0</v>
      </c>
      <c r="I648" s="67">
        <f>'Secondary cum Calculation'!I602</f>
        <v>0</v>
      </c>
      <c r="J648" s="67"/>
      <c r="K648" s="67">
        <f>'Secondary cum Calculation'!K602</f>
        <v>0</v>
      </c>
      <c r="L648" s="154"/>
      <c r="M648" s="154"/>
      <c r="N648" s="154"/>
      <c r="O648" s="154"/>
      <c r="P648" s="154"/>
      <c r="Q648" s="154"/>
      <c r="R648" s="154"/>
      <c r="S648" s="154"/>
      <c r="T648" s="154"/>
      <c r="U648" s="154"/>
      <c r="V648" s="154"/>
      <c r="W648" s="75"/>
      <c r="X648" s="75"/>
    </row>
    <row r="649" spans="1:26" s="116" customFormat="1" outlineLevel="1">
      <c r="A649" s="67"/>
      <c r="B649" s="67"/>
      <c r="C649" s="67"/>
      <c r="D649" s="67" t="str">
        <f>'Secondary cum Calculation'!D603</f>
        <v>Leisure</v>
      </c>
      <c r="E649" s="67"/>
      <c r="F649" s="67">
        <f>'Secondary cum Calculation'!F603</f>
        <v>0</v>
      </c>
      <c r="G649" s="67">
        <f>'Secondary cum Calculation'!G603</f>
        <v>0</v>
      </c>
      <c r="H649" s="67">
        <f>'Secondary cum Calculation'!H603</f>
        <v>0</v>
      </c>
      <c r="I649" s="67">
        <f>'Secondary cum Calculation'!I603</f>
        <v>0</v>
      </c>
      <c r="J649" s="67"/>
      <c r="K649" s="67">
        <f>'Secondary cum Calculation'!K603</f>
        <v>0</v>
      </c>
      <c r="L649" s="154">
        <f>'Secondary cum Calculation'!L603</f>
        <v>0.60232584324964689</v>
      </c>
      <c r="M649" s="154">
        <f>'Secondary cum Calculation'!M603</f>
        <v>0.60000000000000009</v>
      </c>
      <c r="N649" s="154">
        <f>'Secondary cum Calculation'!N603</f>
        <v>0.59</v>
      </c>
      <c r="O649" s="154">
        <f>'Secondary cum Calculation'!O603</f>
        <v>0.61</v>
      </c>
      <c r="P649" s="154">
        <f>'Secondary cum Calculation'!P603</f>
        <v>0.60000000000000009</v>
      </c>
      <c r="Q649" s="154">
        <f>'Secondary cum Calculation'!Q603</f>
        <v>0.60255349189362362</v>
      </c>
      <c r="R649" s="154">
        <f>Q649*(1+((Q649/M649)^(1/4))-1)*1.001</f>
        <v>0.60379675462507509</v>
      </c>
      <c r="S649" s="154">
        <f>R649*(1+((R649/N649)^(1/4))-1)*0.994</f>
        <v>0.60365228578398866</v>
      </c>
      <c r="T649" s="154">
        <f>S649*(1+((S649/O649)^(1/4))-1)*1.008</f>
        <v>0.60689231092039775</v>
      </c>
      <c r="U649" s="154">
        <f t="shared" ref="U649:V649" si="451">T649*(1+((T649/P649)^(1/4))-1)*1.001</f>
        <v>0.60923635184583402</v>
      </c>
      <c r="V649" s="154">
        <f t="shared" si="451"/>
        <v>0.61152953457560977</v>
      </c>
      <c r="W649" s="75"/>
      <c r="X649" s="75"/>
    </row>
    <row r="650" spans="1:26" s="116" customFormat="1" outlineLevel="1">
      <c r="A650" s="67"/>
      <c r="B650" s="67"/>
      <c r="C650" s="67"/>
      <c r="D650" s="67"/>
      <c r="E650" s="67"/>
      <c r="F650" s="67">
        <f>'Secondary cum Calculation'!F604</f>
        <v>0</v>
      </c>
      <c r="G650" s="67">
        <f>'Secondary cum Calculation'!G604</f>
        <v>0</v>
      </c>
      <c r="H650" s="67">
        <f>'Secondary cum Calculation'!H604</f>
        <v>0</v>
      </c>
      <c r="I650" s="67">
        <f>'Secondary cum Calculation'!I604</f>
        <v>0</v>
      </c>
      <c r="J650" s="67"/>
      <c r="K650" s="67">
        <f>'Secondary cum Calculation'!K604</f>
        <v>0</v>
      </c>
      <c r="L650" s="154"/>
      <c r="M650" s="154"/>
      <c r="N650" s="154"/>
      <c r="O650" s="154"/>
      <c r="P650" s="154"/>
      <c r="Q650" s="154"/>
      <c r="R650" s="154"/>
      <c r="S650" s="154"/>
      <c r="T650" s="154"/>
      <c r="U650" s="154"/>
      <c r="V650" s="154"/>
      <c r="W650" s="75"/>
      <c r="X650" s="75"/>
    </row>
    <row r="651" spans="1:26" s="116" customFormat="1" outlineLevel="1">
      <c r="A651" s="67"/>
      <c r="B651" s="67"/>
      <c r="C651" s="67"/>
      <c r="D651" s="67" t="str">
        <f>'Secondary cum Calculation'!D605</f>
        <v>Other Personal</v>
      </c>
      <c r="E651" s="67"/>
      <c r="F651" s="67">
        <f>'Secondary cum Calculation'!F605</f>
        <v>0</v>
      </c>
      <c r="G651" s="67">
        <f>'Secondary cum Calculation'!G605</f>
        <v>0</v>
      </c>
      <c r="H651" s="67">
        <f>'Secondary cum Calculation'!H605</f>
        <v>0</v>
      </c>
      <c r="I651" s="67">
        <f>'Secondary cum Calculation'!I605</f>
        <v>0</v>
      </c>
      <c r="J651" s="67"/>
      <c r="K651" s="67">
        <f>'Secondary cum Calculation'!K605</f>
        <v>0</v>
      </c>
      <c r="L651" s="154">
        <f>'Secondary cum Calculation'!L605</f>
        <v>0.11067127387993814</v>
      </c>
      <c r="M651" s="154">
        <f>'Secondary cum Calculation'!M605</f>
        <v>0.11999999999999988</v>
      </c>
      <c r="N651" s="154">
        <f>'Secondary cum Calculation'!N605</f>
        <v>0.14000000000000001</v>
      </c>
      <c r="O651" s="154">
        <f>'Secondary cum Calculation'!O605</f>
        <v>0.14000000000000001</v>
      </c>
      <c r="P651" s="154">
        <f>'Secondary cum Calculation'!P605</f>
        <v>0.1399999999999999</v>
      </c>
      <c r="Q651" s="154">
        <f>'Secondary cum Calculation'!Q605</f>
        <v>0.13871739968300423</v>
      </c>
      <c r="R651" s="154">
        <f t="shared" ref="R651:U651" si="452">1-SUM(R647:R649)</f>
        <v>0.14228074579405225</v>
      </c>
      <c r="S651" s="154">
        <f t="shared" si="452"/>
        <v>0.14626771060180932</v>
      </c>
      <c r="T651" s="154">
        <f t="shared" si="452"/>
        <v>0.14800968073216414</v>
      </c>
      <c r="U651" s="154">
        <f t="shared" si="452"/>
        <v>0.14920741921726988</v>
      </c>
      <c r="V651" s="154">
        <f t="shared" ref="V651" si="453">1-SUM(V647:V649)</f>
        <v>0.15078886904551303</v>
      </c>
      <c r="W651" s="75"/>
      <c r="X651" s="75"/>
    </row>
    <row r="652" spans="1:26" ht="15.75" customHeight="1">
      <c r="A652" s="46" t="str">
        <f>'Secondary cum Calculation'!A606</f>
        <v>Poland</v>
      </c>
      <c r="B652" s="47" t="str">
        <f>'Secondary cum Calculation'!B606</f>
        <v>Tourism Flows</v>
      </c>
      <c r="C652" s="46" t="str">
        <f>'Secondary cum Calculation'!C606</f>
        <v>International Departures by Destination</v>
      </c>
      <c r="D652" s="48"/>
      <c r="E652" s="48"/>
      <c r="F652" s="48" t="str">
        <f>'Secondary cum Calculation'!F606</f>
        <v>The number of international departures from a country, segmented by their destination region and/or country.</v>
      </c>
      <c r="G652" s="48" t="str">
        <f>'Secondary cum Calculation'!G606</f>
        <v>Tourism Demand &amp; Flows Database</v>
      </c>
      <c r="H652" s="48" t="str">
        <f>'Secondary cum Calculation'!H606</f>
        <v>N/A</v>
      </c>
      <c r="I652" s="48">
        <f>'Secondary cum Calculation'!I606</f>
        <v>0</v>
      </c>
      <c r="J652" s="46" t="str">
        <f>'Secondary cum Calculation'!J606</f>
        <v>Thousand</v>
      </c>
      <c r="K652" s="76">
        <f>'Secondary cum Calculation'!K606</f>
        <v>0</v>
      </c>
      <c r="L652" s="269">
        <f>('Secondary cum Calculation'!L606)</f>
        <v>6917.0000000000009</v>
      </c>
      <c r="M652" s="269">
        <f>('Secondary cum Calculation'!M606)</f>
        <v>7574</v>
      </c>
      <c r="N652" s="269">
        <f>('Secondary cum Calculation'!N606)</f>
        <v>6318</v>
      </c>
      <c r="O652" s="269">
        <f>('Secondary cum Calculation'!O606)</f>
        <v>7121.5</v>
      </c>
      <c r="P652" s="269">
        <f>('Secondary cum Calculation'!P606)</f>
        <v>6326.5999999999995</v>
      </c>
      <c r="Q652" s="269">
        <f t="shared" ref="Q652:V652" si="454">(Q654+Q778+Q884+Q990+Q1036+Q1058)</f>
        <v>6195.141275822938</v>
      </c>
      <c r="R652" s="269">
        <f t="shared" si="454"/>
        <v>6270.8569376655214</v>
      </c>
      <c r="S652" s="269">
        <f t="shared" si="454"/>
        <v>6371.8975225233071</v>
      </c>
      <c r="T652" s="269">
        <f t="shared" si="454"/>
        <v>6422.7908983747702</v>
      </c>
      <c r="U652" s="269">
        <f t="shared" si="454"/>
        <v>6503.3045829005732</v>
      </c>
      <c r="V652" s="269">
        <f t="shared" si="454"/>
        <v>6579.1028306528524</v>
      </c>
      <c r="W652" s="262">
        <f>'Secondary cum Calculation'!W606</f>
        <v>-4.8997894506850437E-2</v>
      </c>
      <c r="X652" s="262">
        <f>'Secondary cum Calculation'!X606</f>
        <v>1.209922420888665E-2</v>
      </c>
      <c r="Z652" s="11"/>
    </row>
    <row r="653" spans="1:26" ht="15.75" customHeight="1">
      <c r="A653" s="48"/>
      <c r="B653" s="48"/>
      <c r="C653" s="52" t="str">
        <f>'Secondary cum Calculation'!C607</f>
        <v>Growth Rate</v>
      </c>
      <c r="D653" s="52"/>
      <c r="E653" s="52"/>
      <c r="F653" s="52">
        <f>'Secondary cum Calculation'!F607</f>
        <v>0</v>
      </c>
      <c r="G653" s="52">
        <f>'Secondary cum Calculation'!G607</f>
        <v>0</v>
      </c>
      <c r="H653" s="52">
        <f>'Secondary cum Calculation'!H607</f>
        <v>0</v>
      </c>
      <c r="I653" s="52">
        <f>'Secondary cum Calculation'!I607</f>
        <v>0</v>
      </c>
      <c r="J653" s="52" t="str">
        <f>'Secondary cum Calculation'!J607</f>
        <v>%</v>
      </c>
      <c r="K653" s="49">
        <f>'Secondary cum Calculation'!K607</f>
        <v>0</v>
      </c>
      <c r="L653" s="53"/>
      <c r="M653" s="54">
        <f>'Secondary cum Calculation'!M607</f>
        <v>9.498337429521464E-2</v>
      </c>
      <c r="N653" s="54">
        <f>'Secondary cum Calculation'!N607</f>
        <v>-0.16583047266965933</v>
      </c>
      <c r="O653" s="54">
        <f>'Secondary cum Calculation'!O607</f>
        <v>0.12717632162076598</v>
      </c>
      <c r="P653" s="54">
        <f>'Secondary cum Calculation'!P607</f>
        <v>-0.11161974303166478</v>
      </c>
      <c r="Q653" s="54">
        <f>Q652/P652-1</f>
        <v>-2.077873173221978E-2</v>
      </c>
      <c r="R653" s="54">
        <f t="shared" ref="R653:V653" si="455">R652/Q652-1</f>
        <v>1.2221781307566015E-2</v>
      </c>
      <c r="S653" s="54">
        <f t="shared" si="455"/>
        <v>1.6112723645614002E-2</v>
      </c>
      <c r="T653" s="54">
        <f t="shared" si="455"/>
        <v>7.9871617005085049E-3</v>
      </c>
      <c r="U653" s="54">
        <f t="shared" si="455"/>
        <v>1.2535622877926311E-2</v>
      </c>
      <c r="V653" s="54">
        <f t="shared" si="455"/>
        <v>1.1655343339074031E-2</v>
      </c>
      <c r="W653" s="258"/>
      <c r="X653" s="258"/>
    </row>
    <row r="654" spans="1:26" ht="15.75" customHeight="1">
      <c r="A654" s="46" t="str">
        <f>'Secondary cum Calculation'!A608</f>
        <v>Poland</v>
      </c>
      <c r="B654" s="47" t="str">
        <f>'Secondary cum Calculation'!B608</f>
        <v>Tourism Flows</v>
      </c>
      <c r="C654" s="47" t="str">
        <f>'Secondary cum Calculation'!C608</f>
        <v>International Departures by Destination</v>
      </c>
      <c r="D654" s="46" t="str">
        <f>'Secondary cum Calculation'!D608</f>
        <v>Africa</v>
      </c>
      <c r="E654" s="48"/>
      <c r="F654" s="48" t="str">
        <f>'Secondary cum Calculation'!F608</f>
        <v>The number of international departures from a country to Africa</v>
      </c>
      <c r="G654" s="48" t="str">
        <f>'Secondary cum Calculation'!G608</f>
        <v>Tourism Demand &amp; Flows Database</v>
      </c>
      <c r="H654" s="48" t="str">
        <f>'Secondary cum Calculation'!H608</f>
        <v>New</v>
      </c>
      <c r="I654" s="48">
        <f>'Secondary cum Calculation'!I608</f>
        <v>0</v>
      </c>
      <c r="J654" s="48" t="str">
        <f>'Secondary cum Calculation'!J608</f>
        <v>Thousand</v>
      </c>
      <c r="K654" s="76">
        <f>'Secondary cum Calculation'!K608</f>
        <v>0</v>
      </c>
      <c r="L654" s="91">
        <f>'Secondary cum Calculation'!L608</f>
        <v>382.89155755482369</v>
      </c>
      <c r="M654" s="91">
        <f>'Secondary cum Calculation'!M608</f>
        <v>398.72415455056625</v>
      </c>
      <c r="N654" s="91">
        <f>'Secondary cum Calculation'!N608</f>
        <v>366.04683107076875</v>
      </c>
      <c r="O654" s="91">
        <f>'Secondary cum Calculation'!O608</f>
        <v>383</v>
      </c>
      <c r="P654" s="91">
        <f>'Secondary cum Calculation'!P608</f>
        <v>353</v>
      </c>
      <c r="Q654" s="91">
        <f>'Secondary cum Calculation'!Q608</f>
        <v>345.89910164252427</v>
      </c>
      <c r="R654" s="91">
        <f t="shared" ref="R654:V654" si="456">Q654*(1+R655)</f>
        <v>351.02611919350994</v>
      </c>
      <c r="S654" s="91">
        <f t="shared" si="456"/>
        <v>354.91081683862433</v>
      </c>
      <c r="T654" s="91">
        <f t="shared" si="456"/>
        <v>357.97148839283631</v>
      </c>
      <c r="U654" s="91">
        <f t="shared" si="456"/>
        <v>362.49630884309539</v>
      </c>
      <c r="V654" s="91">
        <f t="shared" si="456"/>
        <v>369.06629403248792</v>
      </c>
      <c r="W654" s="102">
        <f>'Secondary cum Calculation'!W608</f>
        <v>-3.490687456807684E-2</v>
      </c>
      <c r="X654" s="102">
        <f>'Secondary cum Calculation'!X608</f>
        <v>1.305025443728991E-2</v>
      </c>
      <c r="Z654" s="11"/>
    </row>
    <row r="655" spans="1:26" ht="15.75" customHeight="1">
      <c r="A655" s="48"/>
      <c r="B655" s="48"/>
      <c r="C655" s="52" t="str">
        <f>'Secondary cum Calculation'!C609</f>
        <v>Growth Rate</v>
      </c>
      <c r="D655" s="52"/>
      <c r="E655" s="52"/>
      <c r="F655" s="52">
        <f>'Secondary cum Calculation'!F609</f>
        <v>0</v>
      </c>
      <c r="G655" s="52">
        <f>'Secondary cum Calculation'!G609</f>
        <v>0</v>
      </c>
      <c r="H655" s="52">
        <f>'Secondary cum Calculation'!H609</f>
        <v>0</v>
      </c>
      <c r="I655" s="52">
        <f>'Secondary cum Calculation'!I609</f>
        <v>0</v>
      </c>
      <c r="J655" s="52" t="str">
        <f>'Secondary cum Calculation'!J609</f>
        <v>%</v>
      </c>
      <c r="K655" s="49">
        <f>'Secondary cum Calculation'!K609</f>
        <v>0</v>
      </c>
      <c r="L655" s="53"/>
      <c r="M655" s="54">
        <f>'Secondary cum Calculation'!M609</f>
        <v>4.1350081200146604E-2</v>
      </c>
      <c r="N655" s="54">
        <f>'Secondary cum Calculation'!N609</f>
        <v>-8.1954712567215093E-2</v>
      </c>
      <c r="O655" s="54">
        <f>'Secondary cum Calculation'!O609</f>
        <v>4.6314207610101299E-2</v>
      </c>
      <c r="P655" s="54">
        <f>'Secondary cum Calculation'!P609</f>
        <v>-7.8328981723237545E-2</v>
      </c>
      <c r="Q655" s="54">
        <f>'Secondary cum Calculation'!Q609</f>
        <v>-2.0115859369619571E-2</v>
      </c>
      <c r="R655" s="54">
        <f>0.75*((L654/O654)^(1/3)-1)+0.25*($E657*R658+$E659*R660+$E661*R662+$E663*R664+$E665*R666)</f>
        <v>1.4822292184743173E-2</v>
      </c>
      <c r="S655" s="54">
        <f>0.82*((L654/O654)^(1/3)-1)+0.18*($E657*S658+$E659*S660+$E661*S662+$E663*S664+$E665*S666)</f>
        <v>1.1066691145489463E-2</v>
      </c>
      <c r="T655" s="54">
        <f>0.85*((L654/O654)^(1/3)-1)+0.15*($E657*T658+$E659*T660+$E661*T662+$E663*T664+$E665*T666)</f>
        <v>8.6237764784826802E-3</v>
      </c>
      <c r="U655" s="54">
        <f>0.8*((L654/O654)^(1/3)-1)+0.2*($E657*U658+$E659*U660+$E661*U662+$E663*U664+$E665*U666)</f>
        <v>1.2640169949215671E-2</v>
      </c>
      <c r="V655" s="54">
        <f>0.7*((L654/O654)^(1/3)-1)+0.3*($E657*V658+$E659*V660+$E661*V662+$E663*V664+$E665*V666)</f>
        <v>1.8124281624716798E-2</v>
      </c>
      <c r="W655" s="258"/>
      <c r="X655" s="258"/>
    </row>
    <row r="656" spans="1:26" ht="15.75" customHeight="1" outlineLevel="1">
      <c r="A656" s="306"/>
      <c r="B656" s="306"/>
      <c r="C656" s="306"/>
      <c r="D656" s="307" t="s">
        <v>912</v>
      </c>
      <c r="E656" s="112" t="s">
        <v>914</v>
      </c>
      <c r="F656" s="112"/>
      <c r="G656" s="112"/>
      <c r="H656" s="112"/>
      <c r="I656" s="112"/>
      <c r="J656" s="112"/>
      <c r="K656" s="113"/>
      <c r="L656" s="114"/>
      <c r="M656" s="115"/>
      <c r="N656" s="115"/>
      <c r="O656" s="115"/>
      <c r="P656" s="115"/>
      <c r="Q656" s="115"/>
      <c r="R656" s="115"/>
      <c r="S656" s="115"/>
      <c r="T656" s="115"/>
      <c r="U656" s="115"/>
      <c r="V656" s="115"/>
      <c r="W656" s="303"/>
      <c r="X656" s="303"/>
    </row>
    <row r="657" spans="1:26" ht="15.75" customHeight="1" outlineLevel="1">
      <c r="A657" s="308"/>
      <c r="B657" s="308"/>
      <c r="C657" s="308"/>
      <c r="D657" s="308" t="s">
        <v>937</v>
      </c>
      <c r="E657" s="309">
        <f>W658/$W$667</f>
        <v>0.21089604167605744</v>
      </c>
      <c r="F657" s="310"/>
      <c r="G657" s="310"/>
      <c r="H657" s="310"/>
      <c r="I657" s="310"/>
      <c r="J657" s="310"/>
      <c r="K657" s="310"/>
      <c r="L657" s="329">
        <f>L1174</f>
        <v>425.32100000000003</v>
      </c>
      <c r="M657" s="329">
        <f t="shared" ref="M657:U657" si="457">M1174</f>
        <v>529.40099999999995</v>
      </c>
      <c r="N657" s="329">
        <f t="shared" si="457"/>
        <v>430.84699999999998</v>
      </c>
      <c r="O657" s="329">
        <f t="shared" si="457"/>
        <v>469.75299999999999</v>
      </c>
      <c r="P657" s="329">
        <f t="shared" si="457"/>
        <v>514.50300000000004</v>
      </c>
      <c r="Q657" s="329">
        <f t="shared" si="457"/>
        <v>470.35399999999998</v>
      </c>
      <c r="R657" s="329">
        <f t="shared" si="457"/>
        <v>496.14499999999998</v>
      </c>
      <c r="S657" s="329">
        <f t="shared" si="457"/>
        <v>522.93799999999999</v>
      </c>
      <c r="T657" s="329">
        <f t="shared" si="457"/>
        <v>553.78399999999999</v>
      </c>
      <c r="U657" s="329">
        <f t="shared" si="457"/>
        <v>589.50099999999998</v>
      </c>
      <c r="V657" s="329">
        <f t="shared" ref="V657" si="458">V1174</f>
        <v>623.40700000000004</v>
      </c>
      <c r="W657" s="302" t="s">
        <v>915</v>
      </c>
      <c r="X657" s="303"/>
    </row>
    <row r="658" spans="1:26" ht="15.75" customHeight="1" outlineLevel="1">
      <c r="A658" s="312"/>
      <c r="B658" s="312"/>
      <c r="C658" s="312"/>
      <c r="D658" s="312" t="s">
        <v>892</v>
      </c>
      <c r="E658" s="312"/>
      <c r="F658" s="312"/>
      <c r="G658" s="312"/>
      <c r="H658" s="312"/>
      <c r="I658" s="312"/>
      <c r="J658" s="312"/>
      <c r="K658" s="312"/>
      <c r="L658" s="312"/>
      <c r="M658" s="313">
        <f>M657/L657-1</f>
        <v>0.24470929015966747</v>
      </c>
      <c r="N658" s="313">
        <f t="shared" ref="N658" si="459">N657/M657-1</f>
        <v>-0.18616134083615254</v>
      </c>
      <c r="O658" s="313">
        <f t="shared" ref="O658" si="460">O657/N657-1</f>
        <v>9.0301197408825029E-2</v>
      </c>
      <c r="P658" s="313">
        <f t="shared" ref="P658" si="461">P657/O657-1</f>
        <v>9.5262829614712441E-2</v>
      </c>
      <c r="Q658" s="313">
        <f t="shared" ref="Q658" si="462">Q657/P657-1</f>
        <v>-8.5809023465363787E-2</v>
      </c>
      <c r="R658" s="313">
        <f t="shared" ref="R658" si="463">R657/Q657-1</f>
        <v>5.4833168209476257E-2</v>
      </c>
      <c r="S658" s="313">
        <f t="shared" ref="S658" si="464">S657/R657-1</f>
        <v>5.4002358181580057E-2</v>
      </c>
      <c r="T658" s="313">
        <f t="shared" ref="T658" si="465">T657/S657-1</f>
        <v>5.8985960094695811E-2</v>
      </c>
      <c r="U658" s="313">
        <f t="shared" ref="U658:V658" si="466">U657/T657-1</f>
        <v>6.4496265692038701E-2</v>
      </c>
      <c r="V658" s="313">
        <f t="shared" si="466"/>
        <v>5.7516441872023982E-2</v>
      </c>
      <c r="W658" s="353">
        <f>CORREL(M658:P658,M$655:P$655)</f>
        <v>0.68708063158187827</v>
      </c>
      <c r="X658" s="314"/>
    </row>
    <row r="659" spans="1:26" ht="15.75" customHeight="1" outlineLevel="1">
      <c r="A659" s="310"/>
      <c r="B659" s="310"/>
      <c r="C659" s="310"/>
      <c r="D659" s="310" t="s">
        <v>936</v>
      </c>
      <c r="E659" s="309">
        <f>W660/$W$667</f>
        <v>0.24754756101452183</v>
      </c>
      <c r="F659" s="310"/>
      <c r="G659" s="310"/>
      <c r="H659" s="310"/>
      <c r="I659" s="310"/>
      <c r="J659" s="310"/>
      <c r="K659" s="310"/>
      <c r="L659" s="329">
        <f>L1176</f>
        <v>268203.56</v>
      </c>
      <c r="M659" s="329">
        <f t="shared" ref="M659:U659" si="467">M1176</f>
        <v>329640.87</v>
      </c>
      <c r="N659" s="329">
        <f t="shared" si="467"/>
        <v>266283.2</v>
      </c>
      <c r="O659" s="329">
        <f t="shared" si="467"/>
        <v>295763.96999999997</v>
      </c>
      <c r="P659" s="329">
        <f t="shared" si="467"/>
        <v>306943.82</v>
      </c>
      <c r="Q659" s="329">
        <f t="shared" si="467"/>
        <v>332356.61829999997</v>
      </c>
      <c r="R659" s="329">
        <f t="shared" si="467"/>
        <v>352225.2107</v>
      </c>
      <c r="S659" s="329">
        <f t="shared" si="467"/>
        <v>371576.09950000001</v>
      </c>
      <c r="T659" s="329">
        <f t="shared" si="467"/>
        <v>386358.77990000002</v>
      </c>
      <c r="U659" s="329">
        <f t="shared" si="467"/>
        <v>409235.93204273965</v>
      </c>
      <c r="V659" s="329">
        <f t="shared" ref="V659" si="468">V1176</f>
        <v>431088.18074672733</v>
      </c>
      <c r="W659" s="353"/>
      <c r="X659" s="315"/>
    </row>
    <row r="660" spans="1:26" ht="15.75" customHeight="1" outlineLevel="1">
      <c r="A660" s="312"/>
      <c r="B660" s="312"/>
      <c r="C660" s="312"/>
      <c r="D660" s="312" t="s">
        <v>892</v>
      </c>
      <c r="E660" s="312"/>
      <c r="F660" s="312"/>
      <c r="G660" s="312"/>
      <c r="H660" s="312"/>
      <c r="I660" s="312"/>
      <c r="J660" s="312"/>
      <c r="K660" s="312"/>
      <c r="L660" s="312"/>
      <c r="M660" s="316">
        <f>M659/L659-1</f>
        <v>0.22906970362362089</v>
      </c>
      <c r="N660" s="316">
        <f t="shared" ref="N660" si="469">N659/M659-1</f>
        <v>-0.19220210770587998</v>
      </c>
      <c r="O660" s="316">
        <f t="shared" ref="O660" si="470">O659/N659-1</f>
        <v>0.11071209148755901</v>
      </c>
      <c r="P660" s="316">
        <f t="shared" ref="P660" si="471">P659/O659-1</f>
        <v>3.7799905106764786E-2</v>
      </c>
      <c r="Q660" s="316">
        <f t="shared" ref="Q660" si="472">Q659/P659-1</f>
        <v>8.2792995473894848E-2</v>
      </c>
      <c r="R660" s="316">
        <f t="shared" ref="R660" si="473">R659/Q659-1</f>
        <v>5.9780944040253026E-2</v>
      </c>
      <c r="S660" s="316">
        <f t="shared" ref="S660" si="474">S659/R659-1</f>
        <v>5.4938965787096006E-2</v>
      </c>
      <c r="T660" s="316">
        <f t="shared" ref="T660" si="475">T659/S659-1</f>
        <v>3.9783722418885059E-2</v>
      </c>
      <c r="U660" s="316">
        <f t="shared" ref="U660:V660" si="476">U659/T659-1</f>
        <v>5.9212196882547419E-2</v>
      </c>
      <c r="V660" s="316">
        <f t="shared" si="476"/>
        <v>5.339767843676424E-2</v>
      </c>
      <c r="W660" s="353">
        <f>CORREL(M660:P660,M$655:P$655)</f>
        <v>0.80648803655436552</v>
      </c>
      <c r="X660" s="317"/>
    </row>
    <row r="661" spans="1:26" ht="15.75" customHeight="1" outlineLevel="1">
      <c r="A661" s="310"/>
      <c r="B661" s="310"/>
      <c r="C661" s="310"/>
      <c r="D661" s="310" t="s">
        <v>916</v>
      </c>
      <c r="E661" s="309">
        <f>W662/$W$667</f>
        <v>0.13768696131992206</v>
      </c>
      <c r="F661" s="310"/>
      <c r="G661" s="310"/>
      <c r="H661" s="310"/>
      <c r="I661" s="310"/>
      <c r="J661" s="310"/>
      <c r="K661" s="310"/>
      <c r="L661" s="329">
        <f>L1184</f>
        <v>105911</v>
      </c>
      <c r="M661" s="329">
        <f t="shared" ref="M661:U661" si="477">M1184</f>
        <v>107942</v>
      </c>
      <c r="N661" s="329">
        <f t="shared" si="477"/>
        <v>103397</v>
      </c>
      <c r="O661" s="329">
        <f t="shared" si="477"/>
        <v>102162.46730120073</v>
      </c>
      <c r="P661" s="329">
        <f t="shared" si="477"/>
        <v>102961.52808660103</v>
      </c>
      <c r="Q661" s="329">
        <f t="shared" si="477"/>
        <v>104281.82642289056</v>
      </c>
      <c r="R661" s="329">
        <f t="shared" si="477"/>
        <v>106092.99932640951</v>
      </c>
      <c r="S661" s="329">
        <f t="shared" si="477"/>
        <v>107374.74549474263</v>
      </c>
      <c r="T661" s="329">
        <f t="shared" si="477"/>
        <v>108052.42439100673</v>
      </c>
      <c r="U661" s="329">
        <f t="shared" si="477"/>
        <v>109801.45941458517</v>
      </c>
      <c r="V661" s="329">
        <f t="shared" ref="V661" si="478">V1184</f>
        <v>111226.42626151063</v>
      </c>
      <c r="W661" s="354"/>
      <c r="X661" s="315"/>
    </row>
    <row r="662" spans="1:26" ht="15.75" customHeight="1" outlineLevel="1">
      <c r="A662" s="312"/>
      <c r="B662" s="312"/>
      <c r="C662" s="312"/>
      <c r="D662" s="312" t="s">
        <v>892</v>
      </c>
      <c r="E662" s="312"/>
      <c r="F662" s="312"/>
      <c r="G662" s="312"/>
      <c r="H662" s="312"/>
      <c r="I662" s="312"/>
      <c r="J662" s="312"/>
      <c r="K662" s="312"/>
      <c r="L662" s="312"/>
      <c r="M662" s="316">
        <f>M661/L661-1</f>
        <v>1.9176478363909233E-2</v>
      </c>
      <c r="N662" s="316">
        <f t="shared" ref="N662" si="479">N661/M661-1</f>
        <v>-4.2105945785699705E-2</v>
      </c>
      <c r="O662" s="316">
        <f t="shared" ref="O662" si="480">O661/N661-1</f>
        <v>-1.1939734216653064E-2</v>
      </c>
      <c r="P662" s="316">
        <f t="shared" ref="P662" si="481">P661/O661-1</f>
        <v>7.8214710990138769E-3</v>
      </c>
      <c r="Q662" s="316">
        <f t="shared" ref="Q662" si="482">Q661/P661-1</f>
        <v>1.2823220098083787E-2</v>
      </c>
      <c r="R662" s="316">
        <f t="shared" ref="R662" si="483">R661/Q661-1</f>
        <v>1.7368058900063321E-2</v>
      </c>
      <c r="S662" s="316">
        <f t="shared" ref="S662" si="484">S661/R661-1</f>
        <v>1.2081345390091647E-2</v>
      </c>
      <c r="T662" s="316">
        <f t="shared" ref="T662" si="485">T661/S661-1</f>
        <v>6.3113434461856688E-3</v>
      </c>
      <c r="U662" s="316">
        <f t="shared" ref="U662:V662" si="486">U661/T661-1</f>
        <v>1.6186911431521844E-2</v>
      </c>
      <c r="V662" s="316">
        <f t="shared" si="486"/>
        <v>1.2977667642331658E-2</v>
      </c>
      <c r="W662" s="353">
        <f>CORREL(M662:P662,M$655:P$655)</f>
        <v>0.44857192952721808</v>
      </c>
      <c r="X662" s="317"/>
    </row>
    <row r="663" spans="1:26" ht="15.75" customHeight="1" outlineLevel="1">
      <c r="A663" s="310"/>
      <c r="B663" s="310"/>
      <c r="C663" s="310"/>
      <c r="D663" s="310" t="s">
        <v>935</v>
      </c>
      <c r="E663" s="309">
        <f>W664/$W$667</f>
        <v>0.19312313350187016</v>
      </c>
      <c r="F663" s="310"/>
      <c r="G663" s="310"/>
      <c r="H663" s="310"/>
      <c r="I663" s="310"/>
      <c r="J663" s="310"/>
      <c r="K663" s="310"/>
      <c r="L663" s="311">
        <f>L1188</f>
        <v>0.29499999999999998</v>
      </c>
      <c r="M663" s="311">
        <f t="shared" ref="M663:U663" si="487">M1188</f>
        <v>0.35299999999999998</v>
      </c>
      <c r="N663" s="311">
        <f t="shared" si="487"/>
        <v>0.38900000000000001</v>
      </c>
      <c r="O663" s="311">
        <f t="shared" si="487"/>
        <v>0.42699999999999999</v>
      </c>
      <c r="P663" s="311">
        <f t="shared" si="487"/>
        <v>0.45300000000000001</v>
      </c>
      <c r="Q663" s="311">
        <f t="shared" si="487"/>
        <v>0.48199999999999998</v>
      </c>
      <c r="R663" s="311">
        <f t="shared" si="487"/>
        <v>0.50900000000000001</v>
      </c>
      <c r="S663" s="311">
        <f t="shared" si="487"/>
        <v>0.54700000000000004</v>
      </c>
      <c r="T663" s="311">
        <f t="shared" si="487"/>
        <v>0.59</v>
      </c>
      <c r="U663" s="311">
        <f t="shared" si="487"/>
        <v>0.63600000000000001</v>
      </c>
      <c r="V663" s="311">
        <f t="shared" ref="V663" si="488">V1188</f>
        <v>0.68164716845247864</v>
      </c>
      <c r="W663" s="353"/>
      <c r="X663" s="315"/>
    </row>
    <row r="664" spans="1:26" ht="15.75" customHeight="1" outlineLevel="1">
      <c r="A664" s="312"/>
      <c r="B664" s="312"/>
      <c r="C664" s="312"/>
      <c r="D664" s="312" t="s">
        <v>892</v>
      </c>
      <c r="E664" s="312"/>
      <c r="F664" s="312"/>
      <c r="G664" s="312"/>
      <c r="H664" s="312"/>
      <c r="I664" s="312"/>
      <c r="J664" s="312"/>
      <c r="K664" s="312"/>
      <c r="L664" s="312"/>
      <c r="M664" s="316">
        <f>M663/L663-1</f>
        <v>0.19661016949152543</v>
      </c>
      <c r="N664" s="316">
        <f t="shared" ref="N664" si="489">N663/M663-1</f>
        <v>0.10198300283286121</v>
      </c>
      <c r="O664" s="316">
        <f t="shared" ref="O664" si="490">O663/N663-1</f>
        <v>9.7686375321336616E-2</v>
      </c>
      <c r="P664" s="316">
        <f t="shared" ref="P664" si="491">P663/O663-1</f>
        <v>6.0889929742388826E-2</v>
      </c>
      <c r="Q664" s="316">
        <f t="shared" ref="Q664" si="492">Q663/P663-1</f>
        <v>6.4017660044149993E-2</v>
      </c>
      <c r="R664" s="316">
        <f t="shared" ref="R664" si="493">R663/Q663-1</f>
        <v>5.6016597510373467E-2</v>
      </c>
      <c r="S664" s="316">
        <f t="shared" ref="S664" si="494">S663/R663-1</f>
        <v>7.4656188605108031E-2</v>
      </c>
      <c r="T664" s="316">
        <f t="shared" ref="T664" si="495">T663/S663-1</f>
        <v>7.8610603290676373E-2</v>
      </c>
      <c r="U664" s="316">
        <f t="shared" ref="U664:V664" si="496">U663/T663-1</f>
        <v>7.7966101694915357E-2</v>
      </c>
      <c r="V664" s="316">
        <f t="shared" si="496"/>
        <v>7.1772277441004118E-2</v>
      </c>
      <c r="W664" s="353">
        <f>CORREL(M664:P664,M$655:P$655)</f>
        <v>0.62917807031842687</v>
      </c>
      <c r="X664" s="317"/>
    </row>
    <row r="665" spans="1:26" ht="15.75" customHeight="1" outlineLevel="1">
      <c r="A665" s="310"/>
      <c r="B665" s="310"/>
      <c r="C665" s="310"/>
      <c r="D665" s="310" t="s">
        <v>938</v>
      </c>
      <c r="E665" s="309">
        <f>W666/$W$667</f>
        <v>0.21074630248762832</v>
      </c>
      <c r="F665" s="310"/>
      <c r="G665" s="310"/>
      <c r="H665" s="310"/>
      <c r="I665" s="310"/>
      <c r="J665" s="310"/>
      <c r="K665" s="310"/>
      <c r="L665" s="311">
        <f>L1190</f>
        <v>10.311999999999999</v>
      </c>
      <c r="M665" s="311">
        <f t="shared" ref="M665:U665" si="497">M1190</f>
        <v>12.093999999999999</v>
      </c>
      <c r="N665" s="311">
        <f t="shared" si="497"/>
        <v>10.928000000000001</v>
      </c>
      <c r="O665" s="311">
        <f t="shared" si="497"/>
        <v>10.923</v>
      </c>
      <c r="P665" s="311">
        <f t="shared" si="497"/>
        <v>10.894</v>
      </c>
      <c r="Q665" s="311">
        <f t="shared" si="497"/>
        <v>11.885999999999999</v>
      </c>
      <c r="R665" s="311">
        <f t="shared" si="497"/>
        <v>13.013999999999999</v>
      </c>
      <c r="S665" s="311">
        <f t="shared" si="497"/>
        <v>14.301</v>
      </c>
      <c r="T665" s="311">
        <f t="shared" si="497"/>
        <v>15.637</v>
      </c>
      <c r="U665" s="311">
        <f t="shared" si="497"/>
        <v>16.975000000000001</v>
      </c>
      <c r="V665" s="311">
        <f t="shared" ref="V665" si="498">V1190</f>
        <v>18.556808979078173</v>
      </c>
      <c r="W665" s="353"/>
      <c r="X665" s="315"/>
    </row>
    <row r="666" spans="1:26" ht="15.75" customHeight="1" outlineLevel="1">
      <c r="A666" s="312"/>
      <c r="B666" s="312"/>
      <c r="C666" s="312"/>
      <c r="D666" s="312" t="s">
        <v>892</v>
      </c>
      <c r="E666" s="312"/>
      <c r="F666" s="312"/>
      <c r="G666" s="312"/>
      <c r="H666" s="312"/>
      <c r="I666" s="312"/>
      <c r="J666" s="312"/>
      <c r="K666" s="312"/>
      <c r="L666" s="312"/>
      <c r="M666" s="316">
        <f t="shared" ref="M666" si="499">M665/L665-1</f>
        <v>0.17280837858805276</v>
      </c>
      <c r="N666" s="316">
        <f t="shared" ref="N666" si="500">N665/M665-1</f>
        <v>-9.641144369108634E-2</v>
      </c>
      <c r="O666" s="316">
        <f t="shared" ref="O666" si="501">O665/N665-1</f>
        <v>-4.5754026354327682E-4</v>
      </c>
      <c r="P666" s="316">
        <f t="shared" ref="P666" si="502">P665/O665-1</f>
        <v>-2.6549482742835862E-3</v>
      </c>
      <c r="Q666" s="316">
        <f t="shared" ref="Q666" si="503">Q665/P665-1</f>
        <v>9.1059298696530178E-2</v>
      </c>
      <c r="R666" s="316">
        <f t="shared" ref="R666" si="504">R665/Q665-1</f>
        <v>9.4901564866229249E-2</v>
      </c>
      <c r="S666" s="316">
        <f t="shared" ref="S666" si="505">S665/R665-1</f>
        <v>9.8893499308437161E-2</v>
      </c>
      <c r="T666" s="316">
        <f t="shared" ref="T666" si="506">T665/S665-1</f>
        <v>9.3420040556604356E-2</v>
      </c>
      <c r="U666" s="316">
        <f t="shared" ref="U666:V666" si="507">U665/T665-1</f>
        <v>8.5566285093048533E-2</v>
      </c>
      <c r="V666" s="316">
        <f t="shared" si="507"/>
        <v>9.3184623215208928E-2</v>
      </c>
      <c r="W666" s="353">
        <f>CORREL(M666:P666,M$655:P$655)</f>
        <v>0.68659279456350286</v>
      </c>
      <c r="X666" s="317"/>
    </row>
    <row r="667" spans="1:26" ht="15.75" customHeight="1" outlineLevel="1">
      <c r="A667" s="116"/>
      <c r="B667" s="318"/>
      <c r="C667" s="310"/>
      <c r="D667" s="319" t="s">
        <v>919</v>
      </c>
      <c r="E667" s="350">
        <f>E657+E659+E661+E663+E665</f>
        <v>0.99999999999999978</v>
      </c>
      <c r="F667" s="310"/>
      <c r="G667" s="310"/>
      <c r="H667" s="310"/>
      <c r="I667" s="310"/>
      <c r="J667" s="310"/>
      <c r="K667" s="310"/>
      <c r="L667" s="310"/>
      <c r="M667" s="310"/>
      <c r="N667" s="310"/>
      <c r="O667" s="310"/>
      <c r="P667" s="310"/>
      <c r="Q667" s="310"/>
      <c r="R667" s="310"/>
      <c r="S667" s="310"/>
      <c r="T667" s="310"/>
      <c r="U667" s="310"/>
      <c r="V667" s="310"/>
      <c r="W667" s="355">
        <f>SUM(W658:W666)</f>
        <v>3.2579114625453922</v>
      </c>
      <c r="X667" s="315"/>
    </row>
    <row r="668" spans="1:26">
      <c r="A668" s="46" t="str">
        <f>'Secondary cum Calculation'!A610</f>
        <v>Poland</v>
      </c>
      <c r="B668" s="47" t="str">
        <f>'Secondary cum Calculation'!B610</f>
        <v>Tourism Flows</v>
      </c>
      <c r="C668" s="47" t="str">
        <f>'Secondary cum Calculation'!C610</f>
        <v>International Departures by Destination</v>
      </c>
      <c r="D668" s="47" t="str">
        <f>'Secondary cum Calculation'!D610</f>
        <v>Africa</v>
      </c>
      <c r="E668" s="46" t="str">
        <f>'Secondary cum Calculation'!E610</f>
        <v>Algeria</v>
      </c>
      <c r="F668" s="48" t="str">
        <f>'Secondary cum Calculation'!F610</f>
        <v>The number of international departures from a country to Algeria</v>
      </c>
      <c r="G668" s="48" t="str">
        <f>'Secondary cum Calculation'!G610</f>
        <v>Tourism Demand &amp; Flows Database</v>
      </c>
      <c r="H668" s="48" t="str">
        <f>'Secondary cum Calculation'!H610</f>
        <v>New</v>
      </c>
      <c r="I668" s="48">
        <f>'Secondary cum Calculation'!I610</f>
        <v>0</v>
      </c>
      <c r="J668" s="48" t="str">
        <f>'Secondary cum Calculation'!J610</f>
        <v>Thousand</v>
      </c>
      <c r="K668" s="49">
        <f>'Secondary cum Calculation'!K610</f>
        <v>0</v>
      </c>
      <c r="L668" s="92"/>
      <c r="M668" s="92"/>
      <c r="N668" s="92"/>
      <c r="O668" s="89"/>
      <c r="P668" s="91"/>
      <c r="Q668" s="91"/>
      <c r="R668" s="89"/>
      <c r="S668" s="89"/>
      <c r="T668" s="89"/>
      <c r="U668" s="89"/>
      <c r="V668" s="89"/>
      <c r="W668" s="102" t="e">
        <f>'Secondary cum Calculation'!W610</f>
        <v>#DIV/0!</v>
      </c>
      <c r="X668" s="102" t="e">
        <f>'Secondary cum Calculation'!X610</f>
        <v>#DIV/0!</v>
      </c>
      <c r="Z668" s="11"/>
    </row>
    <row r="669" spans="1:26">
      <c r="A669" s="48"/>
      <c r="B669" s="48"/>
      <c r="C669" s="52" t="str">
        <f>'Secondary cum Calculation'!C611</f>
        <v>Growth Rate</v>
      </c>
      <c r="D669" s="52"/>
      <c r="E669" s="52"/>
      <c r="F669" s="52">
        <f>'Secondary cum Calculation'!F611</f>
        <v>0</v>
      </c>
      <c r="G669" s="52">
        <f>'Secondary cum Calculation'!G611</f>
        <v>0</v>
      </c>
      <c r="H669" s="52">
        <f>'Secondary cum Calculation'!H611</f>
        <v>0</v>
      </c>
      <c r="I669" s="52">
        <f>'Secondary cum Calculation'!I611</f>
        <v>0</v>
      </c>
      <c r="J669" s="52" t="str">
        <f>'Secondary cum Calculation'!J611</f>
        <v>%</v>
      </c>
      <c r="K669" s="49">
        <f>'Secondary cum Calculation'!K611</f>
        <v>0</v>
      </c>
      <c r="L669" s="53"/>
      <c r="M669" s="54" t="e">
        <f>'Secondary cum Calculation'!M611</f>
        <v>#DIV/0!</v>
      </c>
      <c r="N669" s="54" t="e">
        <f>'Secondary cum Calculation'!N611</f>
        <v>#DIV/0!</v>
      </c>
      <c r="O669" s="54" t="e">
        <f>'Secondary cum Calculation'!O611</f>
        <v>#DIV/0!</v>
      </c>
      <c r="P669" s="54" t="e">
        <f>'Secondary cum Calculation'!P611</f>
        <v>#DIV/0!</v>
      </c>
      <c r="Q669" s="54"/>
      <c r="R669" s="54"/>
      <c r="S669" s="54"/>
      <c r="T669" s="54"/>
      <c r="U669" s="54"/>
      <c r="V669" s="54"/>
      <c r="W669" s="258"/>
      <c r="X669" s="258"/>
    </row>
    <row r="670" spans="1:26">
      <c r="A670" s="46" t="str">
        <f>'Secondary cum Calculation'!A612</f>
        <v>Poland</v>
      </c>
      <c r="B670" s="47" t="str">
        <f>'Secondary cum Calculation'!B612</f>
        <v>Tourism Flows</v>
      </c>
      <c r="C670" s="47" t="str">
        <f>'Secondary cum Calculation'!C612</f>
        <v>International Departures by Destination</v>
      </c>
      <c r="D670" s="47" t="str">
        <f>'Secondary cum Calculation'!D612</f>
        <v>Africa</v>
      </c>
      <c r="E670" s="46" t="str">
        <f>'Secondary cum Calculation'!E612</f>
        <v>Angola</v>
      </c>
      <c r="F670" s="48" t="str">
        <f>'Secondary cum Calculation'!F612</f>
        <v>The number of international departures from a country to Angola</v>
      </c>
      <c r="G670" s="48" t="str">
        <f>'Secondary cum Calculation'!G612</f>
        <v>Tourism Demand &amp; Flows Database</v>
      </c>
      <c r="H670" s="48" t="str">
        <f>'Secondary cum Calculation'!H612</f>
        <v>New</v>
      </c>
      <c r="I670" s="48">
        <f>'Secondary cum Calculation'!I612</f>
        <v>0</v>
      </c>
      <c r="J670" s="48" t="str">
        <f>'Secondary cum Calculation'!J612</f>
        <v>Thousand</v>
      </c>
      <c r="K670" s="49">
        <f>'Secondary cum Calculation'!K612</f>
        <v>0</v>
      </c>
      <c r="L670" s="92">
        <f>'Secondary cum Calculation'!L612</f>
        <v>0</v>
      </c>
      <c r="M670" s="92">
        <f>'Secondary cum Calculation'!M612</f>
        <v>0</v>
      </c>
      <c r="N670" s="92">
        <f>'Secondary cum Calculation'!N612</f>
        <v>0</v>
      </c>
      <c r="O670" s="53">
        <f>'Secondary cum Calculation'!O612</f>
        <v>0</v>
      </c>
      <c r="P670" s="53">
        <f>'Secondary cum Calculation'!P612</f>
        <v>0</v>
      </c>
      <c r="Q670" s="53"/>
      <c r="R670" s="53"/>
      <c r="S670" s="53"/>
      <c r="T670" s="53"/>
      <c r="U670" s="53"/>
      <c r="V670" s="53"/>
      <c r="W670" s="102" t="e">
        <f>'Secondary cum Calculation'!W612</f>
        <v>#DIV/0!</v>
      </c>
      <c r="X670" s="102" t="e">
        <f>'Secondary cum Calculation'!X612</f>
        <v>#DIV/0!</v>
      </c>
      <c r="Z670" s="11"/>
    </row>
    <row r="671" spans="1:26">
      <c r="A671" s="48"/>
      <c r="B671" s="48"/>
      <c r="C671" s="52" t="str">
        <f>'Secondary cum Calculation'!C613</f>
        <v>Growth Rate</v>
      </c>
      <c r="D671" s="52"/>
      <c r="E671" s="52"/>
      <c r="F671" s="52">
        <f>'Secondary cum Calculation'!F613</f>
        <v>0</v>
      </c>
      <c r="G671" s="52">
        <f>'Secondary cum Calculation'!G613</f>
        <v>0</v>
      </c>
      <c r="H671" s="52">
        <f>'Secondary cum Calculation'!H613</f>
        <v>0</v>
      </c>
      <c r="I671" s="52">
        <f>'Secondary cum Calculation'!I613</f>
        <v>0</v>
      </c>
      <c r="J671" s="52" t="str">
        <f>'Secondary cum Calculation'!J613</f>
        <v>%</v>
      </c>
      <c r="K671" s="49">
        <f>'Secondary cum Calculation'!K613</f>
        <v>0</v>
      </c>
      <c r="L671" s="53"/>
      <c r="M671" s="54" t="e">
        <f>'Secondary cum Calculation'!M613</f>
        <v>#DIV/0!</v>
      </c>
      <c r="N671" s="54" t="e">
        <f>'Secondary cum Calculation'!N613</f>
        <v>#DIV/0!</v>
      </c>
      <c r="O671" s="54" t="e">
        <f>'Secondary cum Calculation'!O613</f>
        <v>#DIV/0!</v>
      </c>
      <c r="P671" s="54" t="e">
        <f>'Secondary cum Calculation'!P613</f>
        <v>#DIV/0!</v>
      </c>
      <c r="Q671" s="54"/>
      <c r="R671" s="54"/>
      <c r="S671" s="54"/>
      <c r="T671" s="54"/>
      <c r="U671" s="54"/>
      <c r="V671" s="54"/>
      <c r="W671" s="258"/>
      <c r="X671" s="258"/>
    </row>
    <row r="672" spans="1:26">
      <c r="A672" s="46" t="str">
        <f>'Secondary cum Calculation'!A614</f>
        <v>Poland</v>
      </c>
      <c r="B672" s="47" t="str">
        <f>'Secondary cum Calculation'!B614</f>
        <v>Tourism Flows</v>
      </c>
      <c r="C672" s="47" t="str">
        <f>'Secondary cum Calculation'!C614</f>
        <v>International Departures by Destination</v>
      </c>
      <c r="D672" s="47" t="str">
        <f>'Secondary cum Calculation'!D614</f>
        <v>Africa</v>
      </c>
      <c r="E672" s="46" t="str">
        <f>'Secondary cum Calculation'!E614</f>
        <v>Benin</v>
      </c>
      <c r="F672" s="48" t="str">
        <f>'Secondary cum Calculation'!F614</f>
        <v>The number of international departures from a country to Benin</v>
      </c>
      <c r="G672" s="48" t="str">
        <f>'Secondary cum Calculation'!G614</f>
        <v>Tourism Demand &amp; Flows Database</v>
      </c>
      <c r="H672" s="48" t="str">
        <f>'Secondary cum Calculation'!H614</f>
        <v>New</v>
      </c>
      <c r="I672" s="48">
        <f>'Secondary cum Calculation'!I614</f>
        <v>0</v>
      </c>
      <c r="J672" s="48" t="str">
        <f>'Secondary cum Calculation'!J614</f>
        <v>Thousand</v>
      </c>
      <c r="K672" s="49">
        <f>'Secondary cum Calculation'!K614</f>
        <v>0</v>
      </c>
      <c r="L672" s="92">
        <f>'Secondary cum Calculation'!L614</f>
        <v>0</v>
      </c>
      <c r="M672" s="92">
        <f>'Secondary cum Calculation'!M614</f>
        <v>0</v>
      </c>
      <c r="N672" s="92">
        <f>'Secondary cum Calculation'!N614</f>
        <v>0</v>
      </c>
      <c r="O672" s="53">
        <f>'Secondary cum Calculation'!O614</f>
        <v>0</v>
      </c>
      <c r="P672" s="53">
        <f>'Secondary cum Calculation'!P614</f>
        <v>0</v>
      </c>
      <c r="Q672" s="53"/>
      <c r="R672" s="53"/>
      <c r="S672" s="53"/>
      <c r="T672" s="53"/>
      <c r="U672" s="53"/>
      <c r="V672" s="53"/>
      <c r="W672" s="102" t="e">
        <f>'Secondary cum Calculation'!W614</f>
        <v>#DIV/0!</v>
      </c>
      <c r="X672" s="102" t="e">
        <f>'Secondary cum Calculation'!X614</f>
        <v>#DIV/0!</v>
      </c>
      <c r="Z672" s="11"/>
    </row>
    <row r="673" spans="1:26">
      <c r="A673" s="48"/>
      <c r="B673" s="48"/>
      <c r="C673" s="52" t="str">
        <f>'Secondary cum Calculation'!C615</f>
        <v>Growth Rate</v>
      </c>
      <c r="D673" s="52"/>
      <c r="E673" s="52"/>
      <c r="F673" s="52">
        <f>'Secondary cum Calculation'!F615</f>
        <v>0</v>
      </c>
      <c r="G673" s="52">
        <f>'Secondary cum Calculation'!G615</f>
        <v>0</v>
      </c>
      <c r="H673" s="52">
        <f>'Secondary cum Calculation'!H615</f>
        <v>0</v>
      </c>
      <c r="I673" s="52">
        <f>'Secondary cum Calculation'!I615</f>
        <v>0</v>
      </c>
      <c r="J673" s="52" t="str">
        <f>'Secondary cum Calculation'!J615</f>
        <v>%</v>
      </c>
      <c r="K673" s="49">
        <f>'Secondary cum Calculation'!K615</f>
        <v>0</v>
      </c>
      <c r="L673" s="53"/>
      <c r="M673" s="54" t="e">
        <f>'Secondary cum Calculation'!M615</f>
        <v>#DIV/0!</v>
      </c>
      <c r="N673" s="54" t="e">
        <f>'Secondary cum Calculation'!N615</f>
        <v>#DIV/0!</v>
      </c>
      <c r="O673" s="54" t="e">
        <f>'Secondary cum Calculation'!O615</f>
        <v>#DIV/0!</v>
      </c>
      <c r="P673" s="54" t="e">
        <f>'Secondary cum Calculation'!P615</f>
        <v>#DIV/0!</v>
      </c>
      <c r="Q673" s="54"/>
      <c r="R673" s="54"/>
      <c r="S673" s="54"/>
      <c r="T673" s="54"/>
      <c r="U673" s="54"/>
      <c r="V673" s="54"/>
      <c r="W673" s="258"/>
      <c r="X673" s="258"/>
    </row>
    <row r="674" spans="1:26">
      <c r="A674" s="46" t="str">
        <f>'Secondary cum Calculation'!A616</f>
        <v>Poland</v>
      </c>
      <c r="B674" s="47" t="str">
        <f>'Secondary cum Calculation'!B616</f>
        <v>Tourism Flows</v>
      </c>
      <c r="C674" s="47" t="str">
        <f>'Secondary cum Calculation'!C616</f>
        <v>International Departures by Destination</v>
      </c>
      <c r="D674" s="47" t="str">
        <f>'Secondary cum Calculation'!D616</f>
        <v>Africa</v>
      </c>
      <c r="E674" s="46" t="str">
        <f>'Secondary cum Calculation'!E616</f>
        <v>Botswana</v>
      </c>
      <c r="F674" s="48" t="str">
        <f>'Secondary cum Calculation'!F616</f>
        <v>The number of international departures from a country to Botswana</v>
      </c>
      <c r="G674" s="48" t="str">
        <f>'Secondary cum Calculation'!G616</f>
        <v>Tourism Demand &amp; Flows Database</v>
      </c>
      <c r="H674" s="48" t="str">
        <f>'Secondary cum Calculation'!H616</f>
        <v>New</v>
      </c>
      <c r="I674" s="48">
        <f>'Secondary cum Calculation'!I616</f>
        <v>0</v>
      </c>
      <c r="J674" s="48" t="str">
        <f>'Secondary cum Calculation'!J616</f>
        <v>Thousand</v>
      </c>
      <c r="K674" s="49">
        <f>'Secondary cum Calculation'!K616</f>
        <v>0</v>
      </c>
      <c r="L674" s="92">
        <f>'Secondary cum Calculation'!L616</f>
        <v>0</v>
      </c>
      <c r="M674" s="92">
        <f>'Secondary cum Calculation'!M616</f>
        <v>0</v>
      </c>
      <c r="N674" s="92">
        <f>'Secondary cum Calculation'!N616</f>
        <v>0</v>
      </c>
      <c r="O674" s="53">
        <f>'Secondary cum Calculation'!O616</f>
        <v>0</v>
      </c>
      <c r="P674" s="53">
        <f>'Secondary cum Calculation'!P616</f>
        <v>0</v>
      </c>
      <c r="Q674" s="53"/>
      <c r="R674" s="53"/>
      <c r="S674" s="53"/>
      <c r="T674" s="53"/>
      <c r="U674" s="53"/>
      <c r="V674" s="53"/>
      <c r="W674" s="102" t="e">
        <f>'Secondary cum Calculation'!W616</f>
        <v>#DIV/0!</v>
      </c>
      <c r="X674" s="102" t="e">
        <f>'Secondary cum Calculation'!X616</f>
        <v>#DIV/0!</v>
      </c>
      <c r="Z674" s="11"/>
    </row>
    <row r="675" spans="1:26">
      <c r="A675" s="48"/>
      <c r="B675" s="48"/>
      <c r="C675" s="52" t="str">
        <f>'Secondary cum Calculation'!C617</f>
        <v>Growth Rate</v>
      </c>
      <c r="D675" s="52"/>
      <c r="E675" s="52"/>
      <c r="F675" s="52">
        <f>'Secondary cum Calculation'!F617</f>
        <v>0</v>
      </c>
      <c r="G675" s="52">
        <f>'Secondary cum Calculation'!G617</f>
        <v>0</v>
      </c>
      <c r="H675" s="52">
        <f>'Secondary cum Calculation'!H617</f>
        <v>0</v>
      </c>
      <c r="I675" s="52">
        <f>'Secondary cum Calculation'!I617</f>
        <v>0</v>
      </c>
      <c r="J675" s="52" t="str">
        <f>'Secondary cum Calculation'!J617</f>
        <v>%</v>
      </c>
      <c r="K675" s="49">
        <f>'Secondary cum Calculation'!K617</f>
        <v>0</v>
      </c>
      <c r="L675" s="53"/>
      <c r="M675" s="54" t="e">
        <f>'Secondary cum Calculation'!M617</f>
        <v>#DIV/0!</v>
      </c>
      <c r="N675" s="54" t="e">
        <f>'Secondary cum Calculation'!N617</f>
        <v>#DIV/0!</v>
      </c>
      <c r="O675" s="54" t="e">
        <f>'Secondary cum Calculation'!O617</f>
        <v>#DIV/0!</v>
      </c>
      <c r="P675" s="54" t="e">
        <f>'Secondary cum Calculation'!P617</f>
        <v>#DIV/0!</v>
      </c>
      <c r="Q675" s="54"/>
      <c r="R675" s="54"/>
      <c r="S675" s="54"/>
      <c r="T675" s="54"/>
      <c r="U675" s="54"/>
      <c r="V675" s="54"/>
      <c r="W675" s="258"/>
      <c r="X675" s="258"/>
    </row>
    <row r="676" spans="1:26">
      <c r="A676" s="46" t="str">
        <f>'Secondary cum Calculation'!A618</f>
        <v>Poland</v>
      </c>
      <c r="B676" s="47" t="str">
        <f>'Secondary cum Calculation'!B618</f>
        <v>Tourism Flows</v>
      </c>
      <c r="C676" s="47" t="str">
        <f>'Secondary cum Calculation'!C618</f>
        <v>International Departures by Destination</v>
      </c>
      <c r="D676" s="47" t="str">
        <f>'Secondary cum Calculation'!D618</f>
        <v>Africa</v>
      </c>
      <c r="E676" s="46" t="str">
        <f>'Secondary cum Calculation'!E618</f>
        <v>Burkina Faso</v>
      </c>
      <c r="F676" s="48" t="str">
        <f>'Secondary cum Calculation'!F618</f>
        <v>The number of international departures from a country to Burkina Faso</v>
      </c>
      <c r="G676" s="48" t="str">
        <f>'Secondary cum Calculation'!G618</f>
        <v>Tourism Demand &amp; Flows Database</v>
      </c>
      <c r="H676" s="48" t="str">
        <f>'Secondary cum Calculation'!H618</f>
        <v>New</v>
      </c>
      <c r="I676" s="48">
        <f>'Secondary cum Calculation'!I618</f>
        <v>0</v>
      </c>
      <c r="J676" s="48" t="str">
        <f>'Secondary cum Calculation'!J618</f>
        <v>Thousand</v>
      </c>
      <c r="K676" s="49">
        <f>'Secondary cum Calculation'!K618</f>
        <v>0</v>
      </c>
      <c r="L676" s="92">
        <f>'Secondary cum Calculation'!L618</f>
        <v>0</v>
      </c>
      <c r="M676" s="92">
        <f>'Secondary cum Calculation'!M618</f>
        <v>0</v>
      </c>
      <c r="N676" s="92">
        <f>'Secondary cum Calculation'!N618</f>
        <v>0</v>
      </c>
      <c r="O676" s="53">
        <f>'Secondary cum Calculation'!O618</f>
        <v>0</v>
      </c>
      <c r="P676" s="53">
        <f>'Secondary cum Calculation'!P618</f>
        <v>0</v>
      </c>
      <c r="Q676" s="53"/>
      <c r="R676" s="53"/>
      <c r="S676" s="53"/>
      <c r="T676" s="53"/>
      <c r="U676" s="53"/>
      <c r="V676" s="53"/>
      <c r="W676" s="102" t="e">
        <f>'Secondary cum Calculation'!W618</f>
        <v>#DIV/0!</v>
      </c>
      <c r="X676" s="102" t="e">
        <f>'Secondary cum Calculation'!X618</f>
        <v>#DIV/0!</v>
      </c>
      <c r="Z676" s="11"/>
    </row>
    <row r="677" spans="1:26">
      <c r="A677" s="48"/>
      <c r="B677" s="48"/>
      <c r="C677" s="52" t="str">
        <f>'Secondary cum Calculation'!C619</f>
        <v>Growth Rate</v>
      </c>
      <c r="D677" s="52"/>
      <c r="E677" s="52"/>
      <c r="F677" s="52">
        <f>'Secondary cum Calculation'!F619</f>
        <v>0</v>
      </c>
      <c r="G677" s="52">
        <f>'Secondary cum Calculation'!G619</f>
        <v>0</v>
      </c>
      <c r="H677" s="52">
        <f>'Secondary cum Calculation'!H619</f>
        <v>0</v>
      </c>
      <c r="I677" s="52">
        <f>'Secondary cum Calculation'!I619</f>
        <v>0</v>
      </c>
      <c r="J677" s="52" t="str">
        <f>'Secondary cum Calculation'!J619</f>
        <v>%</v>
      </c>
      <c r="K677" s="49">
        <f>'Secondary cum Calculation'!K619</f>
        <v>0</v>
      </c>
      <c r="L677" s="53"/>
      <c r="M677" s="54" t="e">
        <f>'Secondary cum Calculation'!M619</f>
        <v>#DIV/0!</v>
      </c>
      <c r="N677" s="54" t="e">
        <f>'Secondary cum Calculation'!N619</f>
        <v>#DIV/0!</v>
      </c>
      <c r="O677" s="54" t="e">
        <f>'Secondary cum Calculation'!O619</f>
        <v>#DIV/0!</v>
      </c>
      <c r="P677" s="54" t="e">
        <f>'Secondary cum Calculation'!P619</f>
        <v>#DIV/0!</v>
      </c>
      <c r="Q677" s="54"/>
      <c r="R677" s="54"/>
      <c r="S677" s="54"/>
      <c r="T677" s="54"/>
      <c r="U677" s="54"/>
      <c r="V677" s="54"/>
      <c r="W677" s="258"/>
      <c r="X677" s="258"/>
    </row>
    <row r="678" spans="1:26">
      <c r="A678" s="46" t="str">
        <f>'Secondary cum Calculation'!A620</f>
        <v>Poland</v>
      </c>
      <c r="B678" s="47" t="str">
        <f>'Secondary cum Calculation'!B620</f>
        <v>Tourism Flows</v>
      </c>
      <c r="C678" s="47" t="str">
        <f>'Secondary cum Calculation'!C620</f>
        <v>International Departures by Destination</v>
      </c>
      <c r="D678" s="47" t="str">
        <f>'Secondary cum Calculation'!D620</f>
        <v>Africa</v>
      </c>
      <c r="E678" s="46" t="str">
        <f>'Secondary cum Calculation'!E620</f>
        <v>Burundi</v>
      </c>
      <c r="F678" s="48" t="str">
        <f>'Secondary cum Calculation'!F620</f>
        <v>The number of international departures from a country to Burundi</v>
      </c>
      <c r="G678" s="48" t="str">
        <f>'Secondary cum Calculation'!G620</f>
        <v>Tourism Demand &amp; Flows Database</v>
      </c>
      <c r="H678" s="48" t="str">
        <f>'Secondary cum Calculation'!H620</f>
        <v>New</v>
      </c>
      <c r="I678" s="48">
        <f>'Secondary cum Calculation'!I620</f>
        <v>0</v>
      </c>
      <c r="J678" s="48" t="str">
        <f>'Secondary cum Calculation'!J620</f>
        <v>Thousand</v>
      </c>
      <c r="K678" s="49">
        <f>'Secondary cum Calculation'!K620</f>
        <v>0</v>
      </c>
      <c r="L678" s="92">
        <f>'Secondary cum Calculation'!L620</f>
        <v>0</v>
      </c>
      <c r="M678" s="92">
        <f>'Secondary cum Calculation'!M620</f>
        <v>0</v>
      </c>
      <c r="N678" s="92">
        <f>'Secondary cum Calculation'!N620</f>
        <v>0</v>
      </c>
      <c r="O678" s="53">
        <f>'Secondary cum Calculation'!O620</f>
        <v>0</v>
      </c>
      <c r="P678" s="53">
        <f>'Secondary cum Calculation'!P620</f>
        <v>0</v>
      </c>
      <c r="Q678" s="53"/>
      <c r="R678" s="53"/>
      <c r="S678" s="53"/>
      <c r="T678" s="53"/>
      <c r="U678" s="53"/>
      <c r="V678" s="53"/>
      <c r="W678" s="102" t="e">
        <f>'Secondary cum Calculation'!W620</f>
        <v>#DIV/0!</v>
      </c>
      <c r="X678" s="102" t="e">
        <f>'Secondary cum Calculation'!X620</f>
        <v>#DIV/0!</v>
      </c>
      <c r="Z678" s="11"/>
    </row>
    <row r="679" spans="1:26">
      <c r="A679" s="48"/>
      <c r="B679" s="48"/>
      <c r="C679" s="52" t="str">
        <f>'Secondary cum Calculation'!C621</f>
        <v>Growth Rate</v>
      </c>
      <c r="D679" s="52"/>
      <c r="E679" s="52"/>
      <c r="F679" s="52">
        <f>'Secondary cum Calculation'!F621</f>
        <v>0</v>
      </c>
      <c r="G679" s="52">
        <f>'Secondary cum Calculation'!G621</f>
        <v>0</v>
      </c>
      <c r="H679" s="52">
        <f>'Secondary cum Calculation'!H621</f>
        <v>0</v>
      </c>
      <c r="I679" s="52">
        <f>'Secondary cum Calculation'!I621</f>
        <v>0</v>
      </c>
      <c r="J679" s="52" t="str">
        <f>'Secondary cum Calculation'!J621</f>
        <v>%</v>
      </c>
      <c r="K679" s="49">
        <f>'Secondary cum Calculation'!K621</f>
        <v>0</v>
      </c>
      <c r="L679" s="53"/>
      <c r="M679" s="54" t="e">
        <f>'Secondary cum Calculation'!M621</f>
        <v>#DIV/0!</v>
      </c>
      <c r="N679" s="54" t="e">
        <f>'Secondary cum Calculation'!N621</f>
        <v>#DIV/0!</v>
      </c>
      <c r="O679" s="54" t="e">
        <f>'Secondary cum Calculation'!O621</f>
        <v>#DIV/0!</v>
      </c>
      <c r="P679" s="54" t="e">
        <f>'Secondary cum Calculation'!P621</f>
        <v>#DIV/0!</v>
      </c>
      <c r="Q679" s="54"/>
      <c r="R679" s="54"/>
      <c r="S679" s="54"/>
      <c r="T679" s="54"/>
      <c r="U679" s="54"/>
      <c r="V679" s="54"/>
      <c r="W679" s="258"/>
      <c r="X679" s="258"/>
    </row>
    <row r="680" spans="1:26">
      <c r="A680" s="46" t="str">
        <f>'Secondary cum Calculation'!A622</f>
        <v>Poland</v>
      </c>
      <c r="B680" s="47" t="str">
        <f>'Secondary cum Calculation'!B622</f>
        <v>Tourism Flows</v>
      </c>
      <c r="C680" s="47" t="str">
        <f>'Secondary cum Calculation'!C622</f>
        <v>International Departures by Destination</v>
      </c>
      <c r="D680" s="47" t="str">
        <f>'Secondary cum Calculation'!D622</f>
        <v>Africa</v>
      </c>
      <c r="E680" s="46" t="str">
        <f>'Secondary cum Calculation'!E622</f>
        <v>Cameroon</v>
      </c>
      <c r="F680" s="48" t="str">
        <f>'Secondary cum Calculation'!F622</f>
        <v>The number of international departures from a country to Cameroon</v>
      </c>
      <c r="G680" s="48" t="str">
        <f>'Secondary cum Calculation'!G622</f>
        <v>Tourism Demand &amp; Flows Database</v>
      </c>
      <c r="H680" s="48" t="str">
        <f>'Secondary cum Calculation'!H622</f>
        <v>New</v>
      </c>
      <c r="I680" s="48">
        <f>'Secondary cum Calculation'!I622</f>
        <v>0</v>
      </c>
      <c r="J680" s="48" t="str">
        <f>'Secondary cum Calculation'!J622</f>
        <v>Thousand</v>
      </c>
      <c r="K680" s="49">
        <f>'Secondary cum Calculation'!K622</f>
        <v>0</v>
      </c>
      <c r="L680" s="92">
        <f>'Secondary cum Calculation'!L622</f>
        <v>0</v>
      </c>
      <c r="M680" s="92">
        <f>'Secondary cum Calculation'!M622</f>
        <v>0</v>
      </c>
      <c r="N680" s="92">
        <f>'Secondary cum Calculation'!N622</f>
        <v>0</v>
      </c>
      <c r="O680" s="53">
        <f>'Secondary cum Calculation'!O622</f>
        <v>0</v>
      </c>
      <c r="P680" s="53">
        <f>'Secondary cum Calculation'!P622</f>
        <v>0</v>
      </c>
      <c r="Q680" s="53"/>
      <c r="R680" s="53"/>
      <c r="S680" s="53"/>
      <c r="T680" s="53"/>
      <c r="U680" s="53"/>
      <c r="V680" s="53"/>
      <c r="W680" s="102" t="e">
        <f>'Secondary cum Calculation'!W622</f>
        <v>#DIV/0!</v>
      </c>
      <c r="X680" s="102" t="e">
        <f>'Secondary cum Calculation'!X622</f>
        <v>#DIV/0!</v>
      </c>
      <c r="Z680" s="11"/>
    </row>
    <row r="681" spans="1:26">
      <c r="A681" s="48"/>
      <c r="B681" s="48"/>
      <c r="C681" s="52" t="str">
        <f>'Secondary cum Calculation'!C623</f>
        <v>Growth Rate</v>
      </c>
      <c r="D681" s="52"/>
      <c r="E681" s="52"/>
      <c r="F681" s="52">
        <f>'Secondary cum Calculation'!F623</f>
        <v>0</v>
      </c>
      <c r="G681" s="52">
        <f>'Secondary cum Calculation'!G623</f>
        <v>0</v>
      </c>
      <c r="H681" s="52">
        <f>'Secondary cum Calculation'!H623</f>
        <v>0</v>
      </c>
      <c r="I681" s="52">
        <f>'Secondary cum Calculation'!I623</f>
        <v>0</v>
      </c>
      <c r="J681" s="52" t="str">
        <f>'Secondary cum Calculation'!J623</f>
        <v>%</v>
      </c>
      <c r="K681" s="49">
        <f>'Secondary cum Calculation'!K623</f>
        <v>0</v>
      </c>
      <c r="L681" s="53"/>
      <c r="M681" s="54" t="e">
        <f>'Secondary cum Calculation'!M623</f>
        <v>#DIV/0!</v>
      </c>
      <c r="N681" s="54" t="e">
        <f>'Secondary cum Calculation'!N623</f>
        <v>#DIV/0!</v>
      </c>
      <c r="O681" s="54" t="e">
        <f>'Secondary cum Calculation'!O623</f>
        <v>#DIV/0!</v>
      </c>
      <c r="P681" s="54" t="e">
        <f>'Secondary cum Calculation'!P623</f>
        <v>#DIV/0!</v>
      </c>
      <c r="Q681" s="54"/>
      <c r="R681" s="54"/>
      <c r="S681" s="54"/>
      <c r="T681" s="54"/>
      <c r="U681" s="54"/>
      <c r="V681" s="54"/>
      <c r="W681" s="258"/>
      <c r="X681" s="258"/>
    </row>
    <row r="682" spans="1:26">
      <c r="A682" s="46" t="str">
        <f>'Secondary cum Calculation'!A624</f>
        <v>Poland</v>
      </c>
      <c r="B682" s="47" t="str">
        <f>'Secondary cum Calculation'!B624</f>
        <v>Tourism Flows</v>
      </c>
      <c r="C682" s="47" t="str">
        <f>'Secondary cum Calculation'!C624</f>
        <v>International Departures by Destination</v>
      </c>
      <c r="D682" s="47" t="str">
        <f>'Secondary cum Calculation'!D624</f>
        <v>Africa</v>
      </c>
      <c r="E682" s="46" t="str">
        <f>'Secondary cum Calculation'!E624</f>
        <v>Cape Verde</v>
      </c>
      <c r="F682" s="48" t="str">
        <f>'Secondary cum Calculation'!F624</f>
        <v>The number of international departures from a country to Cape Verde</v>
      </c>
      <c r="G682" s="48" t="str">
        <f>'Secondary cum Calculation'!G624</f>
        <v>Tourism Demand &amp; Flows Database</v>
      </c>
      <c r="H682" s="48" t="str">
        <f>'Secondary cum Calculation'!H624</f>
        <v>New</v>
      </c>
      <c r="I682" s="48">
        <f>'Secondary cum Calculation'!I624</f>
        <v>0</v>
      </c>
      <c r="J682" s="48" t="str">
        <f>'Secondary cum Calculation'!J624</f>
        <v>Thousand</v>
      </c>
      <c r="K682" s="49">
        <f>'Secondary cum Calculation'!K624</f>
        <v>0</v>
      </c>
      <c r="L682" s="92">
        <f>'Secondary cum Calculation'!L624</f>
        <v>0</v>
      </c>
      <c r="M682" s="92">
        <f>'Secondary cum Calculation'!M624</f>
        <v>0</v>
      </c>
      <c r="N682" s="92">
        <f>'Secondary cum Calculation'!N624</f>
        <v>0</v>
      </c>
      <c r="O682" s="53">
        <f>'Secondary cum Calculation'!O624</f>
        <v>0</v>
      </c>
      <c r="P682" s="53">
        <f>'Secondary cum Calculation'!P624</f>
        <v>0</v>
      </c>
      <c r="Q682" s="53"/>
      <c r="R682" s="53"/>
      <c r="S682" s="53"/>
      <c r="T682" s="53"/>
      <c r="U682" s="53"/>
      <c r="V682" s="53"/>
      <c r="W682" s="102" t="e">
        <f>'Secondary cum Calculation'!W624</f>
        <v>#DIV/0!</v>
      </c>
      <c r="X682" s="102" t="e">
        <f>'Secondary cum Calculation'!X624</f>
        <v>#DIV/0!</v>
      </c>
      <c r="Z682" s="11"/>
    </row>
    <row r="683" spans="1:26">
      <c r="A683" s="48"/>
      <c r="B683" s="48"/>
      <c r="C683" s="52" t="str">
        <f>'Secondary cum Calculation'!C625</f>
        <v>Growth Rate</v>
      </c>
      <c r="D683" s="52"/>
      <c r="E683" s="52"/>
      <c r="F683" s="52">
        <f>'Secondary cum Calculation'!F625</f>
        <v>0</v>
      </c>
      <c r="G683" s="52">
        <f>'Secondary cum Calculation'!G625</f>
        <v>0</v>
      </c>
      <c r="H683" s="52">
        <f>'Secondary cum Calculation'!H625</f>
        <v>0</v>
      </c>
      <c r="I683" s="52">
        <f>'Secondary cum Calculation'!I625</f>
        <v>0</v>
      </c>
      <c r="J683" s="52" t="str">
        <f>'Secondary cum Calculation'!J625</f>
        <v>%</v>
      </c>
      <c r="K683" s="49">
        <f>'Secondary cum Calculation'!K625</f>
        <v>0</v>
      </c>
      <c r="L683" s="53"/>
      <c r="M683" s="54" t="e">
        <f>'Secondary cum Calculation'!M625</f>
        <v>#DIV/0!</v>
      </c>
      <c r="N683" s="54" t="e">
        <f>'Secondary cum Calculation'!N625</f>
        <v>#DIV/0!</v>
      </c>
      <c r="O683" s="54" t="e">
        <f>'Secondary cum Calculation'!O625</f>
        <v>#DIV/0!</v>
      </c>
      <c r="P683" s="54" t="e">
        <f>'Secondary cum Calculation'!P625</f>
        <v>#DIV/0!</v>
      </c>
      <c r="Q683" s="54"/>
      <c r="R683" s="54"/>
      <c r="S683" s="54"/>
      <c r="T683" s="54"/>
      <c r="U683" s="54"/>
      <c r="V683" s="54"/>
      <c r="W683" s="258"/>
      <c r="X683" s="258"/>
    </row>
    <row r="684" spans="1:26">
      <c r="A684" s="46" t="str">
        <f>'Secondary cum Calculation'!A626</f>
        <v>Poland</v>
      </c>
      <c r="B684" s="47" t="str">
        <f>'Secondary cum Calculation'!B626</f>
        <v>Tourism Flows</v>
      </c>
      <c r="C684" s="47" t="str">
        <f>'Secondary cum Calculation'!C626</f>
        <v>International Departures by Destination</v>
      </c>
      <c r="D684" s="47" t="str">
        <f>'Secondary cum Calculation'!D626</f>
        <v>Africa</v>
      </c>
      <c r="E684" s="46" t="str">
        <f>'Secondary cum Calculation'!E626</f>
        <v>Central African Republic</v>
      </c>
      <c r="F684" s="48" t="str">
        <f>'Secondary cum Calculation'!F626</f>
        <v>The number of international departures from a country to Central African Republic</v>
      </c>
      <c r="G684" s="48" t="str">
        <f>'Secondary cum Calculation'!G626</f>
        <v>Tourism Demand &amp; Flows Database</v>
      </c>
      <c r="H684" s="48" t="str">
        <f>'Secondary cum Calculation'!H626</f>
        <v>New</v>
      </c>
      <c r="I684" s="48">
        <f>'Secondary cum Calculation'!I626</f>
        <v>0</v>
      </c>
      <c r="J684" s="48" t="str">
        <f>'Secondary cum Calculation'!J626</f>
        <v>Thousand</v>
      </c>
      <c r="K684" s="49">
        <f>'Secondary cum Calculation'!K626</f>
        <v>0</v>
      </c>
      <c r="L684" s="92">
        <f>'Secondary cum Calculation'!L626</f>
        <v>0</v>
      </c>
      <c r="M684" s="92">
        <f>'Secondary cum Calculation'!M626</f>
        <v>0</v>
      </c>
      <c r="N684" s="92">
        <f>'Secondary cum Calculation'!N626</f>
        <v>0</v>
      </c>
      <c r="O684" s="53">
        <f>'Secondary cum Calculation'!O626</f>
        <v>0</v>
      </c>
      <c r="P684" s="53">
        <f>'Secondary cum Calculation'!P626</f>
        <v>0</v>
      </c>
      <c r="Q684" s="53"/>
      <c r="R684" s="53"/>
      <c r="S684" s="53"/>
      <c r="T684" s="53"/>
      <c r="U684" s="53"/>
      <c r="V684" s="53"/>
      <c r="W684" s="102" t="e">
        <f>'Secondary cum Calculation'!W626</f>
        <v>#DIV/0!</v>
      </c>
      <c r="X684" s="102" t="e">
        <f>'Secondary cum Calculation'!X626</f>
        <v>#DIV/0!</v>
      </c>
      <c r="Z684" s="11"/>
    </row>
    <row r="685" spans="1:26">
      <c r="A685" s="48"/>
      <c r="B685" s="48"/>
      <c r="C685" s="52" t="str">
        <f>'Secondary cum Calculation'!C627</f>
        <v>Growth Rate</v>
      </c>
      <c r="D685" s="52"/>
      <c r="E685" s="52"/>
      <c r="F685" s="52">
        <f>'Secondary cum Calculation'!F627</f>
        <v>0</v>
      </c>
      <c r="G685" s="52">
        <f>'Secondary cum Calculation'!G627</f>
        <v>0</v>
      </c>
      <c r="H685" s="52">
        <f>'Secondary cum Calculation'!H627</f>
        <v>0</v>
      </c>
      <c r="I685" s="52">
        <f>'Secondary cum Calculation'!I627</f>
        <v>0</v>
      </c>
      <c r="J685" s="52" t="str">
        <f>'Secondary cum Calculation'!J627</f>
        <v>%</v>
      </c>
      <c r="K685" s="49">
        <f>'Secondary cum Calculation'!K627</f>
        <v>0</v>
      </c>
      <c r="L685" s="53"/>
      <c r="M685" s="54" t="e">
        <f>'Secondary cum Calculation'!M627</f>
        <v>#DIV/0!</v>
      </c>
      <c r="N685" s="54" t="e">
        <f>'Secondary cum Calculation'!N627</f>
        <v>#DIV/0!</v>
      </c>
      <c r="O685" s="54" t="e">
        <f>'Secondary cum Calculation'!O627</f>
        <v>#DIV/0!</v>
      </c>
      <c r="P685" s="54" t="e">
        <f>'Secondary cum Calculation'!P627</f>
        <v>#DIV/0!</v>
      </c>
      <c r="Q685" s="54"/>
      <c r="R685" s="54"/>
      <c r="S685" s="54"/>
      <c r="T685" s="54"/>
      <c r="U685" s="54"/>
      <c r="V685" s="54"/>
      <c r="W685" s="258"/>
      <c r="X685" s="258"/>
    </row>
    <row r="686" spans="1:26">
      <c r="A686" s="46" t="str">
        <f>'Secondary cum Calculation'!A628</f>
        <v>Poland</v>
      </c>
      <c r="B686" s="47" t="str">
        <f>'Secondary cum Calculation'!B628</f>
        <v>Tourism Flows</v>
      </c>
      <c r="C686" s="47" t="str">
        <f>'Secondary cum Calculation'!C628</f>
        <v>International Departures by Destination</v>
      </c>
      <c r="D686" s="47" t="str">
        <f>'Secondary cum Calculation'!D628</f>
        <v>Africa</v>
      </c>
      <c r="E686" s="46" t="str">
        <f>'Secondary cum Calculation'!E628</f>
        <v>Chad</v>
      </c>
      <c r="F686" s="48" t="str">
        <f>'Secondary cum Calculation'!F628</f>
        <v>The number of international departures from a country to Chad</v>
      </c>
      <c r="G686" s="48" t="str">
        <f>'Secondary cum Calculation'!G628</f>
        <v>Tourism Demand &amp; Flows Database</v>
      </c>
      <c r="H686" s="48" t="str">
        <f>'Secondary cum Calculation'!H628</f>
        <v>New</v>
      </c>
      <c r="I686" s="48">
        <f>'Secondary cum Calculation'!I628</f>
        <v>0</v>
      </c>
      <c r="J686" s="48" t="str">
        <f>'Secondary cum Calculation'!J628</f>
        <v>Thousand</v>
      </c>
      <c r="K686" s="49">
        <f>'Secondary cum Calculation'!K628</f>
        <v>0</v>
      </c>
      <c r="L686" s="92">
        <f>'Secondary cum Calculation'!L628</f>
        <v>0</v>
      </c>
      <c r="M686" s="92">
        <f>'Secondary cum Calculation'!M628</f>
        <v>0</v>
      </c>
      <c r="N686" s="92">
        <f>'Secondary cum Calculation'!N628</f>
        <v>0</v>
      </c>
      <c r="O686" s="53">
        <f>'Secondary cum Calculation'!O628</f>
        <v>0</v>
      </c>
      <c r="P686" s="53">
        <f>'Secondary cum Calculation'!P628</f>
        <v>0</v>
      </c>
      <c r="Q686" s="53"/>
      <c r="R686" s="53"/>
      <c r="S686" s="53"/>
      <c r="T686" s="53"/>
      <c r="U686" s="53"/>
      <c r="V686" s="53"/>
      <c r="W686" s="102" t="e">
        <f>'Secondary cum Calculation'!W628</f>
        <v>#DIV/0!</v>
      </c>
      <c r="X686" s="102" t="e">
        <f>'Secondary cum Calculation'!X628</f>
        <v>#DIV/0!</v>
      </c>
      <c r="Z686" s="11"/>
    </row>
    <row r="687" spans="1:26">
      <c r="A687" s="48"/>
      <c r="B687" s="48"/>
      <c r="C687" s="52" t="str">
        <f>'Secondary cum Calculation'!C629</f>
        <v>Growth Rate</v>
      </c>
      <c r="D687" s="52"/>
      <c r="E687" s="52"/>
      <c r="F687" s="52">
        <f>'Secondary cum Calculation'!F629</f>
        <v>0</v>
      </c>
      <c r="G687" s="52">
        <f>'Secondary cum Calculation'!G629</f>
        <v>0</v>
      </c>
      <c r="H687" s="52">
        <f>'Secondary cum Calculation'!H629</f>
        <v>0</v>
      </c>
      <c r="I687" s="52">
        <f>'Secondary cum Calculation'!I629</f>
        <v>0</v>
      </c>
      <c r="J687" s="52" t="str">
        <f>'Secondary cum Calculation'!J629</f>
        <v>%</v>
      </c>
      <c r="K687" s="49">
        <f>'Secondary cum Calculation'!K629</f>
        <v>0</v>
      </c>
      <c r="L687" s="53"/>
      <c r="M687" s="54" t="e">
        <f>'Secondary cum Calculation'!M629</f>
        <v>#DIV/0!</v>
      </c>
      <c r="N687" s="54" t="e">
        <f>'Secondary cum Calculation'!N629</f>
        <v>#DIV/0!</v>
      </c>
      <c r="O687" s="54" t="e">
        <f>'Secondary cum Calculation'!O629</f>
        <v>#DIV/0!</v>
      </c>
      <c r="P687" s="54" t="e">
        <f>'Secondary cum Calculation'!P629</f>
        <v>#DIV/0!</v>
      </c>
      <c r="Q687" s="54"/>
      <c r="R687" s="54"/>
      <c r="S687" s="54"/>
      <c r="T687" s="54"/>
      <c r="U687" s="54"/>
      <c r="V687" s="54"/>
      <c r="W687" s="258"/>
      <c r="X687" s="258"/>
    </row>
    <row r="688" spans="1:26">
      <c r="A688" s="46" t="str">
        <f>'Secondary cum Calculation'!A630</f>
        <v>Poland</v>
      </c>
      <c r="B688" s="47" t="str">
        <f>'Secondary cum Calculation'!B630</f>
        <v>Tourism Flows</v>
      </c>
      <c r="C688" s="47" t="str">
        <f>'Secondary cum Calculation'!C630</f>
        <v>International Departures by Destination</v>
      </c>
      <c r="D688" s="47" t="str">
        <f>'Secondary cum Calculation'!D630</f>
        <v>Africa</v>
      </c>
      <c r="E688" s="46" t="str">
        <f>'Secondary cum Calculation'!E630</f>
        <v>Comoros</v>
      </c>
      <c r="F688" s="48" t="str">
        <f>'Secondary cum Calculation'!F630</f>
        <v>The number of international departures from a country to Comoros</v>
      </c>
      <c r="G688" s="48" t="str">
        <f>'Secondary cum Calculation'!G630</f>
        <v>Tourism Demand &amp; Flows Database</v>
      </c>
      <c r="H688" s="48" t="str">
        <f>'Secondary cum Calculation'!H630</f>
        <v>New</v>
      </c>
      <c r="I688" s="48">
        <f>'Secondary cum Calculation'!I630</f>
        <v>0</v>
      </c>
      <c r="J688" s="48" t="str">
        <f>'Secondary cum Calculation'!J630</f>
        <v>Thousand</v>
      </c>
      <c r="K688" s="49">
        <f>'Secondary cum Calculation'!K630</f>
        <v>0</v>
      </c>
      <c r="L688" s="92">
        <f>'Secondary cum Calculation'!L630</f>
        <v>0</v>
      </c>
      <c r="M688" s="92">
        <f>'Secondary cum Calculation'!M630</f>
        <v>0</v>
      </c>
      <c r="N688" s="92">
        <f>'Secondary cum Calculation'!N630</f>
        <v>0</v>
      </c>
      <c r="O688" s="53">
        <f>'Secondary cum Calculation'!O630</f>
        <v>0</v>
      </c>
      <c r="P688" s="53">
        <f>'Secondary cum Calculation'!P630</f>
        <v>0</v>
      </c>
      <c r="Q688" s="53"/>
      <c r="R688" s="53"/>
      <c r="S688" s="53"/>
      <c r="T688" s="53"/>
      <c r="U688" s="53"/>
      <c r="V688" s="53"/>
      <c r="W688" s="102" t="e">
        <f>'Secondary cum Calculation'!W630</f>
        <v>#DIV/0!</v>
      </c>
      <c r="X688" s="102" t="e">
        <f>'Secondary cum Calculation'!X630</f>
        <v>#DIV/0!</v>
      </c>
      <c r="Z688" s="11"/>
    </row>
    <row r="689" spans="1:26">
      <c r="A689" s="48"/>
      <c r="B689" s="48"/>
      <c r="C689" s="52" t="str">
        <f>'Secondary cum Calculation'!C631</f>
        <v>Growth Rate</v>
      </c>
      <c r="D689" s="52"/>
      <c r="E689" s="52"/>
      <c r="F689" s="52">
        <f>'Secondary cum Calculation'!F631</f>
        <v>0</v>
      </c>
      <c r="G689" s="52">
        <f>'Secondary cum Calculation'!G631</f>
        <v>0</v>
      </c>
      <c r="H689" s="52">
        <f>'Secondary cum Calculation'!H631</f>
        <v>0</v>
      </c>
      <c r="I689" s="52">
        <f>'Secondary cum Calculation'!I631</f>
        <v>0</v>
      </c>
      <c r="J689" s="52" t="str">
        <f>'Secondary cum Calculation'!J631</f>
        <v>%</v>
      </c>
      <c r="K689" s="49">
        <f>'Secondary cum Calculation'!K631</f>
        <v>0</v>
      </c>
      <c r="L689" s="53"/>
      <c r="M689" s="54" t="e">
        <f>'Secondary cum Calculation'!M631</f>
        <v>#DIV/0!</v>
      </c>
      <c r="N689" s="54" t="e">
        <f>'Secondary cum Calculation'!N631</f>
        <v>#DIV/0!</v>
      </c>
      <c r="O689" s="54" t="e">
        <f>'Secondary cum Calculation'!O631</f>
        <v>#DIV/0!</v>
      </c>
      <c r="P689" s="54" t="e">
        <f>'Secondary cum Calculation'!P631</f>
        <v>#DIV/0!</v>
      </c>
      <c r="Q689" s="54"/>
      <c r="R689" s="54"/>
      <c r="S689" s="54"/>
      <c r="T689" s="54"/>
      <c r="U689" s="54"/>
      <c r="V689" s="54"/>
      <c r="W689" s="258"/>
      <c r="X689" s="258"/>
    </row>
    <row r="690" spans="1:26">
      <c r="A690" s="46" t="str">
        <f>'Secondary cum Calculation'!A632</f>
        <v>Poland</v>
      </c>
      <c r="B690" s="47" t="str">
        <f>'Secondary cum Calculation'!B632</f>
        <v>Tourism Flows</v>
      </c>
      <c r="C690" s="47" t="str">
        <f>'Secondary cum Calculation'!C632</f>
        <v>International Departures by Destination</v>
      </c>
      <c r="D690" s="47" t="str">
        <f>'Secondary cum Calculation'!D632</f>
        <v>Africa</v>
      </c>
      <c r="E690" s="46" t="str">
        <f>'Secondary cum Calculation'!E632</f>
        <v>Congo</v>
      </c>
      <c r="F690" s="48" t="str">
        <f>'Secondary cum Calculation'!F632</f>
        <v>The number of international departures from a country to Congo</v>
      </c>
      <c r="G690" s="48" t="str">
        <f>'Secondary cum Calculation'!G632</f>
        <v>Tourism Demand &amp; Flows Database</v>
      </c>
      <c r="H690" s="48" t="str">
        <f>'Secondary cum Calculation'!H632</f>
        <v>New</v>
      </c>
      <c r="I690" s="48">
        <f>'Secondary cum Calculation'!I632</f>
        <v>0</v>
      </c>
      <c r="J690" s="48" t="str">
        <f>'Secondary cum Calculation'!J632</f>
        <v>Thousand</v>
      </c>
      <c r="K690" s="49">
        <f>'Secondary cum Calculation'!K632</f>
        <v>0</v>
      </c>
      <c r="L690" s="92">
        <f>'Secondary cum Calculation'!L632</f>
        <v>0</v>
      </c>
      <c r="M690" s="92">
        <f>'Secondary cum Calculation'!M632</f>
        <v>0</v>
      </c>
      <c r="N690" s="92">
        <f>'Secondary cum Calculation'!N632</f>
        <v>0</v>
      </c>
      <c r="O690" s="53">
        <f>'Secondary cum Calculation'!O632</f>
        <v>0</v>
      </c>
      <c r="P690" s="53">
        <f>'Secondary cum Calculation'!P632</f>
        <v>0</v>
      </c>
      <c r="Q690" s="53"/>
      <c r="R690" s="53"/>
      <c r="S690" s="53"/>
      <c r="T690" s="53"/>
      <c r="U690" s="53"/>
      <c r="V690" s="53"/>
      <c r="W690" s="102" t="e">
        <f>'Secondary cum Calculation'!W632</f>
        <v>#DIV/0!</v>
      </c>
      <c r="X690" s="102" t="e">
        <f>'Secondary cum Calculation'!X632</f>
        <v>#DIV/0!</v>
      </c>
      <c r="Z690" s="11"/>
    </row>
    <row r="691" spans="1:26">
      <c r="A691" s="48"/>
      <c r="B691" s="48"/>
      <c r="C691" s="52" t="str">
        <f>'Secondary cum Calculation'!C633</f>
        <v>Growth Rate</v>
      </c>
      <c r="D691" s="52"/>
      <c r="E691" s="52"/>
      <c r="F691" s="52">
        <f>'Secondary cum Calculation'!F633</f>
        <v>0</v>
      </c>
      <c r="G691" s="52">
        <f>'Secondary cum Calculation'!G633</f>
        <v>0</v>
      </c>
      <c r="H691" s="52">
        <f>'Secondary cum Calculation'!H633</f>
        <v>0</v>
      </c>
      <c r="I691" s="52">
        <f>'Secondary cum Calculation'!I633</f>
        <v>0</v>
      </c>
      <c r="J691" s="52" t="str">
        <f>'Secondary cum Calculation'!J633</f>
        <v>%</v>
      </c>
      <c r="K691" s="49">
        <f>'Secondary cum Calculation'!K633</f>
        <v>0</v>
      </c>
      <c r="L691" s="53"/>
      <c r="M691" s="54" t="e">
        <f>'Secondary cum Calculation'!M633</f>
        <v>#DIV/0!</v>
      </c>
      <c r="N691" s="54" t="e">
        <f>'Secondary cum Calculation'!N633</f>
        <v>#DIV/0!</v>
      </c>
      <c r="O691" s="54" t="e">
        <f>'Secondary cum Calculation'!O633</f>
        <v>#DIV/0!</v>
      </c>
      <c r="P691" s="54" t="e">
        <f>'Secondary cum Calculation'!P633</f>
        <v>#DIV/0!</v>
      </c>
      <c r="Q691" s="54"/>
      <c r="R691" s="54"/>
      <c r="S691" s="54"/>
      <c r="T691" s="54"/>
      <c r="U691" s="54"/>
      <c r="V691" s="54"/>
      <c r="W691" s="258"/>
      <c r="X691" s="258"/>
    </row>
    <row r="692" spans="1:26">
      <c r="A692" s="46" t="str">
        <f>'Secondary cum Calculation'!A634</f>
        <v>Poland</v>
      </c>
      <c r="B692" s="47" t="str">
        <f>'Secondary cum Calculation'!B634</f>
        <v>Tourism Flows</v>
      </c>
      <c r="C692" s="47" t="str">
        <f>'Secondary cum Calculation'!C634</f>
        <v>International Departures by Destination</v>
      </c>
      <c r="D692" s="47" t="str">
        <f>'Secondary cum Calculation'!D634</f>
        <v>Africa</v>
      </c>
      <c r="E692" s="46" t="str">
        <f>'Secondary cum Calculation'!E634</f>
        <v>Côte d'Ivoire</v>
      </c>
      <c r="F692" s="48" t="str">
        <f>'Secondary cum Calculation'!F634</f>
        <v>The number of international departures from a country to Côte d'Ivoire</v>
      </c>
      <c r="G692" s="48" t="str">
        <f>'Secondary cum Calculation'!G634</f>
        <v>Tourism Demand &amp; Flows Database</v>
      </c>
      <c r="H692" s="48" t="str">
        <f>'Secondary cum Calculation'!H634</f>
        <v>New</v>
      </c>
      <c r="I692" s="48">
        <f>'Secondary cum Calculation'!I634</f>
        <v>0</v>
      </c>
      <c r="J692" s="48" t="str">
        <f>'Secondary cum Calculation'!J634</f>
        <v>Thousand</v>
      </c>
      <c r="K692" s="49">
        <f>'Secondary cum Calculation'!K634</f>
        <v>0</v>
      </c>
      <c r="L692" s="92">
        <f>'Secondary cum Calculation'!L634</f>
        <v>0</v>
      </c>
      <c r="M692" s="92">
        <f>'Secondary cum Calculation'!M634</f>
        <v>0</v>
      </c>
      <c r="N692" s="92">
        <f>'Secondary cum Calculation'!N634</f>
        <v>0</v>
      </c>
      <c r="O692" s="53">
        <f>'Secondary cum Calculation'!O634</f>
        <v>0</v>
      </c>
      <c r="P692" s="53">
        <f>'Secondary cum Calculation'!P634</f>
        <v>0</v>
      </c>
      <c r="Q692" s="53"/>
      <c r="R692" s="53"/>
      <c r="S692" s="53"/>
      <c r="T692" s="53"/>
      <c r="U692" s="53"/>
      <c r="V692" s="53"/>
      <c r="W692" s="102" t="e">
        <f>'Secondary cum Calculation'!W634</f>
        <v>#DIV/0!</v>
      </c>
      <c r="X692" s="102" t="e">
        <f>'Secondary cum Calculation'!X634</f>
        <v>#DIV/0!</v>
      </c>
      <c r="Z692" s="11"/>
    </row>
    <row r="693" spans="1:26">
      <c r="A693" s="48"/>
      <c r="B693" s="48"/>
      <c r="C693" s="52" t="str">
        <f>'Secondary cum Calculation'!C635</f>
        <v>Growth Rate</v>
      </c>
      <c r="D693" s="52"/>
      <c r="E693" s="52"/>
      <c r="F693" s="52">
        <f>'Secondary cum Calculation'!F635</f>
        <v>0</v>
      </c>
      <c r="G693" s="52">
        <f>'Secondary cum Calculation'!G635</f>
        <v>0</v>
      </c>
      <c r="H693" s="52">
        <f>'Secondary cum Calculation'!H635</f>
        <v>0</v>
      </c>
      <c r="I693" s="52">
        <f>'Secondary cum Calculation'!I635</f>
        <v>0</v>
      </c>
      <c r="J693" s="52" t="str">
        <f>'Secondary cum Calculation'!J635</f>
        <v>%</v>
      </c>
      <c r="K693" s="49">
        <f>'Secondary cum Calculation'!K635</f>
        <v>0</v>
      </c>
      <c r="L693" s="53"/>
      <c r="M693" s="54" t="e">
        <f>'Secondary cum Calculation'!M635</f>
        <v>#DIV/0!</v>
      </c>
      <c r="N693" s="54" t="e">
        <f>'Secondary cum Calculation'!N635</f>
        <v>#DIV/0!</v>
      </c>
      <c r="O693" s="54" t="e">
        <f>'Secondary cum Calculation'!O635</f>
        <v>#DIV/0!</v>
      </c>
      <c r="P693" s="54" t="e">
        <f>'Secondary cum Calculation'!P635</f>
        <v>#DIV/0!</v>
      </c>
      <c r="Q693" s="54"/>
      <c r="R693" s="54"/>
      <c r="S693" s="54"/>
      <c r="T693" s="54"/>
      <c r="U693" s="54"/>
      <c r="V693" s="54"/>
      <c r="W693" s="258"/>
      <c r="X693" s="258"/>
    </row>
    <row r="694" spans="1:26">
      <c r="A694" s="46" t="str">
        <f>'Secondary cum Calculation'!A636</f>
        <v>Poland</v>
      </c>
      <c r="B694" s="47" t="str">
        <f>'Secondary cum Calculation'!B636</f>
        <v>Tourism Flows</v>
      </c>
      <c r="C694" s="47" t="str">
        <f>'Secondary cum Calculation'!C636</f>
        <v>International Departures by Destination</v>
      </c>
      <c r="D694" s="47" t="str">
        <f>'Secondary cum Calculation'!D636</f>
        <v>Africa</v>
      </c>
      <c r="E694" s="46" t="str">
        <f>'Secondary cum Calculation'!E636</f>
        <v>Dem. Republic of the Congo</v>
      </c>
      <c r="F694" s="48" t="str">
        <f>'Secondary cum Calculation'!F636</f>
        <v>The number of international departures from a country to Dem. Republic of the Congo</v>
      </c>
      <c r="G694" s="48" t="str">
        <f>'Secondary cum Calculation'!G636</f>
        <v>Tourism Demand &amp; Flows Database</v>
      </c>
      <c r="H694" s="48" t="str">
        <f>'Secondary cum Calculation'!H636</f>
        <v>New</v>
      </c>
      <c r="I694" s="48">
        <f>'Secondary cum Calculation'!I636</f>
        <v>0</v>
      </c>
      <c r="J694" s="48" t="str">
        <f>'Secondary cum Calculation'!J636</f>
        <v>Thousand</v>
      </c>
      <c r="K694" s="49">
        <f>'Secondary cum Calculation'!K636</f>
        <v>0</v>
      </c>
      <c r="L694" s="92">
        <f>'Secondary cum Calculation'!L636</f>
        <v>0</v>
      </c>
      <c r="M694" s="92">
        <f>'Secondary cum Calculation'!M636</f>
        <v>0</v>
      </c>
      <c r="N694" s="92">
        <f>'Secondary cum Calculation'!N636</f>
        <v>0</v>
      </c>
      <c r="O694" s="53">
        <f>'Secondary cum Calculation'!O636</f>
        <v>0</v>
      </c>
      <c r="P694" s="53">
        <f>'Secondary cum Calculation'!P636</f>
        <v>0</v>
      </c>
      <c r="Q694" s="53"/>
      <c r="R694" s="53"/>
      <c r="S694" s="53"/>
      <c r="T694" s="53"/>
      <c r="U694" s="53"/>
      <c r="V694" s="53"/>
      <c r="W694" s="102" t="e">
        <f>'Secondary cum Calculation'!W636</f>
        <v>#DIV/0!</v>
      </c>
      <c r="X694" s="102" t="e">
        <f>'Secondary cum Calculation'!X636</f>
        <v>#DIV/0!</v>
      </c>
      <c r="Z694" s="11"/>
    </row>
    <row r="695" spans="1:26">
      <c r="A695" s="48"/>
      <c r="B695" s="48"/>
      <c r="C695" s="52" t="str">
        <f>'Secondary cum Calculation'!C637</f>
        <v>Growth Rate</v>
      </c>
      <c r="D695" s="52"/>
      <c r="E695" s="52"/>
      <c r="F695" s="52">
        <f>'Secondary cum Calculation'!F637</f>
        <v>0</v>
      </c>
      <c r="G695" s="52">
        <f>'Secondary cum Calculation'!G637</f>
        <v>0</v>
      </c>
      <c r="H695" s="52">
        <f>'Secondary cum Calculation'!H637</f>
        <v>0</v>
      </c>
      <c r="I695" s="52">
        <f>'Secondary cum Calculation'!I637</f>
        <v>0</v>
      </c>
      <c r="J695" s="52" t="str">
        <f>'Secondary cum Calculation'!J637</f>
        <v>%</v>
      </c>
      <c r="K695" s="49">
        <f>'Secondary cum Calculation'!K637</f>
        <v>0</v>
      </c>
      <c r="L695" s="53"/>
      <c r="M695" s="54" t="e">
        <f>'Secondary cum Calculation'!M637</f>
        <v>#DIV/0!</v>
      </c>
      <c r="N695" s="54" t="e">
        <f>'Secondary cum Calculation'!N637</f>
        <v>#DIV/0!</v>
      </c>
      <c r="O695" s="54" t="e">
        <f>'Secondary cum Calculation'!O637</f>
        <v>#DIV/0!</v>
      </c>
      <c r="P695" s="54" t="e">
        <f>'Secondary cum Calculation'!P637</f>
        <v>#DIV/0!</v>
      </c>
      <c r="Q695" s="54"/>
      <c r="R695" s="54"/>
      <c r="S695" s="54"/>
      <c r="T695" s="54"/>
      <c r="U695" s="54"/>
      <c r="V695" s="54"/>
      <c r="W695" s="258"/>
      <c r="X695" s="258"/>
    </row>
    <row r="696" spans="1:26">
      <c r="A696" s="46" t="str">
        <f>'Secondary cum Calculation'!A638</f>
        <v>Poland</v>
      </c>
      <c r="B696" s="47" t="str">
        <f>'Secondary cum Calculation'!B638</f>
        <v>Tourism Flows</v>
      </c>
      <c r="C696" s="47" t="str">
        <f>'Secondary cum Calculation'!C638</f>
        <v>International Departures by Destination</v>
      </c>
      <c r="D696" s="47" t="str">
        <f>'Secondary cum Calculation'!D638</f>
        <v>Africa</v>
      </c>
      <c r="E696" s="46" t="str">
        <f>'Secondary cum Calculation'!E638</f>
        <v>Djibouti</v>
      </c>
      <c r="F696" s="48" t="str">
        <f>'Secondary cum Calculation'!F638</f>
        <v>The number of international departures from a country to Djibouti</v>
      </c>
      <c r="G696" s="48" t="str">
        <f>'Secondary cum Calculation'!G638</f>
        <v>Tourism Demand &amp; Flows Database</v>
      </c>
      <c r="H696" s="48" t="str">
        <f>'Secondary cum Calculation'!H638</f>
        <v>New</v>
      </c>
      <c r="I696" s="48">
        <f>'Secondary cum Calculation'!I638</f>
        <v>0</v>
      </c>
      <c r="J696" s="48" t="str">
        <f>'Secondary cum Calculation'!J638</f>
        <v>Thousand</v>
      </c>
      <c r="K696" s="49">
        <f>'Secondary cum Calculation'!K638</f>
        <v>0</v>
      </c>
      <c r="L696" s="92">
        <f>'Secondary cum Calculation'!L638</f>
        <v>0</v>
      </c>
      <c r="M696" s="92">
        <f>'Secondary cum Calculation'!M638</f>
        <v>0</v>
      </c>
      <c r="N696" s="92">
        <f>'Secondary cum Calculation'!N638</f>
        <v>0</v>
      </c>
      <c r="O696" s="53">
        <f>'Secondary cum Calculation'!O638</f>
        <v>0</v>
      </c>
      <c r="P696" s="53">
        <f>'Secondary cum Calculation'!P638</f>
        <v>0</v>
      </c>
      <c r="Q696" s="53"/>
      <c r="R696" s="53"/>
      <c r="S696" s="53"/>
      <c r="T696" s="53"/>
      <c r="U696" s="53"/>
      <c r="V696" s="53"/>
      <c r="W696" s="102" t="e">
        <f>'Secondary cum Calculation'!W638</f>
        <v>#DIV/0!</v>
      </c>
      <c r="X696" s="102" t="e">
        <f>'Secondary cum Calculation'!X638</f>
        <v>#DIV/0!</v>
      </c>
      <c r="Z696" s="11"/>
    </row>
    <row r="697" spans="1:26">
      <c r="A697" s="48"/>
      <c r="B697" s="48"/>
      <c r="C697" s="52" t="str">
        <f>'Secondary cum Calculation'!C639</f>
        <v>Growth Rate</v>
      </c>
      <c r="D697" s="52"/>
      <c r="E697" s="52"/>
      <c r="F697" s="52">
        <f>'Secondary cum Calculation'!F639</f>
        <v>0</v>
      </c>
      <c r="G697" s="52">
        <f>'Secondary cum Calculation'!G639</f>
        <v>0</v>
      </c>
      <c r="H697" s="52">
        <f>'Secondary cum Calculation'!H639</f>
        <v>0</v>
      </c>
      <c r="I697" s="52">
        <f>'Secondary cum Calculation'!I639</f>
        <v>0</v>
      </c>
      <c r="J697" s="52" t="str">
        <f>'Secondary cum Calculation'!J639</f>
        <v>%</v>
      </c>
      <c r="K697" s="49">
        <f>'Secondary cum Calculation'!K639</f>
        <v>0</v>
      </c>
      <c r="L697" s="53"/>
      <c r="M697" s="54" t="e">
        <f>'Secondary cum Calculation'!M639</f>
        <v>#DIV/0!</v>
      </c>
      <c r="N697" s="54" t="e">
        <f>'Secondary cum Calculation'!N639</f>
        <v>#DIV/0!</v>
      </c>
      <c r="O697" s="54" t="e">
        <f>'Secondary cum Calculation'!O639</f>
        <v>#DIV/0!</v>
      </c>
      <c r="P697" s="54" t="e">
        <f>'Secondary cum Calculation'!P639</f>
        <v>#DIV/0!</v>
      </c>
      <c r="Q697" s="54"/>
      <c r="R697" s="54"/>
      <c r="S697" s="54"/>
      <c r="T697" s="54"/>
      <c r="U697" s="54"/>
      <c r="V697" s="54"/>
      <c r="W697" s="258"/>
      <c r="X697" s="258"/>
    </row>
    <row r="698" spans="1:26">
      <c r="A698" s="46" t="str">
        <f>'Secondary cum Calculation'!A640</f>
        <v>Poland</v>
      </c>
      <c r="B698" s="47" t="str">
        <f>'Secondary cum Calculation'!B640</f>
        <v>Tourism Flows</v>
      </c>
      <c r="C698" s="47" t="str">
        <f>'Secondary cum Calculation'!C640</f>
        <v>International Departures by Destination</v>
      </c>
      <c r="D698" s="47" t="str">
        <f>'Secondary cum Calculation'!D640</f>
        <v>Africa</v>
      </c>
      <c r="E698" s="46" t="str">
        <f>'Secondary cum Calculation'!E640</f>
        <v>Egypt</v>
      </c>
      <c r="F698" s="48" t="str">
        <f>'Secondary cum Calculation'!F640</f>
        <v>The number of international departures from a country to Egypt</v>
      </c>
      <c r="G698" s="48" t="str">
        <f>'Secondary cum Calculation'!G640</f>
        <v>Tourism Demand &amp; Flows Database</v>
      </c>
      <c r="H698" s="48" t="str">
        <f>'Secondary cum Calculation'!H640</f>
        <v>New</v>
      </c>
      <c r="I698" s="48">
        <f>'Secondary cum Calculation'!I640</f>
        <v>0</v>
      </c>
      <c r="J698" s="48" t="str">
        <f>'Secondary cum Calculation'!J640</f>
        <v>Thousand</v>
      </c>
      <c r="K698" s="49" t="str">
        <f>'Secondary cum Calculation'!K640</f>
        <v>**</v>
      </c>
      <c r="L698" s="53">
        <f>'Secondary cum Calculation'!L640</f>
        <v>0</v>
      </c>
      <c r="M698" s="53">
        <f>'Secondary cum Calculation'!M640</f>
        <v>0</v>
      </c>
      <c r="N698" s="53">
        <f>'Secondary cum Calculation'!N640</f>
        <v>0</v>
      </c>
      <c r="O698" s="53">
        <f>'Secondary cum Calculation'!O640</f>
        <v>0</v>
      </c>
      <c r="P698" s="53">
        <f>'Secondary cum Calculation'!P640</f>
        <v>0</v>
      </c>
      <c r="Q698" s="53"/>
      <c r="R698" s="53"/>
      <c r="S698" s="53"/>
      <c r="T698" s="53"/>
      <c r="U698" s="53"/>
      <c r="V698" s="53"/>
      <c r="W698" s="102" t="e">
        <f>'Secondary cum Calculation'!W640</f>
        <v>#DIV/0!</v>
      </c>
      <c r="X698" s="102" t="e">
        <f>'Secondary cum Calculation'!X640</f>
        <v>#DIV/0!</v>
      </c>
      <c r="Z698" s="11"/>
    </row>
    <row r="699" spans="1:26">
      <c r="A699" s="48"/>
      <c r="B699" s="48"/>
      <c r="C699" s="52" t="str">
        <f>'Secondary cum Calculation'!C641</f>
        <v>Growth Rate</v>
      </c>
      <c r="D699" s="52"/>
      <c r="E699" s="52"/>
      <c r="F699" s="52">
        <f>'Secondary cum Calculation'!F641</f>
        <v>0</v>
      </c>
      <c r="G699" s="52">
        <f>'Secondary cum Calculation'!G641</f>
        <v>0</v>
      </c>
      <c r="H699" s="52">
        <f>'Secondary cum Calculation'!H641</f>
        <v>0</v>
      </c>
      <c r="I699" s="52">
        <f>'Secondary cum Calculation'!I641</f>
        <v>0</v>
      </c>
      <c r="J699" s="52" t="str">
        <f>'Secondary cum Calculation'!J641</f>
        <v>%</v>
      </c>
      <c r="K699" s="49">
        <f>'Secondary cum Calculation'!K641</f>
        <v>0</v>
      </c>
      <c r="L699" s="53"/>
      <c r="M699" s="54" t="e">
        <f>'Secondary cum Calculation'!M641</f>
        <v>#DIV/0!</v>
      </c>
      <c r="N699" s="54" t="e">
        <f>'Secondary cum Calculation'!N641</f>
        <v>#DIV/0!</v>
      </c>
      <c r="O699" s="54" t="e">
        <f>'Secondary cum Calculation'!O641</f>
        <v>#DIV/0!</v>
      </c>
      <c r="P699" s="54" t="e">
        <f>'Secondary cum Calculation'!P641</f>
        <v>#DIV/0!</v>
      </c>
      <c r="Q699" s="54"/>
      <c r="R699" s="54"/>
      <c r="S699" s="54"/>
      <c r="T699" s="54"/>
      <c r="U699" s="54"/>
      <c r="V699" s="54"/>
      <c r="W699" s="258"/>
      <c r="X699" s="258"/>
    </row>
    <row r="700" spans="1:26">
      <c r="A700" s="46" t="str">
        <f>'Secondary cum Calculation'!A642</f>
        <v>Poland</v>
      </c>
      <c r="B700" s="47" t="str">
        <f>'Secondary cum Calculation'!B642</f>
        <v>Tourism Flows</v>
      </c>
      <c r="C700" s="47" t="str">
        <f>'Secondary cum Calculation'!C642</f>
        <v>International Departures by Destination</v>
      </c>
      <c r="D700" s="47" t="str">
        <f>'Secondary cum Calculation'!D642</f>
        <v>Africa</v>
      </c>
      <c r="E700" s="46" t="str">
        <f>'Secondary cum Calculation'!E642</f>
        <v>Equatorial Guinea</v>
      </c>
      <c r="F700" s="48" t="str">
        <f>'Secondary cum Calculation'!F642</f>
        <v>The number of international departures from a country to Equatorial Guinea</v>
      </c>
      <c r="G700" s="48" t="str">
        <f>'Secondary cum Calculation'!G642</f>
        <v>Tourism Demand &amp; Flows Database</v>
      </c>
      <c r="H700" s="48" t="str">
        <f>'Secondary cum Calculation'!H642</f>
        <v>New</v>
      </c>
      <c r="I700" s="48">
        <f>'Secondary cum Calculation'!I642</f>
        <v>0</v>
      </c>
      <c r="J700" s="48" t="str">
        <f>'Secondary cum Calculation'!J642</f>
        <v>Thousand</v>
      </c>
      <c r="K700" s="49">
        <f>'Secondary cum Calculation'!K642</f>
        <v>0</v>
      </c>
      <c r="L700" s="92">
        <f>'Secondary cum Calculation'!L642</f>
        <v>0</v>
      </c>
      <c r="M700" s="92">
        <f>'Secondary cum Calculation'!M642</f>
        <v>0</v>
      </c>
      <c r="N700" s="92">
        <f>'Secondary cum Calculation'!N642</f>
        <v>0</v>
      </c>
      <c r="O700" s="89">
        <f>'Secondary cum Calculation'!O642</f>
        <v>0</v>
      </c>
      <c r="P700" s="89">
        <f>'Secondary cum Calculation'!P642</f>
        <v>0</v>
      </c>
      <c r="Q700" s="89"/>
      <c r="R700" s="89"/>
      <c r="S700" s="89"/>
      <c r="T700" s="89"/>
      <c r="U700" s="89"/>
      <c r="V700" s="89"/>
      <c r="W700" s="102" t="e">
        <f>'Secondary cum Calculation'!W642</f>
        <v>#DIV/0!</v>
      </c>
      <c r="X700" s="102" t="e">
        <f>'Secondary cum Calculation'!X642</f>
        <v>#DIV/0!</v>
      </c>
      <c r="Z700" s="11"/>
    </row>
    <row r="701" spans="1:26">
      <c r="A701" s="48"/>
      <c r="B701" s="48"/>
      <c r="C701" s="52" t="str">
        <f>'Secondary cum Calculation'!C643</f>
        <v>Growth Rate</v>
      </c>
      <c r="D701" s="52"/>
      <c r="E701" s="52"/>
      <c r="F701" s="52">
        <f>'Secondary cum Calculation'!F643</f>
        <v>0</v>
      </c>
      <c r="G701" s="52">
        <f>'Secondary cum Calculation'!G643</f>
        <v>0</v>
      </c>
      <c r="H701" s="52">
        <f>'Secondary cum Calculation'!H643</f>
        <v>0</v>
      </c>
      <c r="I701" s="52">
        <f>'Secondary cum Calculation'!I643</f>
        <v>0</v>
      </c>
      <c r="J701" s="52" t="str">
        <f>'Secondary cum Calculation'!J643</f>
        <v>%</v>
      </c>
      <c r="K701" s="49">
        <f>'Secondary cum Calculation'!K643</f>
        <v>0</v>
      </c>
      <c r="L701" s="53"/>
      <c r="M701" s="54" t="e">
        <f>'Secondary cum Calculation'!M643</f>
        <v>#DIV/0!</v>
      </c>
      <c r="N701" s="54" t="e">
        <f>'Secondary cum Calculation'!N643</f>
        <v>#DIV/0!</v>
      </c>
      <c r="O701" s="54" t="e">
        <f>'Secondary cum Calculation'!O643</f>
        <v>#DIV/0!</v>
      </c>
      <c r="P701" s="54" t="e">
        <f>'Secondary cum Calculation'!P643</f>
        <v>#DIV/0!</v>
      </c>
      <c r="Q701" s="54"/>
      <c r="R701" s="54"/>
      <c r="S701" s="54"/>
      <c r="T701" s="54"/>
      <c r="U701" s="54"/>
      <c r="V701" s="54"/>
      <c r="W701" s="258"/>
      <c r="X701" s="258"/>
    </row>
    <row r="702" spans="1:26">
      <c r="A702" s="46" t="str">
        <f>'Secondary cum Calculation'!A644</f>
        <v>Poland</v>
      </c>
      <c r="B702" s="47" t="str">
        <f>'Secondary cum Calculation'!B644</f>
        <v>Tourism Flows</v>
      </c>
      <c r="C702" s="47" t="str">
        <f>'Secondary cum Calculation'!C644</f>
        <v>International Departures by Destination</v>
      </c>
      <c r="D702" s="47" t="str">
        <f>'Secondary cum Calculation'!D644</f>
        <v>Africa</v>
      </c>
      <c r="E702" s="46" t="str">
        <f>'Secondary cum Calculation'!E644</f>
        <v>Eritrea</v>
      </c>
      <c r="F702" s="48" t="str">
        <f>'Secondary cum Calculation'!F644</f>
        <v>The number of international departures from a country to Eritrea</v>
      </c>
      <c r="G702" s="48" t="str">
        <f>'Secondary cum Calculation'!G644</f>
        <v>Tourism Demand &amp; Flows Database</v>
      </c>
      <c r="H702" s="48" t="str">
        <f>'Secondary cum Calculation'!H644</f>
        <v>New</v>
      </c>
      <c r="I702" s="48">
        <f>'Secondary cum Calculation'!I644</f>
        <v>0</v>
      </c>
      <c r="J702" s="48" t="str">
        <f>'Secondary cum Calculation'!J644</f>
        <v>Thousand</v>
      </c>
      <c r="K702" s="49">
        <f>'Secondary cum Calculation'!K644</f>
        <v>0</v>
      </c>
      <c r="L702" s="92">
        <f>'Secondary cum Calculation'!L644</f>
        <v>0</v>
      </c>
      <c r="M702" s="92">
        <f>'Secondary cum Calculation'!M644</f>
        <v>0</v>
      </c>
      <c r="N702" s="92">
        <f>'Secondary cum Calculation'!N644</f>
        <v>0</v>
      </c>
      <c r="O702" s="53">
        <f>'Secondary cum Calculation'!O644</f>
        <v>0</v>
      </c>
      <c r="P702" s="53">
        <f>'Secondary cum Calculation'!P644</f>
        <v>0</v>
      </c>
      <c r="Q702" s="53"/>
      <c r="R702" s="53"/>
      <c r="S702" s="53"/>
      <c r="T702" s="53"/>
      <c r="U702" s="53"/>
      <c r="V702" s="53"/>
      <c r="W702" s="102" t="e">
        <f>'Secondary cum Calculation'!W644</f>
        <v>#DIV/0!</v>
      </c>
      <c r="X702" s="102" t="e">
        <f>'Secondary cum Calculation'!X644</f>
        <v>#DIV/0!</v>
      </c>
      <c r="Z702" s="11"/>
    </row>
    <row r="703" spans="1:26">
      <c r="A703" s="48"/>
      <c r="B703" s="48"/>
      <c r="C703" s="52" t="str">
        <f>'Secondary cum Calculation'!C645</f>
        <v>Growth Rate</v>
      </c>
      <c r="D703" s="52"/>
      <c r="E703" s="52"/>
      <c r="F703" s="52">
        <f>'Secondary cum Calculation'!F645</f>
        <v>0</v>
      </c>
      <c r="G703" s="52">
        <f>'Secondary cum Calculation'!G645</f>
        <v>0</v>
      </c>
      <c r="H703" s="52">
        <f>'Secondary cum Calculation'!H645</f>
        <v>0</v>
      </c>
      <c r="I703" s="52">
        <f>'Secondary cum Calculation'!I645</f>
        <v>0</v>
      </c>
      <c r="J703" s="52" t="str">
        <f>'Secondary cum Calculation'!J645</f>
        <v>%</v>
      </c>
      <c r="K703" s="49">
        <f>'Secondary cum Calculation'!K645</f>
        <v>0</v>
      </c>
      <c r="L703" s="53"/>
      <c r="M703" s="54" t="e">
        <f>'Secondary cum Calculation'!M645</f>
        <v>#DIV/0!</v>
      </c>
      <c r="N703" s="54" t="e">
        <f>'Secondary cum Calculation'!N645</f>
        <v>#DIV/0!</v>
      </c>
      <c r="O703" s="54" t="e">
        <f>'Secondary cum Calculation'!O645</f>
        <v>#DIV/0!</v>
      </c>
      <c r="P703" s="54" t="e">
        <f>'Secondary cum Calculation'!P645</f>
        <v>#DIV/0!</v>
      </c>
      <c r="Q703" s="54"/>
      <c r="R703" s="54"/>
      <c r="S703" s="54"/>
      <c r="T703" s="54"/>
      <c r="U703" s="54"/>
      <c r="V703" s="54"/>
      <c r="W703" s="258"/>
      <c r="X703" s="258"/>
    </row>
    <row r="704" spans="1:26">
      <c r="A704" s="46" t="str">
        <f>'Secondary cum Calculation'!A646</f>
        <v>Poland</v>
      </c>
      <c r="B704" s="47" t="str">
        <f>'Secondary cum Calculation'!B646</f>
        <v>Tourism Flows</v>
      </c>
      <c r="C704" s="47" t="str">
        <f>'Secondary cum Calculation'!C646</f>
        <v>International Departures by Destination</v>
      </c>
      <c r="D704" s="47" t="str">
        <f>'Secondary cum Calculation'!D646</f>
        <v>Africa</v>
      </c>
      <c r="E704" s="46" t="str">
        <f>'Secondary cum Calculation'!E646</f>
        <v>Ethiopia</v>
      </c>
      <c r="F704" s="48" t="str">
        <f>'Secondary cum Calculation'!F646</f>
        <v>The number of international departures from a country to Ethiopia</v>
      </c>
      <c r="G704" s="48" t="str">
        <f>'Secondary cum Calculation'!G646</f>
        <v>Tourism Demand &amp; Flows Database</v>
      </c>
      <c r="H704" s="48" t="str">
        <f>'Secondary cum Calculation'!H646</f>
        <v>New</v>
      </c>
      <c r="I704" s="48">
        <f>'Secondary cum Calculation'!I646</f>
        <v>0</v>
      </c>
      <c r="J704" s="48" t="str">
        <f>'Secondary cum Calculation'!J646</f>
        <v>Thousand</v>
      </c>
      <c r="K704" s="49">
        <f>'Secondary cum Calculation'!K646</f>
        <v>0</v>
      </c>
      <c r="L704" s="92">
        <f>'Secondary cum Calculation'!L646</f>
        <v>0</v>
      </c>
      <c r="M704" s="92">
        <f>'Secondary cum Calculation'!M646</f>
        <v>0</v>
      </c>
      <c r="N704" s="92">
        <f>'Secondary cum Calculation'!N646</f>
        <v>0</v>
      </c>
      <c r="O704" s="53">
        <f>'Secondary cum Calculation'!O646</f>
        <v>0</v>
      </c>
      <c r="P704" s="53">
        <f>'Secondary cum Calculation'!P646</f>
        <v>0</v>
      </c>
      <c r="Q704" s="53"/>
      <c r="R704" s="53"/>
      <c r="S704" s="53"/>
      <c r="T704" s="53"/>
      <c r="U704" s="53"/>
      <c r="V704" s="53"/>
      <c r="W704" s="102" t="e">
        <f>'Secondary cum Calculation'!W646</f>
        <v>#DIV/0!</v>
      </c>
      <c r="X704" s="102" t="e">
        <f>'Secondary cum Calculation'!X646</f>
        <v>#DIV/0!</v>
      </c>
      <c r="Z704" s="11"/>
    </row>
    <row r="705" spans="1:26">
      <c r="A705" s="48"/>
      <c r="B705" s="48"/>
      <c r="C705" s="52" t="str">
        <f>'Secondary cum Calculation'!C647</f>
        <v>Growth Rate</v>
      </c>
      <c r="D705" s="52"/>
      <c r="E705" s="52"/>
      <c r="F705" s="52">
        <f>'Secondary cum Calculation'!F647</f>
        <v>0</v>
      </c>
      <c r="G705" s="52">
        <f>'Secondary cum Calculation'!G647</f>
        <v>0</v>
      </c>
      <c r="H705" s="52">
        <f>'Secondary cum Calculation'!H647</f>
        <v>0</v>
      </c>
      <c r="I705" s="52">
        <f>'Secondary cum Calculation'!I647</f>
        <v>0</v>
      </c>
      <c r="J705" s="52" t="str">
        <f>'Secondary cum Calculation'!J647</f>
        <v>%</v>
      </c>
      <c r="K705" s="49">
        <f>'Secondary cum Calculation'!K647</f>
        <v>0</v>
      </c>
      <c r="L705" s="53"/>
      <c r="M705" s="54" t="e">
        <f>'Secondary cum Calculation'!M647</f>
        <v>#DIV/0!</v>
      </c>
      <c r="N705" s="54" t="e">
        <f>'Secondary cum Calculation'!N647</f>
        <v>#DIV/0!</v>
      </c>
      <c r="O705" s="54" t="e">
        <f>'Secondary cum Calculation'!O647</f>
        <v>#DIV/0!</v>
      </c>
      <c r="P705" s="54" t="e">
        <f>'Secondary cum Calculation'!P647</f>
        <v>#DIV/0!</v>
      </c>
      <c r="Q705" s="54"/>
      <c r="R705" s="54"/>
      <c r="S705" s="54"/>
      <c r="T705" s="54"/>
      <c r="U705" s="54"/>
      <c r="V705" s="54"/>
      <c r="W705" s="258"/>
      <c r="X705" s="258"/>
    </row>
    <row r="706" spans="1:26">
      <c r="A706" s="46" t="str">
        <f>'Secondary cum Calculation'!A648</f>
        <v>Poland</v>
      </c>
      <c r="B706" s="47" t="str">
        <f>'Secondary cum Calculation'!B648</f>
        <v>Tourism Flows</v>
      </c>
      <c r="C706" s="47" t="str">
        <f>'Secondary cum Calculation'!C648</f>
        <v>International Departures by Destination</v>
      </c>
      <c r="D706" s="47" t="str">
        <f>'Secondary cum Calculation'!D648</f>
        <v>Africa</v>
      </c>
      <c r="E706" s="46" t="str">
        <f>'Secondary cum Calculation'!E648</f>
        <v>Gabon</v>
      </c>
      <c r="F706" s="48" t="str">
        <f>'Secondary cum Calculation'!F648</f>
        <v>The number of international departures from a country to Gabon</v>
      </c>
      <c r="G706" s="48" t="str">
        <f>'Secondary cum Calculation'!G648</f>
        <v>Tourism Demand &amp; Flows Database</v>
      </c>
      <c r="H706" s="48" t="str">
        <f>'Secondary cum Calculation'!H648</f>
        <v>New</v>
      </c>
      <c r="I706" s="48">
        <f>'Secondary cum Calculation'!I648</f>
        <v>0</v>
      </c>
      <c r="J706" s="48" t="str">
        <f>'Secondary cum Calculation'!J648</f>
        <v>Thousand</v>
      </c>
      <c r="K706" s="49">
        <f>'Secondary cum Calculation'!K648</f>
        <v>0</v>
      </c>
      <c r="L706" s="92">
        <f>'Secondary cum Calculation'!L648</f>
        <v>0</v>
      </c>
      <c r="M706" s="92">
        <f>'Secondary cum Calculation'!M648</f>
        <v>0</v>
      </c>
      <c r="N706" s="92">
        <f>'Secondary cum Calculation'!N648</f>
        <v>0</v>
      </c>
      <c r="O706" s="53">
        <f>'Secondary cum Calculation'!O648</f>
        <v>0</v>
      </c>
      <c r="P706" s="53">
        <f>'Secondary cum Calculation'!P648</f>
        <v>0</v>
      </c>
      <c r="Q706" s="53"/>
      <c r="R706" s="53"/>
      <c r="S706" s="53"/>
      <c r="T706" s="53"/>
      <c r="U706" s="53"/>
      <c r="V706" s="53"/>
      <c r="W706" s="102" t="e">
        <f>'Secondary cum Calculation'!W648</f>
        <v>#DIV/0!</v>
      </c>
      <c r="X706" s="102" t="e">
        <f>'Secondary cum Calculation'!X648</f>
        <v>#DIV/0!</v>
      </c>
      <c r="Z706" s="11"/>
    </row>
    <row r="707" spans="1:26">
      <c r="A707" s="48"/>
      <c r="B707" s="48"/>
      <c r="C707" s="52" t="str">
        <f>'Secondary cum Calculation'!C649</f>
        <v>Growth Rate</v>
      </c>
      <c r="D707" s="52"/>
      <c r="E707" s="52"/>
      <c r="F707" s="52">
        <f>'Secondary cum Calculation'!F649</f>
        <v>0</v>
      </c>
      <c r="G707" s="52">
        <f>'Secondary cum Calculation'!G649</f>
        <v>0</v>
      </c>
      <c r="H707" s="52">
        <f>'Secondary cum Calculation'!H649</f>
        <v>0</v>
      </c>
      <c r="I707" s="52">
        <f>'Secondary cum Calculation'!I649</f>
        <v>0</v>
      </c>
      <c r="J707" s="52" t="str">
        <f>'Secondary cum Calculation'!J649</f>
        <v>%</v>
      </c>
      <c r="K707" s="49">
        <f>'Secondary cum Calculation'!K649</f>
        <v>0</v>
      </c>
      <c r="L707" s="53"/>
      <c r="M707" s="54" t="e">
        <f>'Secondary cum Calculation'!M649</f>
        <v>#DIV/0!</v>
      </c>
      <c r="N707" s="54" t="e">
        <f>'Secondary cum Calculation'!N649</f>
        <v>#DIV/0!</v>
      </c>
      <c r="O707" s="54" t="e">
        <f>'Secondary cum Calculation'!O649</f>
        <v>#DIV/0!</v>
      </c>
      <c r="P707" s="54" t="e">
        <f>'Secondary cum Calculation'!P649</f>
        <v>#DIV/0!</v>
      </c>
      <c r="Q707" s="54"/>
      <c r="R707" s="54"/>
      <c r="S707" s="54"/>
      <c r="T707" s="54"/>
      <c r="U707" s="54"/>
      <c r="V707" s="54"/>
      <c r="W707" s="258"/>
      <c r="X707" s="258"/>
    </row>
    <row r="708" spans="1:26">
      <c r="A708" s="46" t="str">
        <f>'Secondary cum Calculation'!A650</f>
        <v>Poland</v>
      </c>
      <c r="B708" s="47" t="str">
        <f>'Secondary cum Calculation'!B650</f>
        <v>Tourism Flows</v>
      </c>
      <c r="C708" s="47" t="str">
        <f>'Secondary cum Calculation'!C650</f>
        <v>International Departures by Destination</v>
      </c>
      <c r="D708" s="47" t="str">
        <f>'Secondary cum Calculation'!D650</f>
        <v>Africa</v>
      </c>
      <c r="E708" s="46" t="str">
        <f>'Secondary cum Calculation'!E650</f>
        <v>Gambia</v>
      </c>
      <c r="F708" s="48" t="str">
        <f>'Secondary cum Calculation'!F650</f>
        <v>The number of international departures from a country to Gambia</v>
      </c>
      <c r="G708" s="48" t="str">
        <f>'Secondary cum Calculation'!G650</f>
        <v>Tourism Demand &amp; Flows Database</v>
      </c>
      <c r="H708" s="48" t="str">
        <f>'Secondary cum Calculation'!H650</f>
        <v>New</v>
      </c>
      <c r="I708" s="48">
        <f>'Secondary cum Calculation'!I650</f>
        <v>0</v>
      </c>
      <c r="J708" s="48" t="str">
        <f>'Secondary cum Calculation'!J650</f>
        <v>Thousand</v>
      </c>
      <c r="K708" s="49">
        <f>'Secondary cum Calculation'!K650</f>
        <v>0</v>
      </c>
      <c r="L708" s="92">
        <f>'Secondary cum Calculation'!L650</f>
        <v>0</v>
      </c>
      <c r="M708" s="92">
        <f>'Secondary cum Calculation'!M650</f>
        <v>0</v>
      </c>
      <c r="N708" s="92">
        <f>'Secondary cum Calculation'!N650</f>
        <v>0</v>
      </c>
      <c r="O708" s="53">
        <f>'Secondary cum Calculation'!O650</f>
        <v>0</v>
      </c>
      <c r="P708" s="53">
        <f>'Secondary cum Calculation'!P650</f>
        <v>0</v>
      </c>
      <c r="Q708" s="53"/>
      <c r="R708" s="53"/>
      <c r="S708" s="53"/>
      <c r="T708" s="53"/>
      <c r="U708" s="53"/>
      <c r="V708" s="53"/>
      <c r="W708" s="102" t="e">
        <f>'Secondary cum Calculation'!W650</f>
        <v>#DIV/0!</v>
      </c>
      <c r="X708" s="102" t="e">
        <f>'Secondary cum Calculation'!X650</f>
        <v>#DIV/0!</v>
      </c>
      <c r="Z708" s="11"/>
    </row>
    <row r="709" spans="1:26">
      <c r="A709" s="48"/>
      <c r="B709" s="48"/>
      <c r="C709" s="52" t="str">
        <f>'Secondary cum Calculation'!C651</f>
        <v>Growth Rate</v>
      </c>
      <c r="D709" s="52"/>
      <c r="E709" s="52"/>
      <c r="F709" s="52">
        <f>'Secondary cum Calculation'!F651</f>
        <v>0</v>
      </c>
      <c r="G709" s="52">
        <f>'Secondary cum Calculation'!G651</f>
        <v>0</v>
      </c>
      <c r="H709" s="52">
        <f>'Secondary cum Calculation'!H651</f>
        <v>0</v>
      </c>
      <c r="I709" s="52">
        <f>'Secondary cum Calculation'!I651</f>
        <v>0</v>
      </c>
      <c r="J709" s="52" t="str">
        <f>'Secondary cum Calculation'!J651</f>
        <v>%</v>
      </c>
      <c r="K709" s="49">
        <f>'Secondary cum Calculation'!K651</f>
        <v>0</v>
      </c>
      <c r="L709" s="53"/>
      <c r="M709" s="54" t="e">
        <f>'Secondary cum Calculation'!M651</f>
        <v>#DIV/0!</v>
      </c>
      <c r="N709" s="54" t="e">
        <f>'Secondary cum Calculation'!N651</f>
        <v>#DIV/0!</v>
      </c>
      <c r="O709" s="54" t="e">
        <f>'Secondary cum Calculation'!O651</f>
        <v>#DIV/0!</v>
      </c>
      <c r="P709" s="54" t="e">
        <f>'Secondary cum Calculation'!P651</f>
        <v>#DIV/0!</v>
      </c>
      <c r="Q709" s="54"/>
      <c r="R709" s="54"/>
      <c r="S709" s="54"/>
      <c r="T709" s="54"/>
      <c r="U709" s="54"/>
      <c r="V709" s="54"/>
      <c r="W709" s="258"/>
      <c r="X709" s="258"/>
    </row>
    <row r="710" spans="1:26">
      <c r="A710" s="46" t="str">
        <f>'Secondary cum Calculation'!A652</f>
        <v>Poland</v>
      </c>
      <c r="B710" s="47" t="str">
        <f>'Secondary cum Calculation'!B652</f>
        <v>Tourism Flows</v>
      </c>
      <c r="C710" s="47" t="str">
        <f>'Secondary cum Calculation'!C652</f>
        <v>International Departures by Destination</v>
      </c>
      <c r="D710" s="47" t="str">
        <f>'Secondary cum Calculation'!D652</f>
        <v>Africa</v>
      </c>
      <c r="E710" s="46" t="str">
        <f>'Secondary cum Calculation'!E652</f>
        <v>Ghana</v>
      </c>
      <c r="F710" s="48" t="str">
        <f>'Secondary cum Calculation'!F652</f>
        <v>The number of international departures from a country to Ghana</v>
      </c>
      <c r="G710" s="48" t="str">
        <f>'Secondary cum Calculation'!G652</f>
        <v>Tourism Demand &amp; Flows Database</v>
      </c>
      <c r="H710" s="48" t="str">
        <f>'Secondary cum Calculation'!H652</f>
        <v>New</v>
      </c>
      <c r="I710" s="48">
        <f>'Secondary cum Calculation'!I652</f>
        <v>0</v>
      </c>
      <c r="J710" s="48" t="str">
        <f>'Secondary cum Calculation'!J652</f>
        <v>Thousand</v>
      </c>
      <c r="K710" s="49">
        <f>'Secondary cum Calculation'!K652</f>
        <v>0</v>
      </c>
      <c r="L710" s="92">
        <f>'Secondary cum Calculation'!L652</f>
        <v>0</v>
      </c>
      <c r="M710" s="92">
        <f>'Secondary cum Calculation'!M652</f>
        <v>0</v>
      </c>
      <c r="N710" s="92">
        <f>'Secondary cum Calculation'!N652</f>
        <v>0</v>
      </c>
      <c r="O710" s="53">
        <f>'Secondary cum Calculation'!O652</f>
        <v>0</v>
      </c>
      <c r="P710" s="53">
        <f>'Secondary cum Calculation'!P652</f>
        <v>0</v>
      </c>
      <c r="Q710" s="53"/>
      <c r="R710" s="53"/>
      <c r="S710" s="53"/>
      <c r="T710" s="53"/>
      <c r="U710" s="53"/>
      <c r="V710" s="53"/>
      <c r="W710" s="102" t="e">
        <f>'Secondary cum Calculation'!W652</f>
        <v>#DIV/0!</v>
      </c>
      <c r="X710" s="102" t="e">
        <f>'Secondary cum Calculation'!X652</f>
        <v>#DIV/0!</v>
      </c>
      <c r="Z710" s="11"/>
    </row>
    <row r="711" spans="1:26">
      <c r="A711" s="48"/>
      <c r="B711" s="48"/>
      <c r="C711" s="52" t="str">
        <f>'Secondary cum Calculation'!C653</f>
        <v>Growth Rate</v>
      </c>
      <c r="D711" s="52"/>
      <c r="E711" s="52"/>
      <c r="F711" s="52">
        <f>'Secondary cum Calculation'!F653</f>
        <v>0</v>
      </c>
      <c r="G711" s="52">
        <f>'Secondary cum Calculation'!G653</f>
        <v>0</v>
      </c>
      <c r="H711" s="52">
        <f>'Secondary cum Calculation'!H653</f>
        <v>0</v>
      </c>
      <c r="I711" s="52">
        <f>'Secondary cum Calculation'!I653</f>
        <v>0</v>
      </c>
      <c r="J711" s="52" t="str">
        <f>'Secondary cum Calculation'!J653</f>
        <v>%</v>
      </c>
      <c r="K711" s="49">
        <f>'Secondary cum Calculation'!K653</f>
        <v>0</v>
      </c>
      <c r="L711" s="53"/>
      <c r="M711" s="54" t="e">
        <f>'Secondary cum Calculation'!M653</f>
        <v>#DIV/0!</v>
      </c>
      <c r="N711" s="54" t="e">
        <f>'Secondary cum Calculation'!N653</f>
        <v>#DIV/0!</v>
      </c>
      <c r="O711" s="54" t="e">
        <f>'Secondary cum Calculation'!O653</f>
        <v>#DIV/0!</v>
      </c>
      <c r="P711" s="54" t="e">
        <f>'Secondary cum Calculation'!P653</f>
        <v>#DIV/0!</v>
      </c>
      <c r="Q711" s="54"/>
      <c r="R711" s="54"/>
      <c r="S711" s="54"/>
      <c r="T711" s="54"/>
      <c r="U711" s="54"/>
      <c r="V711" s="54"/>
      <c r="W711" s="258"/>
      <c r="X711" s="258"/>
    </row>
    <row r="712" spans="1:26">
      <c r="A712" s="46" t="str">
        <f>'Secondary cum Calculation'!A654</f>
        <v>Poland</v>
      </c>
      <c r="B712" s="47" t="str">
        <f>'Secondary cum Calculation'!B654</f>
        <v>Tourism Flows</v>
      </c>
      <c r="C712" s="47" t="str">
        <f>'Secondary cum Calculation'!C654</f>
        <v>International Departures by Destination</v>
      </c>
      <c r="D712" s="47" t="str">
        <f>'Secondary cum Calculation'!D654</f>
        <v>Africa</v>
      </c>
      <c r="E712" s="46" t="str">
        <f>'Secondary cum Calculation'!E654</f>
        <v>Guinea</v>
      </c>
      <c r="F712" s="48" t="str">
        <f>'Secondary cum Calculation'!F654</f>
        <v>The number of international departures from a country to Guinea</v>
      </c>
      <c r="G712" s="48" t="str">
        <f>'Secondary cum Calculation'!G654</f>
        <v>Tourism Demand &amp; Flows Database</v>
      </c>
      <c r="H712" s="48" t="str">
        <f>'Secondary cum Calculation'!H654</f>
        <v>New</v>
      </c>
      <c r="I712" s="48">
        <f>'Secondary cum Calculation'!I654</f>
        <v>0</v>
      </c>
      <c r="J712" s="48" t="str">
        <f>'Secondary cum Calculation'!J654</f>
        <v>Thousand</v>
      </c>
      <c r="K712" s="49">
        <f>'Secondary cum Calculation'!K654</f>
        <v>0</v>
      </c>
      <c r="L712" s="92">
        <f>'Secondary cum Calculation'!L654</f>
        <v>0</v>
      </c>
      <c r="M712" s="92">
        <f>'Secondary cum Calculation'!M654</f>
        <v>0</v>
      </c>
      <c r="N712" s="92">
        <f>'Secondary cum Calculation'!N654</f>
        <v>0</v>
      </c>
      <c r="O712" s="53">
        <f>'Secondary cum Calculation'!O654</f>
        <v>0</v>
      </c>
      <c r="P712" s="53">
        <f>'Secondary cum Calculation'!P654</f>
        <v>0</v>
      </c>
      <c r="Q712" s="53"/>
      <c r="R712" s="53"/>
      <c r="S712" s="53"/>
      <c r="T712" s="53"/>
      <c r="U712" s="53"/>
      <c r="V712" s="53"/>
      <c r="W712" s="102" t="e">
        <f>'Secondary cum Calculation'!W654</f>
        <v>#DIV/0!</v>
      </c>
      <c r="X712" s="102" t="e">
        <f>'Secondary cum Calculation'!X654</f>
        <v>#DIV/0!</v>
      </c>
      <c r="Z712" s="11"/>
    </row>
    <row r="713" spans="1:26">
      <c r="A713" s="48"/>
      <c r="B713" s="48"/>
      <c r="C713" s="52" t="str">
        <f>'Secondary cum Calculation'!C655</f>
        <v>Growth Rate</v>
      </c>
      <c r="D713" s="52"/>
      <c r="E713" s="52"/>
      <c r="F713" s="52">
        <f>'Secondary cum Calculation'!F655</f>
        <v>0</v>
      </c>
      <c r="G713" s="52">
        <f>'Secondary cum Calculation'!G655</f>
        <v>0</v>
      </c>
      <c r="H713" s="52">
        <f>'Secondary cum Calculation'!H655</f>
        <v>0</v>
      </c>
      <c r="I713" s="52">
        <f>'Secondary cum Calculation'!I655</f>
        <v>0</v>
      </c>
      <c r="J713" s="52" t="str">
        <f>'Secondary cum Calculation'!J655</f>
        <v>%</v>
      </c>
      <c r="K713" s="49">
        <f>'Secondary cum Calculation'!K655</f>
        <v>0</v>
      </c>
      <c r="L713" s="53"/>
      <c r="M713" s="54" t="e">
        <f>'Secondary cum Calculation'!M655</f>
        <v>#DIV/0!</v>
      </c>
      <c r="N713" s="54" t="e">
        <f>'Secondary cum Calculation'!N655</f>
        <v>#DIV/0!</v>
      </c>
      <c r="O713" s="54" t="e">
        <f>'Secondary cum Calculation'!O655</f>
        <v>#DIV/0!</v>
      </c>
      <c r="P713" s="54" t="e">
        <f>'Secondary cum Calculation'!P655</f>
        <v>#DIV/0!</v>
      </c>
      <c r="Q713" s="54"/>
      <c r="R713" s="54"/>
      <c r="S713" s="54"/>
      <c r="T713" s="54"/>
      <c r="U713" s="54"/>
      <c r="V713" s="54"/>
      <c r="W713" s="258"/>
      <c r="X713" s="258"/>
    </row>
    <row r="714" spans="1:26">
      <c r="A714" s="46" t="str">
        <f>'Secondary cum Calculation'!A656</f>
        <v>Poland</v>
      </c>
      <c r="B714" s="47" t="str">
        <f>'Secondary cum Calculation'!B656</f>
        <v>Tourism Flows</v>
      </c>
      <c r="C714" s="47" t="str">
        <f>'Secondary cum Calculation'!C656</f>
        <v>International Departures by Destination</v>
      </c>
      <c r="D714" s="47" t="str">
        <f>'Secondary cum Calculation'!D656</f>
        <v>Africa</v>
      </c>
      <c r="E714" s="46" t="str">
        <f>'Secondary cum Calculation'!E656</f>
        <v>Guinea-Bissau</v>
      </c>
      <c r="F714" s="48" t="str">
        <f>'Secondary cum Calculation'!F656</f>
        <v>The number of international departures from a country to Guinea-Bissau</v>
      </c>
      <c r="G714" s="48" t="str">
        <f>'Secondary cum Calculation'!G656</f>
        <v>Tourism Demand &amp; Flows Database</v>
      </c>
      <c r="H714" s="48" t="str">
        <f>'Secondary cum Calculation'!H656</f>
        <v>New</v>
      </c>
      <c r="I714" s="48">
        <f>'Secondary cum Calculation'!I656</f>
        <v>0</v>
      </c>
      <c r="J714" s="48" t="str">
        <f>'Secondary cum Calculation'!J656</f>
        <v>Thousand</v>
      </c>
      <c r="K714" s="49">
        <f>'Secondary cum Calculation'!K656</f>
        <v>0</v>
      </c>
      <c r="L714" s="92">
        <f>'Secondary cum Calculation'!L656</f>
        <v>0</v>
      </c>
      <c r="M714" s="92">
        <f>'Secondary cum Calculation'!M656</f>
        <v>0</v>
      </c>
      <c r="N714" s="92">
        <f>'Secondary cum Calculation'!N656</f>
        <v>0</v>
      </c>
      <c r="O714" s="53">
        <f>'Secondary cum Calculation'!O656</f>
        <v>0</v>
      </c>
      <c r="P714" s="53">
        <f>'Secondary cum Calculation'!P656</f>
        <v>0</v>
      </c>
      <c r="Q714" s="53"/>
      <c r="R714" s="53"/>
      <c r="S714" s="53"/>
      <c r="T714" s="53"/>
      <c r="U714" s="53"/>
      <c r="V714" s="53"/>
      <c r="W714" s="102" t="e">
        <f>'Secondary cum Calculation'!W656</f>
        <v>#DIV/0!</v>
      </c>
      <c r="X714" s="102" t="e">
        <f>'Secondary cum Calculation'!X656</f>
        <v>#DIV/0!</v>
      </c>
      <c r="Z714" s="11"/>
    </row>
    <row r="715" spans="1:26">
      <c r="A715" s="48"/>
      <c r="B715" s="48"/>
      <c r="C715" s="52" t="str">
        <f>'Secondary cum Calculation'!C657</f>
        <v>Growth Rate</v>
      </c>
      <c r="D715" s="52"/>
      <c r="E715" s="52"/>
      <c r="F715" s="52">
        <f>'Secondary cum Calculation'!F657</f>
        <v>0</v>
      </c>
      <c r="G715" s="52">
        <f>'Secondary cum Calculation'!G657</f>
        <v>0</v>
      </c>
      <c r="H715" s="52">
        <f>'Secondary cum Calculation'!H657</f>
        <v>0</v>
      </c>
      <c r="I715" s="52">
        <f>'Secondary cum Calculation'!I657</f>
        <v>0</v>
      </c>
      <c r="J715" s="52" t="str">
        <f>'Secondary cum Calculation'!J657</f>
        <v>%</v>
      </c>
      <c r="K715" s="49">
        <f>'Secondary cum Calculation'!K657</f>
        <v>0</v>
      </c>
      <c r="L715" s="53"/>
      <c r="M715" s="54" t="e">
        <f>'Secondary cum Calculation'!M657</f>
        <v>#DIV/0!</v>
      </c>
      <c r="N715" s="54" t="e">
        <f>'Secondary cum Calculation'!N657</f>
        <v>#DIV/0!</v>
      </c>
      <c r="O715" s="54" t="e">
        <f>'Secondary cum Calculation'!O657</f>
        <v>#DIV/0!</v>
      </c>
      <c r="P715" s="54" t="e">
        <f>'Secondary cum Calculation'!P657</f>
        <v>#DIV/0!</v>
      </c>
      <c r="Q715" s="54"/>
      <c r="R715" s="54"/>
      <c r="S715" s="54"/>
      <c r="T715" s="54"/>
      <c r="U715" s="54"/>
      <c r="V715" s="54"/>
      <c r="W715" s="258"/>
      <c r="X715" s="258"/>
    </row>
    <row r="716" spans="1:26">
      <c r="A716" s="46" t="str">
        <f>'Secondary cum Calculation'!A658</f>
        <v>Poland</v>
      </c>
      <c r="B716" s="47" t="str">
        <f>'Secondary cum Calculation'!B658</f>
        <v>Tourism Flows</v>
      </c>
      <c r="C716" s="47" t="str">
        <f>'Secondary cum Calculation'!C658</f>
        <v>International Departures by Destination</v>
      </c>
      <c r="D716" s="47" t="str">
        <f>'Secondary cum Calculation'!D658</f>
        <v>Africa</v>
      </c>
      <c r="E716" s="46" t="str">
        <f>'Secondary cum Calculation'!E658</f>
        <v>Kenya</v>
      </c>
      <c r="F716" s="48" t="str">
        <f>'Secondary cum Calculation'!F658</f>
        <v>The number of international departures from a country to Kenya</v>
      </c>
      <c r="G716" s="48" t="str">
        <f>'Secondary cum Calculation'!G658</f>
        <v>Tourism Demand &amp; Flows Database</v>
      </c>
      <c r="H716" s="48" t="str">
        <f>'Secondary cum Calculation'!H658</f>
        <v>New</v>
      </c>
      <c r="I716" s="48">
        <f>'Secondary cum Calculation'!I658</f>
        <v>0</v>
      </c>
      <c r="J716" s="48" t="str">
        <f>'Secondary cum Calculation'!J658</f>
        <v>Thousand</v>
      </c>
      <c r="K716" s="49">
        <f>'Secondary cum Calculation'!K658</f>
        <v>0</v>
      </c>
      <c r="L716" s="92">
        <f>'Secondary cum Calculation'!L658</f>
        <v>0</v>
      </c>
      <c r="M716" s="92">
        <f>'Secondary cum Calculation'!M658</f>
        <v>0</v>
      </c>
      <c r="N716" s="92">
        <f>'Secondary cum Calculation'!N658</f>
        <v>0</v>
      </c>
      <c r="O716" s="53">
        <f>'Secondary cum Calculation'!O658</f>
        <v>0</v>
      </c>
      <c r="P716" s="53">
        <f>'Secondary cum Calculation'!P658</f>
        <v>0</v>
      </c>
      <c r="Q716" s="53"/>
      <c r="R716" s="53"/>
      <c r="S716" s="53"/>
      <c r="T716" s="53"/>
      <c r="U716" s="53"/>
      <c r="V716" s="53"/>
      <c r="W716" s="102" t="e">
        <f>'Secondary cum Calculation'!W658</f>
        <v>#DIV/0!</v>
      </c>
      <c r="X716" s="102" t="e">
        <f>'Secondary cum Calculation'!X658</f>
        <v>#DIV/0!</v>
      </c>
      <c r="Z716" s="11"/>
    </row>
    <row r="717" spans="1:26">
      <c r="A717" s="48"/>
      <c r="B717" s="48"/>
      <c r="C717" s="52" t="str">
        <f>'Secondary cum Calculation'!C659</f>
        <v>Growth Rate</v>
      </c>
      <c r="D717" s="52"/>
      <c r="E717" s="52"/>
      <c r="F717" s="52">
        <f>'Secondary cum Calculation'!F659</f>
        <v>0</v>
      </c>
      <c r="G717" s="52">
        <f>'Secondary cum Calculation'!G659</f>
        <v>0</v>
      </c>
      <c r="H717" s="52">
        <f>'Secondary cum Calculation'!H659</f>
        <v>0</v>
      </c>
      <c r="I717" s="52">
        <f>'Secondary cum Calculation'!I659</f>
        <v>0</v>
      </c>
      <c r="J717" s="52" t="str">
        <f>'Secondary cum Calculation'!J659</f>
        <v>%</v>
      </c>
      <c r="K717" s="49">
        <f>'Secondary cum Calculation'!K659</f>
        <v>0</v>
      </c>
      <c r="L717" s="53"/>
      <c r="M717" s="54" t="e">
        <f>'Secondary cum Calculation'!M659</f>
        <v>#DIV/0!</v>
      </c>
      <c r="N717" s="54" t="e">
        <f>'Secondary cum Calculation'!N659</f>
        <v>#DIV/0!</v>
      </c>
      <c r="O717" s="54" t="e">
        <f>'Secondary cum Calculation'!O659</f>
        <v>#DIV/0!</v>
      </c>
      <c r="P717" s="54" t="e">
        <f>'Secondary cum Calculation'!P659</f>
        <v>#DIV/0!</v>
      </c>
      <c r="Q717" s="54"/>
      <c r="R717" s="54"/>
      <c r="S717" s="54"/>
      <c r="T717" s="54"/>
      <c r="U717" s="54"/>
      <c r="V717" s="54"/>
      <c r="W717" s="258"/>
      <c r="X717" s="258"/>
    </row>
    <row r="718" spans="1:26">
      <c r="A718" s="46" t="str">
        <f>'Secondary cum Calculation'!A660</f>
        <v>Poland</v>
      </c>
      <c r="B718" s="47" t="str">
        <f>'Secondary cum Calculation'!B660</f>
        <v>Tourism Flows</v>
      </c>
      <c r="C718" s="47" t="str">
        <f>'Secondary cum Calculation'!C660</f>
        <v>International Departures by Destination</v>
      </c>
      <c r="D718" s="47" t="str">
        <f>'Secondary cum Calculation'!D660</f>
        <v>Africa</v>
      </c>
      <c r="E718" s="46" t="str">
        <f>'Secondary cum Calculation'!E660</f>
        <v>Lesotho</v>
      </c>
      <c r="F718" s="48" t="str">
        <f>'Secondary cum Calculation'!F660</f>
        <v>The number of international departures from a country to Lesotho</v>
      </c>
      <c r="G718" s="48" t="str">
        <f>'Secondary cum Calculation'!G660</f>
        <v>Tourism Demand &amp; Flows Database</v>
      </c>
      <c r="H718" s="48" t="str">
        <f>'Secondary cum Calculation'!H660</f>
        <v>New</v>
      </c>
      <c r="I718" s="48">
        <f>'Secondary cum Calculation'!I660</f>
        <v>0</v>
      </c>
      <c r="J718" s="48" t="str">
        <f>'Secondary cum Calculation'!J660</f>
        <v>Thousand</v>
      </c>
      <c r="K718" s="49">
        <f>'Secondary cum Calculation'!K660</f>
        <v>0</v>
      </c>
      <c r="L718" s="92">
        <f>'Secondary cum Calculation'!L660</f>
        <v>0</v>
      </c>
      <c r="M718" s="92">
        <f>'Secondary cum Calculation'!M660</f>
        <v>0</v>
      </c>
      <c r="N718" s="92">
        <f>'Secondary cum Calculation'!N660</f>
        <v>0</v>
      </c>
      <c r="O718" s="53">
        <f>'Secondary cum Calculation'!O660</f>
        <v>0</v>
      </c>
      <c r="P718" s="53">
        <f>'Secondary cum Calculation'!P660</f>
        <v>0</v>
      </c>
      <c r="Q718" s="53"/>
      <c r="R718" s="53"/>
      <c r="S718" s="53"/>
      <c r="T718" s="53"/>
      <c r="U718" s="53"/>
      <c r="V718" s="53"/>
      <c r="W718" s="102" t="e">
        <f>'Secondary cum Calculation'!W660</f>
        <v>#DIV/0!</v>
      </c>
      <c r="X718" s="102" t="e">
        <f>'Secondary cum Calculation'!X660</f>
        <v>#DIV/0!</v>
      </c>
      <c r="Z718" s="11"/>
    </row>
    <row r="719" spans="1:26">
      <c r="A719" s="48"/>
      <c r="B719" s="48"/>
      <c r="C719" s="52" t="str">
        <f>'Secondary cum Calculation'!C661</f>
        <v>Growth Rate</v>
      </c>
      <c r="D719" s="52"/>
      <c r="E719" s="52"/>
      <c r="F719" s="52">
        <f>'Secondary cum Calculation'!F661</f>
        <v>0</v>
      </c>
      <c r="G719" s="52">
        <f>'Secondary cum Calculation'!G661</f>
        <v>0</v>
      </c>
      <c r="H719" s="52">
        <f>'Secondary cum Calculation'!H661</f>
        <v>0</v>
      </c>
      <c r="I719" s="52">
        <f>'Secondary cum Calculation'!I661</f>
        <v>0</v>
      </c>
      <c r="J719" s="52" t="str">
        <f>'Secondary cum Calculation'!J661</f>
        <v>%</v>
      </c>
      <c r="K719" s="49">
        <f>'Secondary cum Calculation'!K661</f>
        <v>0</v>
      </c>
      <c r="L719" s="53"/>
      <c r="M719" s="54" t="e">
        <f>'Secondary cum Calculation'!M661</f>
        <v>#DIV/0!</v>
      </c>
      <c r="N719" s="54" t="e">
        <f>'Secondary cum Calculation'!N661</f>
        <v>#DIV/0!</v>
      </c>
      <c r="O719" s="54" t="e">
        <f>'Secondary cum Calculation'!O661</f>
        <v>#DIV/0!</v>
      </c>
      <c r="P719" s="54" t="e">
        <f>'Secondary cum Calculation'!P661</f>
        <v>#DIV/0!</v>
      </c>
      <c r="Q719" s="54"/>
      <c r="R719" s="54"/>
      <c r="S719" s="54"/>
      <c r="T719" s="54"/>
      <c r="U719" s="54"/>
      <c r="V719" s="54"/>
      <c r="W719" s="258"/>
      <c r="X719" s="258"/>
    </row>
    <row r="720" spans="1:26">
      <c r="A720" s="46" t="str">
        <f>'Secondary cum Calculation'!A662</f>
        <v>Poland</v>
      </c>
      <c r="B720" s="47" t="str">
        <f>'Secondary cum Calculation'!B662</f>
        <v>Tourism Flows</v>
      </c>
      <c r="C720" s="47" t="str">
        <f>'Secondary cum Calculation'!C662</f>
        <v>International Departures by Destination</v>
      </c>
      <c r="D720" s="47" t="str">
        <f>'Secondary cum Calculation'!D662</f>
        <v>Africa</v>
      </c>
      <c r="E720" s="46" t="str">
        <f>'Secondary cum Calculation'!E662</f>
        <v>Liberia</v>
      </c>
      <c r="F720" s="48" t="str">
        <f>'Secondary cum Calculation'!F662</f>
        <v>The number of international departures from a country to Liberia</v>
      </c>
      <c r="G720" s="48" t="str">
        <f>'Secondary cum Calculation'!G662</f>
        <v>Tourism Demand &amp; Flows Database</v>
      </c>
      <c r="H720" s="48" t="str">
        <f>'Secondary cum Calculation'!H662</f>
        <v>New</v>
      </c>
      <c r="I720" s="48">
        <f>'Secondary cum Calculation'!I662</f>
        <v>0</v>
      </c>
      <c r="J720" s="48" t="str">
        <f>'Secondary cum Calculation'!J662</f>
        <v>Thousand</v>
      </c>
      <c r="K720" s="49">
        <f>'Secondary cum Calculation'!K662</f>
        <v>0</v>
      </c>
      <c r="L720" s="92">
        <f>'Secondary cum Calculation'!L662</f>
        <v>0</v>
      </c>
      <c r="M720" s="92">
        <f>'Secondary cum Calculation'!M662</f>
        <v>0</v>
      </c>
      <c r="N720" s="92">
        <f>'Secondary cum Calculation'!N662</f>
        <v>0</v>
      </c>
      <c r="O720" s="53">
        <f>'Secondary cum Calculation'!O662</f>
        <v>0</v>
      </c>
      <c r="P720" s="53">
        <f>'Secondary cum Calculation'!P662</f>
        <v>0</v>
      </c>
      <c r="Q720" s="53"/>
      <c r="R720" s="53"/>
      <c r="S720" s="53"/>
      <c r="T720" s="53"/>
      <c r="U720" s="53"/>
      <c r="V720" s="53"/>
      <c r="W720" s="102" t="e">
        <f>'Secondary cum Calculation'!W662</f>
        <v>#DIV/0!</v>
      </c>
      <c r="X720" s="102" t="e">
        <f>'Secondary cum Calculation'!X662</f>
        <v>#DIV/0!</v>
      </c>
      <c r="Z720" s="11"/>
    </row>
    <row r="721" spans="1:26">
      <c r="A721" s="48"/>
      <c r="B721" s="48"/>
      <c r="C721" s="52" t="str">
        <f>'Secondary cum Calculation'!C663</f>
        <v>Growth Rate</v>
      </c>
      <c r="D721" s="52"/>
      <c r="E721" s="52"/>
      <c r="F721" s="52">
        <f>'Secondary cum Calculation'!F663</f>
        <v>0</v>
      </c>
      <c r="G721" s="52">
        <f>'Secondary cum Calculation'!G663</f>
        <v>0</v>
      </c>
      <c r="H721" s="52">
        <f>'Secondary cum Calculation'!H663</f>
        <v>0</v>
      </c>
      <c r="I721" s="52">
        <f>'Secondary cum Calculation'!I663</f>
        <v>0</v>
      </c>
      <c r="J721" s="52" t="str">
        <f>'Secondary cum Calculation'!J663</f>
        <v>%</v>
      </c>
      <c r="K721" s="49">
        <f>'Secondary cum Calculation'!K663</f>
        <v>0</v>
      </c>
      <c r="L721" s="53"/>
      <c r="M721" s="54" t="e">
        <f>'Secondary cum Calculation'!M663</f>
        <v>#DIV/0!</v>
      </c>
      <c r="N721" s="54" t="e">
        <f>'Secondary cum Calculation'!N663</f>
        <v>#DIV/0!</v>
      </c>
      <c r="O721" s="54" t="e">
        <f>'Secondary cum Calculation'!O663</f>
        <v>#DIV/0!</v>
      </c>
      <c r="P721" s="54" t="e">
        <f>'Secondary cum Calculation'!P663</f>
        <v>#DIV/0!</v>
      </c>
      <c r="Q721" s="54"/>
      <c r="R721" s="54"/>
      <c r="S721" s="54"/>
      <c r="T721" s="54"/>
      <c r="U721" s="54"/>
      <c r="V721" s="54"/>
      <c r="W721" s="258"/>
      <c r="X721" s="258"/>
    </row>
    <row r="722" spans="1:26">
      <c r="A722" s="46" t="str">
        <f>'Secondary cum Calculation'!A664</f>
        <v>Poland</v>
      </c>
      <c r="B722" s="47" t="str">
        <f>'Secondary cum Calculation'!B664</f>
        <v>Tourism Flows</v>
      </c>
      <c r="C722" s="47" t="str">
        <f>'Secondary cum Calculation'!C664</f>
        <v>International Departures by Destination</v>
      </c>
      <c r="D722" s="47" t="str">
        <f>'Secondary cum Calculation'!D664</f>
        <v>Africa</v>
      </c>
      <c r="E722" s="46" t="str">
        <f>'Secondary cum Calculation'!E664</f>
        <v>Libyan Arab Jamahiriya</v>
      </c>
      <c r="F722" s="48" t="str">
        <f>'Secondary cum Calculation'!F664</f>
        <v>The number of international departures from a country to Libyan Arab Jamahiriya</v>
      </c>
      <c r="G722" s="48" t="str">
        <f>'Secondary cum Calculation'!G664</f>
        <v>Tourism Demand &amp; Flows Database</v>
      </c>
      <c r="H722" s="48" t="str">
        <f>'Secondary cum Calculation'!H664</f>
        <v>New</v>
      </c>
      <c r="I722" s="48">
        <f>'Secondary cum Calculation'!I664</f>
        <v>0</v>
      </c>
      <c r="J722" s="48" t="str">
        <f>'Secondary cum Calculation'!J664</f>
        <v>Thousand</v>
      </c>
      <c r="K722" s="49">
        <f>'Secondary cum Calculation'!K664</f>
        <v>0</v>
      </c>
      <c r="L722" s="92">
        <f>'Secondary cum Calculation'!L664</f>
        <v>0</v>
      </c>
      <c r="M722" s="92">
        <f>'Secondary cum Calculation'!M664</f>
        <v>0</v>
      </c>
      <c r="N722" s="92">
        <f>'Secondary cum Calculation'!N664</f>
        <v>0</v>
      </c>
      <c r="O722" s="53">
        <f>'Secondary cum Calculation'!O664</f>
        <v>0</v>
      </c>
      <c r="P722" s="53">
        <f>'Secondary cum Calculation'!P664</f>
        <v>0</v>
      </c>
      <c r="Q722" s="53"/>
      <c r="R722" s="53"/>
      <c r="S722" s="53"/>
      <c r="T722" s="53"/>
      <c r="U722" s="53"/>
      <c r="V722" s="53"/>
      <c r="W722" s="102" t="e">
        <f>'Secondary cum Calculation'!W664</f>
        <v>#DIV/0!</v>
      </c>
      <c r="X722" s="102" t="e">
        <f>'Secondary cum Calculation'!X664</f>
        <v>#DIV/0!</v>
      </c>
      <c r="Z722" s="11"/>
    </row>
    <row r="723" spans="1:26">
      <c r="A723" s="48"/>
      <c r="B723" s="48"/>
      <c r="C723" s="52" t="str">
        <f>'Secondary cum Calculation'!C665</f>
        <v>Growth Rate</v>
      </c>
      <c r="D723" s="52"/>
      <c r="E723" s="52"/>
      <c r="F723" s="52">
        <f>'Secondary cum Calculation'!F665</f>
        <v>0</v>
      </c>
      <c r="G723" s="52">
        <f>'Secondary cum Calculation'!G665</f>
        <v>0</v>
      </c>
      <c r="H723" s="52">
        <f>'Secondary cum Calculation'!H665</f>
        <v>0</v>
      </c>
      <c r="I723" s="52">
        <f>'Secondary cum Calculation'!I665</f>
        <v>0</v>
      </c>
      <c r="J723" s="52" t="str">
        <f>'Secondary cum Calculation'!J665</f>
        <v>%</v>
      </c>
      <c r="K723" s="49">
        <f>'Secondary cum Calculation'!K665</f>
        <v>0</v>
      </c>
      <c r="L723" s="53"/>
      <c r="M723" s="54" t="e">
        <f>'Secondary cum Calculation'!M665</f>
        <v>#DIV/0!</v>
      </c>
      <c r="N723" s="54" t="e">
        <f>'Secondary cum Calculation'!N665</f>
        <v>#DIV/0!</v>
      </c>
      <c r="O723" s="54" t="e">
        <f>'Secondary cum Calculation'!O665</f>
        <v>#DIV/0!</v>
      </c>
      <c r="P723" s="54" t="e">
        <f>'Secondary cum Calculation'!P665</f>
        <v>#DIV/0!</v>
      </c>
      <c r="Q723" s="54"/>
      <c r="R723" s="54"/>
      <c r="S723" s="54"/>
      <c r="T723" s="54"/>
      <c r="U723" s="54"/>
      <c r="V723" s="54"/>
      <c r="W723" s="258"/>
      <c r="X723" s="258"/>
    </row>
    <row r="724" spans="1:26">
      <c r="A724" s="46" t="str">
        <f>'Secondary cum Calculation'!A666</f>
        <v>Poland</v>
      </c>
      <c r="B724" s="47" t="str">
        <f>'Secondary cum Calculation'!B666</f>
        <v>Tourism Flows</v>
      </c>
      <c r="C724" s="47" t="str">
        <f>'Secondary cum Calculation'!C666</f>
        <v>International Departures by Destination</v>
      </c>
      <c r="D724" s="47" t="str">
        <f>'Secondary cum Calculation'!D666</f>
        <v>Africa</v>
      </c>
      <c r="E724" s="46" t="str">
        <f>'Secondary cum Calculation'!E666</f>
        <v>Madagascar</v>
      </c>
      <c r="F724" s="48" t="str">
        <f>'Secondary cum Calculation'!F666</f>
        <v>The number of international departures from a country to Madagascar</v>
      </c>
      <c r="G724" s="48" t="str">
        <f>'Secondary cum Calculation'!G666</f>
        <v>Tourism Demand &amp; Flows Database</v>
      </c>
      <c r="H724" s="48" t="str">
        <f>'Secondary cum Calculation'!H666</f>
        <v>New</v>
      </c>
      <c r="I724" s="48">
        <f>'Secondary cum Calculation'!I666</f>
        <v>0</v>
      </c>
      <c r="J724" s="48" t="str">
        <f>'Secondary cum Calculation'!J666</f>
        <v>Thousand</v>
      </c>
      <c r="K724" s="49">
        <f>'Secondary cum Calculation'!K666</f>
        <v>0</v>
      </c>
      <c r="L724" s="92">
        <f>'Secondary cum Calculation'!L666</f>
        <v>0</v>
      </c>
      <c r="M724" s="92">
        <f>'Secondary cum Calculation'!M666</f>
        <v>0</v>
      </c>
      <c r="N724" s="92">
        <f>'Secondary cum Calculation'!N666</f>
        <v>0</v>
      </c>
      <c r="O724" s="53">
        <f>'Secondary cum Calculation'!O666</f>
        <v>0</v>
      </c>
      <c r="P724" s="53">
        <f>'Secondary cum Calculation'!P666</f>
        <v>0</v>
      </c>
      <c r="Q724" s="53"/>
      <c r="R724" s="53"/>
      <c r="S724" s="53"/>
      <c r="T724" s="53"/>
      <c r="U724" s="53"/>
      <c r="V724" s="53"/>
      <c r="W724" s="102" t="e">
        <f>'Secondary cum Calculation'!W666</f>
        <v>#DIV/0!</v>
      </c>
      <c r="X724" s="102" t="e">
        <f>'Secondary cum Calculation'!X666</f>
        <v>#DIV/0!</v>
      </c>
      <c r="Z724" s="11"/>
    </row>
    <row r="725" spans="1:26">
      <c r="A725" s="48"/>
      <c r="B725" s="48"/>
      <c r="C725" s="52" t="str">
        <f>'Secondary cum Calculation'!C667</f>
        <v>Growth Rate</v>
      </c>
      <c r="D725" s="52"/>
      <c r="E725" s="52"/>
      <c r="F725" s="52">
        <f>'Secondary cum Calculation'!F667</f>
        <v>0</v>
      </c>
      <c r="G725" s="52">
        <f>'Secondary cum Calculation'!G667</f>
        <v>0</v>
      </c>
      <c r="H725" s="52">
        <f>'Secondary cum Calculation'!H667</f>
        <v>0</v>
      </c>
      <c r="I725" s="52">
        <f>'Secondary cum Calculation'!I667</f>
        <v>0</v>
      </c>
      <c r="J725" s="52" t="str">
        <f>'Secondary cum Calculation'!J667</f>
        <v>%</v>
      </c>
      <c r="K725" s="49">
        <f>'Secondary cum Calculation'!K667</f>
        <v>0</v>
      </c>
      <c r="L725" s="53"/>
      <c r="M725" s="54" t="e">
        <f>'Secondary cum Calculation'!M667</f>
        <v>#DIV/0!</v>
      </c>
      <c r="N725" s="54" t="e">
        <f>'Secondary cum Calculation'!N667</f>
        <v>#DIV/0!</v>
      </c>
      <c r="O725" s="54" t="e">
        <f>'Secondary cum Calculation'!O667</f>
        <v>#DIV/0!</v>
      </c>
      <c r="P725" s="54" t="e">
        <f>'Secondary cum Calculation'!P667</f>
        <v>#DIV/0!</v>
      </c>
      <c r="Q725" s="54"/>
      <c r="R725" s="54"/>
      <c r="S725" s="54"/>
      <c r="T725" s="54"/>
      <c r="U725" s="54"/>
      <c r="V725" s="54"/>
      <c r="W725" s="258"/>
      <c r="X725" s="258"/>
    </row>
    <row r="726" spans="1:26">
      <c r="A726" s="46" t="str">
        <f>'Secondary cum Calculation'!A668</f>
        <v>Poland</v>
      </c>
      <c r="B726" s="47" t="str">
        <f>'Secondary cum Calculation'!B668</f>
        <v>Tourism Flows</v>
      </c>
      <c r="C726" s="47" t="str">
        <f>'Secondary cum Calculation'!C668</f>
        <v>International Departures by Destination</v>
      </c>
      <c r="D726" s="47" t="str">
        <f>'Secondary cum Calculation'!D668</f>
        <v>Africa</v>
      </c>
      <c r="E726" s="46" t="str">
        <f>'Secondary cum Calculation'!E668</f>
        <v>Malawi</v>
      </c>
      <c r="F726" s="48" t="str">
        <f>'Secondary cum Calculation'!F668</f>
        <v>The number of international departures from a country to Malawi</v>
      </c>
      <c r="G726" s="48" t="str">
        <f>'Secondary cum Calculation'!G668</f>
        <v>Tourism Demand &amp; Flows Database</v>
      </c>
      <c r="H726" s="48" t="str">
        <f>'Secondary cum Calculation'!H668</f>
        <v>New</v>
      </c>
      <c r="I726" s="48">
        <f>'Secondary cum Calculation'!I668</f>
        <v>0</v>
      </c>
      <c r="J726" s="48" t="str">
        <f>'Secondary cum Calculation'!J668</f>
        <v>Thousand</v>
      </c>
      <c r="K726" s="49">
        <f>'Secondary cum Calculation'!K668</f>
        <v>0</v>
      </c>
      <c r="L726" s="92">
        <f>'Secondary cum Calculation'!L668</f>
        <v>0</v>
      </c>
      <c r="M726" s="92">
        <f>'Secondary cum Calculation'!M668</f>
        <v>0</v>
      </c>
      <c r="N726" s="92">
        <f>'Secondary cum Calculation'!N668</f>
        <v>0</v>
      </c>
      <c r="O726" s="53">
        <f>'Secondary cum Calculation'!O668</f>
        <v>0</v>
      </c>
      <c r="P726" s="53">
        <f>'Secondary cum Calculation'!P668</f>
        <v>0</v>
      </c>
      <c r="Q726" s="53"/>
      <c r="R726" s="53"/>
      <c r="S726" s="53"/>
      <c r="T726" s="53"/>
      <c r="U726" s="53"/>
      <c r="V726" s="53"/>
      <c r="W726" s="102" t="e">
        <f>'Secondary cum Calculation'!W668</f>
        <v>#DIV/0!</v>
      </c>
      <c r="X726" s="102" t="e">
        <f>'Secondary cum Calculation'!X668</f>
        <v>#DIV/0!</v>
      </c>
      <c r="Z726" s="11"/>
    </row>
    <row r="727" spans="1:26">
      <c r="A727" s="48"/>
      <c r="B727" s="48"/>
      <c r="C727" s="52" t="str">
        <f>'Secondary cum Calculation'!C669</f>
        <v>Growth Rate</v>
      </c>
      <c r="D727" s="52"/>
      <c r="E727" s="52"/>
      <c r="F727" s="52">
        <f>'Secondary cum Calculation'!F669</f>
        <v>0</v>
      </c>
      <c r="G727" s="52">
        <f>'Secondary cum Calculation'!G669</f>
        <v>0</v>
      </c>
      <c r="H727" s="52">
        <f>'Secondary cum Calculation'!H669</f>
        <v>0</v>
      </c>
      <c r="I727" s="52">
        <f>'Secondary cum Calculation'!I669</f>
        <v>0</v>
      </c>
      <c r="J727" s="52" t="str">
        <f>'Secondary cum Calculation'!J669</f>
        <v>%</v>
      </c>
      <c r="K727" s="49">
        <f>'Secondary cum Calculation'!K669</f>
        <v>0</v>
      </c>
      <c r="L727" s="53"/>
      <c r="M727" s="54" t="e">
        <f>'Secondary cum Calculation'!M669</f>
        <v>#DIV/0!</v>
      </c>
      <c r="N727" s="54" t="e">
        <f>'Secondary cum Calculation'!N669</f>
        <v>#DIV/0!</v>
      </c>
      <c r="O727" s="54" t="e">
        <f>'Secondary cum Calculation'!O669</f>
        <v>#DIV/0!</v>
      </c>
      <c r="P727" s="54" t="e">
        <f>'Secondary cum Calculation'!P669</f>
        <v>#DIV/0!</v>
      </c>
      <c r="Q727" s="54"/>
      <c r="R727" s="54"/>
      <c r="S727" s="54"/>
      <c r="T727" s="54"/>
      <c r="U727" s="54"/>
      <c r="V727" s="54"/>
      <c r="W727" s="258"/>
      <c r="X727" s="258"/>
    </row>
    <row r="728" spans="1:26">
      <c r="A728" s="46" t="str">
        <f>'Secondary cum Calculation'!A670</f>
        <v>Poland</v>
      </c>
      <c r="B728" s="47" t="str">
        <f>'Secondary cum Calculation'!B670</f>
        <v>Tourism Flows</v>
      </c>
      <c r="C728" s="47" t="str">
        <f>'Secondary cum Calculation'!C670</f>
        <v>International Departures by Destination</v>
      </c>
      <c r="D728" s="47" t="str">
        <f>'Secondary cum Calculation'!D670</f>
        <v>Africa</v>
      </c>
      <c r="E728" s="46" t="str">
        <f>'Secondary cum Calculation'!E670</f>
        <v>Mali</v>
      </c>
      <c r="F728" s="48" t="str">
        <f>'Secondary cum Calculation'!F670</f>
        <v>The number of international departures from a country to Mali</v>
      </c>
      <c r="G728" s="48" t="str">
        <f>'Secondary cum Calculation'!G670</f>
        <v>Tourism Demand &amp; Flows Database</v>
      </c>
      <c r="H728" s="48" t="str">
        <f>'Secondary cum Calculation'!H670</f>
        <v>New</v>
      </c>
      <c r="I728" s="48">
        <f>'Secondary cum Calculation'!I670</f>
        <v>0</v>
      </c>
      <c r="J728" s="48" t="str">
        <f>'Secondary cum Calculation'!J670</f>
        <v>Thousand</v>
      </c>
      <c r="K728" s="49">
        <f>'Secondary cum Calculation'!K670</f>
        <v>0</v>
      </c>
      <c r="L728" s="92">
        <f>'Secondary cum Calculation'!L670</f>
        <v>0</v>
      </c>
      <c r="M728" s="92">
        <f>'Secondary cum Calculation'!M670</f>
        <v>0</v>
      </c>
      <c r="N728" s="92">
        <f>'Secondary cum Calculation'!N670</f>
        <v>0</v>
      </c>
      <c r="O728" s="53">
        <f>'Secondary cum Calculation'!O670</f>
        <v>0</v>
      </c>
      <c r="P728" s="53">
        <f>'Secondary cum Calculation'!P670</f>
        <v>0</v>
      </c>
      <c r="Q728" s="53"/>
      <c r="R728" s="53"/>
      <c r="S728" s="53"/>
      <c r="T728" s="53"/>
      <c r="U728" s="53"/>
      <c r="V728" s="53"/>
      <c r="W728" s="102" t="e">
        <f>'Secondary cum Calculation'!W670</f>
        <v>#DIV/0!</v>
      </c>
      <c r="X728" s="102" t="e">
        <f>'Secondary cum Calculation'!X670</f>
        <v>#DIV/0!</v>
      </c>
      <c r="Z728" s="11"/>
    </row>
    <row r="729" spans="1:26">
      <c r="A729" s="48"/>
      <c r="B729" s="48"/>
      <c r="C729" s="52" t="str">
        <f>'Secondary cum Calculation'!C671</f>
        <v>Growth Rate</v>
      </c>
      <c r="D729" s="52"/>
      <c r="E729" s="52"/>
      <c r="F729" s="52">
        <f>'Secondary cum Calculation'!F671</f>
        <v>0</v>
      </c>
      <c r="G729" s="52">
        <f>'Secondary cum Calculation'!G671</f>
        <v>0</v>
      </c>
      <c r="H729" s="52">
        <f>'Secondary cum Calculation'!H671</f>
        <v>0</v>
      </c>
      <c r="I729" s="52">
        <f>'Secondary cum Calculation'!I671</f>
        <v>0</v>
      </c>
      <c r="J729" s="52" t="str">
        <f>'Secondary cum Calculation'!J671</f>
        <v>%</v>
      </c>
      <c r="K729" s="49">
        <f>'Secondary cum Calculation'!K671</f>
        <v>0</v>
      </c>
      <c r="L729" s="53"/>
      <c r="M729" s="54" t="e">
        <f>'Secondary cum Calculation'!M671</f>
        <v>#DIV/0!</v>
      </c>
      <c r="N729" s="54" t="e">
        <f>'Secondary cum Calculation'!N671</f>
        <v>#DIV/0!</v>
      </c>
      <c r="O729" s="54" t="e">
        <f>'Secondary cum Calculation'!O671</f>
        <v>#DIV/0!</v>
      </c>
      <c r="P729" s="54" t="e">
        <f>'Secondary cum Calculation'!P671</f>
        <v>#DIV/0!</v>
      </c>
      <c r="Q729" s="54"/>
      <c r="R729" s="54"/>
      <c r="S729" s="54"/>
      <c r="T729" s="54"/>
      <c r="U729" s="54"/>
      <c r="V729" s="54"/>
      <c r="W729" s="258"/>
      <c r="X729" s="258"/>
    </row>
    <row r="730" spans="1:26">
      <c r="A730" s="46" t="str">
        <f>'Secondary cum Calculation'!A672</f>
        <v>Poland</v>
      </c>
      <c r="B730" s="47" t="str">
        <f>'Secondary cum Calculation'!B672</f>
        <v>Tourism Flows</v>
      </c>
      <c r="C730" s="47" t="str">
        <f>'Secondary cum Calculation'!C672</f>
        <v>International Departures by Destination</v>
      </c>
      <c r="D730" s="47" t="str">
        <f>'Secondary cum Calculation'!D672</f>
        <v>Africa</v>
      </c>
      <c r="E730" s="46" t="str">
        <f>'Secondary cum Calculation'!E672</f>
        <v>Mauritania</v>
      </c>
      <c r="F730" s="48" t="str">
        <f>'Secondary cum Calculation'!F672</f>
        <v>The number of international departures from a country to Mauritania</v>
      </c>
      <c r="G730" s="48" t="str">
        <f>'Secondary cum Calculation'!G672</f>
        <v>Tourism Demand &amp; Flows Database</v>
      </c>
      <c r="H730" s="48" t="str">
        <f>'Secondary cum Calculation'!H672</f>
        <v>New</v>
      </c>
      <c r="I730" s="48">
        <f>'Secondary cum Calculation'!I672</f>
        <v>0</v>
      </c>
      <c r="J730" s="48" t="str">
        <f>'Secondary cum Calculation'!J672</f>
        <v>Thousand</v>
      </c>
      <c r="K730" s="49">
        <f>'Secondary cum Calculation'!K672</f>
        <v>0</v>
      </c>
      <c r="L730" s="92">
        <f>'Secondary cum Calculation'!L672</f>
        <v>0</v>
      </c>
      <c r="M730" s="92">
        <f>'Secondary cum Calculation'!M672</f>
        <v>0</v>
      </c>
      <c r="N730" s="92">
        <f>'Secondary cum Calculation'!N672</f>
        <v>0</v>
      </c>
      <c r="O730" s="53">
        <f>'Secondary cum Calculation'!O672</f>
        <v>0</v>
      </c>
      <c r="P730" s="53">
        <f>'Secondary cum Calculation'!P672</f>
        <v>0</v>
      </c>
      <c r="Q730" s="53"/>
      <c r="R730" s="53"/>
      <c r="S730" s="53"/>
      <c r="T730" s="53"/>
      <c r="U730" s="53"/>
      <c r="V730" s="53"/>
      <c r="W730" s="102" t="e">
        <f>'Secondary cum Calculation'!W672</f>
        <v>#DIV/0!</v>
      </c>
      <c r="X730" s="102" t="e">
        <f>'Secondary cum Calculation'!X672</f>
        <v>#DIV/0!</v>
      </c>
      <c r="Z730" s="11"/>
    </row>
    <row r="731" spans="1:26">
      <c r="A731" s="48"/>
      <c r="B731" s="48"/>
      <c r="C731" s="52" t="str">
        <f>'Secondary cum Calculation'!C673</f>
        <v>Growth Rate</v>
      </c>
      <c r="D731" s="52"/>
      <c r="E731" s="52"/>
      <c r="F731" s="52">
        <f>'Secondary cum Calculation'!F673</f>
        <v>0</v>
      </c>
      <c r="G731" s="52">
        <f>'Secondary cum Calculation'!G673</f>
        <v>0</v>
      </c>
      <c r="H731" s="52">
        <f>'Secondary cum Calculation'!H673</f>
        <v>0</v>
      </c>
      <c r="I731" s="52">
        <f>'Secondary cum Calculation'!I673</f>
        <v>0</v>
      </c>
      <c r="J731" s="52" t="str">
        <f>'Secondary cum Calculation'!J673</f>
        <v>%</v>
      </c>
      <c r="K731" s="49">
        <f>'Secondary cum Calculation'!K673</f>
        <v>0</v>
      </c>
      <c r="L731" s="53"/>
      <c r="M731" s="54" t="e">
        <f>'Secondary cum Calculation'!M673</f>
        <v>#DIV/0!</v>
      </c>
      <c r="N731" s="54" t="e">
        <f>'Secondary cum Calculation'!N673</f>
        <v>#DIV/0!</v>
      </c>
      <c r="O731" s="54" t="e">
        <f>'Secondary cum Calculation'!O673</f>
        <v>#DIV/0!</v>
      </c>
      <c r="P731" s="54" t="e">
        <f>'Secondary cum Calculation'!P673</f>
        <v>#DIV/0!</v>
      </c>
      <c r="Q731" s="54"/>
      <c r="R731" s="54"/>
      <c r="S731" s="54"/>
      <c r="T731" s="54"/>
      <c r="U731" s="54"/>
      <c r="V731" s="54"/>
      <c r="W731" s="258"/>
      <c r="X731" s="258"/>
    </row>
    <row r="732" spans="1:26">
      <c r="A732" s="46" t="str">
        <f>'Secondary cum Calculation'!A674</f>
        <v>Poland</v>
      </c>
      <c r="B732" s="47" t="str">
        <f>'Secondary cum Calculation'!B674</f>
        <v>Tourism Flows</v>
      </c>
      <c r="C732" s="47" t="str">
        <f>'Secondary cum Calculation'!C674</f>
        <v>International Departures by Destination</v>
      </c>
      <c r="D732" s="47" t="str">
        <f>'Secondary cum Calculation'!D674</f>
        <v>Africa</v>
      </c>
      <c r="E732" s="46" t="str">
        <f>'Secondary cum Calculation'!E674</f>
        <v>Mayotte</v>
      </c>
      <c r="F732" s="48" t="str">
        <f>'Secondary cum Calculation'!F674</f>
        <v>The number of international departures from a country to Mayotte</v>
      </c>
      <c r="G732" s="48" t="str">
        <f>'Secondary cum Calculation'!G674</f>
        <v>Tourism Demand &amp; Flows Database</v>
      </c>
      <c r="H732" s="48" t="str">
        <f>'Secondary cum Calculation'!H674</f>
        <v>New</v>
      </c>
      <c r="I732" s="48">
        <f>'Secondary cum Calculation'!I674</f>
        <v>0</v>
      </c>
      <c r="J732" s="48" t="str">
        <f>'Secondary cum Calculation'!J674</f>
        <v>Thousand</v>
      </c>
      <c r="K732" s="49">
        <f>'Secondary cum Calculation'!K674</f>
        <v>0</v>
      </c>
      <c r="L732" s="92">
        <f>'Secondary cum Calculation'!L674</f>
        <v>0</v>
      </c>
      <c r="M732" s="92">
        <f>'Secondary cum Calculation'!M674</f>
        <v>0</v>
      </c>
      <c r="N732" s="92">
        <f>'Secondary cum Calculation'!N674</f>
        <v>0</v>
      </c>
      <c r="O732" s="53">
        <f>'Secondary cum Calculation'!O674</f>
        <v>0</v>
      </c>
      <c r="P732" s="53">
        <f>'Secondary cum Calculation'!P674</f>
        <v>0</v>
      </c>
      <c r="Q732" s="53"/>
      <c r="R732" s="53"/>
      <c r="S732" s="53"/>
      <c r="T732" s="53"/>
      <c r="U732" s="53"/>
      <c r="V732" s="53"/>
      <c r="W732" s="102" t="e">
        <f>'Secondary cum Calculation'!W674</f>
        <v>#DIV/0!</v>
      </c>
      <c r="X732" s="102" t="e">
        <f>'Secondary cum Calculation'!X674</f>
        <v>#DIV/0!</v>
      </c>
      <c r="Z732" s="11"/>
    </row>
    <row r="733" spans="1:26">
      <c r="A733" s="48"/>
      <c r="B733" s="48"/>
      <c r="C733" s="52" t="str">
        <f>'Secondary cum Calculation'!C675</f>
        <v>Growth Rate</v>
      </c>
      <c r="D733" s="52"/>
      <c r="E733" s="52"/>
      <c r="F733" s="52">
        <f>'Secondary cum Calculation'!F675</f>
        <v>0</v>
      </c>
      <c r="G733" s="52">
        <f>'Secondary cum Calculation'!G675</f>
        <v>0</v>
      </c>
      <c r="H733" s="52">
        <f>'Secondary cum Calculation'!H675</f>
        <v>0</v>
      </c>
      <c r="I733" s="52">
        <f>'Secondary cum Calculation'!I675</f>
        <v>0</v>
      </c>
      <c r="J733" s="52" t="str">
        <f>'Secondary cum Calculation'!J675</f>
        <v>%</v>
      </c>
      <c r="K733" s="49">
        <f>'Secondary cum Calculation'!K675</f>
        <v>0</v>
      </c>
      <c r="L733" s="53"/>
      <c r="M733" s="54" t="e">
        <f>'Secondary cum Calculation'!M675</f>
        <v>#DIV/0!</v>
      </c>
      <c r="N733" s="54" t="e">
        <f>'Secondary cum Calculation'!N675</f>
        <v>#DIV/0!</v>
      </c>
      <c r="O733" s="54" t="e">
        <f>'Secondary cum Calculation'!O675</f>
        <v>#DIV/0!</v>
      </c>
      <c r="P733" s="54" t="e">
        <f>'Secondary cum Calculation'!P675</f>
        <v>#DIV/0!</v>
      </c>
      <c r="Q733" s="54"/>
      <c r="R733" s="54"/>
      <c r="S733" s="54"/>
      <c r="T733" s="54"/>
      <c r="U733" s="54"/>
      <c r="V733" s="54"/>
      <c r="W733" s="258"/>
      <c r="X733" s="258"/>
    </row>
    <row r="734" spans="1:26">
      <c r="A734" s="46" t="str">
        <f>'Secondary cum Calculation'!A676</f>
        <v>Poland</v>
      </c>
      <c r="B734" s="47" t="str">
        <f>'Secondary cum Calculation'!B676</f>
        <v>Tourism Flows</v>
      </c>
      <c r="C734" s="47" t="str">
        <f>'Secondary cum Calculation'!C676</f>
        <v>International Departures by Destination</v>
      </c>
      <c r="D734" s="47" t="str">
        <f>'Secondary cum Calculation'!D676</f>
        <v>Africa</v>
      </c>
      <c r="E734" s="46" t="str">
        <f>'Secondary cum Calculation'!E676</f>
        <v>Morocco</v>
      </c>
      <c r="F734" s="48" t="str">
        <f>'Secondary cum Calculation'!F676</f>
        <v>The number of international departures from a country to Morocco</v>
      </c>
      <c r="G734" s="48" t="str">
        <f>'Secondary cum Calculation'!G676</f>
        <v>Tourism Demand &amp; Flows Database</v>
      </c>
      <c r="H734" s="48" t="str">
        <f>'Secondary cum Calculation'!H676</f>
        <v>New</v>
      </c>
      <c r="I734" s="48">
        <f>'Secondary cum Calculation'!I676</f>
        <v>0</v>
      </c>
      <c r="J734" s="48" t="str">
        <f>'Secondary cum Calculation'!J676</f>
        <v>Thousand</v>
      </c>
      <c r="K734" s="49">
        <f>'Secondary cum Calculation'!K676</f>
        <v>0</v>
      </c>
      <c r="L734" s="53">
        <f>'Secondary cum Calculation'!L676</f>
        <v>0</v>
      </c>
      <c r="M734" s="53">
        <f>'Secondary cum Calculation'!M676</f>
        <v>0</v>
      </c>
      <c r="N734" s="53">
        <f>'Secondary cum Calculation'!N676</f>
        <v>0</v>
      </c>
      <c r="O734" s="53">
        <f>'Secondary cum Calculation'!O676</f>
        <v>0</v>
      </c>
      <c r="P734" s="53">
        <f>'Secondary cum Calculation'!P676</f>
        <v>0</v>
      </c>
      <c r="Q734" s="53"/>
      <c r="R734" s="53"/>
      <c r="S734" s="53"/>
      <c r="T734" s="53"/>
      <c r="U734" s="53"/>
      <c r="V734" s="53"/>
      <c r="W734" s="102" t="e">
        <f>'Secondary cum Calculation'!W676</f>
        <v>#DIV/0!</v>
      </c>
      <c r="X734" s="102" t="e">
        <f>'Secondary cum Calculation'!X676</f>
        <v>#DIV/0!</v>
      </c>
      <c r="Z734" s="11"/>
    </row>
    <row r="735" spans="1:26">
      <c r="A735" s="48"/>
      <c r="B735" s="48"/>
      <c r="C735" s="52" t="str">
        <f>'Secondary cum Calculation'!C677</f>
        <v>Growth Rate</v>
      </c>
      <c r="D735" s="52"/>
      <c r="E735" s="52"/>
      <c r="F735" s="52">
        <f>'Secondary cum Calculation'!F677</f>
        <v>0</v>
      </c>
      <c r="G735" s="52">
        <f>'Secondary cum Calculation'!G677</f>
        <v>0</v>
      </c>
      <c r="H735" s="52">
        <f>'Secondary cum Calculation'!H677</f>
        <v>0</v>
      </c>
      <c r="I735" s="52">
        <f>'Secondary cum Calculation'!I677</f>
        <v>0</v>
      </c>
      <c r="J735" s="52" t="str">
        <f>'Secondary cum Calculation'!J677</f>
        <v>%</v>
      </c>
      <c r="K735" s="49">
        <f>'Secondary cum Calculation'!K677</f>
        <v>0</v>
      </c>
      <c r="L735" s="53"/>
      <c r="M735" s="54" t="e">
        <f>'Secondary cum Calculation'!M677</f>
        <v>#DIV/0!</v>
      </c>
      <c r="N735" s="54" t="e">
        <f>'Secondary cum Calculation'!N677</f>
        <v>#DIV/0!</v>
      </c>
      <c r="O735" s="54" t="e">
        <f>'Secondary cum Calculation'!O677</f>
        <v>#DIV/0!</v>
      </c>
      <c r="P735" s="54" t="e">
        <f>'Secondary cum Calculation'!P677</f>
        <v>#DIV/0!</v>
      </c>
      <c r="Q735" s="54"/>
      <c r="R735" s="54"/>
      <c r="S735" s="54"/>
      <c r="T735" s="54"/>
      <c r="U735" s="54"/>
      <c r="V735" s="54"/>
      <c r="W735" s="258"/>
      <c r="X735" s="258"/>
    </row>
    <row r="736" spans="1:26">
      <c r="A736" s="46" t="str">
        <f>'Secondary cum Calculation'!A678</f>
        <v>Poland</v>
      </c>
      <c r="B736" s="47" t="str">
        <f>'Secondary cum Calculation'!B678</f>
        <v>Tourism Flows</v>
      </c>
      <c r="C736" s="47" t="str">
        <f>'Secondary cum Calculation'!C678</f>
        <v>International Departures by Destination</v>
      </c>
      <c r="D736" s="47" t="str">
        <f>'Secondary cum Calculation'!D678</f>
        <v>Africa</v>
      </c>
      <c r="E736" s="46" t="str">
        <f>'Secondary cum Calculation'!E678</f>
        <v>Mozambique</v>
      </c>
      <c r="F736" s="48" t="str">
        <f>'Secondary cum Calculation'!F678</f>
        <v>The number of international departures from a country to Mozambique</v>
      </c>
      <c r="G736" s="48" t="str">
        <f>'Secondary cum Calculation'!G678</f>
        <v>Tourism Demand &amp; Flows Database</v>
      </c>
      <c r="H736" s="48" t="str">
        <f>'Secondary cum Calculation'!H678</f>
        <v>New</v>
      </c>
      <c r="I736" s="48">
        <f>'Secondary cum Calculation'!I678</f>
        <v>0</v>
      </c>
      <c r="J736" s="48" t="str">
        <f>'Secondary cum Calculation'!J678</f>
        <v>Thousand</v>
      </c>
      <c r="K736" s="49">
        <f>'Secondary cum Calculation'!K678</f>
        <v>0</v>
      </c>
      <c r="L736" s="92">
        <f>'Secondary cum Calculation'!L678</f>
        <v>0</v>
      </c>
      <c r="M736" s="92">
        <f>'Secondary cum Calculation'!M678</f>
        <v>0</v>
      </c>
      <c r="N736" s="92">
        <f>'Secondary cum Calculation'!N678</f>
        <v>0</v>
      </c>
      <c r="O736" s="89">
        <f>'Secondary cum Calculation'!O678</f>
        <v>0</v>
      </c>
      <c r="P736" s="89">
        <f>'Secondary cum Calculation'!P678</f>
        <v>0</v>
      </c>
      <c r="Q736" s="89"/>
      <c r="R736" s="89"/>
      <c r="S736" s="89"/>
      <c r="T736" s="89"/>
      <c r="U736" s="89"/>
      <c r="V736" s="89"/>
      <c r="W736" s="102" t="e">
        <f>'Secondary cum Calculation'!W678</f>
        <v>#DIV/0!</v>
      </c>
      <c r="X736" s="102" t="e">
        <f>'Secondary cum Calculation'!X678</f>
        <v>#DIV/0!</v>
      </c>
      <c r="Z736" s="11"/>
    </row>
    <row r="737" spans="1:26">
      <c r="A737" s="48"/>
      <c r="B737" s="48"/>
      <c r="C737" s="52" t="str">
        <f>'Secondary cum Calculation'!C679</f>
        <v>Growth Rate</v>
      </c>
      <c r="D737" s="52"/>
      <c r="E737" s="52"/>
      <c r="F737" s="52">
        <f>'Secondary cum Calculation'!F679</f>
        <v>0</v>
      </c>
      <c r="G737" s="52">
        <f>'Secondary cum Calculation'!G679</f>
        <v>0</v>
      </c>
      <c r="H737" s="52">
        <f>'Secondary cum Calculation'!H679</f>
        <v>0</v>
      </c>
      <c r="I737" s="52">
        <f>'Secondary cum Calculation'!I679</f>
        <v>0</v>
      </c>
      <c r="J737" s="52" t="str">
        <f>'Secondary cum Calculation'!J679</f>
        <v>%</v>
      </c>
      <c r="K737" s="49">
        <f>'Secondary cum Calculation'!K679</f>
        <v>0</v>
      </c>
      <c r="L737" s="53"/>
      <c r="M737" s="54" t="e">
        <f>'Secondary cum Calculation'!M679</f>
        <v>#DIV/0!</v>
      </c>
      <c r="N737" s="54" t="e">
        <f>'Secondary cum Calculation'!N679</f>
        <v>#DIV/0!</v>
      </c>
      <c r="O737" s="54" t="e">
        <f>'Secondary cum Calculation'!O679</f>
        <v>#DIV/0!</v>
      </c>
      <c r="P737" s="54" t="e">
        <f>'Secondary cum Calculation'!P679</f>
        <v>#DIV/0!</v>
      </c>
      <c r="Q737" s="54"/>
      <c r="R737" s="54"/>
      <c r="S737" s="54"/>
      <c r="T737" s="54"/>
      <c r="U737" s="54"/>
      <c r="V737" s="54"/>
      <c r="W737" s="258"/>
      <c r="X737" s="258"/>
    </row>
    <row r="738" spans="1:26">
      <c r="A738" s="46" t="str">
        <f>'Secondary cum Calculation'!A680</f>
        <v>Poland</v>
      </c>
      <c r="B738" s="47" t="str">
        <f>'Secondary cum Calculation'!B680</f>
        <v>Tourism Flows</v>
      </c>
      <c r="C738" s="47" t="str">
        <f>'Secondary cum Calculation'!C680</f>
        <v>International Departures by Destination</v>
      </c>
      <c r="D738" s="47" t="str">
        <f>'Secondary cum Calculation'!D680</f>
        <v>Africa</v>
      </c>
      <c r="E738" s="46" t="str">
        <f>'Secondary cum Calculation'!E680</f>
        <v>Namibia</v>
      </c>
      <c r="F738" s="48" t="str">
        <f>'Secondary cum Calculation'!F680</f>
        <v>The number of international departures from a country to Namibia</v>
      </c>
      <c r="G738" s="48" t="str">
        <f>'Secondary cum Calculation'!G680</f>
        <v>Tourism Demand &amp; Flows Database</v>
      </c>
      <c r="H738" s="48" t="str">
        <f>'Secondary cum Calculation'!H680</f>
        <v>New</v>
      </c>
      <c r="I738" s="48">
        <f>'Secondary cum Calculation'!I680</f>
        <v>0</v>
      </c>
      <c r="J738" s="48" t="str">
        <f>'Secondary cum Calculation'!J680</f>
        <v>Thousand</v>
      </c>
      <c r="K738" s="49">
        <f>'Secondary cum Calculation'!K680</f>
        <v>0</v>
      </c>
      <c r="L738" s="92">
        <f>'Secondary cum Calculation'!L680</f>
        <v>0</v>
      </c>
      <c r="M738" s="92">
        <f>'Secondary cum Calculation'!M680</f>
        <v>0</v>
      </c>
      <c r="N738" s="92">
        <f>'Secondary cum Calculation'!N680</f>
        <v>0</v>
      </c>
      <c r="O738" s="53">
        <f>'Secondary cum Calculation'!O680</f>
        <v>0</v>
      </c>
      <c r="P738" s="53">
        <f>'Secondary cum Calculation'!P680</f>
        <v>0</v>
      </c>
      <c r="Q738" s="53"/>
      <c r="R738" s="53"/>
      <c r="S738" s="53"/>
      <c r="T738" s="53"/>
      <c r="U738" s="53"/>
      <c r="V738" s="53"/>
      <c r="W738" s="102" t="e">
        <f>'Secondary cum Calculation'!W680</f>
        <v>#DIV/0!</v>
      </c>
      <c r="X738" s="102" t="e">
        <f>'Secondary cum Calculation'!X680</f>
        <v>#DIV/0!</v>
      </c>
      <c r="Z738" s="11"/>
    </row>
    <row r="739" spans="1:26">
      <c r="A739" s="48"/>
      <c r="B739" s="48"/>
      <c r="C739" s="52" t="str">
        <f>'Secondary cum Calculation'!C681</f>
        <v>Growth Rate</v>
      </c>
      <c r="D739" s="52"/>
      <c r="E739" s="52"/>
      <c r="F739" s="52">
        <f>'Secondary cum Calculation'!F681</f>
        <v>0</v>
      </c>
      <c r="G739" s="52">
        <f>'Secondary cum Calculation'!G681</f>
        <v>0</v>
      </c>
      <c r="H739" s="52">
        <f>'Secondary cum Calculation'!H681</f>
        <v>0</v>
      </c>
      <c r="I739" s="52">
        <f>'Secondary cum Calculation'!I681</f>
        <v>0</v>
      </c>
      <c r="J739" s="52" t="str">
        <f>'Secondary cum Calculation'!J681</f>
        <v>%</v>
      </c>
      <c r="K739" s="49">
        <f>'Secondary cum Calculation'!K681</f>
        <v>0</v>
      </c>
      <c r="L739" s="53"/>
      <c r="M739" s="54" t="e">
        <f>'Secondary cum Calculation'!M681</f>
        <v>#DIV/0!</v>
      </c>
      <c r="N739" s="54" t="e">
        <f>'Secondary cum Calculation'!N681</f>
        <v>#DIV/0!</v>
      </c>
      <c r="O739" s="54" t="e">
        <f>'Secondary cum Calculation'!O681</f>
        <v>#DIV/0!</v>
      </c>
      <c r="P739" s="54" t="e">
        <f>'Secondary cum Calculation'!P681</f>
        <v>#DIV/0!</v>
      </c>
      <c r="Q739" s="54"/>
      <c r="R739" s="54"/>
      <c r="S739" s="54"/>
      <c r="T739" s="54"/>
      <c r="U739" s="54"/>
      <c r="V739" s="54"/>
      <c r="W739" s="258"/>
      <c r="X739" s="258"/>
    </row>
    <row r="740" spans="1:26">
      <c r="A740" s="46" t="str">
        <f>'Secondary cum Calculation'!A682</f>
        <v>Poland</v>
      </c>
      <c r="B740" s="47" t="str">
        <f>'Secondary cum Calculation'!B682</f>
        <v>Tourism Flows</v>
      </c>
      <c r="C740" s="47" t="str">
        <f>'Secondary cum Calculation'!C682</f>
        <v>International Departures by Destination</v>
      </c>
      <c r="D740" s="47" t="str">
        <f>'Secondary cum Calculation'!D682</f>
        <v>Africa</v>
      </c>
      <c r="E740" s="46" t="str">
        <f>'Secondary cum Calculation'!E682</f>
        <v>Niger</v>
      </c>
      <c r="F740" s="48" t="str">
        <f>'Secondary cum Calculation'!F682</f>
        <v>The number of international departures from a country to Niger</v>
      </c>
      <c r="G740" s="48" t="str">
        <f>'Secondary cum Calculation'!G682</f>
        <v>Tourism Demand &amp; Flows Database</v>
      </c>
      <c r="H740" s="48" t="str">
        <f>'Secondary cum Calculation'!H682</f>
        <v>New</v>
      </c>
      <c r="I740" s="48">
        <f>'Secondary cum Calculation'!I682</f>
        <v>0</v>
      </c>
      <c r="J740" s="48" t="str">
        <f>'Secondary cum Calculation'!J682</f>
        <v>Thousand</v>
      </c>
      <c r="K740" s="49">
        <f>'Secondary cum Calculation'!K682</f>
        <v>0</v>
      </c>
      <c r="L740" s="92">
        <f>'Secondary cum Calculation'!L682</f>
        <v>0</v>
      </c>
      <c r="M740" s="92">
        <f>'Secondary cum Calculation'!M682</f>
        <v>0</v>
      </c>
      <c r="N740" s="92">
        <f>'Secondary cum Calculation'!N682</f>
        <v>0</v>
      </c>
      <c r="O740" s="53">
        <f>'Secondary cum Calculation'!O682</f>
        <v>0</v>
      </c>
      <c r="P740" s="53">
        <f>'Secondary cum Calculation'!P682</f>
        <v>0</v>
      </c>
      <c r="Q740" s="53"/>
      <c r="R740" s="53"/>
      <c r="S740" s="53"/>
      <c r="T740" s="53"/>
      <c r="U740" s="53"/>
      <c r="V740" s="53"/>
      <c r="W740" s="102" t="e">
        <f>'Secondary cum Calculation'!W682</f>
        <v>#DIV/0!</v>
      </c>
      <c r="X740" s="102" t="e">
        <f>'Secondary cum Calculation'!X682</f>
        <v>#DIV/0!</v>
      </c>
      <c r="Z740" s="11"/>
    </row>
    <row r="741" spans="1:26">
      <c r="A741" s="48"/>
      <c r="B741" s="48"/>
      <c r="C741" s="52" t="str">
        <f>'Secondary cum Calculation'!C683</f>
        <v>Growth Rate</v>
      </c>
      <c r="D741" s="52"/>
      <c r="E741" s="52"/>
      <c r="F741" s="52">
        <f>'Secondary cum Calculation'!F683</f>
        <v>0</v>
      </c>
      <c r="G741" s="52">
        <f>'Secondary cum Calculation'!G683</f>
        <v>0</v>
      </c>
      <c r="H741" s="52">
        <f>'Secondary cum Calculation'!H683</f>
        <v>0</v>
      </c>
      <c r="I741" s="52">
        <f>'Secondary cum Calculation'!I683</f>
        <v>0</v>
      </c>
      <c r="J741" s="52" t="str">
        <f>'Secondary cum Calculation'!J683</f>
        <v>%</v>
      </c>
      <c r="K741" s="49">
        <f>'Secondary cum Calculation'!K683</f>
        <v>0</v>
      </c>
      <c r="L741" s="53"/>
      <c r="M741" s="54" t="e">
        <f>'Secondary cum Calculation'!M683</f>
        <v>#DIV/0!</v>
      </c>
      <c r="N741" s="54" t="e">
        <f>'Secondary cum Calculation'!N683</f>
        <v>#DIV/0!</v>
      </c>
      <c r="O741" s="54" t="e">
        <f>'Secondary cum Calculation'!O683</f>
        <v>#DIV/0!</v>
      </c>
      <c r="P741" s="54" t="e">
        <f>'Secondary cum Calculation'!P683</f>
        <v>#DIV/0!</v>
      </c>
      <c r="Q741" s="54"/>
      <c r="R741" s="54"/>
      <c r="S741" s="54"/>
      <c r="T741" s="54"/>
      <c r="U741" s="54"/>
      <c r="V741" s="54"/>
      <c r="W741" s="258"/>
      <c r="X741" s="258"/>
    </row>
    <row r="742" spans="1:26">
      <c r="A742" s="46" t="str">
        <f>'Secondary cum Calculation'!A684</f>
        <v>Poland</v>
      </c>
      <c r="B742" s="47" t="str">
        <f>'Secondary cum Calculation'!B684</f>
        <v>Tourism Flows</v>
      </c>
      <c r="C742" s="47" t="str">
        <f>'Secondary cum Calculation'!C684</f>
        <v>International Departures by Destination</v>
      </c>
      <c r="D742" s="47" t="str">
        <f>'Secondary cum Calculation'!D684</f>
        <v>Africa</v>
      </c>
      <c r="E742" s="46" t="str">
        <f>'Secondary cum Calculation'!E684</f>
        <v>Nigeria</v>
      </c>
      <c r="F742" s="48" t="str">
        <f>'Secondary cum Calculation'!F684</f>
        <v>The number of international departures from a country to Nigeria</v>
      </c>
      <c r="G742" s="48" t="str">
        <f>'Secondary cum Calculation'!G684</f>
        <v>Tourism Demand &amp; Flows Database</v>
      </c>
      <c r="H742" s="48" t="str">
        <f>'Secondary cum Calculation'!H684</f>
        <v>New</v>
      </c>
      <c r="I742" s="48">
        <f>'Secondary cum Calculation'!I684</f>
        <v>0</v>
      </c>
      <c r="J742" s="48" t="str">
        <f>'Secondary cum Calculation'!J684</f>
        <v>Thousand</v>
      </c>
      <c r="K742" s="49">
        <f>'Secondary cum Calculation'!K684</f>
        <v>0</v>
      </c>
      <c r="L742" s="92">
        <f>'Secondary cum Calculation'!L684</f>
        <v>0</v>
      </c>
      <c r="M742" s="92">
        <f>'Secondary cum Calculation'!M684</f>
        <v>0</v>
      </c>
      <c r="N742" s="92">
        <f>'Secondary cum Calculation'!N684</f>
        <v>0</v>
      </c>
      <c r="O742" s="53">
        <f>'Secondary cum Calculation'!O684</f>
        <v>0</v>
      </c>
      <c r="P742" s="53">
        <f>'Secondary cum Calculation'!P684</f>
        <v>0</v>
      </c>
      <c r="Q742" s="53"/>
      <c r="R742" s="53"/>
      <c r="S742" s="53"/>
      <c r="T742" s="53"/>
      <c r="U742" s="53"/>
      <c r="V742" s="53"/>
      <c r="W742" s="102" t="e">
        <f>'Secondary cum Calculation'!W684</f>
        <v>#DIV/0!</v>
      </c>
      <c r="X742" s="102" t="e">
        <f>'Secondary cum Calculation'!X684</f>
        <v>#DIV/0!</v>
      </c>
      <c r="Z742" s="11"/>
    </row>
    <row r="743" spans="1:26">
      <c r="A743" s="48"/>
      <c r="B743" s="48"/>
      <c r="C743" s="52" t="str">
        <f>'Secondary cum Calculation'!C685</f>
        <v>Growth Rate</v>
      </c>
      <c r="D743" s="52"/>
      <c r="E743" s="52"/>
      <c r="F743" s="52">
        <f>'Secondary cum Calculation'!F685</f>
        <v>0</v>
      </c>
      <c r="G743" s="52">
        <f>'Secondary cum Calculation'!G685</f>
        <v>0</v>
      </c>
      <c r="H743" s="52">
        <f>'Secondary cum Calculation'!H685</f>
        <v>0</v>
      </c>
      <c r="I743" s="52">
        <f>'Secondary cum Calculation'!I685</f>
        <v>0</v>
      </c>
      <c r="J743" s="52" t="str">
        <f>'Secondary cum Calculation'!J685</f>
        <v>%</v>
      </c>
      <c r="K743" s="49">
        <f>'Secondary cum Calculation'!K685</f>
        <v>0</v>
      </c>
      <c r="L743" s="53"/>
      <c r="M743" s="54" t="e">
        <f>'Secondary cum Calculation'!M685</f>
        <v>#DIV/0!</v>
      </c>
      <c r="N743" s="54" t="e">
        <f>'Secondary cum Calculation'!N685</f>
        <v>#DIV/0!</v>
      </c>
      <c r="O743" s="54" t="e">
        <f>'Secondary cum Calculation'!O685</f>
        <v>#DIV/0!</v>
      </c>
      <c r="P743" s="54" t="e">
        <f>'Secondary cum Calculation'!P685</f>
        <v>#DIV/0!</v>
      </c>
      <c r="Q743" s="54"/>
      <c r="R743" s="54"/>
      <c r="S743" s="54"/>
      <c r="T743" s="54"/>
      <c r="U743" s="54"/>
      <c r="V743" s="54"/>
      <c r="W743" s="258"/>
      <c r="X743" s="258"/>
    </row>
    <row r="744" spans="1:26">
      <c r="A744" s="46" t="str">
        <f>'Secondary cum Calculation'!A686</f>
        <v>Poland</v>
      </c>
      <c r="B744" s="47" t="str">
        <f>'Secondary cum Calculation'!B686</f>
        <v>Tourism Flows</v>
      </c>
      <c r="C744" s="47" t="str">
        <f>'Secondary cum Calculation'!C686</f>
        <v>International Departures by Destination</v>
      </c>
      <c r="D744" s="47" t="str">
        <f>'Secondary cum Calculation'!D686</f>
        <v>Africa</v>
      </c>
      <c r="E744" s="46" t="str">
        <f>'Secondary cum Calculation'!E686</f>
        <v>Réunion</v>
      </c>
      <c r="F744" s="48" t="str">
        <f>'Secondary cum Calculation'!F686</f>
        <v>The number of international departures from a country to Réunion</v>
      </c>
      <c r="G744" s="48" t="str">
        <f>'Secondary cum Calculation'!G686</f>
        <v>Tourism Demand &amp; Flows Database</v>
      </c>
      <c r="H744" s="48" t="str">
        <f>'Secondary cum Calculation'!H686</f>
        <v>New</v>
      </c>
      <c r="I744" s="48">
        <f>'Secondary cum Calculation'!I686</f>
        <v>0</v>
      </c>
      <c r="J744" s="48" t="str">
        <f>'Secondary cum Calculation'!J686</f>
        <v>Thousand</v>
      </c>
      <c r="K744" s="49">
        <f>'Secondary cum Calculation'!K686</f>
        <v>0</v>
      </c>
      <c r="L744" s="92">
        <f>'Secondary cum Calculation'!L686</f>
        <v>0</v>
      </c>
      <c r="M744" s="92">
        <f>'Secondary cum Calculation'!M686</f>
        <v>0</v>
      </c>
      <c r="N744" s="92">
        <f>'Secondary cum Calculation'!N686</f>
        <v>0</v>
      </c>
      <c r="O744" s="53">
        <f>'Secondary cum Calculation'!O686</f>
        <v>0</v>
      </c>
      <c r="P744" s="53">
        <f>'Secondary cum Calculation'!P686</f>
        <v>0</v>
      </c>
      <c r="Q744" s="53"/>
      <c r="R744" s="53"/>
      <c r="S744" s="53"/>
      <c r="T744" s="53"/>
      <c r="U744" s="53"/>
      <c r="V744" s="53"/>
      <c r="W744" s="102" t="e">
        <f>'Secondary cum Calculation'!W686</f>
        <v>#DIV/0!</v>
      </c>
      <c r="X744" s="102" t="e">
        <f>'Secondary cum Calculation'!X686</f>
        <v>#DIV/0!</v>
      </c>
      <c r="Z744" s="11"/>
    </row>
    <row r="745" spans="1:26">
      <c r="A745" s="48"/>
      <c r="B745" s="48"/>
      <c r="C745" s="52" t="str">
        <f>'Secondary cum Calculation'!C687</f>
        <v>Growth Rate</v>
      </c>
      <c r="D745" s="52"/>
      <c r="E745" s="52"/>
      <c r="F745" s="52">
        <f>'Secondary cum Calculation'!F687</f>
        <v>0</v>
      </c>
      <c r="G745" s="52">
        <f>'Secondary cum Calculation'!G687</f>
        <v>0</v>
      </c>
      <c r="H745" s="52">
        <f>'Secondary cum Calculation'!H687</f>
        <v>0</v>
      </c>
      <c r="I745" s="52">
        <f>'Secondary cum Calculation'!I687</f>
        <v>0</v>
      </c>
      <c r="J745" s="52" t="str">
        <f>'Secondary cum Calculation'!J687</f>
        <v>%</v>
      </c>
      <c r="K745" s="49">
        <f>'Secondary cum Calculation'!K687</f>
        <v>0</v>
      </c>
      <c r="L745" s="53"/>
      <c r="M745" s="54" t="e">
        <f>'Secondary cum Calculation'!M687</f>
        <v>#DIV/0!</v>
      </c>
      <c r="N745" s="54" t="e">
        <f>'Secondary cum Calculation'!N687</f>
        <v>#DIV/0!</v>
      </c>
      <c r="O745" s="54" t="e">
        <f>'Secondary cum Calculation'!O687</f>
        <v>#DIV/0!</v>
      </c>
      <c r="P745" s="54" t="e">
        <f>'Secondary cum Calculation'!P687</f>
        <v>#DIV/0!</v>
      </c>
      <c r="Q745" s="54"/>
      <c r="R745" s="54"/>
      <c r="S745" s="54"/>
      <c r="T745" s="54"/>
      <c r="U745" s="54"/>
      <c r="V745" s="54"/>
      <c r="W745" s="258"/>
      <c r="X745" s="258"/>
    </row>
    <row r="746" spans="1:26">
      <c r="A746" s="46" t="str">
        <f>'Secondary cum Calculation'!A688</f>
        <v>Poland</v>
      </c>
      <c r="B746" s="47" t="str">
        <f>'Secondary cum Calculation'!B688</f>
        <v>Tourism Flows</v>
      </c>
      <c r="C746" s="47" t="str">
        <f>'Secondary cum Calculation'!C688</f>
        <v>International Departures by Destination</v>
      </c>
      <c r="D746" s="47" t="str">
        <f>'Secondary cum Calculation'!D688</f>
        <v>Africa</v>
      </c>
      <c r="E746" s="46" t="str">
        <f>'Secondary cum Calculation'!E688</f>
        <v>Rwanda</v>
      </c>
      <c r="F746" s="48" t="str">
        <f>'Secondary cum Calculation'!F688</f>
        <v>The number of international departures from a country to Rwanda</v>
      </c>
      <c r="G746" s="48" t="str">
        <f>'Secondary cum Calculation'!G688</f>
        <v>Tourism Demand &amp; Flows Database</v>
      </c>
      <c r="H746" s="48" t="str">
        <f>'Secondary cum Calculation'!H688</f>
        <v>New</v>
      </c>
      <c r="I746" s="48">
        <f>'Secondary cum Calculation'!I688</f>
        <v>0</v>
      </c>
      <c r="J746" s="48" t="str">
        <f>'Secondary cum Calculation'!J688</f>
        <v>Thousand</v>
      </c>
      <c r="K746" s="49">
        <f>'Secondary cum Calculation'!K688</f>
        <v>0</v>
      </c>
      <c r="L746" s="92">
        <f>'Secondary cum Calculation'!L688</f>
        <v>0</v>
      </c>
      <c r="M746" s="92">
        <f>'Secondary cum Calculation'!M688</f>
        <v>0</v>
      </c>
      <c r="N746" s="92">
        <f>'Secondary cum Calculation'!N688</f>
        <v>0</v>
      </c>
      <c r="O746" s="53">
        <f>'Secondary cum Calculation'!O688</f>
        <v>0</v>
      </c>
      <c r="P746" s="53">
        <f>'Secondary cum Calculation'!P688</f>
        <v>0</v>
      </c>
      <c r="Q746" s="53"/>
      <c r="R746" s="53"/>
      <c r="S746" s="53"/>
      <c r="T746" s="53"/>
      <c r="U746" s="53"/>
      <c r="V746" s="53"/>
      <c r="W746" s="102" t="e">
        <f>'Secondary cum Calculation'!W688</f>
        <v>#DIV/0!</v>
      </c>
      <c r="X746" s="102" t="e">
        <f>'Secondary cum Calculation'!X688</f>
        <v>#DIV/0!</v>
      </c>
      <c r="Z746" s="11"/>
    </row>
    <row r="747" spans="1:26">
      <c r="A747" s="48"/>
      <c r="B747" s="48"/>
      <c r="C747" s="52" t="str">
        <f>'Secondary cum Calculation'!C689</f>
        <v>Growth Rate</v>
      </c>
      <c r="D747" s="52"/>
      <c r="E747" s="52"/>
      <c r="F747" s="52">
        <f>'Secondary cum Calculation'!F689</f>
        <v>0</v>
      </c>
      <c r="G747" s="52">
        <f>'Secondary cum Calculation'!G689</f>
        <v>0</v>
      </c>
      <c r="H747" s="52">
        <f>'Secondary cum Calculation'!H689</f>
        <v>0</v>
      </c>
      <c r="I747" s="52">
        <f>'Secondary cum Calculation'!I689</f>
        <v>0</v>
      </c>
      <c r="J747" s="52" t="str">
        <f>'Secondary cum Calculation'!J689</f>
        <v>%</v>
      </c>
      <c r="K747" s="49">
        <f>'Secondary cum Calculation'!K689</f>
        <v>0</v>
      </c>
      <c r="L747" s="53"/>
      <c r="M747" s="54" t="e">
        <f>'Secondary cum Calculation'!M689</f>
        <v>#DIV/0!</v>
      </c>
      <c r="N747" s="54" t="e">
        <f>'Secondary cum Calculation'!N689</f>
        <v>#DIV/0!</v>
      </c>
      <c r="O747" s="54" t="e">
        <f>'Secondary cum Calculation'!O689</f>
        <v>#DIV/0!</v>
      </c>
      <c r="P747" s="54" t="e">
        <f>'Secondary cum Calculation'!P689</f>
        <v>#DIV/0!</v>
      </c>
      <c r="Q747" s="54"/>
      <c r="R747" s="54"/>
      <c r="S747" s="54"/>
      <c r="T747" s="54"/>
      <c r="U747" s="54"/>
      <c r="V747" s="54"/>
      <c r="W747" s="258"/>
      <c r="X747" s="258"/>
    </row>
    <row r="748" spans="1:26">
      <c r="A748" s="46" t="str">
        <f>'Secondary cum Calculation'!A690</f>
        <v>Poland</v>
      </c>
      <c r="B748" s="47" t="str">
        <f>'Secondary cum Calculation'!B690</f>
        <v>Tourism Flows</v>
      </c>
      <c r="C748" s="47" t="str">
        <f>'Secondary cum Calculation'!C690</f>
        <v>International Departures by Destination</v>
      </c>
      <c r="D748" s="47" t="str">
        <f>'Secondary cum Calculation'!D690</f>
        <v>Africa</v>
      </c>
      <c r="E748" s="46" t="str">
        <f>'Secondary cum Calculation'!E690</f>
        <v>Senegal</v>
      </c>
      <c r="F748" s="48" t="str">
        <f>'Secondary cum Calculation'!F690</f>
        <v>The number of international departures from a country to Senegal</v>
      </c>
      <c r="G748" s="48" t="str">
        <f>'Secondary cum Calculation'!G690</f>
        <v>Tourism Demand &amp; Flows Database</v>
      </c>
      <c r="H748" s="48" t="str">
        <f>'Secondary cum Calculation'!H690</f>
        <v>New</v>
      </c>
      <c r="I748" s="48">
        <f>'Secondary cum Calculation'!I690</f>
        <v>0</v>
      </c>
      <c r="J748" s="48" t="str">
        <f>'Secondary cum Calculation'!J690</f>
        <v>Thousand</v>
      </c>
      <c r="K748" s="49">
        <f>'Secondary cum Calculation'!K690</f>
        <v>0</v>
      </c>
      <c r="L748" s="92">
        <f>'Secondary cum Calculation'!L690</f>
        <v>0</v>
      </c>
      <c r="M748" s="92">
        <f>'Secondary cum Calculation'!M690</f>
        <v>0</v>
      </c>
      <c r="N748" s="92">
        <f>'Secondary cum Calculation'!N690</f>
        <v>0</v>
      </c>
      <c r="O748" s="53">
        <f>'Secondary cum Calculation'!O690</f>
        <v>0</v>
      </c>
      <c r="P748" s="53">
        <f>'Secondary cum Calculation'!P690</f>
        <v>0</v>
      </c>
      <c r="Q748" s="53"/>
      <c r="R748" s="53"/>
      <c r="S748" s="53"/>
      <c r="T748" s="53"/>
      <c r="U748" s="53"/>
      <c r="V748" s="53"/>
      <c r="W748" s="102" t="e">
        <f>'Secondary cum Calculation'!W690</f>
        <v>#DIV/0!</v>
      </c>
      <c r="X748" s="102" t="e">
        <f>'Secondary cum Calculation'!X690</f>
        <v>#DIV/0!</v>
      </c>
      <c r="Z748" s="11"/>
    </row>
    <row r="749" spans="1:26">
      <c r="A749" s="48"/>
      <c r="B749" s="48"/>
      <c r="C749" s="52" t="str">
        <f>'Secondary cum Calculation'!C691</f>
        <v>Growth Rate</v>
      </c>
      <c r="D749" s="52"/>
      <c r="E749" s="52"/>
      <c r="F749" s="52">
        <f>'Secondary cum Calculation'!F691</f>
        <v>0</v>
      </c>
      <c r="G749" s="52">
        <f>'Secondary cum Calculation'!G691</f>
        <v>0</v>
      </c>
      <c r="H749" s="52">
        <f>'Secondary cum Calculation'!H691</f>
        <v>0</v>
      </c>
      <c r="I749" s="52">
        <f>'Secondary cum Calculation'!I691</f>
        <v>0</v>
      </c>
      <c r="J749" s="52" t="str">
        <f>'Secondary cum Calculation'!J691</f>
        <v>%</v>
      </c>
      <c r="K749" s="49">
        <f>'Secondary cum Calculation'!K691</f>
        <v>0</v>
      </c>
      <c r="L749" s="53"/>
      <c r="M749" s="54" t="e">
        <f>'Secondary cum Calculation'!M691</f>
        <v>#DIV/0!</v>
      </c>
      <c r="N749" s="54" t="e">
        <f>'Secondary cum Calculation'!N691</f>
        <v>#DIV/0!</v>
      </c>
      <c r="O749" s="54" t="e">
        <f>'Secondary cum Calculation'!O691</f>
        <v>#DIV/0!</v>
      </c>
      <c r="P749" s="54" t="e">
        <f>'Secondary cum Calculation'!P691</f>
        <v>#DIV/0!</v>
      </c>
      <c r="Q749" s="54"/>
      <c r="R749" s="54"/>
      <c r="S749" s="54"/>
      <c r="T749" s="54"/>
      <c r="U749" s="54"/>
      <c r="V749" s="54"/>
      <c r="W749" s="258"/>
      <c r="X749" s="258"/>
    </row>
    <row r="750" spans="1:26">
      <c r="A750" s="46" t="str">
        <f>'Secondary cum Calculation'!A692</f>
        <v>Poland</v>
      </c>
      <c r="B750" s="47" t="str">
        <f>'Secondary cum Calculation'!B692</f>
        <v>Tourism Flows</v>
      </c>
      <c r="C750" s="47" t="str">
        <f>'Secondary cum Calculation'!C692</f>
        <v>International Departures by Destination</v>
      </c>
      <c r="D750" s="47" t="str">
        <f>'Secondary cum Calculation'!D692</f>
        <v>Africa</v>
      </c>
      <c r="E750" s="46" t="str">
        <f>'Secondary cum Calculation'!E692</f>
        <v>Sierra Leone</v>
      </c>
      <c r="F750" s="48" t="str">
        <f>'Secondary cum Calculation'!F692</f>
        <v>The number of international departures from a country to Sierra Leone</v>
      </c>
      <c r="G750" s="48" t="str">
        <f>'Secondary cum Calculation'!G692</f>
        <v>Tourism Demand &amp; Flows Database</v>
      </c>
      <c r="H750" s="48" t="str">
        <f>'Secondary cum Calculation'!H692</f>
        <v>New</v>
      </c>
      <c r="I750" s="48">
        <f>'Secondary cum Calculation'!I692</f>
        <v>0</v>
      </c>
      <c r="J750" s="48" t="str">
        <f>'Secondary cum Calculation'!J692</f>
        <v>Thousand</v>
      </c>
      <c r="K750" s="49">
        <f>'Secondary cum Calculation'!K692</f>
        <v>0</v>
      </c>
      <c r="L750" s="92">
        <f>'Secondary cum Calculation'!L692</f>
        <v>0</v>
      </c>
      <c r="M750" s="92">
        <f>'Secondary cum Calculation'!M692</f>
        <v>0</v>
      </c>
      <c r="N750" s="92">
        <f>'Secondary cum Calculation'!N692</f>
        <v>0</v>
      </c>
      <c r="O750" s="53">
        <f>'Secondary cum Calculation'!O692</f>
        <v>0</v>
      </c>
      <c r="P750" s="53">
        <f>'Secondary cum Calculation'!P692</f>
        <v>0</v>
      </c>
      <c r="Q750" s="53"/>
      <c r="R750" s="53"/>
      <c r="S750" s="53"/>
      <c r="T750" s="53"/>
      <c r="U750" s="53"/>
      <c r="V750" s="53"/>
      <c r="W750" s="102" t="e">
        <f>'Secondary cum Calculation'!W692</f>
        <v>#DIV/0!</v>
      </c>
      <c r="X750" s="102" t="e">
        <f>'Secondary cum Calculation'!X692</f>
        <v>#DIV/0!</v>
      </c>
      <c r="Z750" s="11"/>
    </row>
    <row r="751" spans="1:26">
      <c r="A751" s="48"/>
      <c r="B751" s="48"/>
      <c r="C751" s="52" t="str">
        <f>'Secondary cum Calculation'!C693</f>
        <v>Growth Rate</v>
      </c>
      <c r="D751" s="52"/>
      <c r="E751" s="52"/>
      <c r="F751" s="52">
        <f>'Secondary cum Calculation'!F693</f>
        <v>0</v>
      </c>
      <c r="G751" s="52">
        <f>'Secondary cum Calculation'!G693</f>
        <v>0</v>
      </c>
      <c r="H751" s="52">
        <f>'Secondary cum Calculation'!H693</f>
        <v>0</v>
      </c>
      <c r="I751" s="52">
        <f>'Secondary cum Calculation'!I693</f>
        <v>0</v>
      </c>
      <c r="J751" s="52" t="str">
        <f>'Secondary cum Calculation'!J693</f>
        <v>%</v>
      </c>
      <c r="K751" s="49">
        <f>'Secondary cum Calculation'!K693</f>
        <v>0</v>
      </c>
      <c r="L751" s="53"/>
      <c r="M751" s="54" t="e">
        <f>'Secondary cum Calculation'!M693</f>
        <v>#DIV/0!</v>
      </c>
      <c r="N751" s="54" t="e">
        <f>'Secondary cum Calculation'!N693</f>
        <v>#DIV/0!</v>
      </c>
      <c r="O751" s="54" t="e">
        <f>'Secondary cum Calculation'!O693</f>
        <v>#DIV/0!</v>
      </c>
      <c r="P751" s="54" t="e">
        <f>'Secondary cum Calculation'!P693</f>
        <v>#DIV/0!</v>
      </c>
      <c r="Q751" s="54"/>
      <c r="R751" s="54"/>
      <c r="S751" s="54"/>
      <c r="T751" s="54"/>
      <c r="U751" s="54"/>
      <c r="V751" s="54"/>
      <c r="W751" s="258"/>
      <c r="X751" s="258"/>
    </row>
    <row r="752" spans="1:26">
      <c r="A752" s="46" t="str">
        <f>'Secondary cum Calculation'!A694</f>
        <v>Poland</v>
      </c>
      <c r="B752" s="47" t="str">
        <f>'Secondary cum Calculation'!B694</f>
        <v>Tourism Flows</v>
      </c>
      <c r="C752" s="47" t="str">
        <f>'Secondary cum Calculation'!C694</f>
        <v>International Departures by Destination</v>
      </c>
      <c r="D752" s="47" t="str">
        <f>'Secondary cum Calculation'!D694</f>
        <v>Africa</v>
      </c>
      <c r="E752" s="46" t="str">
        <f>'Secondary cum Calculation'!E694</f>
        <v>Somalia</v>
      </c>
      <c r="F752" s="48" t="str">
        <f>'Secondary cum Calculation'!F694</f>
        <v>The number of international departures from a country to Somalia</v>
      </c>
      <c r="G752" s="48" t="str">
        <f>'Secondary cum Calculation'!G694</f>
        <v>Tourism Demand &amp; Flows Database</v>
      </c>
      <c r="H752" s="48" t="str">
        <f>'Secondary cum Calculation'!H694</f>
        <v>New</v>
      </c>
      <c r="I752" s="48">
        <f>'Secondary cum Calculation'!I694</f>
        <v>0</v>
      </c>
      <c r="J752" s="48" t="str">
        <f>'Secondary cum Calculation'!J694</f>
        <v>Thousand</v>
      </c>
      <c r="K752" s="49">
        <f>'Secondary cum Calculation'!K694</f>
        <v>0</v>
      </c>
      <c r="L752" s="92">
        <f>'Secondary cum Calculation'!L694</f>
        <v>0</v>
      </c>
      <c r="M752" s="92">
        <f>'Secondary cum Calculation'!M694</f>
        <v>0</v>
      </c>
      <c r="N752" s="92">
        <f>'Secondary cum Calculation'!N694</f>
        <v>0</v>
      </c>
      <c r="O752" s="53">
        <f>'Secondary cum Calculation'!O694</f>
        <v>0</v>
      </c>
      <c r="P752" s="53">
        <f>'Secondary cum Calculation'!P694</f>
        <v>0</v>
      </c>
      <c r="Q752" s="53"/>
      <c r="R752" s="53"/>
      <c r="S752" s="53"/>
      <c r="T752" s="53"/>
      <c r="U752" s="53"/>
      <c r="V752" s="53"/>
      <c r="W752" s="102" t="e">
        <f>'Secondary cum Calculation'!W694</f>
        <v>#DIV/0!</v>
      </c>
      <c r="X752" s="102" t="e">
        <f>'Secondary cum Calculation'!X694</f>
        <v>#DIV/0!</v>
      </c>
      <c r="Z752" s="11"/>
    </row>
    <row r="753" spans="1:26">
      <c r="A753" s="48"/>
      <c r="B753" s="48"/>
      <c r="C753" s="52" t="str">
        <f>'Secondary cum Calculation'!C695</f>
        <v>Growth Rate</v>
      </c>
      <c r="D753" s="52"/>
      <c r="E753" s="52"/>
      <c r="F753" s="52">
        <f>'Secondary cum Calculation'!F695</f>
        <v>0</v>
      </c>
      <c r="G753" s="52">
        <f>'Secondary cum Calculation'!G695</f>
        <v>0</v>
      </c>
      <c r="H753" s="52">
        <f>'Secondary cum Calculation'!H695</f>
        <v>0</v>
      </c>
      <c r="I753" s="52">
        <f>'Secondary cum Calculation'!I695</f>
        <v>0</v>
      </c>
      <c r="J753" s="52" t="str">
        <f>'Secondary cum Calculation'!J695</f>
        <v>%</v>
      </c>
      <c r="K753" s="49">
        <f>'Secondary cum Calculation'!K695</f>
        <v>0</v>
      </c>
      <c r="L753" s="53"/>
      <c r="M753" s="54" t="e">
        <f>'Secondary cum Calculation'!M695</f>
        <v>#DIV/0!</v>
      </c>
      <c r="N753" s="54" t="e">
        <f>'Secondary cum Calculation'!N695</f>
        <v>#DIV/0!</v>
      </c>
      <c r="O753" s="54" t="e">
        <f>'Secondary cum Calculation'!O695</f>
        <v>#DIV/0!</v>
      </c>
      <c r="P753" s="54" t="e">
        <f>'Secondary cum Calculation'!P695</f>
        <v>#DIV/0!</v>
      </c>
      <c r="Q753" s="54"/>
      <c r="R753" s="54"/>
      <c r="S753" s="54"/>
      <c r="T753" s="54"/>
      <c r="U753" s="54"/>
      <c r="V753" s="54"/>
      <c r="W753" s="258"/>
      <c r="X753" s="258"/>
    </row>
    <row r="754" spans="1:26">
      <c r="A754" s="46" t="str">
        <f>'Secondary cum Calculation'!A696</f>
        <v>Poland</v>
      </c>
      <c r="B754" s="47" t="str">
        <f>'Secondary cum Calculation'!B696</f>
        <v>Tourism Flows</v>
      </c>
      <c r="C754" s="47" t="str">
        <f>'Secondary cum Calculation'!C696</f>
        <v>International Departures by Destination</v>
      </c>
      <c r="D754" s="47" t="str">
        <f>'Secondary cum Calculation'!D696</f>
        <v>Africa</v>
      </c>
      <c r="E754" s="46" t="str">
        <f>'Secondary cum Calculation'!E696</f>
        <v>South Africa</v>
      </c>
      <c r="F754" s="48" t="str">
        <f>'Secondary cum Calculation'!F696</f>
        <v>The number of international departures from a country to South Africa</v>
      </c>
      <c r="G754" s="48" t="str">
        <f>'Secondary cum Calculation'!G696</f>
        <v>Tourism Demand &amp; Flows Database</v>
      </c>
      <c r="H754" s="48" t="str">
        <f>'Secondary cum Calculation'!H696</f>
        <v>New</v>
      </c>
      <c r="I754" s="48">
        <f>'Secondary cum Calculation'!I696</f>
        <v>0</v>
      </c>
      <c r="J754" s="48" t="str">
        <f>'Secondary cum Calculation'!J696</f>
        <v>Thousand</v>
      </c>
      <c r="K754" s="49" t="str">
        <f>'Secondary cum Calculation'!K696</f>
        <v>**</v>
      </c>
      <c r="L754" s="53">
        <f>'Secondary cum Calculation'!L696</f>
        <v>0</v>
      </c>
      <c r="M754" s="53">
        <f>'Secondary cum Calculation'!M696</f>
        <v>0</v>
      </c>
      <c r="N754" s="53">
        <f>'Secondary cum Calculation'!N696</f>
        <v>0</v>
      </c>
      <c r="O754" s="53">
        <f>'Secondary cum Calculation'!O696</f>
        <v>0</v>
      </c>
      <c r="P754" s="53">
        <f>'Secondary cum Calculation'!P696</f>
        <v>0</v>
      </c>
      <c r="Q754" s="53"/>
      <c r="R754" s="53"/>
      <c r="S754" s="53"/>
      <c r="T754" s="53"/>
      <c r="U754" s="53"/>
      <c r="V754" s="53"/>
      <c r="W754" s="102" t="e">
        <f>'Secondary cum Calculation'!W696</f>
        <v>#DIV/0!</v>
      </c>
      <c r="X754" s="102" t="e">
        <f>'Secondary cum Calculation'!X696</f>
        <v>#DIV/0!</v>
      </c>
      <c r="Z754" s="11"/>
    </row>
    <row r="755" spans="1:26">
      <c r="A755" s="48"/>
      <c r="B755" s="48"/>
      <c r="C755" s="52" t="str">
        <f>'Secondary cum Calculation'!C697</f>
        <v>Growth Rate</v>
      </c>
      <c r="D755" s="52"/>
      <c r="E755" s="52"/>
      <c r="F755" s="52">
        <f>'Secondary cum Calculation'!F697</f>
        <v>0</v>
      </c>
      <c r="G755" s="52">
        <f>'Secondary cum Calculation'!G697</f>
        <v>0</v>
      </c>
      <c r="H755" s="52">
        <f>'Secondary cum Calculation'!H697</f>
        <v>0</v>
      </c>
      <c r="I755" s="52">
        <f>'Secondary cum Calculation'!I697</f>
        <v>0</v>
      </c>
      <c r="J755" s="52" t="str">
        <f>'Secondary cum Calculation'!J697</f>
        <v>%</v>
      </c>
      <c r="K755" s="49">
        <f>'Secondary cum Calculation'!K697</f>
        <v>0</v>
      </c>
      <c r="L755" s="53"/>
      <c r="M755" s="54" t="e">
        <f>'Secondary cum Calculation'!M697</f>
        <v>#DIV/0!</v>
      </c>
      <c r="N755" s="54" t="e">
        <f>'Secondary cum Calculation'!N697</f>
        <v>#DIV/0!</v>
      </c>
      <c r="O755" s="54" t="e">
        <f>'Secondary cum Calculation'!O697</f>
        <v>#DIV/0!</v>
      </c>
      <c r="P755" s="54" t="e">
        <f>'Secondary cum Calculation'!P697</f>
        <v>#DIV/0!</v>
      </c>
      <c r="Q755" s="54"/>
      <c r="R755" s="54"/>
      <c r="S755" s="54"/>
      <c r="T755" s="54"/>
      <c r="U755" s="54"/>
      <c r="V755" s="54"/>
      <c r="W755" s="258"/>
      <c r="X755" s="258"/>
    </row>
    <row r="756" spans="1:26">
      <c r="A756" s="46" t="str">
        <f>'Secondary cum Calculation'!A698</f>
        <v>Poland</v>
      </c>
      <c r="B756" s="47" t="str">
        <f>'Secondary cum Calculation'!B698</f>
        <v>Tourism Flows</v>
      </c>
      <c r="C756" s="47" t="str">
        <f>'Secondary cum Calculation'!C698</f>
        <v>International Departures by Destination</v>
      </c>
      <c r="D756" s="47" t="str">
        <f>'Secondary cum Calculation'!D698</f>
        <v>Africa</v>
      </c>
      <c r="E756" s="46" t="str">
        <f>'Secondary cum Calculation'!E698</f>
        <v>Sudan</v>
      </c>
      <c r="F756" s="48" t="str">
        <f>'Secondary cum Calculation'!F698</f>
        <v>The number of international departures from a country to Sudan</v>
      </c>
      <c r="G756" s="48" t="str">
        <f>'Secondary cum Calculation'!G698</f>
        <v>Tourism Demand &amp; Flows Database</v>
      </c>
      <c r="H756" s="48" t="str">
        <f>'Secondary cum Calculation'!H698</f>
        <v>New</v>
      </c>
      <c r="I756" s="48">
        <f>'Secondary cum Calculation'!I698</f>
        <v>0</v>
      </c>
      <c r="J756" s="48" t="str">
        <f>'Secondary cum Calculation'!J698</f>
        <v>Thousand</v>
      </c>
      <c r="K756" s="49">
        <f>'Secondary cum Calculation'!K698</f>
        <v>0</v>
      </c>
      <c r="L756" s="92">
        <f>'Secondary cum Calculation'!L698</f>
        <v>0</v>
      </c>
      <c r="M756" s="92">
        <f>'Secondary cum Calculation'!M698</f>
        <v>0</v>
      </c>
      <c r="N756" s="92">
        <f>'Secondary cum Calculation'!N698</f>
        <v>0</v>
      </c>
      <c r="O756" s="53">
        <f>'Secondary cum Calculation'!O698</f>
        <v>0</v>
      </c>
      <c r="P756" s="53">
        <f>'Secondary cum Calculation'!P698</f>
        <v>0</v>
      </c>
      <c r="Q756" s="53"/>
      <c r="R756" s="53"/>
      <c r="S756" s="53"/>
      <c r="T756" s="53"/>
      <c r="U756" s="53"/>
      <c r="V756" s="53"/>
      <c r="W756" s="102" t="e">
        <f>'Secondary cum Calculation'!W698</f>
        <v>#DIV/0!</v>
      </c>
      <c r="X756" s="102" t="e">
        <f>'Secondary cum Calculation'!X698</f>
        <v>#DIV/0!</v>
      </c>
      <c r="Z756" s="11"/>
    </row>
    <row r="757" spans="1:26">
      <c r="A757" s="48"/>
      <c r="B757" s="48"/>
      <c r="C757" s="52" t="str">
        <f>'Secondary cum Calculation'!C699</f>
        <v>Growth Rate</v>
      </c>
      <c r="D757" s="52"/>
      <c r="E757" s="52"/>
      <c r="F757" s="52">
        <f>'Secondary cum Calculation'!F699</f>
        <v>0</v>
      </c>
      <c r="G757" s="52">
        <f>'Secondary cum Calculation'!G699</f>
        <v>0</v>
      </c>
      <c r="H757" s="52">
        <f>'Secondary cum Calculation'!H699</f>
        <v>0</v>
      </c>
      <c r="I757" s="52">
        <f>'Secondary cum Calculation'!I699</f>
        <v>0</v>
      </c>
      <c r="J757" s="52" t="str">
        <f>'Secondary cum Calculation'!J699</f>
        <v>%</v>
      </c>
      <c r="K757" s="49">
        <f>'Secondary cum Calculation'!K699</f>
        <v>0</v>
      </c>
      <c r="L757" s="53"/>
      <c r="M757" s="54" t="e">
        <f>'Secondary cum Calculation'!M699</f>
        <v>#DIV/0!</v>
      </c>
      <c r="N757" s="54" t="e">
        <f>'Secondary cum Calculation'!N699</f>
        <v>#DIV/0!</v>
      </c>
      <c r="O757" s="54" t="e">
        <f>'Secondary cum Calculation'!O699</f>
        <v>#DIV/0!</v>
      </c>
      <c r="P757" s="54" t="e">
        <f>'Secondary cum Calculation'!P699</f>
        <v>#DIV/0!</v>
      </c>
      <c r="Q757" s="54"/>
      <c r="R757" s="54"/>
      <c r="S757" s="54"/>
      <c r="T757" s="54"/>
      <c r="U757" s="54"/>
      <c r="V757" s="54"/>
      <c r="W757" s="258"/>
      <c r="X757" s="258"/>
    </row>
    <row r="758" spans="1:26">
      <c r="A758" s="46" t="str">
        <f>'Secondary cum Calculation'!A700</f>
        <v>Poland</v>
      </c>
      <c r="B758" s="47" t="str">
        <f>'Secondary cum Calculation'!B700</f>
        <v>Tourism Flows</v>
      </c>
      <c r="C758" s="47" t="str">
        <f>'Secondary cum Calculation'!C700</f>
        <v>International Departures by Destination</v>
      </c>
      <c r="D758" s="47" t="str">
        <f>'Secondary cum Calculation'!D700</f>
        <v>Africa</v>
      </c>
      <c r="E758" s="46" t="str">
        <f>'Secondary cum Calculation'!E700</f>
        <v>Swaziland</v>
      </c>
      <c r="F758" s="48" t="str">
        <f>'Secondary cum Calculation'!F700</f>
        <v>The number of international departures from a country to Swaziland</v>
      </c>
      <c r="G758" s="48" t="str">
        <f>'Secondary cum Calculation'!G700</f>
        <v>Tourism Demand &amp; Flows Database</v>
      </c>
      <c r="H758" s="48" t="str">
        <f>'Secondary cum Calculation'!H700</f>
        <v>New</v>
      </c>
      <c r="I758" s="48">
        <f>'Secondary cum Calculation'!I700</f>
        <v>0</v>
      </c>
      <c r="J758" s="48" t="str">
        <f>'Secondary cum Calculation'!J700</f>
        <v>Thousand</v>
      </c>
      <c r="K758" s="49">
        <f>'Secondary cum Calculation'!K700</f>
        <v>0</v>
      </c>
      <c r="L758" s="92">
        <f>'Secondary cum Calculation'!L700</f>
        <v>0</v>
      </c>
      <c r="M758" s="92">
        <f>'Secondary cum Calculation'!M700</f>
        <v>0</v>
      </c>
      <c r="N758" s="92">
        <f>'Secondary cum Calculation'!N700</f>
        <v>0</v>
      </c>
      <c r="O758" s="53">
        <f>'Secondary cum Calculation'!O700</f>
        <v>0</v>
      </c>
      <c r="P758" s="53">
        <f>'Secondary cum Calculation'!P700</f>
        <v>0</v>
      </c>
      <c r="Q758" s="53"/>
      <c r="R758" s="53"/>
      <c r="S758" s="53"/>
      <c r="T758" s="53"/>
      <c r="U758" s="53"/>
      <c r="V758" s="53"/>
      <c r="W758" s="102" t="e">
        <f>'Secondary cum Calculation'!W700</f>
        <v>#DIV/0!</v>
      </c>
      <c r="X758" s="102" t="e">
        <f>'Secondary cum Calculation'!X700</f>
        <v>#DIV/0!</v>
      </c>
      <c r="Z758" s="11"/>
    </row>
    <row r="759" spans="1:26">
      <c r="A759" s="48"/>
      <c r="B759" s="48"/>
      <c r="C759" s="52" t="str">
        <f>'Secondary cum Calculation'!C701</f>
        <v>Growth Rate</v>
      </c>
      <c r="D759" s="52"/>
      <c r="E759" s="52"/>
      <c r="F759" s="52">
        <f>'Secondary cum Calculation'!F701</f>
        <v>0</v>
      </c>
      <c r="G759" s="52">
        <f>'Secondary cum Calculation'!G701</f>
        <v>0</v>
      </c>
      <c r="H759" s="52">
        <f>'Secondary cum Calculation'!H701</f>
        <v>0</v>
      </c>
      <c r="I759" s="52">
        <f>'Secondary cum Calculation'!I701</f>
        <v>0</v>
      </c>
      <c r="J759" s="52" t="str">
        <f>'Secondary cum Calculation'!J701</f>
        <v>%</v>
      </c>
      <c r="K759" s="49">
        <f>'Secondary cum Calculation'!K701</f>
        <v>0</v>
      </c>
      <c r="L759" s="53"/>
      <c r="M759" s="54" t="e">
        <f>'Secondary cum Calculation'!M701</f>
        <v>#DIV/0!</v>
      </c>
      <c r="N759" s="54" t="e">
        <f>'Secondary cum Calculation'!N701</f>
        <v>#DIV/0!</v>
      </c>
      <c r="O759" s="54" t="e">
        <f>'Secondary cum Calculation'!O701</f>
        <v>#DIV/0!</v>
      </c>
      <c r="P759" s="54" t="e">
        <f>'Secondary cum Calculation'!P701</f>
        <v>#DIV/0!</v>
      </c>
      <c r="Q759" s="54"/>
      <c r="R759" s="54"/>
      <c r="S759" s="54"/>
      <c r="T759" s="54"/>
      <c r="U759" s="54"/>
      <c r="V759" s="54"/>
      <c r="W759" s="258"/>
      <c r="X759" s="258"/>
    </row>
    <row r="760" spans="1:26">
      <c r="A760" s="46" t="str">
        <f>'Secondary cum Calculation'!A702</f>
        <v>Poland</v>
      </c>
      <c r="B760" s="47" t="str">
        <f>'Secondary cum Calculation'!B702</f>
        <v>Tourism Flows</v>
      </c>
      <c r="C760" s="47" t="str">
        <f>'Secondary cum Calculation'!C702</f>
        <v>International Departures by Destination</v>
      </c>
      <c r="D760" s="47" t="str">
        <f>'Secondary cum Calculation'!D702</f>
        <v>Africa</v>
      </c>
      <c r="E760" s="46" t="str">
        <f>'Secondary cum Calculation'!E702</f>
        <v>Togo</v>
      </c>
      <c r="F760" s="48" t="str">
        <f>'Secondary cum Calculation'!F702</f>
        <v>The number of international departures from a country to Togo</v>
      </c>
      <c r="G760" s="48" t="str">
        <f>'Secondary cum Calculation'!G702</f>
        <v>Tourism Demand &amp; Flows Database</v>
      </c>
      <c r="H760" s="48" t="str">
        <f>'Secondary cum Calculation'!H702</f>
        <v>New</v>
      </c>
      <c r="I760" s="48">
        <f>'Secondary cum Calculation'!I702</f>
        <v>0</v>
      </c>
      <c r="J760" s="48" t="str">
        <f>'Secondary cum Calculation'!J702</f>
        <v>Thousand</v>
      </c>
      <c r="K760" s="49">
        <f>'Secondary cum Calculation'!K702</f>
        <v>0</v>
      </c>
      <c r="L760" s="92">
        <f>'Secondary cum Calculation'!L702</f>
        <v>0</v>
      </c>
      <c r="M760" s="92">
        <f>'Secondary cum Calculation'!M702</f>
        <v>0</v>
      </c>
      <c r="N760" s="92">
        <f>'Secondary cum Calculation'!N702</f>
        <v>0</v>
      </c>
      <c r="O760" s="53">
        <f>'Secondary cum Calculation'!O702</f>
        <v>0</v>
      </c>
      <c r="P760" s="53">
        <f>'Secondary cum Calculation'!P702</f>
        <v>0</v>
      </c>
      <c r="Q760" s="53"/>
      <c r="R760" s="53"/>
      <c r="S760" s="53"/>
      <c r="T760" s="53"/>
      <c r="U760" s="53"/>
      <c r="V760" s="53"/>
      <c r="W760" s="102" t="e">
        <f>'Secondary cum Calculation'!W702</f>
        <v>#DIV/0!</v>
      </c>
      <c r="X760" s="102" t="e">
        <f>'Secondary cum Calculation'!X702</f>
        <v>#DIV/0!</v>
      </c>
      <c r="Z760" s="11"/>
    </row>
    <row r="761" spans="1:26">
      <c r="A761" s="48"/>
      <c r="B761" s="48"/>
      <c r="C761" s="52" t="str">
        <f>'Secondary cum Calculation'!C703</f>
        <v>Growth Rate</v>
      </c>
      <c r="D761" s="52"/>
      <c r="E761" s="52"/>
      <c r="F761" s="52">
        <f>'Secondary cum Calculation'!F703</f>
        <v>0</v>
      </c>
      <c r="G761" s="52">
        <f>'Secondary cum Calculation'!G703</f>
        <v>0</v>
      </c>
      <c r="H761" s="52">
        <f>'Secondary cum Calculation'!H703</f>
        <v>0</v>
      </c>
      <c r="I761" s="52">
        <f>'Secondary cum Calculation'!I703</f>
        <v>0</v>
      </c>
      <c r="J761" s="52" t="str">
        <f>'Secondary cum Calculation'!J703</f>
        <v>%</v>
      </c>
      <c r="K761" s="49">
        <f>'Secondary cum Calculation'!K703</f>
        <v>0</v>
      </c>
      <c r="L761" s="53"/>
      <c r="M761" s="54" t="e">
        <f>'Secondary cum Calculation'!M703</f>
        <v>#DIV/0!</v>
      </c>
      <c r="N761" s="54" t="e">
        <f>'Secondary cum Calculation'!N703</f>
        <v>#DIV/0!</v>
      </c>
      <c r="O761" s="54" t="e">
        <f>'Secondary cum Calculation'!O703</f>
        <v>#DIV/0!</v>
      </c>
      <c r="P761" s="54" t="e">
        <f>'Secondary cum Calculation'!P703</f>
        <v>#DIV/0!</v>
      </c>
      <c r="Q761" s="54"/>
      <c r="R761" s="54"/>
      <c r="S761" s="54"/>
      <c r="T761" s="54"/>
      <c r="U761" s="54"/>
      <c r="V761" s="54"/>
      <c r="W761" s="258"/>
      <c r="X761" s="258"/>
    </row>
    <row r="762" spans="1:26">
      <c r="A762" s="46" t="str">
        <f>'Secondary cum Calculation'!A704</f>
        <v>Poland</v>
      </c>
      <c r="B762" s="47" t="str">
        <f>'Secondary cum Calculation'!B704</f>
        <v>Tourism Flows</v>
      </c>
      <c r="C762" s="47" t="str">
        <f>'Secondary cum Calculation'!C704</f>
        <v>International Departures by Destination</v>
      </c>
      <c r="D762" s="47" t="str">
        <f>'Secondary cum Calculation'!D704</f>
        <v>Africa</v>
      </c>
      <c r="E762" s="46" t="str">
        <f>'Secondary cum Calculation'!E704</f>
        <v>Tonga</v>
      </c>
      <c r="F762" s="48" t="str">
        <f>'Secondary cum Calculation'!F704</f>
        <v>The number of international departures from a country to Tonga</v>
      </c>
      <c r="G762" s="48" t="str">
        <f>'Secondary cum Calculation'!G704</f>
        <v>Tourism Demand &amp; Flows Database</v>
      </c>
      <c r="H762" s="48" t="str">
        <f>'Secondary cum Calculation'!H704</f>
        <v>New</v>
      </c>
      <c r="I762" s="48">
        <f>'Secondary cum Calculation'!I704</f>
        <v>0</v>
      </c>
      <c r="J762" s="48" t="str">
        <f>'Secondary cum Calculation'!J704</f>
        <v>Thousand</v>
      </c>
      <c r="K762" s="49">
        <f>'Secondary cum Calculation'!K704</f>
        <v>0</v>
      </c>
      <c r="L762" s="92">
        <f>'Secondary cum Calculation'!L704</f>
        <v>0</v>
      </c>
      <c r="M762" s="92">
        <f>'Secondary cum Calculation'!M704</f>
        <v>0</v>
      </c>
      <c r="N762" s="92">
        <f>'Secondary cum Calculation'!N704</f>
        <v>0</v>
      </c>
      <c r="O762" s="53">
        <f>'Secondary cum Calculation'!O704</f>
        <v>0</v>
      </c>
      <c r="P762" s="53">
        <f>'Secondary cum Calculation'!P704</f>
        <v>0</v>
      </c>
      <c r="Q762" s="53"/>
      <c r="R762" s="53"/>
      <c r="S762" s="53"/>
      <c r="T762" s="53"/>
      <c r="U762" s="53"/>
      <c r="V762" s="53"/>
      <c r="W762" s="102" t="e">
        <f>'Secondary cum Calculation'!W704</f>
        <v>#DIV/0!</v>
      </c>
      <c r="X762" s="102" t="e">
        <f>'Secondary cum Calculation'!X704</f>
        <v>#DIV/0!</v>
      </c>
      <c r="Z762" s="11"/>
    </row>
    <row r="763" spans="1:26">
      <c r="A763" s="48"/>
      <c r="B763" s="48"/>
      <c r="C763" s="52" t="str">
        <f>'Secondary cum Calculation'!C705</f>
        <v>Growth Rate</v>
      </c>
      <c r="D763" s="52"/>
      <c r="E763" s="52"/>
      <c r="F763" s="52">
        <f>'Secondary cum Calculation'!F705</f>
        <v>0</v>
      </c>
      <c r="G763" s="52">
        <f>'Secondary cum Calculation'!G705</f>
        <v>0</v>
      </c>
      <c r="H763" s="52">
        <f>'Secondary cum Calculation'!H705</f>
        <v>0</v>
      </c>
      <c r="I763" s="52">
        <f>'Secondary cum Calculation'!I705</f>
        <v>0</v>
      </c>
      <c r="J763" s="52" t="str">
        <f>'Secondary cum Calculation'!J705</f>
        <v>%</v>
      </c>
      <c r="K763" s="49">
        <f>'Secondary cum Calculation'!K705</f>
        <v>0</v>
      </c>
      <c r="L763" s="53"/>
      <c r="M763" s="54" t="e">
        <f>'Secondary cum Calculation'!M705</f>
        <v>#DIV/0!</v>
      </c>
      <c r="N763" s="54" t="e">
        <f>'Secondary cum Calculation'!N705</f>
        <v>#DIV/0!</v>
      </c>
      <c r="O763" s="54" t="e">
        <f>'Secondary cum Calculation'!O705</f>
        <v>#DIV/0!</v>
      </c>
      <c r="P763" s="54" t="e">
        <f>'Secondary cum Calculation'!P705</f>
        <v>#DIV/0!</v>
      </c>
      <c r="Q763" s="54"/>
      <c r="R763" s="54"/>
      <c r="S763" s="54"/>
      <c r="T763" s="54"/>
      <c r="U763" s="54"/>
      <c r="V763" s="54"/>
      <c r="W763" s="258"/>
      <c r="X763" s="258"/>
    </row>
    <row r="764" spans="1:26">
      <c r="A764" s="46" t="str">
        <f>'Secondary cum Calculation'!A706</f>
        <v>Poland</v>
      </c>
      <c r="B764" s="47" t="str">
        <f>'Secondary cum Calculation'!B706</f>
        <v>Tourism Flows</v>
      </c>
      <c r="C764" s="47" t="str">
        <f>'Secondary cum Calculation'!C706</f>
        <v>International Departures by Destination</v>
      </c>
      <c r="D764" s="47" t="str">
        <f>'Secondary cum Calculation'!D706</f>
        <v>Africa</v>
      </c>
      <c r="E764" s="46" t="str">
        <f>'Secondary cum Calculation'!E706</f>
        <v>Tunisia</v>
      </c>
      <c r="F764" s="48" t="str">
        <f>'Secondary cum Calculation'!F706</f>
        <v>The number of international departures from a country to Tunisia</v>
      </c>
      <c r="G764" s="48" t="str">
        <f>'Secondary cum Calculation'!G706</f>
        <v>Tourism Demand &amp; Flows Database</v>
      </c>
      <c r="H764" s="48" t="str">
        <f>'Secondary cum Calculation'!H706</f>
        <v>New</v>
      </c>
      <c r="I764" s="48">
        <f>'Secondary cum Calculation'!I706</f>
        <v>0</v>
      </c>
      <c r="J764" s="48" t="str">
        <f>'Secondary cum Calculation'!J706</f>
        <v>Thousand</v>
      </c>
      <c r="K764" s="49">
        <f>'Secondary cum Calculation'!K706</f>
        <v>0</v>
      </c>
      <c r="L764" s="92">
        <f>'Secondary cum Calculation'!L706</f>
        <v>0</v>
      </c>
      <c r="M764" s="92">
        <f>'Secondary cum Calculation'!M706</f>
        <v>0</v>
      </c>
      <c r="N764" s="92">
        <f>'Secondary cum Calculation'!N706</f>
        <v>0</v>
      </c>
      <c r="O764" s="53">
        <f>'Secondary cum Calculation'!O706</f>
        <v>0</v>
      </c>
      <c r="P764" s="53">
        <f>'Secondary cum Calculation'!P706</f>
        <v>0</v>
      </c>
      <c r="Q764" s="53"/>
      <c r="R764" s="53"/>
      <c r="S764" s="53"/>
      <c r="T764" s="53"/>
      <c r="U764" s="53"/>
      <c r="V764" s="53"/>
      <c r="W764" s="102" t="e">
        <f>'Secondary cum Calculation'!W706</f>
        <v>#DIV/0!</v>
      </c>
      <c r="X764" s="102" t="e">
        <f>'Secondary cum Calculation'!X706</f>
        <v>#DIV/0!</v>
      </c>
      <c r="Z764" s="11"/>
    </row>
    <row r="765" spans="1:26">
      <c r="A765" s="48"/>
      <c r="B765" s="48"/>
      <c r="C765" s="52" t="str">
        <f>'Secondary cum Calculation'!C707</f>
        <v>Growth Rate</v>
      </c>
      <c r="D765" s="52"/>
      <c r="E765" s="52"/>
      <c r="F765" s="52">
        <f>'Secondary cum Calculation'!F707</f>
        <v>0</v>
      </c>
      <c r="G765" s="52">
        <f>'Secondary cum Calculation'!G707</f>
        <v>0</v>
      </c>
      <c r="H765" s="52">
        <f>'Secondary cum Calculation'!H707</f>
        <v>0</v>
      </c>
      <c r="I765" s="52">
        <f>'Secondary cum Calculation'!I707</f>
        <v>0</v>
      </c>
      <c r="J765" s="52" t="str">
        <f>'Secondary cum Calculation'!J707</f>
        <v>%</v>
      </c>
      <c r="K765" s="49">
        <f>'Secondary cum Calculation'!K707</f>
        <v>0</v>
      </c>
      <c r="L765" s="53"/>
      <c r="M765" s="54" t="e">
        <f>'Secondary cum Calculation'!M707</f>
        <v>#DIV/0!</v>
      </c>
      <c r="N765" s="54" t="e">
        <f>'Secondary cum Calculation'!N707</f>
        <v>#DIV/0!</v>
      </c>
      <c r="O765" s="54" t="e">
        <f>'Secondary cum Calculation'!O707</f>
        <v>#DIV/0!</v>
      </c>
      <c r="P765" s="54" t="e">
        <f>'Secondary cum Calculation'!P707</f>
        <v>#DIV/0!</v>
      </c>
      <c r="Q765" s="54"/>
      <c r="R765" s="54"/>
      <c r="S765" s="54"/>
      <c r="T765" s="54"/>
      <c r="U765" s="54"/>
      <c r="V765" s="54"/>
      <c r="W765" s="258"/>
      <c r="X765" s="258"/>
    </row>
    <row r="766" spans="1:26">
      <c r="A766" s="46" t="str">
        <f>'Secondary cum Calculation'!A708</f>
        <v>Poland</v>
      </c>
      <c r="B766" s="47" t="str">
        <f>'Secondary cum Calculation'!B708</f>
        <v>Tourism Flows</v>
      </c>
      <c r="C766" s="47" t="str">
        <f>'Secondary cum Calculation'!C708</f>
        <v>International Departures by Destination</v>
      </c>
      <c r="D766" s="47" t="str">
        <f>'Secondary cum Calculation'!D708</f>
        <v>Africa</v>
      </c>
      <c r="E766" s="46" t="str">
        <f>'Secondary cum Calculation'!E708</f>
        <v>Uganda</v>
      </c>
      <c r="F766" s="48" t="str">
        <f>'Secondary cum Calculation'!F708</f>
        <v>The number of international departures from a country to Uganda</v>
      </c>
      <c r="G766" s="48" t="str">
        <f>'Secondary cum Calculation'!G708</f>
        <v>Tourism Demand &amp; Flows Database</v>
      </c>
      <c r="H766" s="48" t="str">
        <f>'Secondary cum Calculation'!H708</f>
        <v>New</v>
      </c>
      <c r="I766" s="48">
        <f>'Secondary cum Calculation'!I708</f>
        <v>0</v>
      </c>
      <c r="J766" s="48" t="str">
        <f>'Secondary cum Calculation'!J708</f>
        <v>Thousand</v>
      </c>
      <c r="K766" s="49">
        <f>'Secondary cum Calculation'!K708</f>
        <v>0</v>
      </c>
      <c r="L766" s="92">
        <f>'Secondary cum Calculation'!L708</f>
        <v>0</v>
      </c>
      <c r="M766" s="92">
        <f>'Secondary cum Calculation'!M708</f>
        <v>0</v>
      </c>
      <c r="N766" s="92">
        <f>'Secondary cum Calculation'!N708</f>
        <v>0</v>
      </c>
      <c r="O766" s="53">
        <f>'Secondary cum Calculation'!O708</f>
        <v>0</v>
      </c>
      <c r="P766" s="53">
        <f>'Secondary cum Calculation'!P708</f>
        <v>0</v>
      </c>
      <c r="Q766" s="53"/>
      <c r="R766" s="53"/>
      <c r="S766" s="53"/>
      <c r="T766" s="53"/>
      <c r="U766" s="53"/>
      <c r="V766" s="53"/>
      <c r="W766" s="102" t="e">
        <f>'Secondary cum Calculation'!W708</f>
        <v>#DIV/0!</v>
      </c>
      <c r="X766" s="102" t="e">
        <f>'Secondary cum Calculation'!X708</f>
        <v>#DIV/0!</v>
      </c>
      <c r="Z766" s="11"/>
    </row>
    <row r="767" spans="1:26">
      <c r="A767" s="48"/>
      <c r="B767" s="48"/>
      <c r="C767" s="52" t="str">
        <f>'Secondary cum Calculation'!C709</f>
        <v>Growth Rate</v>
      </c>
      <c r="D767" s="52"/>
      <c r="E767" s="52"/>
      <c r="F767" s="52">
        <f>'Secondary cum Calculation'!F709</f>
        <v>0</v>
      </c>
      <c r="G767" s="52">
        <f>'Secondary cum Calculation'!G709</f>
        <v>0</v>
      </c>
      <c r="H767" s="52">
        <f>'Secondary cum Calculation'!H709</f>
        <v>0</v>
      </c>
      <c r="I767" s="52">
        <f>'Secondary cum Calculation'!I709</f>
        <v>0</v>
      </c>
      <c r="J767" s="52" t="str">
        <f>'Secondary cum Calculation'!J709</f>
        <v>%</v>
      </c>
      <c r="K767" s="49">
        <f>'Secondary cum Calculation'!K709</f>
        <v>0</v>
      </c>
      <c r="L767" s="53"/>
      <c r="M767" s="54" t="e">
        <f>'Secondary cum Calculation'!M709</f>
        <v>#DIV/0!</v>
      </c>
      <c r="N767" s="54" t="e">
        <f>'Secondary cum Calculation'!N709</f>
        <v>#DIV/0!</v>
      </c>
      <c r="O767" s="54" t="e">
        <f>'Secondary cum Calculation'!O709</f>
        <v>#DIV/0!</v>
      </c>
      <c r="P767" s="54" t="e">
        <f>'Secondary cum Calculation'!P709</f>
        <v>#DIV/0!</v>
      </c>
      <c r="Q767" s="54"/>
      <c r="R767" s="54"/>
      <c r="S767" s="54"/>
      <c r="T767" s="54"/>
      <c r="U767" s="54"/>
      <c r="V767" s="54"/>
      <c r="W767" s="258"/>
      <c r="X767" s="258"/>
    </row>
    <row r="768" spans="1:26">
      <c r="A768" s="46" t="str">
        <f>'Secondary cum Calculation'!A710</f>
        <v>Poland</v>
      </c>
      <c r="B768" s="47" t="str">
        <f>'Secondary cum Calculation'!B710</f>
        <v>Tourism Flows</v>
      </c>
      <c r="C768" s="47" t="str">
        <f>'Secondary cum Calculation'!C710</f>
        <v>International Departures by Destination</v>
      </c>
      <c r="D768" s="47" t="str">
        <f>'Secondary cum Calculation'!D710</f>
        <v>Africa</v>
      </c>
      <c r="E768" s="46" t="str">
        <f>'Secondary cum Calculation'!E710</f>
        <v>United Republic of Tanzania</v>
      </c>
      <c r="F768" s="48" t="str">
        <f>'Secondary cum Calculation'!F710</f>
        <v>The number of international departures from a country to United Republic of Tanzania</v>
      </c>
      <c r="G768" s="48" t="str">
        <f>'Secondary cum Calculation'!G710</f>
        <v>Tourism Demand &amp; Flows Database</v>
      </c>
      <c r="H768" s="48" t="str">
        <f>'Secondary cum Calculation'!H710</f>
        <v>New</v>
      </c>
      <c r="I768" s="48">
        <f>'Secondary cum Calculation'!I710</f>
        <v>0</v>
      </c>
      <c r="J768" s="48" t="str">
        <f>'Secondary cum Calculation'!J710</f>
        <v>Thousand</v>
      </c>
      <c r="K768" s="49">
        <f>'Secondary cum Calculation'!K710</f>
        <v>0</v>
      </c>
      <c r="L768" s="92">
        <f>'Secondary cum Calculation'!L710</f>
        <v>0</v>
      </c>
      <c r="M768" s="92">
        <f>'Secondary cum Calculation'!M710</f>
        <v>0</v>
      </c>
      <c r="N768" s="92">
        <f>'Secondary cum Calculation'!N710</f>
        <v>0</v>
      </c>
      <c r="O768" s="53">
        <f>'Secondary cum Calculation'!O710</f>
        <v>0</v>
      </c>
      <c r="P768" s="53">
        <f>'Secondary cum Calculation'!P710</f>
        <v>0</v>
      </c>
      <c r="Q768" s="53"/>
      <c r="R768" s="53"/>
      <c r="S768" s="53"/>
      <c r="T768" s="53"/>
      <c r="U768" s="53"/>
      <c r="V768" s="53"/>
      <c r="W768" s="102" t="e">
        <f>'Secondary cum Calculation'!W710</f>
        <v>#DIV/0!</v>
      </c>
      <c r="X768" s="102" t="e">
        <f>'Secondary cum Calculation'!X710</f>
        <v>#DIV/0!</v>
      </c>
      <c r="Z768" s="11"/>
    </row>
    <row r="769" spans="1:26">
      <c r="A769" s="48"/>
      <c r="B769" s="48"/>
      <c r="C769" s="52" t="str">
        <f>'Secondary cum Calculation'!C711</f>
        <v>Growth Rate</v>
      </c>
      <c r="D769" s="52"/>
      <c r="E769" s="52"/>
      <c r="F769" s="52">
        <f>'Secondary cum Calculation'!F711</f>
        <v>0</v>
      </c>
      <c r="G769" s="52">
        <f>'Secondary cum Calculation'!G711</f>
        <v>0</v>
      </c>
      <c r="H769" s="52">
        <f>'Secondary cum Calculation'!H711</f>
        <v>0</v>
      </c>
      <c r="I769" s="52">
        <f>'Secondary cum Calculation'!I711</f>
        <v>0</v>
      </c>
      <c r="J769" s="52" t="str">
        <f>'Secondary cum Calculation'!J711</f>
        <v>%</v>
      </c>
      <c r="K769" s="49">
        <f>'Secondary cum Calculation'!K711</f>
        <v>0</v>
      </c>
      <c r="L769" s="53"/>
      <c r="M769" s="54" t="e">
        <f>'Secondary cum Calculation'!M711</f>
        <v>#DIV/0!</v>
      </c>
      <c r="N769" s="54" t="e">
        <f>'Secondary cum Calculation'!N711</f>
        <v>#DIV/0!</v>
      </c>
      <c r="O769" s="54" t="e">
        <f>'Secondary cum Calculation'!O711</f>
        <v>#DIV/0!</v>
      </c>
      <c r="P769" s="54" t="e">
        <f>'Secondary cum Calculation'!P711</f>
        <v>#DIV/0!</v>
      </c>
      <c r="Q769" s="54"/>
      <c r="R769" s="54"/>
      <c r="S769" s="54"/>
      <c r="T769" s="54"/>
      <c r="U769" s="54"/>
      <c r="V769" s="54"/>
      <c r="W769" s="258"/>
      <c r="X769" s="258"/>
    </row>
    <row r="770" spans="1:26">
      <c r="A770" s="46" t="str">
        <f>'Secondary cum Calculation'!A712</f>
        <v>Poland</v>
      </c>
      <c r="B770" s="47" t="str">
        <f>'Secondary cum Calculation'!B712</f>
        <v>Tourism Flows</v>
      </c>
      <c r="C770" s="47" t="str">
        <f>'Secondary cum Calculation'!C712</f>
        <v>International Departures by Destination</v>
      </c>
      <c r="D770" s="47" t="str">
        <f>'Secondary cum Calculation'!D712</f>
        <v>Africa</v>
      </c>
      <c r="E770" s="46" t="str">
        <f>'Secondary cum Calculation'!E712</f>
        <v>Western Sahara</v>
      </c>
      <c r="F770" s="48" t="str">
        <f>'Secondary cum Calculation'!F712</f>
        <v>The number of international departures from a country to Western Sahara</v>
      </c>
      <c r="G770" s="48" t="str">
        <f>'Secondary cum Calculation'!G712</f>
        <v>Tourism Demand &amp; Flows Database</v>
      </c>
      <c r="H770" s="48" t="str">
        <f>'Secondary cum Calculation'!H712</f>
        <v>New</v>
      </c>
      <c r="I770" s="48">
        <f>'Secondary cum Calculation'!I712</f>
        <v>0</v>
      </c>
      <c r="J770" s="48" t="str">
        <f>'Secondary cum Calculation'!J712</f>
        <v>Thousand</v>
      </c>
      <c r="K770" s="49">
        <f>'Secondary cum Calculation'!K712</f>
        <v>0</v>
      </c>
      <c r="L770" s="92">
        <f>'Secondary cum Calculation'!L712</f>
        <v>0</v>
      </c>
      <c r="M770" s="92">
        <f>'Secondary cum Calculation'!M712</f>
        <v>0</v>
      </c>
      <c r="N770" s="92">
        <f>'Secondary cum Calculation'!N712</f>
        <v>0</v>
      </c>
      <c r="O770" s="53">
        <f>'Secondary cum Calculation'!O712</f>
        <v>0</v>
      </c>
      <c r="P770" s="53">
        <f>'Secondary cum Calculation'!P712</f>
        <v>0</v>
      </c>
      <c r="Q770" s="53"/>
      <c r="R770" s="53"/>
      <c r="S770" s="53"/>
      <c r="T770" s="53"/>
      <c r="U770" s="53"/>
      <c r="V770" s="53"/>
      <c r="W770" s="102" t="e">
        <f>'Secondary cum Calculation'!W712</f>
        <v>#DIV/0!</v>
      </c>
      <c r="X770" s="102" t="e">
        <f>'Secondary cum Calculation'!X712</f>
        <v>#DIV/0!</v>
      </c>
      <c r="Z770" s="11"/>
    </row>
    <row r="771" spans="1:26">
      <c r="A771" s="48"/>
      <c r="B771" s="48"/>
      <c r="C771" s="52" t="str">
        <f>'Secondary cum Calculation'!C713</f>
        <v>Growth Rate</v>
      </c>
      <c r="D771" s="52"/>
      <c r="E771" s="52"/>
      <c r="F771" s="52">
        <f>'Secondary cum Calculation'!F713</f>
        <v>0</v>
      </c>
      <c r="G771" s="52">
        <f>'Secondary cum Calculation'!G713</f>
        <v>0</v>
      </c>
      <c r="H771" s="52">
        <f>'Secondary cum Calculation'!H713</f>
        <v>0</v>
      </c>
      <c r="I771" s="52">
        <f>'Secondary cum Calculation'!I713</f>
        <v>0</v>
      </c>
      <c r="J771" s="52" t="str">
        <f>'Secondary cum Calculation'!J713</f>
        <v>%</v>
      </c>
      <c r="K771" s="49">
        <f>'Secondary cum Calculation'!K713</f>
        <v>0</v>
      </c>
      <c r="L771" s="53"/>
      <c r="M771" s="54" t="e">
        <f>'Secondary cum Calculation'!M713</f>
        <v>#DIV/0!</v>
      </c>
      <c r="N771" s="54" t="e">
        <f>'Secondary cum Calculation'!N713</f>
        <v>#DIV/0!</v>
      </c>
      <c r="O771" s="54" t="e">
        <f>'Secondary cum Calculation'!O713</f>
        <v>#DIV/0!</v>
      </c>
      <c r="P771" s="54" t="e">
        <f>'Secondary cum Calculation'!P713</f>
        <v>#DIV/0!</v>
      </c>
      <c r="Q771" s="54"/>
      <c r="R771" s="54"/>
      <c r="S771" s="54"/>
      <c r="T771" s="54"/>
      <c r="U771" s="54"/>
      <c r="V771" s="54"/>
      <c r="W771" s="258"/>
      <c r="X771" s="258"/>
    </row>
    <row r="772" spans="1:26">
      <c r="A772" s="46" t="str">
        <f>'Secondary cum Calculation'!A714</f>
        <v>Poland</v>
      </c>
      <c r="B772" s="47" t="str">
        <f>'Secondary cum Calculation'!B714</f>
        <v>Tourism Flows</v>
      </c>
      <c r="C772" s="47" t="str">
        <f>'Secondary cum Calculation'!C714</f>
        <v>International Departures by Destination</v>
      </c>
      <c r="D772" s="47" t="str">
        <f>'Secondary cum Calculation'!D714</f>
        <v>Africa</v>
      </c>
      <c r="E772" s="46" t="str">
        <f>'Secondary cum Calculation'!E714</f>
        <v>Zambia</v>
      </c>
      <c r="F772" s="48" t="str">
        <f>'Secondary cum Calculation'!F714</f>
        <v>The number of international departures from a country to Zambia</v>
      </c>
      <c r="G772" s="48" t="str">
        <f>'Secondary cum Calculation'!G714</f>
        <v>Tourism Demand &amp; Flows Database</v>
      </c>
      <c r="H772" s="48" t="str">
        <f>'Secondary cum Calculation'!H714</f>
        <v>New</v>
      </c>
      <c r="I772" s="48">
        <f>'Secondary cum Calculation'!I714</f>
        <v>0</v>
      </c>
      <c r="J772" s="48" t="str">
        <f>'Secondary cum Calculation'!J714</f>
        <v>Thousand</v>
      </c>
      <c r="K772" s="49">
        <f>'Secondary cum Calculation'!K714</f>
        <v>0</v>
      </c>
      <c r="L772" s="92">
        <f>'Secondary cum Calculation'!L714</f>
        <v>0</v>
      </c>
      <c r="M772" s="92">
        <f>'Secondary cum Calculation'!M714</f>
        <v>0</v>
      </c>
      <c r="N772" s="92">
        <f>'Secondary cum Calculation'!N714</f>
        <v>0</v>
      </c>
      <c r="O772" s="53">
        <f>'Secondary cum Calculation'!O714</f>
        <v>0</v>
      </c>
      <c r="P772" s="53">
        <f>'Secondary cum Calculation'!P714</f>
        <v>0</v>
      </c>
      <c r="Q772" s="53"/>
      <c r="R772" s="53"/>
      <c r="S772" s="53"/>
      <c r="T772" s="53"/>
      <c r="U772" s="53"/>
      <c r="V772" s="53"/>
      <c r="W772" s="102" t="e">
        <f>'Secondary cum Calculation'!W714</f>
        <v>#DIV/0!</v>
      </c>
      <c r="X772" s="102" t="e">
        <f>'Secondary cum Calculation'!X714</f>
        <v>#DIV/0!</v>
      </c>
      <c r="Z772" s="11"/>
    </row>
    <row r="773" spans="1:26">
      <c r="A773" s="48"/>
      <c r="B773" s="48"/>
      <c r="C773" s="52" t="str">
        <f>'Secondary cum Calculation'!C715</f>
        <v>Growth Rate</v>
      </c>
      <c r="D773" s="52"/>
      <c r="E773" s="52"/>
      <c r="F773" s="52">
        <f>'Secondary cum Calculation'!F715</f>
        <v>0</v>
      </c>
      <c r="G773" s="52">
        <f>'Secondary cum Calculation'!G715</f>
        <v>0</v>
      </c>
      <c r="H773" s="52">
        <f>'Secondary cum Calculation'!H715</f>
        <v>0</v>
      </c>
      <c r="I773" s="52">
        <f>'Secondary cum Calculation'!I715</f>
        <v>0</v>
      </c>
      <c r="J773" s="52" t="str">
        <f>'Secondary cum Calculation'!J715</f>
        <v>%</v>
      </c>
      <c r="K773" s="49">
        <f>'Secondary cum Calculation'!K715</f>
        <v>0</v>
      </c>
      <c r="L773" s="53"/>
      <c r="M773" s="54" t="e">
        <f>'Secondary cum Calculation'!M715</f>
        <v>#DIV/0!</v>
      </c>
      <c r="N773" s="54" t="e">
        <f>'Secondary cum Calculation'!N715</f>
        <v>#DIV/0!</v>
      </c>
      <c r="O773" s="54" t="e">
        <f>'Secondary cum Calculation'!O715</f>
        <v>#DIV/0!</v>
      </c>
      <c r="P773" s="54" t="e">
        <f>'Secondary cum Calculation'!P715</f>
        <v>#DIV/0!</v>
      </c>
      <c r="Q773" s="54"/>
      <c r="R773" s="54"/>
      <c r="S773" s="54"/>
      <c r="T773" s="54"/>
      <c r="U773" s="54"/>
      <c r="V773" s="54"/>
      <c r="W773" s="258"/>
      <c r="X773" s="258"/>
    </row>
    <row r="774" spans="1:26">
      <c r="A774" s="46" t="str">
        <f>'Secondary cum Calculation'!A716</f>
        <v>Poland</v>
      </c>
      <c r="B774" s="47" t="str">
        <f>'Secondary cum Calculation'!B716</f>
        <v>Tourism Flows</v>
      </c>
      <c r="C774" s="47" t="str">
        <f>'Secondary cum Calculation'!C716</f>
        <v>International Departures by Destination</v>
      </c>
      <c r="D774" s="47" t="str">
        <f>'Secondary cum Calculation'!D716</f>
        <v>Africa</v>
      </c>
      <c r="E774" s="46" t="str">
        <f>'Secondary cum Calculation'!E716</f>
        <v>Zimbabwe</v>
      </c>
      <c r="F774" s="48" t="str">
        <f>'Secondary cum Calculation'!F716</f>
        <v>The number of international departures from a country to Zimbabwe</v>
      </c>
      <c r="G774" s="48" t="str">
        <f>'Secondary cum Calculation'!G716</f>
        <v>Tourism Demand &amp; Flows Database</v>
      </c>
      <c r="H774" s="48" t="str">
        <f>'Secondary cum Calculation'!H716</f>
        <v>New</v>
      </c>
      <c r="I774" s="48">
        <f>'Secondary cum Calculation'!I716</f>
        <v>0</v>
      </c>
      <c r="J774" s="48" t="str">
        <f>'Secondary cum Calculation'!J716</f>
        <v>Thousand</v>
      </c>
      <c r="K774" s="49">
        <f>'Secondary cum Calculation'!K716</f>
        <v>0</v>
      </c>
      <c r="L774" s="92">
        <f>'Secondary cum Calculation'!L716</f>
        <v>0</v>
      </c>
      <c r="M774" s="92">
        <f>'Secondary cum Calculation'!M716</f>
        <v>0</v>
      </c>
      <c r="N774" s="92">
        <f>'Secondary cum Calculation'!N716</f>
        <v>0</v>
      </c>
      <c r="O774" s="93">
        <f>'Secondary cum Calculation'!O716</f>
        <v>0</v>
      </c>
      <c r="P774" s="93">
        <f>'Secondary cum Calculation'!P716</f>
        <v>0</v>
      </c>
      <c r="Q774" s="93"/>
      <c r="R774" s="93"/>
      <c r="S774" s="93"/>
      <c r="T774" s="93"/>
      <c r="U774" s="93"/>
      <c r="V774" s="93"/>
      <c r="W774" s="102" t="e">
        <f>'Secondary cum Calculation'!W716</f>
        <v>#DIV/0!</v>
      </c>
      <c r="X774" s="102" t="e">
        <f>'Secondary cum Calculation'!X716</f>
        <v>#DIV/0!</v>
      </c>
      <c r="Z774" s="11"/>
    </row>
    <row r="775" spans="1:26">
      <c r="A775" s="48"/>
      <c r="B775" s="48"/>
      <c r="C775" s="52" t="str">
        <f>'Secondary cum Calculation'!C717</f>
        <v>Growth Rate</v>
      </c>
      <c r="D775" s="52"/>
      <c r="E775" s="52"/>
      <c r="F775" s="52">
        <f>'Secondary cum Calculation'!F717</f>
        <v>0</v>
      </c>
      <c r="G775" s="52">
        <f>'Secondary cum Calculation'!G717</f>
        <v>0</v>
      </c>
      <c r="H775" s="52">
        <f>'Secondary cum Calculation'!H717</f>
        <v>0</v>
      </c>
      <c r="I775" s="52">
        <f>'Secondary cum Calculation'!I717</f>
        <v>0</v>
      </c>
      <c r="J775" s="52" t="str">
        <f>'Secondary cum Calculation'!J717</f>
        <v>%</v>
      </c>
      <c r="K775" s="49">
        <f>'Secondary cum Calculation'!K717</f>
        <v>0</v>
      </c>
      <c r="L775" s="53"/>
      <c r="M775" s="54" t="e">
        <f>'Secondary cum Calculation'!M717</f>
        <v>#DIV/0!</v>
      </c>
      <c r="N775" s="54" t="e">
        <f>'Secondary cum Calculation'!N717</f>
        <v>#DIV/0!</v>
      </c>
      <c r="O775" s="54" t="e">
        <f>'Secondary cum Calculation'!O717</f>
        <v>#DIV/0!</v>
      </c>
      <c r="P775" s="54" t="e">
        <f>'Secondary cum Calculation'!P717</f>
        <v>#DIV/0!</v>
      </c>
      <c r="Q775" s="54"/>
      <c r="R775" s="54"/>
      <c r="S775" s="54"/>
      <c r="T775" s="54"/>
      <c r="U775" s="54"/>
      <c r="V775" s="54"/>
      <c r="W775" s="258"/>
      <c r="X775" s="258"/>
    </row>
    <row r="776" spans="1:26">
      <c r="A776" s="46" t="str">
        <f>'Secondary cum Calculation'!A718</f>
        <v>Poland</v>
      </c>
      <c r="B776" s="47" t="str">
        <f>'Secondary cum Calculation'!B718</f>
        <v>Tourism Flows</v>
      </c>
      <c r="C776" s="47" t="str">
        <f>'Secondary cum Calculation'!C718</f>
        <v>International Departures by Destination</v>
      </c>
      <c r="D776" s="94" t="str">
        <f>'Secondary cum Calculation'!D718</f>
        <v>Africa</v>
      </c>
      <c r="E776" s="95" t="str">
        <f>'Secondary cum Calculation'!E718</f>
        <v>Other African Countries</v>
      </c>
      <c r="F776" s="94" t="str">
        <f>'Secondary cum Calculation'!F718</f>
        <v>To be defined according to the gaps in the country data above</v>
      </c>
      <c r="G776" s="48">
        <f>'Secondary cum Calculation'!G718</f>
        <v>0</v>
      </c>
      <c r="H776" s="48">
        <f>'Secondary cum Calculation'!H718</f>
        <v>0</v>
      </c>
      <c r="I776" s="48">
        <f>'Secondary cum Calculation'!I718</f>
        <v>0</v>
      </c>
      <c r="J776" s="48" t="str">
        <f>'Secondary cum Calculation'!J718</f>
        <v>Thousand</v>
      </c>
      <c r="K776" s="49">
        <f>'Secondary cum Calculation'!K718</f>
        <v>0</v>
      </c>
      <c r="L776" s="92">
        <f>'Secondary cum Calculation'!L718</f>
        <v>382.89155755482369</v>
      </c>
      <c r="M776" s="92">
        <f>'Secondary cum Calculation'!M718</f>
        <v>398.72415455056625</v>
      </c>
      <c r="N776" s="92">
        <f>'Secondary cum Calculation'!N718</f>
        <v>366.04683107076875</v>
      </c>
      <c r="O776" s="93">
        <f>'Secondary cum Calculation'!O718</f>
        <v>383</v>
      </c>
      <c r="P776" s="93">
        <f>'Secondary cum Calculation'!P718</f>
        <v>353</v>
      </c>
      <c r="Q776" s="93"/>
      <c r="R776" s="93"/>
      <c r="S776" s="93"/>
      <c r="T776" s="93"/>
      <c r="U776" s="93"/>
      <c r="V776" s="93"/>
      <c r="W776" s="102">
        <f>'Secondary cum Calculation'!W718</f>
        <v>0</v>
      </c>
      <c r="X776" s="102">
        <f>'Secondary cum Calculation'!X718</f>
        <v>0</v>
      </c>
      <c r="Z776" s="11"/>
    </row>
    <row r="777" spans="1:26">
      <c r="A777" s="48"/>
      <c r="B777" s="48"/>
      <c r="C777" s="52" t="str">
        <f>'Secondary cum Calculation'!C719</f>
        <v>Growth Rate</v>
      </c>
      <c r="D777" s="52"/>
      <c r="E777" s="52"/>
      <c r="F777" s="52">
        <f>'Secondary cum Calculation'!F719</f>
        <v>0</v>
      </c>
      <c r="G777" s="52">
        <f>'Secondary cum Calculation'!G719</f>
        <v>0</v>
      </c>
      <c r="H777" s="52">
        <f>'Secondary cum Calculation'!H719</f>
        <v>0</v>
      </c>
      <c r="I777" s="52">
        <f>'Secondary cum Calculation'!I719</f>
        <v>0</v>
      </c>
      <c r="J777" s="52" t="str">
        <f>'Secondary cum Calculation'!J719</f>
        <v>%</v>
      </c>
      <c r="K777" s="49">
        <f>'Secondary cum Calculation'!K719</f>
        <v>0</v>
      </c>
      <c r="L777" s="53"/>
      <c r="M777" s="54">
        <f>'Secondary cum Calculation'!M719</f>
        <v>4.1350081200146604E-2</v>
      </c>
      <c r="N777" s="54">
        <f>'Secondary cum Calculation'!N719</f>
        <v>-8.1954712567215093E-2</v>
      </c>
      <c r="O777" s="54">
        <f>'Secondary cum Calculation'!O719</f>
        <v>4.6314207610101299E-2</v>
      </c>
      <c r="P777" s="54">
        <f>'Secondary cum Calculation'!P719</f>
        <v>-7.8328981723237545E-2</v>
      </c>
      <c r="Q777" s="54"/>
      <c r="R777" s="54"/>
      <c r="S777" s="54"/>
      <c r="T777" s="54"/>
      <c r="U777" s="54"/>
      <c r="V777" s="54"/>
      <c r="W777" s="258"/>
      <c r="X777" s="258"/>
    </row>
    <row r="778" spans="1:26">
      <c r="A778" s="46" t="str">
        <f>'Secondary cum Calculation'!A720</f>
        <v>Poland</v>
      </c>
      <c r="B778" s="47" t="str">
        <f>'Secondary cum Calculation'!B720</f>
        <v>Tourism Flows</v>
      </c>
      <c r="C778" s="47" t="str">
        <f>'Secondary cum Calculation'!C720</f>
        <v>International Departures by Destination</v>
      </c>
      <c r="D778" s="46" t="str">
        <f>'Secondary cum Calculation'!D720</f>
        <v>Asia-Pacific</v>
      </c>
      <c r="E778" s="48"/>
      <c r="F778" s="48" t="str">
        <f>'Secondary cum Calculation'!F720</f>
        <v>The number of international departures from a country to Asia-Pacific</v>
      </c>
      <c r="G778" s="48" t="str">
        <f>'Secondary cum Calculation'!G720</f>
        <v>Tourism Demand &amp; Flows Database</v>
      </c>
      <c r="H778" s="48" t="str">
        <f>'Secondary cum Calculation'!H720</f>
        <v>New</v>
      </c>
      <c r="I778" s="48">
        <f>'Secondary cum Calculation'!I720</f>
        <v>0</v>
      </c>
      <c r="J778" s="48" t="str">
        <f>'Secondary cum Calculation'!J720</f>
        <v>Thousand</v>
      </c>
      <c r="K778" s="76">
        <f>'Secondary cum Calculation'!K720</f>
        <v>5397</v>
      </c>
      <c r="L778" s="91">
        <f>'Secondary cum Calculation'!L720</f>
        <v>179.31527492467055</v>
      </c>
      <c r="M778" s="91">
        <f>'Secondary cum Calculation'!M720</f>
        <v>184.34175232685487</v>
      </c>
      <c r="N778" s="91">
        <f>'Secondary cum Calculation'!N720</f>
        <v>183.32818381664458</v>
      </c>
      <c r="O778" s="91">
        <f>'Secondary cum Calculation'!O720</f>
        <v>193.54742824657512</v>
      </c>
      <c r="P778" s="91">
        <f>'Secondary cum Calculation'!P720</f>
        <v>218.65231902931407</v>
      </c>
      <c r="Q778" s="91">
        <f>'Secondary cum Calculation'!Q720</f>
        <v>232.04683312166151</v>
      </c>
      <c r="R778" s="91">
        <f t="shared" ref="R778:V778" si="508">Q778*(1+R779)</f>
        <v>247.8506025222151</v>
      </c>
      <c r="S778" s="91">
        <f t="shared" si="508"/>
        <v>261.77326921717071</v>
      </c>
      <c r="T778" s="91">
        <f t="shared" si="508"/>
        <v>278.62529314659599</v>
      </c>
      <c r="U778" s="91">
        <f t="shared" si="508"/>
        <v>295.09851187979166</v>
      </c>
      <c r="V778" s="91">
        <f t="shared" si="508"/>
        <v>314.99985550392302</v>
      </c>
      <c r="W778" s="102">
        <f>'Secondary cum Calculation'!W720</f>
        <v>5.9224417204696289E-2</v>
      </c>
      <c r="X778" s="102">
        <f>'Secondary cum Calculation'!X720</f>
        <v>6.303347760977851E-2</v>
      </c>
      <c r="Z778" s="11"/>
    </row>
    <row r="779" spans="1:26">
      <c r="A779" s="48"/>
      <c r="B779" s="48"/>
      <c r="C779" s="52" t="str">
        <f>'Secondary cum Calculation'!C721</f>
        <v>Growth Rate</v>
      </c>
      <c r="D779" s="52"/>
      <c r="E779" s="52"/>
      <c r="F779" s="52">
        <f>'Secondary cum Calculation'!F721</f>
        <v>0</v>
      </c>
      <c r="G779" s="52">
        <f>'Secondary cum Calculation'!G721</f>
        <v>0</v>
      </c>
      <c r="H779" s="52">
        <f>'Secondary cum Calculation'!H721</f>
        <v>0</v>
      </c>
      <c r="I779" s="52">
        <f>'Secondary cum Calculation'!I721</f>
        <v>0</v>
      </c>
      <c r="J779" s="52" t="str">
        <f>'Secondary cum Calculation'!J721</f>
        <v>%</v>
      </c>
      <c r="K779" s="49">
        <f>'Secondary cum Calculation'!K721</f>
        <v>0</v>
      </c>
      <c r="L779" s="53"/>
      <c r="M779" s="54">
        <f>'Secondary cum Calculation'!M721</f>
        <v>2.8031507099971931E-2</v>
      </c>
      <c r="N779" s="54">
        <f>'Secondary cum Calculation'!N721</f>
        <v>-5.4983122239889992E-3</v>
      </c>
      <c r="O779" s="54">
        <f>'Secondary cum Calculation'!O721</f>
        <v>5.5742898975922328E-2</v>
      </c>
      <c r="P779" s="54">
        <f>'Secondary cum Calculation'!P721</f>
        <v>0.12970924496478387</v>
      </c>
      <c r="Q779" s="54">
        <f>'Secondary cum Calculation'!Q721</f>
        <v>6.1259419300060847E-2</v>
      </c>
      <c r="R779" s="54">
        <f>0.1*((L778/O778)^(1/3)-1)+0.9*($E781*R782+$E783*R784+$E785*R786+$E787*R788+$E789*R790+$E791*R792)</f>
        <v>6.8105947355324284E-2</v>
      </c>
      <c r="S779" s="54">
        <f>0.2*((M778/P778)^(1/3)-1)+0.8*($E781*S782+$E783*S784+$E785*S786+$E787*S788+$E789*S790+$E791*S792)</f>
        <v>5.6173624567677646E-2</v>
      </c>
      <c r="T779" s="54">
        <f>0.1*((N778/Q778)^(1/3)-1)+0.9*($E781*T782+$E783*T784+$E785*T786+$E787*T788+$E789*T790+$E791*T792)</f>
        <v>6.4376412380916473E-2</v>
      </c>
      <c r="U779" s="54">
        <f>0.15*((O778/R778)^(1/3)-1)+0.85*($E781*U782+$E783*U784+$E785*U786+$E787*U788+$E789*U790+$E791*U792)</f>
        <v>5.9123199287325401E-2</v>
      </c>
      <c r="V779" s="54">
        <f>0.1*((P778/S778)^(1/3)-1)+0.9*($E781*V782+$E783*V784+$E785*V786+$E787*V788+$E789*V790+$E791*V792)</f>
        <v>6.7439661072361254E-2</v>
      </c>
      <c r="W779" s="258"/>
      <c r="X779" s="258"/>
    </row>
    <row r="780" spans="1:26" outlineLevel="1">
      <c r="A780" s="306"/>
      <c r="B780" s="306"/>
      <c r="C780" s="306"/>
      <c r="D780" s="307" t="s">
        <v>912</v>
      </c>
      <c r="E780" s="112" t="s">
        <v>914</v>
      </c>
      <c r="F780" s="112"/>
      <c r="G780" s="112"/>
      <c r="H780" s="112"/>
      <c r="I780" s="112"/>
      <c r="J780" s="112"/>
      <c r="K780" s="113"/>
      <c r="L780" s="114"/>
      <c r="M780" s="115"/>
      <c r="N780" s="115"/>
      <c r="O780" s="115"/>
      <c r="P780" s="115"/>
      <c r="Q780" s="115"/>
      <c r="R780" s="115"/>
      <c r="S780" s="115"/>
      <c r="T780" s="115"/>
      <c r="U780" s="115"/>
      <c r="V780" s="115"/>
      <c r="W780" s="303"/>
      <c r="X780" s="303"/>
    </row>
    <row r="781" spans="1:26" outlineLevel="1">
      <c r="A781" s="308"/>
      <c r="B781" s="308"/>
      <c r="C781" s="308"/>
      <c r="D781" s="308" t="s">
        <v>937</v>
      </c>
      <c r="E781" s="309">
        <f>W782/$W$793</f>
        <v>0.12684321118872127</v>
      </c>
      <c r="F781" s="310"/>
      <c r="G781" s="310"/>
      <c r="H781" s="310"/>
      <c r="I781" s="310"/>
      <c r="J781" s="310"/>
      <c r="K781" s="310"/>
      <c r="L781" s="329">
        <f>L1174</f>
        <v>425.32100000000003</v>
      </c>
      <c r="M781" s="329">
        <f t="shared" ref="M781:U781" si="509">M1174</f>
        <v>529.40099999999995</v>
      </c>
      <c r="N781" s="329">
        <f t="shared" si="509"/>
        <v>430.84699999999998</v>
      </c>
      <c r="O781" s="329">
        <f t="shared" si="509"/>
        <v>469.75299999999999</v>
      </c>
      <c r="P781" s="329">
        <f t="shared" si="509"/>
        <v>514.50300000000004</v>
      </c>
      <c r="Q781" s="329">
        <f t="shared" si="509"/>
        <v>470.35399999999998</v>
      </c>
      <c r="R781" s="329">
        <f t="shared" si="509"/>
        <v>496.14499999999998</v>
      </c>
      <c r="S781" s="329">
        <f t="shared" si="509"/>
        <v>522.93799999999999</v>
      </c>
      <c r="T781" s="329">
        <f t="shared" si="509"/>
        <v>553.78399999999999</v>
      </c>
      <c r="U781" s="329">
        <f t="shared" si="509"/>
        <v>589.50099999999998</v>
      </c>
      <c r="V781" s="329">
        <f t="shared" ref="V781" si="510">V1174</f>
        <v>623.40700000000004</v>
      </c>
      <c r="W781" s="302" t="s">
        <v>915</v>
      </c>
      <c r="X781" s="303"/>
    </row>
    <row r="782" spans="1:26" outlineLevel="1">
      <c r="A782" s="312"/>
      <c r="B782" s="312"/>
      <c r="C782" s="312"/>
      <c r="D782" s="312" t="s">
        <v>892</v>
      </c>
      <c r="E782" s="312"/>
      <c r="F782" s="312"/>
      <c r="G782" s="312"/>
      <c r="H782" s="312"/>
      <c r="I782" s="312"/>
      <c r="J782" s="312"/>
      <c r="K782" s="312"/>
      <c r="L782" s="312"/>
      <c r="M782" s="313">
        <f>M781/L781-1</f>
        <v>0.24470929015966747</v>
      </c>
      <c r="N782" s="313">
        <f t="shared" ref="N782" si="511">N781/M781-1</f>
        <v>-0.18616134083615254</v>
      </c>
      <c r="O782" s="313">
        <f t="shared" ref="O782" si="512">O781/N781-1</f>
        <v>9.0301197408825029E-2</v>
      </c>
      <c r="P782" s="313">
        <f t="shared" ref="P782" si="513">P781/O781-1</f>
        <v>9.5262829614712441E-2</v>
      </c>
      <c r="Q782" s="313">
        <f t="shared" ref="Q782" si="514">Q781/P781-1</f>
        <v>-8.5809023465363787E-2</v>
      </c>
      <c r="R782" s="313">
        <f t="shared" ref="R782" si="515">R781/Q781-1</f>
        <v>5.4833168209476257E-2</v>
      </c>
      <c r="S782" s="313">
        <f t="shared" ref="S782" si="516">S781/R781-1</f>
        <v>5.4002358181580057E-2</v>
      </c>
      <c r="T782" s="313">
        <f t="shared" ref="T782" si="517">T781/S781-1</f>
        <v>5.8985960094695811E-2</v>
      </c>
      <c r="U782" s="313">
        <f t="shared" ref="U782:V782" si="518">U781/T781-1</f>
        <v>6.4496265692038701E-2</v>
      </c>
      <c r="V782" s="313">
        <f t="shared" si="518"/>
        <v>5.7516441872023982E-2</v>
      </c>
      <c r="W782" s="304">
        <f>CORREL(M782:P782,M$779:P$779)</f>
        <v>0.40555567702085688</v>
      </c>
      <c r="X782" s="314"/>
    </row>
    <row r="783" spans="1:26" ht="15.75" customHeight="1" outlineLevel="1">
      <c r="A783" s="310"/>
      <c r="B783" s="310"/>
      <c r="C783" s="310"/>
      <c r="D783" s="310" t="s">
        <v>936</v>
      </c>
      <c r="E783" s="309">
        <f>W784/$W$793</f>
        <v>9.098551460599992E-2</v>
      </c>
      <c r="F783" s="310"/>
      <c r="G783" s="310"/>
      <c r="H783" s="310"/>
      <c r="I783" s="310"/>
      <c r="J783" s="310"/>
      <c r="K783" s="310"/>
      <c r="L783" s="329">
        <f t="shared" ref="L783:U783" si="519">L1176</f>
        <v>268203.56</v>
      </c>
      <c r="M783" s="329">
        <f t="shared" si="519"/>
        <v>329640.87</v>
      </c>
      <c r="N783" s="329">
        <f t="shared" si="519"/>
        <v>266283.2</v>
      </c>
      <c r="O783" s="329">
        <f t="shared" si="519"/>
        <v>295763.96999999997</v>
      </c>
      <c r="P783" s="329">
        <f t="shared" si="519"/>
        <v>306943.82</v>
      </c>
      <c r="Q783" s="329">
        <f t="shared" si="519"/>
        <v>332356.61829999997</v>
      </c>
      <c r="R783" s="329">
        <f t="shared" si="519"/>
        <v>352225.2107</v>
      </c>
      <c r="S783" s="329">
        <f t="shared" si="519"/>
        <v>371576.09950000001</v>
      </c>
      <c r="T783" s="329">
        <f t="shared" si="519"/>
        <v>386358.77990000002</v>
      </c>
      <c r="U783" s="329">
        <f t="shared" si="519"/>
        <v>409235.93204273965</v>
      </c>
      <c r="V783" s="329">
        <f t="shared" ref="V783" si="520">V1176</f>
        <v>431088.18074672733</v>
      </c>
      <c r="W783" s="304"/>
      <c r="X783" s="315"/>
    </row>
    <row r="784" spans="1:26" outlineLevel="1">
      <c r="A784" s="312"/>
      <c r="B784" s="312"/>
      <c r="C784" s="312"/>
      <c r="D784" s="312" t="s">
        <v>892</v>
      </c>
      <c r="E784" s="312"/>
      <c r="F784" s="312"/>
      <c r="G784" s="312"/>
      <c r="H784" s="312"/>
      <c r="I784" s="312"/>
      <c r="J784" s="312"/>
      <c r="K784" s="312"/>
      <c r="L784" s="312"/>
      <c r="M784" s="316">
        <f>M783/L783-1</f>
        <v>0.22906970362362089</v>
      </c>
      <c r="N784" s="316">
        <f t="shared" ref="N784" si="521">N783/M783-1</f>
        <v>-0.19220210770587998</v>
      </c>
      <c r="O784" s="316">
        <f t="shared" ref="O784" si="522">O783/N783-1</f>
        <v>0.11071209148755901</v>
      </c>
      <c r="P784" s="316">
        <f t="shared" ref="P784" si="523">P783/O783-1</f>
        <v>3.7799905106764786E-2</v>
      </c>
      <c r="Q784" s="316">
        <f t="shared" ref="Q784" si="524">Q783/P783-1</f>
        <v>8.2792995473894848E-2</v>
      </c>
      <c r="R784" s="316">
        <f t="shared" ref="R784" si="525">R783/Q783-1</f>
        <v>5.9780944040253026E-2</v>
      </c>
      <c r="S784" s="316">
        <f t="shared" ref="S784" si="526">S783/R783-1</f>
        <v>5.4938965787096006E-2</v>
      </c>
      <c r="T784" s="316">
        <f t="shared" ref="T784" si="527">T783/S783-1</f>
        <v>3.9783722418885059E-2</v>
      </c>
      <c r="U784" s="316">
        <f t="shared" ref="U784:V784" si="528">U783/T783-1</f>
        <v>5.9212196882547419E-2</v>
      </c>
      <c r="V784" s="316">
        <f t="shared" si="528"/>
        <v>5.339767843676424E-2</v>
      </c>
      <c r="W784" s="304">
        <f>CORREL(M784:P784,M$779:P$779)</f>
        <v>0.29090789825737579</v>
      </c>
      <c r="X784" s="317"/>
    </row>
    <row r="785" spans="1:26" ht="21" customHeight="1" outlineLevel="1">
      <c r="A785" s="310"/>
      <c r="B785" s="310"/>
      <c r="C785" s="310"/>
      <c r="D785" s="310" t="s">
        <v>916</v>
      </c>
      <c r="E785" s="309">
        <f>W786/$W$793</f>
        <v>0.17039336735387772</v>
      </c>
      <c r="F785" s="310"/>
      <c r="G785" s="310"/>
      <c r="H785" s="310"/>
      <c r="I785" s="310"/>
      <c r="J785" s="310"/>
      <c r="K785" s="310"/>
      <c r="L785" s="329">
        <f>L1184</f>
        <v>105911</v>
      </c>
      <c r="M785" s="329">
        <f t="shared" ref="M785:U785" si="529">M1184</f>
        <v>107942</v>
      </c>
      <c r="N785" s="329">
        <f t="shared" si="529"/>
        <v>103397</v>
      </c>
      <c r="O785" s="329">
        <f t="shared" si="529"/>
        <v>102162.46730120073</v>
      </c>
      <c r="P785" s="329">
        <f t="shared" si="529"/>
        <v>102961.52808660103</v>
      </c>
      <c r="Q785" s="329">
        <f t="shared" si="529"/>
        <v>104281.82642289056</v>
      </c>
      <c r="R785" s="329">
        <f t="shared" si="529"/>
        <v>106092.99932640951</v>
      </c>
      <c r="S785" s="329">
        <f t="shared" si="529"/>
        <v>107374.74549474263</v>
      </c>
      <c r="T785" s="329">
        <f t="shared" si="529"/>
        <v>108052.42439100673</v>
      </c>
      <c r="U785" s="329">
        <f t="shared" si="529"/>
        <v>109801.45941458517</v>
      </c>
      <c r="V785" s="329">
        <f t="shared" ref="V785" si="530">V1184</f>
        <v>111226.42626151063</v>
      </c>
      <c r="W785" s="315"/>
      <c r="X785" s="315"/>
    </row>
    <row r="786" spans="1:26" outlineLevel="1">
      <c r="A786" s="312"/>
      <c r="B786" s="312"/>
      <c r="C786" s="312"/>
      <c r="D786" s="312" t="s">
        <v>892</v>
      </c>
      <c r="E786" s="312"/>
      <c r="F786" s="312"/>
      <c r="G786" s="312"/>
      <c r="H786" s="312"/>
      <c r="I786" s="312"/>
      <c r="J786" s="312"/>
      <c r="K786" s="312"/>
      <c r="L786" s="312"/>
      <c r="M786" s="316">
        <f>M785/L785-1</f>
        <v>1.9176478363909233E-2</v>
      </c>
      <c r="N786" s="316">
        <f t="shared" ref="N786" si="531">N785/M785-1</f>
        <v>-4.2105945785699705E-2</v>
      </c>
      <c r="O786" s="316">
        <f t="shared" ref="O786" si="532">O785/N785-1</f>
        <v>-1.1939734216653064E-2</v>
      </c>
      <c r="P786" s="316">
        <f t="shared" ref="P786" si="533">P785/O785-1</f>
        <v>7.8214710990138769E-3</v>
      </c>
      <c r="Q786" s="316">
        <f t="shared" ref="Q786" si="534">Q785/P785-1</f>
        <v>1.2823220098083787E-2</v>
      </c>
      <c r="R786" s="316">
        <f t="shared" ref="R786" si="535">R785/Q785-1</f>
        <v>1.7368058900063321E-2</v>
      </c>
      <c r="S786" s="316">
        <f t="shared" ref="S786" si="536">S785/R785-1</f>
        <v>1.2081345390091647E-2</v>
      </c>
      <c r="T786" s="316">
        <f t="shared" ref="T786" si="537">T785/S785-1</f>
        <v>6.3113434461856688E-3</v>
      </c>
      <c r="U786" s="316">
        <f t="shared" ref="U786:V786" si="538">U785/T785-1</f>
        <v>1.6186911431521844E-2</v>
      </c>
      <c r="V786" s="316">
        <f t="shared" si="538"/>
        <v>1.2977667642331658E-2</v>
      </c>
      <c r="W786" s="304">
        <f>CORREL(M786:P786,M$779:P$779)</f>
        <v>0.54479854940167327</v>
      </c>
      <c r="X786" s="317"/>
    </row>
    <row r="787" spans="1:26" ht="17.25" customHeight="1" outlineLevel="1">
      <c r="A787" s="310"/>
      <c r="B787" s="310"/>
      <c r="C787" s="310"/>
      <c r="D787" s="310" t="s">
        <v>942</v>
      </c>
      <c r="E787" s="309">
        <f>W788/$W$793</f>
        <v>0.26366589365260273</v>
      </c>
      <c r="F787" s="310"/>
      <c r="G787" s="310"/>
      <c r="H787" s="310"/>
      <c r="I787" s="310"/>
      <c r="J787" s="310"/>
      <c r="K787" s="310"/>
      <c r="L787" s="311">
        <f>L1194</f>
        <v>7.1269999999999998</v>
      </c>
      <c r="M787" s="311">
        <f t="shared" ref="M787:U787" si="539">M1194</f>
        <v>8.4009999999999998</v>
      </c>
      <c r="N787" s="311">
        <f t="shared" si="539"/>
        <v>9.2219999999999995</v>
      </c>
      <c r="O787" s="311">
        <f t="shared" si="539"/>
        <v>10.276999999999999</v>
      </c>
      <c r="P787" s="311">
        <f t="shared" si="539"/>
        <v>11.22</v>
      </c>
      <c r="Q787" s="311">
        <f t="shared" si="539"/>
        <v>11.561999999999999</v>
      </c>
      <c r="R787" s="311">
        <f t="shared" si="539"/>
        <v>12.515000000000001</v>
      </c>
      <c r="S787" s="311">
        <f t="shared" si="539"/>
        <v>13.757999999999999</v>
      </c>
      <c r="T787" s="311">
        <f t="shared" si="539"/>
        <v>15.117000000000001</v>
      </c>
      <c r="U787" s="311">
        <f t="shared" si="539"/>
        <v>16.620999999999999</v>
      </c>
      <c r="V787" s="311">
        <f t="shared" ref="V787" si="540">V1194</f>
        <v>18.199656685051892</v>
      </c>
      <c r="W787" s="304"/>
      <c r="X787" s="315"/>
    </row>
    <row r="788" spans="1:26" outlineLevel="1">
      <c r="A788" s="312"/>
      <c r="B788" s="312"/>
      <c r="C788" s="312"/>
      <c r="D788" s="312" t="s">
        <v>892</v>
      </c>
      <c r="E788" s="312"/>
      <c r="F788" s="312"/>
      <c r="G788" s="312"/>
      <c r="H788" s="312"/>
      <c r="I788" s="312"/>
      <c r="J788" s="312"/>
      <c r="K788" s="312"/>
      <c r="L788" s="312"/>
      <c r="M788" s="316">
        <f>M787/L787-1</f>
        <v>0.1787568401852111</v>
      </c>
      <c r="N788" s="316">
        <f t="shared" ref="N788" si="541">N787/M787-1</f>
        <v>9.7726461135579035E-2</v>
      </c>
      <c r="O788" s="316">
        <f t="shared" ref="O788" si="542">O787/N787-1</f>
        <v>0.11440034699631307</v>
      </c>
      <c r="P788" s="316">
        <f t="shared" ref="P788" si="543">P787/O787-1</f>
        <v>9.1758295222341246E-2</v>
      </c>
      <c r="Q788" s="316">
        <f t="shared" ref="Q788" si="544">Q787/P787-1</f>
        <v>3.0481283422459704E-2</v>
      </c>
      <c r="R788" s="316">
        <f t="shared" ref="R788" si="545">R787/Q787-1</f>
        <v>8.242518595398729E-2</v>
      </c>
      <c r="S788" s="316">
        <f t="shared" ref="S788" si="546">S787/R787-1</f>
        <v>9.9320815021973541E-2</v>
      </c>
      <c r="T788" s="316">
        <f t="shared" ref="T788" si="547">T787/S787-1</f>
        <v>9.8778892280855013E-2</v>
      </c>
      <c r="U788" s="316">
        <f t="shared" ref="U788:V788" si="548">U787/T787-1</f>
        <v>9.9490639677184411E-2</v>
      </c>
      <c r="V788" s="316">
        <f t="shared" si="548"/>
        <v>9.4979645331321416E-2</v>
      </c>
      <c r="W788" s="304">
        <f>CORREL(M787:P787,M$779:P$779)</f>
        <v>0.84301870794247691</v>
      </c>
      <c r="X788" s="317"/>
    </row>
    <row r="789" spans="1:26" ht="17.25" customHeight="1" outlineLevel="1">
      <c r="A789" s="310"/>
      <c r="B789" s="310"/>
      <c r="C789" s="310"/>
      <c r="D789" s="310" t="s">
        <v>943</v>
      </c>
      <c r="E789" s="309">
        <f>W790/$W$793</f>
        <v>0.15823489514140596</v>
      </c>
      <c r="F789" s="310"/>
      <c r="G789" s="310"/>
      <c r="H789" s="310"/>
      <c r="I789" s="310"/>
      <c r="J789" s="310"/>
      <c r="K789" s="310"/>
      <c r="L789" s="329">
        <f>L1198</f>
        <v>777.23</v>
      </c>
      <c r="M789" s="329">
        <f t="shared" ref="M789:U789" si="549">M1198</f>
        <v>870.32100000000003</v>
      </c>
      <c r="N789" s="329">
        <f t="shared" si="549"/>
        <v>911.51900000000001</v>
      </c>
      <c r="O789" s="329">
        <f t="shared" si="549"/>
        <v>965.827</v>
      </c>
      <c r="P789" s="329">
        <f t="shared" si="549"/>
        <v>1071.52</v>
      </c>
      <c r="Q789" s="329">
        <f t="shared" si="549"/>
        <v>1148.97</v>
      </c>
      <c r="R789" s="329">
        <f t="shared" si="549"/>
        <v>1272.44</v>
      </c>
      <c r="S789" s="329">
        <f t="shared" si="549"/>
        <v>1424.1</v>
      </c>
      <c r="T789" s="329">
        <f t="shared" si="549"/>
        <v>1589.96</v>
      </c>
      <c r="U789" s="329">
        <f t="shared" si="549"/>
        <v>1770.47</v>
      </c>
      <c r="V789" s="329">
        <f t="shared" ref="V789" si="550">V1198</f>
        <v>1972.5750829079311</v>
      </c>
      <c r="W789" s="304"/>
      <c r="X789" s="315"/>
    </row>
    <row r="790" spans="1:26" outlineLevel="1">
      <c r="A790" s="312"/>
      <c r="B790" s="312"/>
      <c r="C790" s="312"/>
      <c r="D790" s="312" t="s">
        <v>892</v>
      </c>
      <c r="E790" s="312"/>
      <c r="F790" s="312"/>
      <c r="G790" s="312"/>
      <c r="H790" s="312"/>
      <c r="I790" s="312"/>
      <c r="J790" s="312"/>
      <c r="K790" s="312"/>
      <c r="L790" s="312"/>
      <c r="M790" s="316">
        <f t="shared" ref="M790" si="551">M789/L789-1</f>
        <v>0.11977278283133685</v>
      </c>
      <c r="N790" s="316">
        <f t="shared" ref="N790" si="552">N789/M789-1</f>
        <v>4.733655743110865E-2</v>
      </c>
      <c r="O790" s="316">
        <f t="shared" ref="O790" si="553">O789/N789-1</f>
        <v>5.9579668662968155E-2</v>
      </c>
      <c r="P790" s="316">
        <f t="shared" ref="P790" si="554">P789/O789-1</f>
        <v>0.10943264166356914</v>
      </c>
      <c r="Q790" s="316">
        <f t="shared" ref="Q790" si="555">Q789/P789-1</f>
        <v>7.2280498730775022E-2</v>
      </c>
      <c r="R790" s="316">
        <f t="shared" ref="R790" si="556">R789/Q789-1</f>
        <v>0.10746146548647917</v>
      </c>
      <c r="S790" s="316">
        <f t="shared" ref="S790" si="557">S789/R789-1</f>
        <v>0.1191883310804438</v>
      </c>
      <c r="T790" s="316">
        <f t="shared" ref="T790" si="558">T789/S789-1</f>
        <v>0.11646654027104852</v>
      </c>
      <c r="U790" s="316">
        <f t="shared" ref="U790:V790" si="559">U789/T789-1</f>
        <v>0.11353115801655389</v>
      </c>
      <c r="V790" s="316">
        <f t="shared" si="559"/>
        <v>0.11415335075315092</v>
      </c>
      <c r="W790" s="304">
        <f>CORREL(M790:P790,M$779:P$779)</f>
        <v>0.50592427790178307</v>
      </c>
      <c r="X790" s="317"/>
    </row>
    <row r="791" spans="1:26" ht="15.75" customHeight="1" outlineLevel="1">
      <c r="A791" s="310"/>
      <c r="B791" s="310"/>
      <c r="C791" s="310"/>
      <c r="D791" s="310" t="s">
        <v>944</v>
      </c>
      <c r="E791" s="309">
        <f>W792/$W$793</f>
        <v>0.18987711805739238</v>
      </c>
      <c r="F791" s="310"/>
      <c r="G791" s="310"/>
      <c r="H791" s="310"/>
      <c r="I791" s="310"/>
      <c r="J791" s="310"/>
      <c r="K791" s="310"/>
      <c r="L791" s="311">
        <f>L1196</f>
        <v>132.80099999999999</v>
      </c>
      <c r="M791" s="311">
        <f t="shared" ref="M791:U791" si="560">M1196</f>
        <v>142.96199999999999</v>
      </c>
      <c r="N791" s="311">
        <f t="shared" si="560"/>
        <v>140.684</v>
      </c>
      <c r="O791" s="311">
        <f t="shared" si="560"/>
        <v>132.44900000000001</v>
      </c>
      <c r="P791" s="311">
        <f t="shared" si="560"/>
        <v>149.751</v>
      </c>
      <c r="Q791" s="311">
        <f t="shared" si="560"/>
        <v>162.655</v>
      </c>
      <c r="R791" s="311">
        <f t="shared" si="560"/>
        <v>183.536</v>
      </c>
      <c r="S791" s="311">
        <f t="shared" si="560"/>
        <v>207.78800000000001</v>
      </c>
      <c r="T791" s="311">
        <f t="shared" si="560"/>
        <v>233.256</v>
      </c>
      <c r="U791" s="311">
        <f t="shared" si="560"/>
        <v>261.50700000000001</v>
      </c>
      <c r="V791" s="311">
        <f t="shared" ref="V791" si="561">V1196</f>
        <v>294.46744874665939</v>
      </c>
      <c r="W791" s="304"/>
      <c r="X791" s="315"/>
    </row>
    <row r="792" spans="1:26" outlineLevel="1">
      <c r="A792" s="312"/>
      <c r="B792" s="312"/>
      <c r="C792" s="312"/>
      <c r="D792" s="312" t="s">
        <v>892</v>
      </c>
      <c r="E792" s="312"/>
      <c r="F792" s="312"/>
      <c r="G792" s="312"/>
      <c r="H792" s="312"/>
      <c r="I792" s="312"/>
      <c r="J792" s="312"/>
      <c r="K792" s="312"/>
      <c r="L792" s="312"/>
      <c r="M792" s="316">
        <f t="shared" ref="M792" si="562">M791/L791-1</f>
        <v>7.6512978064924297E-2</v>
      </c>
      <c r="N792" s="316">
        <f t="shared" ref="N792" si="563">N791/M791-1</f>
        <v>-1.5934304220701967E-2</v>
      </c>
      <c r="O792" s="316">
        <f t="shared" ref="O792" si="564">O791/N791-1</f>
        <v>-5.8535441130476706E-2</v>
      </c>
      <c r="P792" s="316">
        <f t="shared" ref="P792" si="565">P791/O791-1</f>
        <v>0.13063141284569912</v>
      </c>
      <c r="Q792" s="316">
        <f t="shared" ref="Q792" si="566">Q791/P791-1</f>
        <v>8.6169708382581645E-2</v>
      </c>
      <c r="R792" s="316">
        <f t="shared" ref="R792" si="567">R791/Q791-1</f>
        <v>0.12837601057452885</v>
      </c>
      <c r="S792" s="316">
        <f t="shared" ref="S792" si="568">S791/R791-1</f>
        <v>0.13213756429256396</v>
      </c>
      <c r="T792" s="316">
        <f t="shared" ref="T792" si="569">T791/S791-1</f>
        <v>0.1225672319864477</v>
      </c>
      <c r="U792" s="316">
        <f t="shared" ref="U792:V792" si="570">U791/T791-1</f>
        <v>0.12111585554069348</v>
      </c>
      <c r="V792" s="316">
        <f t="shared" si="570"/>
        <v>0.12604040712737863</v>
      </c>
      <c r="W792" s="304">
        <f>CORREL(M792:P792,M$779:P$779)</f>
        <v>0.60709392676887841</v>
      </c>
      <c r="X792" s="317"/>
    </row>
    <row r="793" spans="1:26" outlineLevel="1">
      <c r="A793" s="116"/>
      <c r="B793" s="318"/>
      <c r="C793" s="310"/>
      <c r="D793" s="319" t="s">
        <v>919</v>
      </c>
      <c r="E793" s="356">
        <f>E781+E783+E785+E787+E789+E791</f>
        <v>1</v>
      </c>
      <c r="F793" s="310"/>
      <c r="G793" s="310"/>
      <c r="H793" s="310"/>
      <c r="I793" s="310"/>
      <c r="J793" s="310"/>
      <c r="K793" s="310"/>
      <c r="L793" s="310"/>
      <c r="M793" s="310"/>
      <c r="N793" s="310"/>
      <c r="O793" s="310"/>
      <c r="P793" s="310"/>
      <c r="Q793" s="310"/>
      <c r="R793" s="310"/>
      <c r="S793" s="310"/>
      <c r="T793" s="310"/>
      <c r="U793" s="310"/>
      <c r="V793" s="310"/>
      <c r="W793" s="320">
        <f>SUM(W782:W792)</f>
        <v>3.1972990372930443</v>
      </c>
      <c r="X793" s="315"/>
    </row>
    <row r="794" spans="1:26">
      <c r="A794" s="46" t="str">
        <f>'Secondary cum Calculation'!A722</f>
        <v>Poland</v>
      </c>
      <c r="B794" s="47" t="str">
        <f>'Secondary cum Calculation'!B722</f>
        <v>Tourism Flows</v>
      </c>
      <c r="C794" s="47" t="str">
        <f>'Secondary cum Calculation'!C722</f>
        <v>International Departures by Destination</v>
      </c>
      <c r="D794" s="47" t="str">
        <f>'Secondary cum Calculation'!D722</f>
        <v>Asia-Pacific</v>
      </c>
      <c r="E794" s="46" t="str">
        <f>'Secondary cum Calculation'!E722</f>
        <v>Afghanistan</v>
      </c>
      <c r="F794" s="48" t="str">
        <f>'Secondary cum Calculation'!F722</f>
        <v>The number of international departures from a country to Afghanistan</v>
      </c>
      <c r="G794" s="48" t="str">
        <f>'Secondary cum Calculation'!G722</f>
        <v>Tourism Demand &amp; Flows Database</v>
      </c>
      <c r="H794" s="48" t="str">
        <f>'Secondary cum Calculation'!H722</f>
        <v>New</v>
      </c>
      <c r="I794" s="48">
        <f>'Secondary cum Calculation'!I722</f>
        <v>0</v>
      </c>
      <c r="J794" s="48" t="str">
        <f>'Secondary cum Calculation'!J722</f>
        <v>Thousand</v>
      </c>
      <c r="K794" s="49">
        <f>'Secondary cum Calculation'!K722</f>
        <v>0</v>
      </c>
      <c r="L794" s="92">
        <f>'Secondary cum Calculation'!L722</f>
        <v>0</v>
      </c>
      <c r="M794" s="92">
        <f>'Secondary cum Calculation'!M722</f>
        <v>0</v>
      </c>
      <c r="N794" s="92">
        <f>'Secondary cum Calculation'!N722</f>
        <v>0</v>
      </c>
      <c r="O794" s="53">
        <f>'Secondary cum Calculation'!O722</f>
        <v>0</v>
      </c>
      <c r="P794" s="53">
        <f>'Secondary cum Calculation'!P722</f>
        <v>0</v>
      </c>
      <c r="Q794" s="53"/>
      <c r="R794" s="53"/>
      <c r="S794" s="53"/>
      <c r="T794" s="53"/>
      <c r="U794" s="53"/>
      <c r="V794" s="53"/>
      <c r="W794" s="102" t="e">
        <f>'Secondary cum Calculation'!W722</f>
        <v>#DIV/0!</v>
      </c>
      <c r="X794" s="102" t="e">
        <f>'Secondary cum Calculation'!X722</f>
        <v>#DIV/0!</v>
      </c>
      <c r="Z794" s="11"/>
    </row>
    <row r="795" spans="1:26">
      <c r="A795" s="48"/>
      <c r="B795" s="48"/>
      <c r="C795" s="52" t="str">
        <f>'Secondary cum Calculation'!C723</f>
        <v>Growth Rate</v>
      </c>
      <c r="D795" s="52"/>
      <c r="E795" s="52"/>
      <c r="F795" s="52">
        <f>'Secondary cum Calculation'!F723</f>
        <v>0</v>
      </c>
      <c r="G795" s="52">
        <f>'Secondary cum Calculation'!G723</f>
        <v>0</v>
      </c>
      <c r="H795" s="52">
        <f>'Secondary cum Calculation'!H723</f>
        <v>0</v>
      </c>
      <c r="I795" s="52">
        <f>'Secondary cum Calculation'!I723</f>
        <v>0</v>
      </c>
      <c r="J795" s="52" t="str">
        <f>'Secondary cum Calculation'!J723</f>
        <v>%</v>
      </c>
      <c r="K795" s="49">
        <f>'Secondary cum Calculation'!K723</f>
        <v>0</v>
      </c>
      <c r="L795" s="53"/>
      <c r="M795" s="54" t="e">
        <f>'Secondary cum Calculation'!M723</f>
        <v>#DIV/0!</v>
      </c>
      <c r="N795" s="54" t="e">
        <f>'Secondary cum Calculation'!N723</f>
        <v>#DIV/0!</v>
      </c>
      <c r="O795" s="54" t="e">
        <f>'Secondary cum Calculation'!O723</f>
        <v>#DIV/0!</v>
      </c>
      <c r="P795" s="54" t="e">
        <f>'Secondary cum Calculation'!P723</f>
        <v>#DIV/0!</v>
      </c>
      <c r="Q795" s="54"/>
      <c r="R795" s="54"/>
      <c r="S795" s="54"/>
      <c r="T795" s="54"/>
      <c r="U795" s="54"/>
      <c r="V795" s="54"/>
      <c r="W795" s="258"/>
      <c r="X795" s="258"/>
    </row>
    <row r="796" spans="1:26">
      <c r="A796" s="46" t="str">
        <f>'Secondary cum Calculation'!A724</f>
        <v>Poland</v>
      </c>
      <c r="B796" s="47" t="str">
        <f>'Secondary cum Calculation'!B724</f>
        <v>Tourism Flows</v>
      </c>
      <c r="C796" s="47" t="str">
        <f>'Secondary cum Calculation'!C724</f>
        <v>International Departures by Destination</v>
      </c>
      <c r="D796" s="47" t="str">
        <f>'Secondary cum Calculation'!D724</f>
        <v>Asia-Pacific</v>
      </c>
      <c r="E796" s="46" t="str">
        <f>'Secondary cum Calculation'!E724</f>
        <v>Australia</v>
      </c>
      <c r="F796" s="48" t="str">
        <f>'Secondary cum Calculation'!F724</f>
        <v>The number of international departures from a country to Australia</v>
      </c>
      <c r="G796" s="48" t="str">
        <f>'Secondary cum Calculation'!G724</f>
        <v>Tourism Demand &amp; Flows Database</v>
      </c>
      <c r="H796" s="48" t="str">
        <f>'Secondary cum Calculation'!H724</f>
        <v>New</v>
      </c>
      <c r="I796" s="48">
        <f>'Secondary cum Calculation'!I724</f>
        <v>0</v>
      </c>
      <c r="J796" s="48" t="str">
        <f>'Secondary cum Calculation'!J724</f>
        <v>Thousand</v>
      </c>
      <c r="K796" s="49">
        <f>'Secondary cum Calculation'!K724</f>
        <v>603</v>
      </c>
      <c r="L796" s="53">
        <f>'Secondary cum Calculation'!L724</f>
        <v>0</v>
      </c>
      <c r="M796" s="53">
        <f>'Secondary cum Calculation'!M724</f>
        <v>0</v>
      </c>
      <c r="N796" s="53">
        <f>'Secondary cum Calculation'!N724</f>
        <v>0</v>
      </c>
      <c r="O796" s="53">
        <f>'Secondary cum Calculation'!O724</f>
        <v>0</v>
      </c>
      <c r="P796" s="53">
        <f>'Secondary cum Calculation'!P724</f>
        <v>0</v>
      </c>
      <c r="Q796" s="53"/>
      <c r="R796" s="53"/>
      <c r="S796" s="53"/>
      <c r="T796" s="53"/>
      <c r="U796" s="53"/>
      <c r="V796" s="53"/>
      <c r="W796" s="102" t="e">
        <f>'Secondary cum Calculation'!W724</f>
        <v>#DIV/0!</v>
      </c>
      <c r="X796" s="102" t="e">
        <f>'Secondary cum Calculation'!X724</f>
        <v>#DIV/0!</v>
      </c>
      <c r="Z796" s="11"/>
    </row>
    <row r="797" spans="1:26">
      <c r="A797" s="48"/>
      <c r="B797" s="48"/>
      <c r="C797" s="52" t="str">
        <f>'Secondary cum Calculation'!C725</f>
        <v>Growth Rate</v>
      </c>
      <c r="D797" s="52"/>
      <c r="E797" s="52"/>
      <c r="F797" s="52">
        <f>'Secondary cum Calculation'!F725</f>
        <v>0</v>
      </c>
      <c r="G797" s="52">
        <f>'Secondary cum Calculation'!G725</f>
        <v>0</v>
      </c>
      <c r="H797" s="52">
        <f>'Secondary cum Calculation'!H725</f>
        <v>0</v>
      </c>
      <c r="I797" s="52">
        <f>'Secondary cum Calculation'!I725</f>
        <v>0</v>
      </c>
      <c r="J797" s="52" t="str">
        <f>'Secondary cum Calculation'!J725</f>
        <v>%</v>
      </c>
      <c r="K797" s="49">
        <f>'Secondary cum Calculation'!K725</f>
        <v>0</v>
      </c>
      <c r="L797" s="53"/>
      <c r="M797" s="54" t="e">
        <f>'Secondary cum Calculation'!M725</f>
        <v>#DIV/0!</v>
      </c>
      <c r="N797" s="54" t="e">
        <f>'Secondary cum Calculation'!N725</f>
        <v>#DIV/0!</v>
      </c>
      <c r="O797" s="54" t="e">
        <f>'Secondary cum Calculation'!O725</f>
        <v>#DIV/0!</v>
      </c>
      <c r="P797" s="54" t="e">
        <f>'Secondary cum Calculation'!P725</f>
        <v>#DIV/0!</v>
      </c>
      <c r="Q797" s="54"/>
      <c r="R797" s="54"/>
      <c r="S797" s="54"/>
      <c r="T797" s="54"/>
      <c r="U797" s="54"/>
      <c r="V797" s="54"/>
      <c r="W797" s="258"/>
      <c r="X797" s="258"/>
    </row>
    <row r="798" spans="1:26">
      <c r="A798" s="46" t="str">
        <f>'Secondary cum Calculation'!A726</f>
        <v>Poland</v>
      </c>
      <c r="B798" s="47" t="str">
        <f>'Secondary cum Calculation'!B726</f>
        <v>Tourism Flows</v>
      </c>
      <c r="C798" s="47" t="str">
        <f>'Secondary cum Calculation'!C726</f>
        <v>International Departures by Destination</v>
      </c>
      <c r="D798" s="47" t="str">
        <f>'Secondary cum Calculation'!D726</f>
        <v>Asia-Pacific</v>
      </c>
      <c r="E798" s="46" t="str">
        <f>'Secondary cum Calculation'!E726</f>
        <v>Azerbaijan</v>
      </c>
      <c r="F798" s="48" t="str">
        <f>'Secondary cum Calculation'!F726</f>
        <v>The number of international departures from a country to Azerbaijan</v>
      </c>
      <c r="G798" s="48" t="str">
        <f>'Secondary cum Calculation'!G726</f>
        <v>Tourism Demand &amp; Flows Database</v>
      </c>
      <c r="H798" s="48" t="str">
        <f>'Secondary cum Calculation'!H726</f>
        <v>New</v>
      </c>
      <c r="I798" s="48">
        <f>'Secondary cum Calculation'!I726</f>
        <v>0</v>
      </c>
      <c r="J798" s="48" t="str">
        <f>'Secondary cum Calculation'!J726</f>
        <v>Thousand</v>
      </c>
      <c r="K798" s="49">
        <f>'Secondary cum Calculation'!K726</f>
        <v>0</v>
      </c>
      <c r="L798" s="92">
        <f>'Secondary cum Calculation'!L726</f>
        <v>0</v>
      </c>
      <c r="M798" s="92">
        <f>'Secondary cum Calculation'!M726</f>
        <v>0</v>
      </c>
      <c r="N798" s="92">
        <f>'Secondary cum Calculation'!N726</f>
        <v>0</v>
      </c>
      <c r="O798" s="89">
        <f>'Secondary cum Calculation'!O726</f>
        <v>0</v>
      </c>
      <c r="P798" s="89">
        <f>'Secondary cum Calculation'!P726</f>
        <v>0</v>
      </c>
      <c r="Q798" s="89"/>
      <c r="R798" s="89"/>
      <c r="S798" s="89"/>
      <c r="T798" s="89"/>
      <c r="U798" s="89"/>
      <c r="V798" s="89"/>
      <c r="W798" s="102" t="e">
        <f>'Secondary cum Calculation'!W726</f>
        <v>#DIV/0!</v>
      </c>
      <c r="X798" s="102" t="e">
        <f>'Secondary cum Calculation'!X726</f>
        <v>#DIV/0!</v>
      </c>
      <c r="Z798" s="11"/>
    </row>
    <row r="799" spans="1:26">
      <c r="A799" s="48"/>
      <c r="B799" s="48"/>
      <c r="C799" s="52" t="str">
        <f>'Secondary cum Calculation'!C727</f>
        <v>Growth Rate</v>
      </c>
      <c r="D799" s="52"/>
      <c r="E799" s="52"/>
      <c r="F799" s="52">
        <f>'Secondary cum Calculation'!F727</f>
        <v>0</v>
      </c>
      <c r="G799" s="52">
        <f>'Secondary cum Calculation'!G727</f>
        <v>0</v>
      </c>
      <c r="H799" s="52">
        <f>'Secondary cum Calculation'!H727</f>
        <v>0</v>
      </c>
      <c r="I799" s="52">
        <f>'Secondary cum Calculation'!I727</f>
        <v>0</v>
      </c>
      <c r="J799" s="52" t="str">
        <f>'Secondary cum Calculation'!J727</f>
        <v>%</v>
      </c>
      <c r="K799" s="49">
        <f>'Secondary cum Calculation'!K727</f>
        <v>0</v>
      </c>
      <c r="L799" s="53"/>
      <c r="M799" s="54" t="e">
        <f>'Secondary cum Calculation'!M727</f>
        <v>#DIV/0!</v>
      </c>
      <c r="N799" s="54" t="e">
        <f>'Secondary cum Calculation'!N727</f>
        <v>#DIV/0!</v>
      </c>
      <c r="O799" s="54" t="e">
        <f>'Secondary cum Calculation'!O727</f>
        <v>#DIV/0!</v>
      </c>
      <c r="P799" s="54" t="e">
        <f>'Secondary cum Calculation'!P727</f>
        <v>#DIV/0!</v>
      </c>
      <c r="Q799" s="54"/>
      <c r="R799" s="54"/>
      <c r="S799" s="54"/>
      <c r="T799" s="54"/>
      <c r="U799" s="54"/>
      <c r="V799" s="54"/>
      <c r="W799" s="258"/>
      <c r="X799" s="258"/>
    </row>
    <row r="800" spans="1:26">
      <c r="A800" s="46" t="str">
        <f>'Secondary cum Calculation'!A728</f>
        <v>Poland</v>
      </c>
      <c r="B800" s="47" t="str">
        <f>'Secondary cum Calculation'!B728</f>
        <v>Tourism Flows</v>
      </c>
      <c r="C800" s="47" t="str">
        <f>'Secondary cum Calculation'!C728</f>
        <v>International Departures by Destination</v>
      </c>
      <c r="D800" s="47" t="str">
        <f>'Secondary cum Calculation'!D728</f>
        <v>Asia-Pacific</v>
      </c>
      <c r="E800" s="46" t="str">
        <f>'Secondary cum Calculation'!E728</f>
        <v>Bangladesh</v>
      </c>
      <c r="F800" s="48" t="str">
        <f>'Secondary cum Calculation'!F728</f>
        <v>The number of international departures from a country to Bangladesh</v>
      </c>
      <c r="G800" s="48" t="str">
        <f>'Secondary cum Calculation'!G728</f>
        <v>Tourism Demand &amp; Flows Database</v>
      </c>
      <c r="H800" s="48" t="str">
        <f>'Secondary cum Calculation'!H728</f>
        <v>New</v>
      </c>
      <c r="I800" s="48">
        <f>'Secondary cum Calculation'!I728</f>
        <v>0</v>
      </c>
      <c r="J800" s="48" t="str">
        <f>'Secondary cum Calculation'!J728</f>
        <v>Thousand</v>
      </c>
      <c r="K800" s="49">
        <f>'Secondary cum Calculation'!K728</f>
        <v>0</v>
      </c>
      <c r="L800" s="92">
        <f>'Secondary cum Calculation'!L728</f>
        <v>0</v>
      </c>
      <c r="M800" s="92">
        <f>'Secondary cum Calculation'!M728</f>
        <v>0</v>
      </c>
      <c r="N800" s="92">
        <f>'Secondary cum Calculation'!N728</f>
        <v>0</v>
      </c>
      <c r="O800" s="53">
        <f>'Secondary cum Calculation'!O728</f>
        <v>0</v>
      </c>
      <c r="P800" s="53">
        <f>'Secondary cum Calculation'!P728</f>
        <v>0</v>
      </c>
      <c r="Q800" s="53"/>
      <c r="R800" s="53"/>
      <c r="S800" s="53"/>
      <c r="T800" s="53"/>
      <c r="U800" s="53"/>
      <c r="V800" s="53"/>
      <c r="W800" s="102" t="e">
        <f>'Secondary cum Calculation'!W728</f>
        <v>#DIV/0!</v>
      </c>
      <c r="X800" s="102" t="e">
        <f>'Secondary cum Calculation'!X728</f>
        <v>#DIV/0!</v>
      </c>
      <c r="Z800" s="11"/>
    </row>
    <row r="801" spans="1:26">
      <c r="A801" s="48"/>
      <c r="B801" s="48"/>
      <c r="C801" s="52" t="str">
        <f>'Secondary cum Calculation'!C729</f>
        <v>Growth Rate</v>
      </c>
      <c r="D801" s="52"/>
      <c r="E801" s="52"/>
      <c r="F801" s="52">
        <f>'Secondary cum Calculation'!F729</f>
        <v>0</v>
      </c>
      <c r="G801" s="52">
        <f>'Secondary cum Calculation'!G729</f>
        <v>0</v>
      </c>
      <c r="H801" s="52">
        <f>'Secondary cum Calculation'!H729</f>
        <v>0</v>
      </c>
      <c r="I801" s="52">
        <f>'Secondary cum Calculation'!I729</f>
        <v>0</v>
      </c>
      <c r="J801" s="52" t="str">
        <f>'Secondary cum Calculation'!J729</f>
        <v>%</v>
      </c>
      <c r="K801" s="49">
        <f>'Secondary cum Calculation'!K729</f>
        <v>0</v>
      </c>
      <c r="L801" s="53"/>
      <c r="M801" s="54" t="e">
        <f>'Secondary cum Calculation'!M729</f>
        <v>#DIV/0!</v>
      </c>
      <c r="N801" s="54" t="e">
        <f>'Secondary cum Calculation'!N729</f>
        <v>#DIV/0!</v>
      </c>
      <c r="O801" s="54" t="e">
        <f>'Secondary cum Calculation'!O729</f>
        <v>#DIV/0!</v>
      </c>
      <c r="P801" s="54" t="e">
        <f>'Secondary cum Calculation'!P729</f>
        <v>#DIV/0!</v>
      </c>
      <c r="Q801" s="54"/>
      <c r="R801" s="54"/>
      <c r="S801" s="54"/>
      <c r="T801" s="54"/>
      <c r="U801" s="54"/>
      <c r="V801" s="54"/>
      <c r="W801" s="258"/>
      <c r="X801" s="258"/>
    </row>
    <row r="802" spans="1:26">
      <c r="A802" s="46" t="str">
        <f>'Secondary cum Calculation'!A730</f>
        <v>Poland</v>
      </c>
      <c r="B802" s="47" t="str">
        <f>'Secondary cum Calculation'!B730</f>
        <v>Tourism Flows</v>
      </c>
      <c r="C802" s="47" t="str">
        <f>'Secondary cum Calculation'!C730</f>
        <v>International Departures by Destination</v>
      </c>
      <c r="D802" s="47" t="str">
        <f>'Secondary cum Calculation'!D730</f>
        <v>Asia-Pacific</v>
      </c>
      <c r="E802" s="46" t="str">
        <f>'Secondary cum Calculation'!E730</f>
        <v>Bhutan</v>
      </c>
      <c r="F802" s="48" t="str">
        <f>'Secondary cum Calculation'!F730</f>
        <v>The number of international departures from a country to Bhutan</v>
      </c>
      <c r="G802" s="48" t="str">
        <f>'Secondary cum Calculation'!G730</f>
        <v>Tourism Demand &amp; Flows Database</v>
      </c>
      <c r="H802" s="48" t="str">
        <f>'Secondary cum Calculation'!H730</f>
        <v>New</v>
      </c>
      <c r="I802" s="48">
        <f>'Secondary cum Calculation'!I730</f>
        <v>0</v>
      </c>
      <c r="J802" s="48" t="str">
        <f>'Secondary cum Calculation'!J730</f>
        <v>Thousand</v>
      </c>
      <c r="K802" s="49">
        <f>'Secondary cum Calculation'!K730</f>
        <v>0</v>
      </c>
      <c r="L802" s="92">
        <f>'Secondary cum Calculation'!L730</f>
        <v>0</v>
      </c>
      <c r="M802" s="92">
        <f>'Secondary cum Calculation'!M730</f>
        <v>0</v>
      </c>
      <c r="N802" s="92">
        <f>'Secondary cum Calculation'!N730</f>
        <v>0</v>
      </c>
      <c r="O802" s="53">
        <f>'Secondary cum Calculation'!O730</f>
        <v>0</v>
      </c>
      <c r="P802" s="53">
        <f>'Secondary cum Calculation'!P730</f>
        <v>0</v>
      </c>
      <c r="Q802" s="53"/>
      <c r="R802" s="53"/>
      <c r="S802" s="53"/>
      <c r="T802" s="53"/>
      <c r="U802" s="53"/>
      <c r="V802" s="53"/>
      <c r="W802" s="102" t="e">
        <f>'Secondary cum Calculation'!W730</f>
        <v>#DIV/0!</v>
      </c>
      <c r="X802" s="102" t="e">
        <f>'Secondary cum Calculation'!X730</f>
        <v>#DIV/0!</v>
      </c>
      <c r="Z802" s="11"/>
    </row>
    <row r="803" spans="1:26">
      <c r="A803" s="48"/>
      <c r="B803" s="48"/>
      <c r="C803" s="52" t="str">
        <f>'Secondary cum Calculation'!C731</f>
        <v>Growth Rate</v>
      </c>
      <c r="D803" s="52"/>
      <c r="E803" s="52"/>
      <c r="F803" s="52">
        <f>'Secondary cum Calculation'!F731</f>
        <v>0</v>
      </c>
      <c r="G803" s="52">
        <f>'Secondary cum Calculation'!G731</f>
        <v>0</v>
      </c>
      <c r="H803" s="52">
        <f>'Secondary cum Calculation'!H731</f>
        <v>0</v>
      </c>
      <c r="I803" s="52">
        <f>'Secondary cum Calculation'!I731</f>
        <v>0</v>
      </c>
      <c r="J803" s="52" t="str">
        <f>'Secondary cum Calculation'!J731</f>
        <v>%</v>
      </c>
      <c r="K803" s="49">
        <f>'Secondary cum Calculation'!K731</f>
        <v>0</v>
      </c>
      <c r="L803" s="53"/>
      <c r="M803" s="54" t="e">
        <f>'Secondary cum Calculation'!M731</f>
        <v>#DIV/0!</v>
      </c>
      <c r="N803" s="54" t="e">
        <f>'Secondary cum Calculation'!N731</f>
        <v>#DIV/0!</v>
      </c>
      <c r="O803" s="54" t="e">
        <f>'Secondary cum Calculation'!O731</f>
        <v>#DIV/0!</v>
      </c>
      <c r="P803" s="54" t="e">
        <f>'Secondary cum Calculation'!P731</f>
        <v>#DIV/0!</v>
      </c>
      <c r="Q803" s="54"/>
      <c r="R803" s="54"/>
      <c r="S803" s="54"/>
      <c r="T803" s="54"/>
      <c r="U803" s="54"/>
      <c r="V803" s="54"/>
      <c r="W803" s="258"/>
      <c r="X803" s="258"/>
    </row>
    <row r="804" spans="1:26">
      <c r="A804" s="46" t="str">
        <f>'Secondary cum Calculation'!A732</f>
        <v>Poland</v>
      </c>
      <c r="B804" s="47" t="str">
        <f>'Secondary cum Calculation'!B732</f>
        <v>Tourism Flows</v>
      </c>
      <c r="C804" s="47" t="str">
        <f>'Secondary cum Calculation'!C732</f>
        <v>International Departures by Destination</v>
      </c>
      <c r="D804" s="47" t="str">
        <f>'Secondary cum Calculation'!D732</f>
        <v>Asia-Pacific</v>
      </c>
      <c r="E804" s="46" t="str">
        <f>'Secondary cum Calculation'!E732</f>
        <v>Brunei Darussalam</v>
      </c>
      <c r="F804" s="48" t="str">
        <f>'Secondary cum Calculation'!F732</f>
        <v>The number of international departures from a country to Brunei Darussalam</v>
      </c>
      <c r="G804" s="48" t="str">
        <f>'Secondary cum Calculation'!G732</f>
        <v>Tourism Demand &amp; Flows Database</v>
      </c>
      <c r="H804" s="48" t="str">
        <f>'Secondary cum Calculation'!H732</f>
        <v>New</v>
      </c>
      <c r="I804" s="48">
        <f>'Secondary cum Calculation'!I732</f>
        <v>0</v>
      </c>
      <c r="J804" s="48" t="str">
        <f>'Secondary cum Calculation'!J732</f>
        <v>Thousand</v>
      </c>
      <c r="K804" s="49">
        <f>'Secondary cum Calculation'!K732</f>
        <v>0</v>
      </c>
      <c r="L804" s="92">
        <f>'Secondary cum Calculation'!L732</f>
        <v>0</v>
      </c>
      <c r="M804" s="92">
        <f>'Secondary cum Calculation'!M732</f>
        <v>0</v>
      </c>
      <c r="N804" s="92">
        <f>'Secondary cum Calculation'!N732</f>
        <v>0</v>
      </c>
      <c r="O804" s="53">
        <f>'Secondary cum Calculation'!O732</f>
        <v>0</v>
      </c>
      <c r="P804" s="53">
        <f>'Secondary cum Calculation'!P732</f>
        <v>0</v>
      </c>
      <c r="Q804" s="53"/>
      <c r="R804" s="53"/>
      <c r="S804" s="53"/>
      <c r="T804" s="53"/>
      <c r="U804" s="53"/>
      <c r="V804" s="53"/>
      <c r="W804" s="102" t="e">
        <f>'Secondary cum Calculation'!W732</f>
        <v>#DIV/0!</v>
      </c>
      <c r="X804" s="102" t="e">
        <f>'Secondary cum Calculation'!X732</f>
        <v>#DIV/0!</v>
      </c>
      <c r="Z804" s="11"/>
    </row>
    <row r="805" spans="1:26">
      <c r="A805" s="48"/>
      <c r="B805" s="48"/>
      <c r="C805" s="52" t="str">
        <f>'Secondary cum Calculation'!C733</f>
        <v>Growth Rate</v>
      </c>
      <c r="D805" s="52"/>
      <c r="E805" s="52"/>
      <c r="F805" s="52">
        <f>'Secondary cum Calculation'!F733</f>
        <v>0</v>
      </c>
      <c r="G805" s="52">
        <f>'Secondary cum Calculation'!G733</f>
        <v>0</v>
      </c>
      <c r="H805" s="52">
        <f>'Secondary cum Calculation'!H733</f>
        <v>0</v>
      </c>
      <c r="I805" s="52">
        <f>'Secondary cum Calculation'!I733</f>
        <v>0</v>
      </c>
      <c r="J805" s="52" t="str">
        <f>'Secondary cum Calculation'!J733</f>
        <v>%</v>
      </c>
      <c r="K805" s="49">
        <f>'Secondary cum Calculation'!K733</f>
        <v>0</v>
      </c>
      <c r="L805" s="53"/>
      <c r="M805" s="54" t="e">
        <f>'Secondary cum Calculation'!M733</f>
        <v>#DIV/0!</v>
      </c>
      <c r="N805" s="54" t="e">
        <f>'Secondary cum Calculation'!N733</f>
        <v>#DIV/0!</v>
      </c>
      <c r="O805" s="54" t="e">
        <f>'Secondary cum Calculation'!O733</f>
        <v>#DIV/0!</v>
      </c>
      <c r="P805" s="54" t="e">
        <f>'Secondary cum Calculation'!P733</f>
        <v>#DIV/0!</v>
      </c>
      <c r="Q805" s="54"/>
      <c r="R805" s="54"/>
      <c r="S805" s="54"/>
      <c r="T805" s="54"/>
      <c r="U805" s="54"/>
      <c r="V805" s="54"/>
      <c r="W805" s="258"/>
      <c r="X805" s="258"/>
    </row>
    <row r="806" spans="1:26">
      <c r="A806" s="46" t="str">
        <f>'Secondary cum Calculation'!A734</f>
        <v>Poland</v>
      </c>
      <c r="B806" s="47" t="str">
        <f>'Secondary cum Calculation'!B734</f>
        <v>Tourism Flows</v>
      </c>
      <c r="C806" s="47" t="str">
        <f>'Secondary cum Calculation'!C734</f>
        <v>International Departures by Destination</v>
      </c>
      <c r="D806" s="47" t="str">
        <f>'Secondary cum Calculation'!D734</f>
        <v>Asia-Pacific</v>
      </c>
      <c r="E806" s="46" t="str">
        <f>'Secondary cum Calculation'!E734</f>
        <v>Cambodia</v>
      </c>
      <c r="F806" s="48" t="str">
        <f>'Secondary cum Calculation'!F734</f>
        <v>The number of international departures from a country to Cambodia</v>
      </c>
      <c r="G806" s="48" t="str">
        <f>'Secondary cum Calculation'!G734</f>
        <v>Tourism Demand &amp; Flows Database</v>
      </c>
      <c r="H806" s="48" t="str">
        <f>'Secondary cum Calculation'!H734</f>
        <v>New</v>
      </c>
      <c r="I806" s="48">
        <f>'Secondary cum Calculation'!I734</f>
        <v>0</v>
      </c>
      <c r="J806" s="48" t="str">
        <f>'Secondary cum Calculation'!J734</f>
        <v>Thousand</v>
      </c>
      <c r="K806" s="49">
        <f>'Secondary cum Calculation'!K734</f>
        <v>0</v>
      </c>
      <c r="L806" s="92">
        <f>'Secondary cum Calculation'!L734</f>
        <v>0</v>
      </c>
      <c r="M806" s="92">
        <f>'Secondary cum Calculation'!M734</f>
        <v>0</v>
      </c>
      <c r="N806" s="92">
        <f>'Secondary cum Calculation'!N734</f>
        <v>0</v>
      </c>
      <c r="O806" s="93">
        <f>'Secondary cum Calculation'!O734</f>
        <v>0</v>
      </c>
      <c r="P806" s="93">
        <f>'Secondary cum Calculation'!P734</f>
        <v>0</v>
      </c>
      <c r="Q806" s="93"/>
      <c r="R806" s="93"/>
      <c r="S806" s="93"/>
      <c r="T806" s="93"/>
      <c r="U806" s="93"/>
      <c r="V806" s="93"/>
      <c r="W806" s="102" t="e">
        <f>'Secondary cum Calculation'!W734</f>
        <v>#DIV/0!</v>
      </c>
      <c r="X806" s="102" t="e">
        <f>'Secondary cum Calculation'!X734</f>
        <v>#DIV/0!</v>
      </c>
      <c r="Z806" s="11"/>
    </row>
    <row r="807" spans="1:26">
      <c r="A807" s="48"/>
      <c r="B807" s="48"/>
      <c r="C807" s="52" t="str">
        <f>'Secondary cum Calculation'!C735</f>
        <v>Growth Rate</v>
      </c>
      <c r="D807" s="52"/>
      <c r="E807" s="52"/>
      <c r="F807" s="52">
        <f>'Secondary cum Calculation'!F735</f>
        <v>0</v>
      </c>
      <c r="G807" s="52">
        <f>'Secondary cum Calculation'!G735</f>
        <v>0</v>
      </c>
      <c r="H807" s="52">
        <f>'Secondary cum Calculation'!H735</f>
        <v>0</v>
      </c>
      <c r="I807" s="52">
        <f>'Secondary cum Calculation'!I735</f>
        <v>0</v>
      </c>
      <c r="J807" s="52" t="str">
        <f>'Secondary cum Calculation'!J735</f>
        <v>%</v>
      </c>
      <c r="K807" s="49">
        <f>'Secondary cum Calculation'!K735</f>
        <v>0</v>
      </c>
      <c r="L807" s="53"/>
      <c r="M807" s="54" t="e">
        <f>'Secondary cum Calculation'!M735</f>
        <v>#DIV/0!</v>
      </c>
      <c r="N807" s="54" t="e">
        <f>'Secondary cum Calculation'!N735</f>
        <v>#DIV/0!</v>
      </c>
      <c r="O807" s="54" t="e">
        <f>'Secondary cum Calculation'!O735</f>
        <v>#DIV/0!</v>
      </c>
      <c r="P807" s="54" t="e">
        <f>'Secondary cum Calculation'!P735</f>
        <v>#DIV/0!</v>
      </c>
      <c r="Q807" s="54"/>
      <c r="R807" s="54"/>
      <c r="S807" s="54"/>
      <c r="T807" s="54"/>
      <c r="U807" s="54"/>
      <c r="V807" s="54"/>
      <c r="W807" s="258"/>
      <c r="X807" s="258"/>
    </row>
    <row r="808" spans="1:26">
      <c r="A808" s="46" t="str">
        <f>'Secondary cum Calculation'!A736</f>
        <v>Poland</v>
      </c>
      <c r="B808" s="47" t="str">
        <f>'Secondary cum Calculation'!B736</f>
        <v>Tourism Flows</v>
      </c>
      <c r="C808" s="47" t="str">
        <f>'Secondary cum Calculation'!C736</f>
        <v>International Departures by Destination</v>
      </c>
      <c r="D808" s="47" t="str">
        <f>'Secondary cum Calculation'!D736</f>
        <v>Asia-Pacific</v>
      </c>
      <c r="E808" s="46" t="str">
        <f>'Secondary cum Calculation'!E736</f>
        <v>China</v>
      </c>
      <c r="F808" s="48" t="str">
        <f>'Secondary cum Calculation'!F736</f>
        <v>The number of international departures from a country to China</v>
      </c>
      <c r="G808" s="48" t="str">
        <f>'Secondary cum Calculation'!G736</f>
        <v>Tourism Demand &amp; Flows Database</v>
      </c>
      <c r="H808" s="48" t="str">
        <f>'Secondary cum Calculation'!H736</f>
        <v>New</v>
      </c>
      <c r="I808" s="48">
        <f>'Secondary cum Calculation'!I736</f>
        <v>0</v>
      </c>
      <c r="J808" s="48" t="str">
        <f>'Secondary cum Calculation'!J736</f>
        <v>Thousand</v>
      </c>
      <c r="K808" s="49">
        <f>'Secondary cum Calculation'!K736</f>
        <v>1327</v>
      </c>
      <c r="L808" s="53">
        <f>'Secondary cum Calculation'!L736</f>
        <v>0</v>
      </c>
      <c r="M808" s="53">
        <f>'Secondary cum Calculation'!M736</f>
        <v>0</v>
      </c>
      <c r="N808" s="53">
        <f>'Secondary cum Calculation'!N736</f>
        <v>0</v>
      </c>
      <c r="O808" s="53">
        <f>'Secondary cum Calculation'!O736</f>
        <v>0</v>
      </c>
      <c r="P808" s="53">
        <f>'Secondary cum Calculation'!P736</f>
        <v>0</v>
      </c>
      <c r="Q808" s="53"/>
      <c r="R808" s="53"/>
      <c r="S808" s="53"/>
      <c r="T808" s="53"/>
      <c r="U808" s="53"/>
      <c r="V808" s="53"/>
      <c r="W808" s="102" t="e">
        <f>'Secondary cum Calculation'!W736</f>
        <v>#DIV/0!</v>
      </c>
      <c r="X808" s="102" t="e">
        <f>'Secondary cum Calculation'!X736</f>
        <v>#DIV/0!</v>
      </c>
      <c r="Z808" s="11"/>
    </row>
    <row r="809" spans="1:26">
      <c r="A809" s="48"/>
      <c r="B809" s="48"/>
      <c r="C809" s="52" t="str">
        <f>'Secondary cum Calculation'!C737</f>
        <v>Growth Rate</v>
      </c>
      <c r="D809" s="52"/>
      <c r="E809" s="52"/>
      <c r="F809" s="52">
        <f>'Secondary cum Calculation'!F737</f>
        <v>0</v>
      </c>
      <c r="G809" s="52">
        <f>'Secondary cum Calculation'!G737</f>
        <v>0</v>
      </c>
      <c r="H809" s="52">
        <f>'Secondary cum Calculation'!H737</f>
        <v>0</v>
      </c>
      <c r="I809" s="52">
        <f>'Secondary cum Calculation'!I737</f>
        <v>0</v>
      </c>
      <c r="J809" s="52" t="str">
        <f>'Secondary cum Calculation'!J737</f>
        <v>%</v>
      </c>
      <c r="K809" s="49">
        <f>'Secondary cum Calculation'!K737</f>
        <v>0</v>
      </c>
      <c r="L809" s="53"/>
      <c r="M809" s="54" t="e">
        <f>'Secondary cum Calculation'!M737</f>
        <v>#DIV/0!</v>
      </c>
      <c r="N809" s="54" t="e">
        <f>'Secondary cum Calculation'!N737</f>
        <v>#DIV/0!</v>
      </c>
      <c r="O809" s="54" t="e">
        <f>'Secondary cum Calculation'!O737</f>
        <v>#DIV/0!</v>
      </c>
      <c r="P809" s="54" t="e">
        <f>'Secondary cum Calculation'!P737</f>
        <v>#DIV/0!</v>
      </c>
      <c r="Q809" s="54"/>
      <c r="R809" s="54"/>
      <c r="S809" s="54"/>
      <c r="T809" s="54"/>
      <c r="U809" s="54"/>
      <c r="V809" s="54"/>
      <c r="W809" s="258"/>
      <c r="X809" s="258"/>
    </row>
    <row r="810" spans="1:26">
      <c r="A810" s="46" t="str">
        <f>'Secondary cum Calculation'!A738</f>
        <v>Poland</v>
      </c>
      <c r="B810" s="47" t="str">
        <f>'Secondary cum Calculation'!B738</f>
        <v>Tourism Flows</v>
      </c>
      <c r="C810" s="47" t="str">
        <f>'Secondary cum Calculation'!C738</f>
        <v>International Departures by Destination</v>
      </c>
      <c r="D810" s="47" t="str">
        <f>'Secondary cum Calculation'!D738</f>
        <v>Asia-Pacific</v>
      </c>
      <c r="E810" s="46" t="str">
        <f>'Secondary cum Calculation'!E738</f>
        <v>China, Hong Kong SAR</v>
      </c>
      <c r="F810" s="48" t="str">
        <f>'Secondary cum Calculation'!F738</f>
        <v>The number of international departures from a country to China, Hong Kong SAR</v>
      </c>
      <c r="G810" s="48" t="str">
        <f>'Secondary cum Calculation'!G738</f>
        <v>Tourism Demand &amp; Flows Database</v>
      </c>
      <c r="H810" s="48" t="str">
        <f>'Secondary cum Calculation'!H738</f>
        <v>New</v>
      </c>
      <c r="I810" s="48">
        <f>'Secondary cum Calculation'!I738</f>
        <v>0</v>
      </c>
      <c r="J810" s="48" t="str">
        <f>'Secondary cum Calculation'!J738</f>
        <v>Thousand</v>
      </c>
      <c r="K810" s="49">
        <f>'Secondary cum Calculation'!K738</f>
        <v>904</v>
      </c>
      <c r="L810" s="53">
        <f>'Secondary cum Calculation'!L738</f>
        <v>0</v>
      </c>
      <c r="M810" s="53">
        <f>'Secondary cum Calculation'!M738</f>
        <v>0</v>
      </c>
      <c r="N810" s="53">
        <f>'Secondary cum Calculation'!N738</f>
        <v>0</v>
      </c>
      <c r="O810" s="53">
        <f>'Secondary cum Calculation'!O738</f>
        <v>0</v>
      </c>
      <c r="P810" s="53">
        <f>'Secondary cum Calculation'!P738</f>
        <v>0</v>
      </c>
      <c r="Q810" s="53"/>
      <c r="R810" s="53"/>
      <c r="S810" s="53"/>
      <c r="T810" s="53"/>
      <c r="U810" s="53"/>
      <c r="V810" s="53"/>
      <c r="W810" s="102" t="e">
        <f>'Secondary cum Calculation'!W738</f>
        <v>#DIV/0!</v>
      </c>
      <c r="X810" s="102" t="e">
        <f>'Secondary cum Calculation'!X738</f>
        <v>#DIV/0!</v>
      </c>
      <c r="Z810" s="11"/>
    </row>
    <row r="811" spans="1:26">
      <c r="A811" s="48"/>
      <c r="B811" s="48"/>
      <c r="C811" s="52" t="str">
        <f>'Secondary cum Calculation'!C739</f>
        <v>Growth Rate</v>
      </c>
      <c r="D811" s="52"/>
      <c r="E811" s="52"/>
      <c r="F811" s="52">
        <f>'Secondary cum Calculation'!F739</f>
        <v>0</v>
      </c>
      <c r="G811" s="52">
        <f>'Secondary cum Calculation'!G739</f>
        <v>0</v>
      </c>
      <c r="H811" s="52">
        <f>'Secondary cum Calculation'!H739</f>
        <v>0</v>
      </c>
      <c r="I811" s="52">
        <f>'Secondary cum Calculation'!I739</f>
        <v>0</v>
      </c>
      <c r="J811" s="52" t="str">
        <f>'Secondary cum Calculation'!J739</f>
        <v>%</v>
      </c>
      <c r="K811" s="49">
        <f>'Secondary cum Calculation'!K739</f>
        <v>0</v>
      </c>
      <c r="L811" s="53"/>
      <c r="M811" s="54" t="e">
        <f>'Secondary cum Calculation'!M739</f>
        <v>#DIV/0!</v>
      </c>
      <c r="N811" s="54" t="e">
        <f>'Secondary cum Calculation'!N739</f>
        <v>#DIV/0!</v>
      </c>
      <c r="O811" s="54" t="e">
        <f>'Secondary cum Calculation'!O739</f>
        <v>#DIV/0!</v>
      </c>
      <c r="P811" s="54" t="e">
        <f>'Secondary cum Calculation'!P739</f>
        <v>#DIV/0!</v>
      </c>
      <c r="Q811" s="54"/>
      <c r="R811" s="54"/>
      <c r="S811" s="54"/>
      <c r="T811" s="54"/>
      <c r="U811" s="54"/>
      <c r="V811" s="54"/>
      <c r="W811" s="258"/>
      <c r="X811" s="258"/>
    </row>
    <row r="812" spans="1:26">
      <c r="A812" s="46" t="str">
        <f>'Secondary cum Calculation'!A740</f>
        <v>Poland</v>
      </c>
      <c r="B812" s="47" t="str">
        <f>'Secondary cum Calculation'!B740</f>
        <v>Tourism Flows</v>
      </c>
      <c r="C812" s="47" t="str">
        <f>'Secondary cum Calculation'!C740</f>
        <v>International Departures by Destination</v>
      </c>
      <c r="D812" s="47" t="str">
        <f>'Secondary cum Calculation'!D740</f>
        <v>Asia-Pacific</v>
      </c>
      <c r="E812" s="46" t="str">
        <f>'Secondary cum Calculation'!E740</f>
        <v>China, Macao SAR</v>
      </c>
      <c r="F812" s="48" t="str">
        <f>'Secondary cum Calculation'!F740</f>
        <v>The number of international departures from a country to China, Macao SAR</v>
      </c>
      <c r="G812" s="48" t="str">
        <f>'Secondary cum Calculation'!G740</f>
        <v>Tourism Demand &amp; Flows Database</v>
      </c>
      <c r="H812" s="48" t="str">
        <f>'Secondary cum Calculation'!H740</f>
        <v>New</v>
      </c>
      <c r="I812" s="48">
        <f>'Secondary cum Calculation'!I740</f>
        <v>0</v>
      </c>
      <c r="J812" s="48" t="str">
        <f>'Secondary cum Calculation'!J740</f>
        <v>Thousand</v>
      </c>
      <c r="K812" s="49">
        <f>'Secondary cum Calculation'!K740</f>
        <v>0</v>
      </c>
      <c r="L812" s="92">
        <f>'Secondary cum Calculation'!L740</f>
        <v>0</v>
      </c>
      <c r="M812" s="92">
        <f>'Secondary cum Calculation'!M740</f>
        <v>0</v>
      </c>
      <c r="N812" s="92">
        <f>'Secondary cum Calculation'!N740</f>
        <v>0</v>
      </c>
      <c r="O812" s="89">
        <f>'Secondary cum Calculation'!O740</f>
        <v>0</v>
      </c>
      <c r="P812" s="89">
        <f>'Secondary cum Calculation'!P740</f>
        <v>0</v>
      </c>
      <c r="Q812" s="89"/>
      <c r="R812" s="89"/>
      <c r="S812" s="89"/>
      <c r="T812" s="89"/>
      <c r="U812" s="89"/>
      <c r="V812" s="89"/>
      <c r="W812" s="102" t="e">
        <f>'Secondary cum Calculation'!W740</f>
        <v>#DIV/0!</v>
      </c>
      <c r="X812" s="102" t="e">
        <f>'Secondary cum Calculation'!X740</f>
        <v>#DIV/0!</v>
      </c>
      <c r="Z812" s="11"/>
    </row>
    <row r="813" spans="1:26">
      <c r="A813" s="48"/>
      <c r="B813" s="48"/>
      <c r="C813" s="52" t="str">
        <f>'Secondary cum Calculation'!C741</f>
        <v>Growth Rate</v>
      </c>
      <c r="D813" s="52"/>
      <c r="E813" s="52"/>
      <c r="F813" s="52">
        <f>'Secondary cum Calculation'!F741</f>
        <v>0</v>
      </c>
      <c r="G813" s="52">
        <f>'Secondary cum Calculation'!G741</f>
        <v>0</v>
      </c>
      <c r="H813" s="52">
        <f>'Secondary cum Calculation'!H741</f>
        <v>0</v>
      </c>
      <c r="I813" s="52">
        <f>'Secondary cum Calculation'!I741</f>
        <v>0</v>
      </c>
      <c r="J813" s="52" t="str">
        <f>'Secondary cum Calculation'!J741</f>
        <v>%</v>
      </c>
      <c r="K813" s="49">
        <f>'Secondary cum Calculation'!K741</f>
        <v>0</v>
      </c>
      <c r="L813" s="53"/>
      <c r="M813" s="54" t="e">
        <f>'Secondary cum Calculation'!M741</f>
        <v>#DIV/0!</v>
      </c>
      <c r="N813" s="54" t="e">
        <f>'Secondary cum Calculation'!N741</f>
        <v>#DIV/0!</v>
      </c>
      <c r="O813" s="54" t="e">
        <f>'Secondary cum Calculation'!O741</f>
        <v>#DIV/0!</v>
      </c>
      <c r="P813" s="54" t="e">
        <f>'Secondary cum Calculation'!P741</f>
        <v>#DIV/0!</v>
      </c>
      <c r="Q813" s="54"/>
      <c r="R813" s="54"/>
      <c r="S813" s="54"/>
      <c r="T813" s="54"/>
      <c r="U813" s="54"/>
      <c r="V813" s="54"/>
      <c r="W813" s="258"/>
      <c r="X813" s="258"/>
    </row>
    <row r="814" spans="1:26">
      <c r="A814" s="46" t="str">
        <f>'Secondary cum Calculation'!A742</f>
        <v>Poland</v>
      </c>
      <c r="B814" s="47" t="str">
        <f>'Secondary cum Calculation'!B742</f>
        <v>Tourism Flows</v>
      </c>
      <c r="C814" s="47" t="str">
        <f>'Secondary cum Calculation'!C742</f>
        <v>International Departures by Destination</v>
      </c>
      <c r="D814" s="47" t="str">
        <f>'Secondary cum Calculation'!D742</f>
        <v>Asia-Pacific</v>
      </c>
      <c r="E814" s="46" t="str">
        <f>'Secondary cum Calculation'!E742</f>
        <v>Dem. People's Rep. of Korea</v>
      </c>
      <c r="F814" s="48" t="str">
        <f>'Secondary cum Calculation'!F742</f>
        <v>The number of international departures from a country to Dem. People's Rep. of Korea</v>
      </c>
      <c r="G814" s="48" t="str">
        <f>'Secondary cum Calculation'!G742</f>
        <v>Tourism Demand &amp; Flows Database</v>
      </c>
      <c r="H814" s="48" t="str">
        <f>'Secondary cum Calculation'!H742</f>
        <v>New</v>
      </c>
      <c r="I814" s="48">
        <f>'Secondary cum Calculation'!I742</f>
        <v>0</v>
      </c>
      <c r="J814" s="48" t="str">
        <f>'Secondary cum Calculation'!J742</f>
        <v>Thousand</v>
      </c>
      <c r="K814" s="49">
        <f>'Secondary cum Calculation'!K742</f>
        <v>0</v>
      </c>
      <c r="L814" s="92">
        <f>'Secondary cum Calculation'!L742</f>
        <v>0</v>
      </c>
      <c r="M814" s="92">
        <f>'Secondary cum Calculation'!M742</f>
        <v>0</v>
      </c>
      <c r="N814" s="92">
        <f>'Secondary cum Calculation'!N742</f>
        <v>0</v>
      </c>
      <c r="O814" s="53">
        <f>'Secondary cum Calculation'!O742</f>
        <v>0</v>
      </c>
      <c r="P814" s="53">
        <f>'Secondary cum Calculation'!P742</f>
        <v>0</v>
      </c>
      <c r="Q814" s="53"/>
      <c r="R814" s="53"/>
      <c r="S814" s="53"/>
      <c r="T814" s="53"/>
      <c r="U814" s="53"/>
      <c r="V814" s="53"/>
      <c r="W814" s="102" t="e">
        <f>'Secondary cum Calculation'!W742</f>
        <v>#DIV/0!</v>
      </c>
      <c r="X814" s="102" t="e">
        <f>'Secondary cum Calculation'!X742</f>
        <v>#DIV/0!</v>
      </c>
      <c r="Z814" s="11"/>
    </row>
    <row r="815" spans="1:26">
      <c r="A815" s="48"/>
      <c r="B815" s="48"/>
      <c r="C815" s="52" t="str">
        <f>'Secondary cum Calculation'!C743</f>
        <v>Growth Rate</v>
      </c>
      <c r="D815" s="52"/>
      <c r="E815" s="52"/>
      <c r="F815" s="52">
        <f>'Secondary cum Calculation'!F743</f>
        <v>0</v>
      </c>
      <c r="G815" s="52">
        <f>'Secondary cum Calculation'!G743</f>
        <v>0</v>
      </c>
      <c r="H815" s="52">
        <f>'Secondary cum Calculation'!H743</f>
        <v>0</v>
      </c>
      <c r="I815" s="52">
        <f>'Secondary cum Calculation'!I743</f>
        <v>0</v>
      </c>
      <c r="J815" s="52" t="str">
        <f>'Secondary cum Calculation'!J743</f>
        <v>%</v>
      </c>
      <c r="K815" s="49">
        <f>'Secondary cum Calculation'!K743</f>
        <v>0</v>
      </c>
      <c r="L815" s="53"/>
      <c r="M815" s="54" t="e">
        <f>'Secondary cum Calculation'!M743</f>
        <v>#DIV/0!</v>
      </c>
      <c r="N815" s="54" t="e">
        <f>'Secondary cum Calculation'!N743</f>
        <v>#DIV/0!</v>
      </c>
      <c r="O815" s="54" t="e">
        <f>'Secondary cum Calculation'!O743</f>
        <v>#DIV/0!</v>
      </c>
      <c r="P815" s="54" t="e">
        <f>'Secondary cum Calculation'!P743</f>
        <v>#DIV/0!</v>
      </c>
      <c r="Q815" s="54"/>
      <c r="R815" s="54"/>
      <c r="S815" s="54"/>
      <c r="T815" s="54"/>
      <c r="U815" s="54"/>
      <c r="V815" s="54"/>
      <c r="W815" s="258"/>
      <c r="X815" s="258"/>
    </row>
    <row r="816" spans="1:26">
      <c r="A816" s="46" t="str">
        <f>'Secondary cum Calculation'!A744</f>
        <v>Poland</v>
      </c>
      <c r="B816" s="47" t="str">
        <f>'Secondary cum Calculation'!B744</f>
        <v>Tourism Flows</v>
      </c>
      <c r="C816" s="47" t="str">
        <f>'Secondary cum Calculation'!C744</f>
        <v>International Departures by Destination</v>
      </c>
      <c r="D816" s="47" t="str">
        <f>'Secondary cum Calculation'!D744</f>
        <v>Asia-Pacific</v>
      </c>
      <c r="E816" s="46" t="str">
        <f>'Secondary cum Calculation'!E744</f>
        <v>Fiji</v>
      </c>
      <c r="F816" s="48" t="str">
        <f>'Secondary cum Calculation'!F744</f>
        <v>The number of international departures from a country to Fiji</v>
      </c>
      <c r="G816" s="48" t="str">
        <f>'Secondary cum Calculation'!G744</f>
        <v>Tourism Demand &amp; Flows Database</v>
      </c>
      <c r="H816" s="48" t="str">
        <f>'Secondary cum Calculation'!H744</f>
        <v>New</v>
      </c>
      <c r="I816" s="48">
        <f>'Secondary cum Calculation'!I744</f>
        <v>0</v>
      </c>
      <c r="J816" s="48" t="str">
        <f>'Secondary cum Calculation'!J744</f>
        <v>Thousand</v>
      </c>
      <c r="K816" s="49">
        <f>'Secondary cum Calculation'!K744</f>
        <v>0</v>
      </c>
      <c r="L816" s="92">
        <f>'Secondary cum Calculation'!L744</f>
        <v>0</v>
      </c>
      <c r="M816" s="92">
        <f>'Secondary cum Calculation'!M744</f>
        <v>0</v>
      </c>
      <c r="N816" s="92">
        <f>'Secondary cum Calculation'!N744</f>
        <v>0</v>
      </c>
      <c r="O816" s="53">
        <f>'Secondary cum Calculation'!O744</f>
        <v>0</v>
      </c>
      <c r="P816" s="53">
        <f>'Secondary cum Calculation'!P744</f>
        <v>0</v>
      </c>
      <c r="Q816" s="53"/>
      <c r="R816" s="53"/>
      <c r="S816" s="53"/>
      <c r="T816" s="53"/>
      <c r="U816" s="53"/>
      <c r="V816" s="53"/>
      <c r="W816" s="102" t="e">
        <f>'Secondary cum Calculation'!W744</f>
        <v>#DIV/0!</v>
      </c>
      <c r="X816" s="102" t="e">
        <f>'Secondary cum Calculation'!X744</f>
        <v>#DIV/0!</v>
      </c>
      <c r="Z816" s="11"/>
    </row>
    <row r="817" spans="1:26">
      <c r="A817" s="48"/>
      <c r="B817" s="48"/>
      <c r="C817" s="52" t="str">
        <f>'Secondary cum Calculation'!C745</f>
        <v>Growth Rate</v>
      </c>
      <c r="D817" s="52"/>
      <c r="E817" s="52"/>
      <c r="F817" s="52">
        <f>'Secondary cum Calculation'!F745</f>
        <v>0</v>
      </c>
      <c r="G817" s="52">
        <f>'Secondary cum Calculation'!G745</f>
        <v>0</v>
      </c>
      <c r="H817" s="52">
        <f>'Secondary cum Calculation'!H745</f>
        <v>0</v>
      </c>
      <c r="I817" s="52">
        <f>'Secondary cum Calculation'!I745</f>
        <v>0</v>
      </c>
      <c r="J817" s="52" t="str">
        <f>'Secondary cum Calculation'!J745</f>
        <v>%</v>
      </c>
      <c r="K817" s="49">
        <f>'Secondary cum Calculation'!K745</f>
        <v>0</v>
      </c>
      <c r="L817" s="53"/>
      <c r="M817" s="54" t="e">
        <f>'Secondary cum Calculation'!M745</f>
        <v>#DIV/0!</v>
      </c>
      <c r="N817" s="54" t="e">
        <f>'Secondary cum Calculation'!N745</f>
        <v>#DIV/0!</v>
      </c>
      <c r="O817" s="54" t="e">
        <f>'Secondary cum Calculation'!O745</f>
        <v>#DIV/0!</v>
      </c>
      <c r="P817" s="54" t="e">
        <f>'Secondary cum Calculation'!P745</f>
        <v>#DIV/0!</v>
      </c>
      <c r="Q817" s="54"/>
      <c r="R817" s="54"/>
      <c r="S817" s="54"/>
      <c r="T817" s="54"/>
      <c r="U817" s="54"/>
      <c r="V817" s="54"/>
      <c r="W817" s="258"/>
      <c r="X817" s="258"/>
    </row>
    <row r="818" spans="1:26">
      <c r="A818" s="46" t="str">
        <f>'Secondary cum Calculation'!A746</f>
        <v>Poland</v>
      </c>
      <c r="B818" s="47" t="str">
        <f>'Secondary cum Calculation'!B746</f>
        <v>Tourism Flows</v>
      </c>
      <c r="C818" s="47" t="str">
        <f>'Secondary cum Calculation'!C746</f>
        <v>International Departures by Destination</v>
      </c>
      <c r="D818" s="47" t="str">
        <f>'Secondary cum Calculation'!D746</f>
        <v>Asia-Pacific</v>
      </c>
      <c r="E818" s="46" t="str">
        <f>'Secondary cum Calculation'!E746</f>
        <v>French Polynesia</v>
      </c>
      <c r="F818" s="48" t="str">
        <f>'Secondary cum Calculation'!F746</f>
        <v>The number of international departures from a country to French Polynesia</v>
      </c>
      <c r="G818" s="48" t="str">
        <f>'Secondary cum Calculation'!G746</f>
        <v>Tourism Demand &amp; Flows Database</v>
      </c>
      <c r="H818" s="48" t="str">
        <f>'Secondary cum Calculation'!H746</f>
        <v>New</v>
      </c>
      <c r="I818" s="48">
        <f>'Secondary cum Calculation'!I746</f>
        <v>0</v>
      </c>
      <c r="J818" s="48" t="str">
        <f>'Secondary cum Calculation'!J746</f>
        <v>Thousand</v>
      </c>
      <c r="K818" s="49">
        <f>'Secondary cum Calculation'!K746</f>
        <v>0</v>
      </c>
      <c r="L818" s="92">
        <f>'Secondary cum Calculation'!L746</f>
        <v>0</v>
      </c>
      <c r="M818" s="92">
        <f>'Secondary cum Calculation'!M746</f>
        <v>0</v>
      </c>
      <c r="N818" s="92">
        <f>'Secondary cum Calculation'!N746</f>
        <v>0</v>
      </c>
      <c r="O818" s="53">
        <f>'Secondary cum Calculation'!O746</f>
        <v>0</v>
      </c>
      <c r="P818" s="53">
        <f>'Secondary cum Calculation'!P746</f>
        <v>0</v>
      </c>
      <c r="Q818" s="53"/>
      <c r="R818" s="53"/>
      <c r="S818" s="53"/>
      <c r="T818" s="53"/>
      <c r="U818" s="53"/>
      <c r="V818" s="53"/>
      <c r="W818" s="102" t="e">
        <f>'Secondary cum Calculation'!W746</f>
        <v>#DIV/0!</v>
      </c>
      <c r="X818" s="102" t="e">
        <f>'Secondary cum Calculation'!X746</f>
        <v>#DIV/0!</v>
      </c>
      <c r="Z818" s="11"/>
    </row>
    <row r="819" spans="1:26">
      <c r="A819" s="48"/>
      <c r="B819" s="48"/>
      <c r="C819" s="52" t="str">
        <f>'Secondary cum Calculation'!C747</f>
        <v>Growth Rate</v>
      </c>
      <c r="D819" s="52"/>
      <c r="E819" s="52"/>
      <c r="F819" s="52">
        <f>'Secondary cum Calculation'!F747</f>
        <v>0</v>
      </c>
      <c r="G819" s="52">
        <f>'Secondary cum Calculation'!G747</f>
        <v>0</v>
      </c>
      <c r="H819" s="52">
        <f>'Secondary cum Calculation'!H747</f>
        <v>0</v>
      </c>
      <c r="I819" s="52">
        <f>'Secondary cum Calculation'!I747</f>
        <v>0</v>
      </c>
      <c r="J819" s="52" t="str">
        <f>'Secondary cum Calculation'!J747</f>
        <v>%</v>
      </c>
      <c r="K819" s="49">
        <f>'Secondary cum Calculation'!K747</f>
        <v>0</v>
      </c>
      <c r="L819" s="53"/>
      <c r="M819" s="54" t="e">
        <f>'Secondary cum Calculation'!M747</f>
        <v>#DIV/0!</v>
      </c>
      <c r="N819" s="54" t="e">
        <f>'Secondary cum Calculation'!N747</f>
        <v>#DIV/0!</v>
      </c>
      <c r="O819" s="54" t="e">
        <f>'Secondary cum Calculation'!O747</f>
        <v>#DIV/0!</v>
      </c>
      <c r="P819" s="54" t="e">
        <f>'Secondary cum Calculation'!P747</f>
        <v>#DIV/0!</v>
      </c>
      <c r="Q819" s="54"/>
      <c r="R819" s="54"/>
      <c r="S819" s="54"/>
      <c r="T819" s="54"/>
      <c r="U819" s="54"/>
      <c r="V819" s="54"/>
      <c r="W819" s="258"/>
      <c r="X819" s="258"/>
    </row>
    <row r="820" spans="1:26">
      <c r="A820" s="46" t="str">
        <f>'Secondary cum Calculation'!A748</f>
        <v>Poland</v>
      </c>
      <c r="B820" s="47" t="str">
        <f>'Secondary cum Calculation'!B748</f>
        <v>Tourism Flows</v>
      </c>
      <c r="C820" s="47" t="str">
        <f>'Secondary cum Calculation'!C748</f>
        <v>International Departures by Destination</v>
      </c>
      <c r="D820" s="47" t="str">
        <f>'Secondary cum Calculation'!D748</f>
        <v>Asia-Pacific</v>
      </c>
      <c r="E820" s="46" t="str">
        <f>'Secondary cum Calculation'!E748</f>
        <v>Guam</v>
      </c>
      <c r="F820" s="48" t="str">
        <f>'Secondary cum Calculation'!F748</f>
        <v>The number of international departures from a country to Guam</v>
      </c>
      <c r="G820" s="48" t="str">
        <f>'Secondary cum Calculation'!G748</f>
        <v>Tourism Demand &amp; Flows Database</v>
      </c>
      <c r="H820" s="48" t="str">
        <f>'Secondary cum Calculation'!H748</f>
        <v>New</v>
      </c>
      <c r="I820" s="48">
        <f>'Secondary cum Calculation'!I748</f>
        <v>0</v>
      </c>
      <c r="J820" s="48" t="str">
        <f>'Secondary cum Calculation'!J748</f>
        <v>Thousand</v>
      </c>
      <c r="K820" s="49">
        <f>'Secondary cum Calculation'!K748</f>
        <v>0</v>
      </c>
      <c r="L820" s="92">
        <f>'Secondary cum Calculation'!L748</f>
        <v>0</v>
      </c>
      <c r="M820" s="92">
        <f>'Secondary cum Calculation'!M748</f>
        <v>0</v>
      </c>
      <c r="N820" s="92">
        <f>'Secondary cum Calculation'!N748</f>
        <v>0</v>
      </c>
      <c r="O820" s="93">
        <f>'Secondary cum Calculation'!O748</f>
        <v>0</v>
      </c>
      <c r="P820" s="93">
        <f>'Secondary cum Calculation'!P748</f>
        <v>0</v>
      </c>
      <c r="Q820" s="93"/>
      <c r="R820" s="93"/>
      <c r="S820" s="93"/>
      <c r="T820" s="93"/>
      <c r="U820" s="93"/>
      <c r="V820" s="93"/>
      <c r="W820" s="102" t="e">
        <f>'Secondary cum Calculation'!W748</f>
        <v>#DIV/0!</v>
      </c>
      <c r="X820" s="102" t="e">
        <f>'Secondary cum Calculation'!X748</f>
        <v>#DIV/0!</v>
      </c>
      <c r="Z820" s="11"/>
    </row>
    <row r="821" spans="1:26">
      <c r="A821" s="48"/>
      <c r="B821" s="48"/>
      <c r="C821" s="52" t="str">
        <f>'Secondary cum Calculation'!C749</f>
        <v>Growth Rate</v>
      </c>
      <c r="D821" s="52"/>
      <c r="E821" s="52"/>
      <c r="F821" s="52">
        <f>'Secondary cum Calculation'!F749</f>
        <v>0</v>
      </c>
      <c r="G821" s="52">
        <f>'Secondary cum Calculation'!G749</f>
        <v>0</v>
      </c>
      <c r="H821" s="52">
        <f>'Secondary cum Calculation'!H749</f>
        <v>0</v>
      </c>
      <c r="I821" s="52">
        <f>'Secondary cum Calculation'!I749</f>
        <v>0</v>
      </c>
      <c r="J821" s="52" t="str">
        <f>'Secondary cum Calculation'!J749</f>
        <v>%</v>
      </c>
      <c r="K821" s="49">
        <f>'Secondary cum Calculation'!K749</f>
        <v>0</v>
      </c>
      <c r="L821" s="53"/>
      <c r="M821" s="54" t="e">
        <f>'Secondary cum Calculation'!M749</f>
        <v>#DIV/0!</v>
      </c>
      <c r="N821" s="54" t="e">
        <f>'Secondary cum Calculation'!N749</f>
        <v>#DIV/0!</v>
      </c>
      <c r="O821" s="54" t="e">
        <f>'Secondary cum Calculation'!O749</f>
        <v>#DIV/0!</v>
      </c>
      <c r="P821" s="54" t="e">
        <f>'Secondary cum Calculation'!P749</f>
        <v>#DIV/0!</v>
      </c>
      <c r="Q821" s="54"/>
      <c r="R821" s="54"/>
      <c r="S821" s="54"/>
      <c r="T821" s="54"/>
      <c r="U821" s="54"/>
      <c r="V821" s="54"/>
      <c r="W821" s="258"/>
      <c r="X821" s="258"/>
    </row>
    <row r="822" spans="1:26">
      <c r="A822" s="46" t="str">
        <f>'Secondary cum Calculation'!A750</f>
        <v>Poland</v>
      </c>
      <c r="B822" s="47" t="str">
        <f>'Secondary cum Calculation'!B750</f>
        <v>Tourism Flows</v>
      </c>
      <c r="C822" s="47" t="str">
        <f>'Secondary cum Calculation'!C750</f>
        <v>International Departures by Destination</v>
      </c>
      <c r="D822" s="47" t="str">
        <f>'Secondary cum Calculation'!D750</f>
        <v>Asia-Pacific</v>
      </c>
      <c r="E822" s="46" t="str">
        <f>'Secondary cum Calculation'!E750</f>
        <v>India</v>
      </c>
      <c r="F822" s="48" t="str">
        <f>'Secondary cum Calculation'!F750</f>
        <v>The number of international departures from a country to India</v>
      </c>
      <c r="G822" s="48" t="str">
        <f>'Secondary cum Calculation'!G750</f>
        <v>Tourism Demand &amp; Flows Database</v>
      </c>
      <c r="H822" s="48" t="str">
        <f>'Secondary cum Calculation'!H750</f>
        <v>New</v>
      </c>
      <c r="I822" s="48">
        <f>'Secondary cum Calculation'!I750</f>
        <v>0</v>
      </c>
      <c r="J822" s="48" t="str">
        <f>'Secondary cum Calculation'!J750</f>
        <v>Thousand</v>
      </c>
      <c r="K822" s="49">
        <f>'Secondary cum Calculation'!K750</f>
        <v>904</v>
      </c>
      <c r="L822" s="53">
        <f>'Secondary cum Calculation'!L750</f>
        <v>0</v>
      </c>
      <c r="M822" s="53">
        <f>'Secondary cum Calculation'!M750</f>
        <v>0</v>
      </c>
      <c r="N822" s="53">
        <f>'Secondary cum Calculation'!N750</f>
        <v>0</v>
      </c>
      <c r="O822" s="53">
        <f>'Secondary cum Calculation'!O750</f>
        <v>0</v>
      </c>
      <c r="P822" s="53">
        <f>'Secondary cum Calculation'!P750</f>
        <v>0</v>
      </c>
      <c r="Q822" s="53"/>
      <c r="R822" s="53"/>
      <c r="S822" s="53"/>
      <c r="T822" s="53"/>
      <c r="U822" s="53"/>
      <c r="V822" s="53"/>
      <c r="W822" s="102" t="e">
        <f>'Secondary cum Calculation'!W750</f>
        <v>#DIV/0!</v>
      </c>
      <c r="X822" s="102" t="e">
        <f>'Secondary cum Calculation'!X750</f>
        <v>#DIV/0!</v>
      </c>
      <c r="Z822" s="11"/>
    </row>
    <row r="823" spans="1:26">
      <c r="A823" s="48"/>
      <c r="B823" s="48"/>
      <c r="C823" s="52" t="str">
        <f>'Secondary cum Calculation'!C751</f>
        <v>Growth Rate</v>
      </c>
      <c r="D823" s="52"/>
      <c r="E823" s="52"/>
      <c r="F823" s="52">
        <f>'Secondary cum Calculation'!F751</f>
        <v>0</v>
      </c>
      <c r="G823" s="52">
        <f>'Secondary cum Calculation'!G751</f>
        <v>0</v>
      </c>
      <c r="H823" s="52">
        <f>'Secondary cum Calculation'!H751</f>
        <v>0</v>
      </c>
      <c r="I823" s="52">
        <f>'Secondary cum Calculation'!I751</f>
        <v>0</v>
      </c>
      <c r="J823" s="52" t="str">
        <f>'Secondary cum Calculation'!J751</f>
        <v>%</v>
      </c>
      <c r="K823" s="49">
        <f>'Secondary cum Calculation'!K751</f>
        <v>0</v>
      </c>
      <c r="L823" s="53"/>
      <c r="M823" s="54" t="e">
        <f>'Secondary cum Calculation'!M751</f>
        <v>#DIV/0!</v>
      </c>
      <c r="N823" s="54" t="e">
        <f>'Secondary cum Calculation'!N751</f>
        <v>#DIV/0!</v>
      </c>
      <c r="O823" s="54" t="e">
        <f>'Secondary cum Calculation'!O751</f>
        <v>#DIV/0!</v>
      </c>
      <c r="P823" s="54" t="e">
        <f>'Secondary cum Calculation'!P751</f>
        <v>#DIV/0!</v>
      </c>
      <c r="Q823" s="54"/>
      <c r="R823" s="54"/>
      <c r="S823" s="54"/>
      <c r="T823" s="54"/>
      <c r="U823" s="54"/>
      <c r="V823" s="54"/>
      <c r="W823" s="258"/>
      <c r="X823" s="258"/>
    </row>
    <row r="824" spans="1:26">
      <c r="A824" s="46" t="str">
        <f>'Secondary cum Calculation'!A752</f>
        <v>Poland</v>
      </c>
      <c r="B824" s="47" t="str">
        <f>'Secondary cum Calculation'!B752</f>
        <v>Tourism Flows</v>
      </c>
      <c r="C824" s="47" t="str">
        <f>'Secondary cum Calculation'!C752</f>
        <v>International Departures by Destination</v>
      </c>
      <c r="D824" s="47" t="str">
        <f>'Secondary cum Calculation'!D752</f>
        <v>Asia-Pacific</v>
      </c>
      <c r="E824" s="46" t="str">
        <f>'Secondary cum Calculation'!E752</f>
        <v>Indonesia</v>
      </c>
      <c r="F824" s="48" t="str">
        <f>'Secondary cum Calculation'!F752</f>
        <v>The number of international departures from a country to Indonesia</v>
      </c>
      <c r="G824" s="48" t="str">
        <f>'Secondary cum Calculation'!G752</f>
        <v>Tourism Demand &amp; Flows Database</v>
      </c>
      <c r="H824" s="48" t="str">
        <f>'Secondary cum Calculation'!H752</f>
        <v>New</v>
      </c>
      <c r="I824" s="48">
        <f>'Secondary cum Calculation'!I752</f>
        <v>0</v>
      </c>
      <c r="J824" s="48" t="str">
        <f>'Secondary cum Calculation'!J752</f>
        <v>Thousand</v>
      </c>
      <c r="K824" s="49">
        <f>'Secondary cum Calculation'!K752</f>
        <v>0</v>
      </c>
      <c r="L824" s="92">
        <f>'Secondary cum Calculation'!L752</f>
        <v>0</v>
      </c>
      <c r="M824" s="92">
        <f>'Secondary cum Calculation'!M752</f>
        <v>0</v>
      </c>
      <c r="N824" s="92">
        <f>'Secondary cum Calculation'!N752</f>
        <v>0</v>
      </c>
      <c r="O824" s="53">
        <f>'Secondary cum Calculation'!O752</f>
        <v>0</v>
      </c>
      <c r="P824" s="53">
        <f>'Secondary cum Calculation'!P752</f>
        <v>0</v>
      </c>
      <c r="Q824" s="53"/>
      <c r="R824" s="53"/>
      <c r="S824" s="53"/>
      <c r="T824" s="53"/>
      <c r="U824" s="53"/>
      <c r="V824" s="53"/>
      <c r="W824" s="102" t="e">
        <f>'Secondary cum Calculation'!W752</f>
        <v>#DIV/0!</v>
      </c>
      <c r="X824" s="102" t="e">
        <f>'Secondary cum Calculation'!X752</f>
        <v>#DIV/0!</v>
      </c>
      <c r="Z824" s="11"/>
    </row>
    <row r="825" spans="1:26">
      <c r="A825" s="48"/>
      <c r="B825" s="48"/>
      <c r="C825" s="52" t="str">
        <f>'Secondary cum Calculation'!C753</f>
        <v>Growth Rate</v>
      </c>
      <c r="D825" s="52"/>
      <c r="E825" s="52"/>
      <c r="F825" s="52">
        <f>'Secondary cum Calculation'!F753</f>
        <v>0</v>
      </c>
      <c r="G825" s="52">
        <f>'Secondary cum Calculation'!G753</f>
        <v>0</v>
      </c>
      <c r="H825" s="52">
        <f>'Secondary cum Calculation'!H753</f>
        <v>0</v>
      </c>
      <c r="I825" s="52">
        <f>'Secondary cum Calculation'!I753</f>
        <v>0</v>
      </c>
      <c r="J825" s="52" t="str">
        <f>'Secondary cum Calculation'!J753</f>
        <v>%</v>
      </c>
      <c r="K825" s="49">
        <f>'Secondary cum Calculation'!K753</f>
        <v>0</v>
      </c>
      <c r="L825" s="53"/>
      <c r="M825" s="54" t="e">
        <f>'Secondary cum Calculation'!M753</f>
        <v>#DIV/0!</v>
      </c>
      <c r="N825" s="54" t="e">
        <f>'Secondary cum Calculation'!N753</f>
        <v>#DIV/0!</v>
      </c>
      <c r="O825" s="54" t="e">
        <f>'Secondary cum Calculation'!O753</f>
        <v>#DIV/0!</v>
      </c>
      <c r="P825" s="54" t="e">
        <f>'Secondary cum Calculation'!P753</f>
        <v>#DIV/0!</v>
      </c>
      <c r="Q825" s="54"/>
      <c r="R825" s="54"/>
      <c r="S825" s="54"/>
      <c r="T825" s="54"/>
      <c r="U825" s="54"/>
      <c r="V825" s="54"/>
      <c r="W825" s="258"/>
      <c r="X825" s="258"/>
    </row>
    <row r="826" spans="1:26">
      <c r="A826" s="46" t="str">
        <f>'Secondary cum Calculation'!A754</f>
        <v>Poland</v>
      </c>
      <c r="B826" s="47" t="str">
        <f>'Secondary cum Calculation'!B754</f>
        <v>Tourism Flows</v>
      </c>
      <c r="C826" s="47" t="str">
        <f>'Secondary cum Calculation'!C754</f>
        <v>International Departures by Destination</v>
      </c>
      <c r="D826" s="47" t="str">
        <f>'Secondary cum Calculation'!D754</f>
        <v>Asia-Pacific</v>
      </c>
      <c r="E826" s="46" t="str">
        <f>'Secondary cum Calculation'!E754</f>
        <v>Japan</v>
      </c>
      <c r="F826" s="48" t="str">
        <f>'Secondary cum Calculation'!F754</f>
        <v>The number of international departures from a country to Japan</v>
      </c>
      <c r="G826" s="48" t="str">
        <f>'Secondary cum Calculation'!G754</f>
        <v>Tourism Demand &amp; Flows Database</v>
      </c>
      <c r="H826" s="48" t="str">
        <f>'Secondary cum Calculation'!H754</f>
        <v>New</v>
      </c>
      <c r="I826" s="48">
        <f>'Secondary cum Calculation'!I754</f>
        <v>0</v>
      </c>
      <c r="J826" s="48" t="str">
        <f>'Secondary cum Calculation'!J754</f>
        <v>Thousand</v>
      </c>
      <c r="K826" s="49">
        <f>'Secondary cum Calculation'!K754</f>
        <v>1538</v>
      </c>
      <c r="L826" s="53">
        <f>'Secondary cum Calculation'!L754</f>
        <v>0</v>
      </c>
      <c r="M826" s="53">
        <f>'Secondary cum Calculation'!M754</f>
        <v>0</v>
      </c>
      <c r="N826" s="53">
        <f>'Secondary cum Calculation'!N754</f>
        <v>0</v>
      </c>
      <c r="O826" s="53">
        <f>'Secondary cum Calculation'!O754</f>
        <v>0</v>
      </c>
      <c r="P826" s="53">
        <f>'Secondary cum Calculation'!P754</f>
        <v>0</v>
      </c>
      <c r="Q826" s="53"/>
      <c r="R826" s="53"/>
      <c r="S826" s="53"/>
      <c r="T826" s="53"/>
      <c r="U826" s="53"/>
      <c r="V826" s="53"/>
      <c r="W826" s="102" t="e">
        <f>'Secondary cum Calculation'!W754</f>
        <v>#DIV/0!</v>
      </c>
      <c r="X826" s="102" t="e">
        <f>'Secondary cum Calculation'!X754</f>
        <v>#DIV/0!</v>
      </c>
      <c r="Z826" s="11"/>
    </row>
    <row r="827" spans="1:26">
      <c r="A827" s="48"/>
      <c r="B827" s="48"/>
      <c r="C827" s="52" t="str">
        <f>'Secondary cum Calculation'!C755</f>
        <v>Growth Rate</v>
      </c>
      <c r="D827" s="52"/>
      <c r="E827" s="52"/>
      <c r="F827" s="52">
        <f>'Secondary cum Calculation'!F755</f>
        <v>0</v>
      </c>
      <c r="G827" s="52">
        <f>'Secondary cum Calculation'!G755</f>
        <v>0</v>
      </c>
      <c r="H827" s="52">
        <f>'Secondary cum Calculation'!H755</f>
        <v>0</v>
      </c>
      <c r="I827" s="52">
        <f>'Secondary cum Calculation'!I755</f>
        <v>0</v>
      </c>
      <c r="J827" s="52" t="str">
        <f>'Secondary cum Calculation'!J755</f>
        <v>%</v>
      </c>
      <c r="K827" s="49">
        <f>'Secondary cum Calculation'!K755</f>
        <v>0</v>
      </c>
      <c r="L827" s="53"/>
      <c r="M827" s="54" t="e">
        <f>'Secondary cum Calculation'!M755</f>
        <v>#DIV/0!</v>
      </c>
      <c r="N827" s="54" t="e">
        <f>'Secondary cum Calculation'!N755</f>
        <v>#DIV/0!</v>
      </c>
      <c r="O827" s="54" t="e">
        <f>'Secondary cum Calculation'!O755</f>
        <v>#DIV/0!</v>
      </c>
      <c r="P827" s="54" t="e">
        <f>'Secondary cum Calculation'!P755</f>
        <v>#DIV/0!</v>
      </c>
      <c r="Q827" s="54"/>
      <c r="R827" s="54"/>
      <c r="S827" s="54"/>
      <c r="T827" s="54"/>
      <c r="U827" s="54"/>
      <c r="V827" s="54"/>
      <c r="W827" s="258"/>
      <c r="X827" s="258"/>
    </row>
    <row r="828" spans="1:26">
      <c r="A828" s="46" t="str">
        <f>'Secondary cum Calculation'!A756</f>
        <v>Poland</v>
      </c>
      <c r="B828" s="47" t="str">
        <f>'Secondary cum Calculation'!B756</f>
        <v>Tourism Flows</v>
      </c>
      <c r="C828" s="47" t="str">
        <f>'Secondary cum Calculation'!C756</f>
        <v>International Departures by Destination</v>
      </c>
      <c r="D828" s="47" t="str">
        <f>'Secondary cum Calculation'!D756</f>
        <v>Asia-Pacific</v>
      </c>
      <c r="E828" s="46" t="str">
        <f>'Secondary cum Calculation'!E756</f>
        <v>Kazakhstan</v>
      </c>
      <c r="F828" s="48" t="str">
        <f>'Secondary cum Calculation'!F756</f>
        <v>The number of international departures from a country to Kazakhstan</v>
      </c>
      <c r="G828" s="48" t="str">
        <f>'Secondary cum Calculation'!G756</f>
        <v>Tourism Demand &amp; Flows Database</v>
      </c>
      <c r="H828" s="48" t="str">
        <f>'Secondary cum Calculation'!H756</f>
        <v>New</v>
      </c>
      <c r="I828" s="48">
        <f>'Secondary cum Calculation'!I756</f>
        <v>0</v>
      </c>
      <c r="J828" s="48" t="str">
        <f>'Secondary cum Calculation'!J756</f>
        <v>Thousand</v>
      </c>
      <c r="K828" s="49">
        <f>'Secondary cum Calculation'!K756</f>
        <v>0</v>
      </c>
      <c r="L828" s="92">
        <f>'Secondary cum Calculation'!L756</f>
        <v>0</v>
      </c>
      <c r="M828" s="92">
        <f>'Secondary cum Calculation'!M756</f>
        <v>0</v>
      </c>
      <c r="N828" s="92">
        <f>'Secondary cum Calculation'!N756</f>
        <v>0</v>
      </c>
      <c r="O828" s="89">
        <f>'Secondary cum Calculation'!O756</f>
        <v>0</v>
      </c>
      <c r="P828" s="89">
        <f>'Secondary cum Calculation'!P756</f>
        <v>0</v>
      </c>
      <c r="Q828" s="89"/>
      <c r="R828" s="89"/>
      <c r="S828" s="89"/>
      <c r="T828" s="89"/>
      <c r="U828" s="89"/>
      <c r="V828" s="89"/>
      <c r="W828" s="102" t="e">
        <f>'Secondary cum Calculation'!W756</f>
        <v>#DIV/0!</v>
      </c>
      <c r="X828" s="102" t="e">
        <f>'Secondary cum Calculation'!X756</f>
        <v>#DIV/0!</v>
      </c>
      <c r="Z828" s="11"/>
    </row>
    <row r="829" spans="1:26">
      <c r="A829" s="48"/>
      <c r="B829" s="48"/>
      <c r="C829" s="52" t="str">
        <f>'Secondary cum Calculation'!C757</f>
        <v>Growth Rate</v>
      </c>
      <c r="D829" s="52"/>
      <c r="E829" s="52"/>
      <c r="F829" s="52">
        <f>'Secondary cum Calculation'!F757</f>
        <v>0</v>
      </c>
      <c r="G829" s="52">
        <f>'Secondary cum Calculation'!G757</f>
        <v>0</v>
      </c>
      <c r="H829" s="52">
        <f>'Secondary cum Calculation'!H757</f>
        <v>0</v>
      </c>
      <c r="I829" s="52">
        <f>'Secondary cum Calculation'!I757</f>
        <v>0</v>
      </c>
      <c r="J829" s="52" t="str">
        <f>'Secondary cum Calculation'!J757</f>
        <v>%</v>
      </c>
      <c r="K829" s="49">
        <f>'Secondary cum Calculation'!K757</f>
        <v>0</v>
      </c>
      <c r="L829" s="53"/>
      <c r="M829" s="54" t="e">
        <f>'Secondary cum Calculation'!M757</f>
        <v>#DIV/0!</v>
      </c>
      <c r="N829" s="54" t="e">
        <f>'Secondary cum Calculation'!N757</f>
        <v>#DIV/0!</v>
      </c>
      <c r="O829" s="54" t="e">
        <f>'Secondary cum Calculation'!O757</f>
        <v>#DIV/0!</v>
      </c>
      <c r="P829" s="54" t="e">
        <f>'Secondary cum Calculation'!P757</f>
        <v>#DIV/0!</v>
      </c>
      <c r="Q829" s="54"/>
      <c r="R829" s="54"/>
      <c r="S829" s="54"/>
      <c r="T829" s="54"/>
      <c r="U829" s="54"/>
      <c r="V829" s="54"/>
      <c r="W829" s="258"/>
      <c r="X829" s="258"/>
    </row>
    <row r="830" spans="1:26">
      <c r="A830" s="46" t="str">
        <f>'Secondary cum Calculation'!A758</f>
        <v>Poland</v>
      </c>
      <c r="B830" s="47" t="str">
        <f>'Secondary cum Calculation'!B758</f>
        <v>Tourism Flows</v>
      </c>
      <c r="C830" s="47" t="str">
        <f>'Secondary cum Calculation'!C758</f>
        <v>International Departures by Destination</v>
      </c>
      <c r="D830" s="47" t="str">
        <f>'Secondary cum Calculation'!D758</f>
        <v>Asia-Pacific</v>
      </c>
      <c r="E830" s="46" t="str">
        <f>'Secondary cum Calculation'!E758</f>
        <v>Kyrgyzstan</v>
      </c>
      <c r="F830" s="48" t="str">
        <f>'Secondary cum Calculation'!F758</f>
        <v>The number of international departures from a country to Kyrgyzstan</v>
      </c>
      <c r="G830" s="48" t="str">
        <f>'Secondary cum Calculation'!G758</f>
        <v>Tourism Demand &amp; Flows Database</v>
      </c>
      <c r="H830" s="48" t="str">
        <f>'Secondary cum Calculation'!H758</f>
        <v>New</v>
      </c>
      <c r="I830" s="48">
        <f>'Secondary cum Calculation'!I758</f>
        <v>0</v>
      </c>
      <c r="J830" s="48" t="str">
        <f>'Secondary cum Calculation'!J758</f>
        <v>Thousand</v>
      </c>
      <c r="K830" s="49">
        <f>'Secondary cum Calculation'!K758</f>
        <v>0</v>
      </c>
      <c r="L830" s="92">
        <f>'Secondary cum Calculation'!L758</f>
        <v>0</v>
      </c>
      <c r="M830" s="92">
        <f>'Secondary cum Calculation'!M758</f>
        <v>0</v>
      </c>
      <c r="N830" s="92">
        <f>'Secondary cum Calculation'!N758</f>
        <v>0</v>
      </c>
      <c r="O830" s="53">
        <f>'Secondary cum Calculation'!O758</f>
        <v>0</v>
      </c>
      <c r="P830" s="53">
        <f>'Secondary cum Calculation'!P758</f>
        <v>0</v>
      </c>
      <c r="Q830" s="53"/>
      <c r="R830" s="53"/>
      <c r="S830" s="53"/>
      <c r="T830" s="53"/>
      <c r="U830" s="53"/>
      <c r="V830" s="53"/>
      <c r="W830" s="102" t="e">
        <f>'Secondary cum Calculation'!W758</f>
        <v>#DIV/0!</v>
      </c>
      <c r="X830" s="102" t="e">
        <f>'Secondary cum Calculation'!X758</f>
        <v>#DIV/0!</v>
      </c>
      <c r="Z830" s="11"/>
    </row>
    <row r="831" spans="1:26">
      <c r="A831" s="48"/>
      <c r="B831" s="48"/>
      <c r="C831" s="52" t="str">
        <f>'Secondary cum Calculation'!C759</f>
        <v>Growth Rate</v>
      </c>
      <c r="D831" s="52"/>
      <c r="E831" s="52"/>
      <c r="F831" s="52">
        <f>'Secondary cum Calculation'!F759</f>
        <v>0</v>
      </c>
      <c r="G831" s="52">
        <f>'Secondary cum Calculation'!G759</f>
        <v>0</v>
      </c>
      <c r="H831" s="52">
        <f>'Secondary cum Calculation'!H759</f>
        <v>0</v>
      </c>
      <c r="I831" s="52">
        <f>'Secondary cum Calculation'!I759</f>
        <v>0</v>
      </c>
      <c r="J831" s="52" t="str">
        <f>'Secondary cum Calculation'!J759</f>
        <v>%</v>
      </c>
      <c r="K831" s="49">
        <f>'Secondary cum Calculation'!K759</f>
        <v>0</v>
      </c>
      <c r="L831" s="53"/>
      <c r="M831" s="54" t="e">
        <f>'Secondary cum Calculation'!M759</f>
        <v>#DIV/0!</v>
      </c>
      <c r="N831" s="54" t="e">
        <f>'Secondary cum Calculation'!N759</f>
        <v>#DIV/0!</v>
      </c>
      <c r="O831" s="54" t="e">
        <f>'Secondary cum Calculation'!O759</f>
        <v>#DIV/0!</v>
      </c>
      <c r="P831" s="54" t="e">
        <f>'Secondary cum Calculation'!P759</f>
        <v>#DIV/0!</v>
      </c>
      <c r="Q831" s="54"/>
      <c r="R831" s="54"/>
      <c r="S831" s="54"/>
      <c r="T831" s="54"/>
      <c r="U831" s="54"/>
      <c r="V831" s="54"/>
      <c r="W831" s="258"/>
      <c r="X831" s="258"/>
    </row>
    <row r="832" spans="1:26">
      <c r="A832" s="46" t="str">
        <f>'Secondary cum Calculation'!A760</f>
        <v>Poland</v>
      </c>
      <c r="B832" s="47" t="str">
        <f>'Secondary cum Calculation'!B760</f>
        <v>Tourism Flows</v>
      </c>
      <c r="C832" s="47" t="str">
        <f>'Secondary cum Calculation'!C760</f>
        <v>International Departures by Destination</v>
      </c>
      <c r="D832" s="47" t="str">
        <f>'Secondary cum Calculation'!D760</f>
        <v>Asia-Pacific</v>
      </c>
      <c r="E832" s="46" t="str">
        <f>'Secondary cum Calculation'!E760</f>
        <v>Lao People's Dem. Republic</v>
      </c>
      <c r="F832" s="48" t="str">
        <f>'Secondary cum Calculation'!F760</f>
        <v>The number of international departures from a country to Lao People's Dem. Republic</v>
      </c>
      <c r="G832" s="48" t="str">
        <f>'Secondary cum Calculation'!G760</f>
        <v>Tourism Demand &amp; Flows Database</v>
      </c>
      <c r="H832" s="48" t="str">
        <f>'Secondary cum Calculation'!H760</f>
        <v>New</v>
      </c>
      <c r="I832" s="48">
        <f>'Secondary cum Calculation'!I760</f>
        <v>0</v>
      </c>
      <c r="J832" s="48" t="str">
        <f>'Secondary cum Calculation'!J760</f>
        <v>Thousand</v>
      </c>
      <c r="K832" s="49">
        <f>'Secondary cum Calculation'!K760</f>
        <v>0</v>
      </c>
      <c r="L832" s="92">
        <f>'Secondary cum Calculation'!L760</f>
        <v>0</v>
      </c>
      <c r="M832" s="92">
        <f>'Secondary cum Calculation'!M760</f>
        <v>0</v>
      </c>
      <c r="N832" s="92">
        <f>'Secondary cum Calculation'!N760</f>
        <v>0</v>
      </c>
      <c r="O832" s="53">
        <f>'Secondary cum Calculation'!O760</f>
        <v>0</v>
      </c>
      <c r="P832" s="53">
        <f>'Secondary cum Calculation'!P760</f>
        <v>0</v>
      </c>
      <c r="Q832" s="53"/>
      <c r="R832" s="53"/>
      <c r="S832" s="53"/>
      <c r="T832" s="53"/>
      <c r="U832" s="53"/>
      <c r="V832" s="53"/>
      <c r="W832" s="102" t="e">
        <f>'Secondary cum Calculation'!W760</f>
        <v>#DIV/0!</v>
      </c>
      <c r="X832" s="102" t="e">
        <f>'Secondary cum Calculation'!X760</f>
        <v>#DIV/0!</v>
      </c>
      <c r="Z832" s="11"/>
    </row>
    <row r="833" spans="1:26">
      <c r="A833" s="48"/>
      <c r="B833" s="48"/>
      <c r="C833" s="52" t="str">
        <f>'Secondary cum Calculation'!C761</f>
        <v>Growth Rate</v>
      </c>
      <c r="D833" s="52"/>
      <c r="E833" s="52"/>
      <c r="F833" s="52">
        <f>'Secondary cum Calculation'!F761</f>
        <v>0</v>
      </c>
      <c r="G833" s="52">
        <f>'Secondary cum Calculation'!G761</f>
        <v>0</v>
      </c>
      <c r="H833" s="52">
        <f>'Secondary cum Calculation'!H761</f>
        <v>0</v>
      </c>
      <c r="I833" s="52">
        <f>'Secondary cum Calculation'!I761</f>
        <v>0</v>
      </c>
      <c r="J833" s="52" t="str">
        <f>'Secondary cum Calculation'!J761</f>
        <v>%</v>
      </c>
      <c r="K833" s="49">
        <f>'Secondary cum Calculation'!K761</f>
        <v>0</v>
      </c>
      <c r="L833" s="53"/>
      <c r="M833" s="54" t="e">
        <f>'Secondary cum Calculation'!M761</f>
        <v>#DIV/0!</v>
      </c>
      <c r="N833" s="54" t="e">
        <f>'Secondary cum Calculation'!N761</f>
        <v>#DIV/0!</v>
      </c>
      <c r="O833" s="54" t="e">
        <f>'Secondary cum Calculation'!O761</f>
        <v>#DIV/0!</v>
      </c>
      <c r="P833" s="54" t="e">
        <f>'Secondary cum Calculation'!P761</f>
        <v>#DIV/0!</v>
      </c>
      <c r="Q833" s="54"/>
      <c r="R833" s="54"/>
      <c r="S833" s="54"/>
      <c r="T833" s="54"/>
      <c r="U833" s="54"/>
      <c r="V833" s="54"/>
      <c r="W833" s="258"/>
      <c r="X833" s="258"/>
    </row>
    <row r="834" spans="1:26">
      <c r="A834" s="46" t="str">
        <f>'Secondary cum Calculation'!A762</f>
        <v>Poland</v>
      </c>
      <c r="B834" s="47" t="str">
        <f>'Secondary cum Calculation'!B762</f>
        <v>Tourism Flows</v>
      </c>
      <c r="C834" s="47" t="str">
        <f>'Secondary cum Calculation'!C762</f>
        <v>International Departures by Destination</v>
      </c>
      <c r="D834" s="47" t="str">
        <f>'Secondary cum Calculation'!D762</f>
        <v>Asia-Pacific</v>
      </c>
      <c r="E834" s="46" t="str">
        <f>'Secondary cum Calculation'!E762</f>
        <v>Malaysia</v>
      </c>
      <c r="F834" s="48" t="str">
        <f>'Secondary cum Calculation'!F762</f>
        <v>The number of international departures from a country to Malaysia</v>
      </c>
      <c r="G834" s="48" t="str">
        <f>'Secondary cum Calculation'!G762</f>
        <v>Tourism Demand &amp; Flows Database</v>
      </c>
      <c r="H834" s="48" t="str">
        <f>'Secondary cum Calculation'!H762</f>
        <v>New</v>
      </c>
      <c r="I834" s="48">
        <f>'Secondary cum Calculation'!I762</f>
        <v>0</v>
      </c>
      <c r="J834" s="48" t="str">
        <f>'Secondary cum Calculation'!J762</f>
        <v>Thousand</v>
      </c>
      <c r="K834" s="49">
        <f>'Secondary cum Calculation'!K762</f>
        <v>121</v>
      </c>
      <c r="L834" s="53">
        <f>'Secondary cum Calculation'!L762</f>
        <v>0</v>
      </c>
      <c r="M834" s="53">
        <f>'Secondary cum Calculation'!M762</f>
        <v>0</v>
      </c>
      <c r="N834" s="53">
        <f>'Secondary cum Calculation'!N762</f>
        <v>0</v>
      </c>
      <c r="O834" s="53">
        <f>'Secondary cum Calculation'!O762</f>
        <v>0</v>
      </c>
      <c r="P834" s="53">
        <f>'Secondary cum Calculation'!P762</f>
        <v>0</v>
      </c>
      <c r="Q834" s="53"/>
      <c r="R834" s="53"/>
      <c r="S834" s="53"/>
      <c r="T834" s="53"/>
      <c r="U834" s="53"/>
      <c r="V834" s="53"/>
      <c r="W834" s="102" t="e">
        <f>'Secondary cum Calculation'!W762</f>
        <v>#DIV/0!</v>
      </c>
      <c r="X834" s="102" t="e">
        <f>'Secondary cum Calculation'!X762</f>
        <v>#DIV/0!</v>
      </c>
      <c r="Z834" s="11"/>
    </row>
    <row r="835" spans="1:26">
      <c r="A835" s="48"/>
      <c r="B835" s="48"/>
      <c r="C835" s="52" t="str">
        <f>'Secondary cum Calculation'!C763</f>
        <v>Growth Rate</v>
      </c>
      <c r="D835" s="52"/>
      <c r="E835" s="52"/>
      <c r="F835" s="52">
        <f>'Secondary cum Calculation'!F763</f>
        <v>0</v>
      </c>
      <c r="G835" s="52">
        <f>'Secondary cum Calculation'!G763</f>
        <v>0</v>
      </c>
      <c r="H835" s="52">
        <f>'Secondary cum Calculation'!H763</f>
        <v>0</v>
      </c>
      <c r="I835" s="52">
        <f>'Secondary cum Calculation'!I763</f>
        <v>0</v>
      </c>
      <c r="J835" s="52" t="str">
        <f>'Secondary cum Calculation'!J763</f>
        <v>%</v>
      </c>
      <c r="K835" s="49">
        <f>'Secondary cum Calculation'!K763</f>
        <v>0</v>
      </c>
      <c r="L835" s="53"/>
      <c r="M835" s="54" t="e">
        <f>'Secondary cum Calculation'!M763</f>
        <v>#DIV/0!</v>
      </c>
      <c r="N835" s="54" t="e">
        <f>'Secondary cum Calculation'!N763</f>
        <v>#DIV/0!</v>
      </c>
      <c r="O835" s="54" t="e">
        <f>'Secondary cum Calculation'!O763</f>
        <v>#DIV/0!</v>
      </c>
      <c r="P835" s="54" t="e">
        <f>'Secondary cum Calculation'!P763</f>
        <v>#DIV/0!</v>
      </c>
      <c r="Q835" s="54"/>
      <c r="R835" s="54"/>
      <c r="S835" s="54"/>
      <c r="T835" s="54"/>
      <c r="U835" s="54"/>
      <c r="V835" s="54"/>
      <c r="W835" s="258"/>
      <c r="X835" s="258"/>
    </row>
    <row r="836" spans="1:26">
      <c r="A836" s="46" t="str">
        <f>'Secondary cum Calculation'!A764</f>
        <v>Poland</v>
      </c>
      <c r="B836" s="47" t="str">
        <f>'Secondary cum Calculation'!B764</f>
        <v>Tourism Flows</v>
      </c>
      <c r="C836" s="47" t="str">
        <f>'Secondary cum Calculation'!C764</f>
        <v>International Departures by Destination</v>
      </c>
      <c r="D836" s="47" t="str">
        <f>'Secondary cum Calculation'!D764</f>
        <v>Asia-Pacific</v>
      </c>
      <c r="E836" s="46" t="str">
        <f>'Secondary cum Calculation'!E764</f>
        <v>Maldives</v>
      </c>
      <c r="F836" s="48" t="str">
        <f>'Secondary cum Calculation'!F764</f>
        <v>The number of international departures from a country to Maldives</v>
      </c>
      <c r="G836" s="48" t="str">
        <f>'Secondary cum Calculation'!G764</f>
        <v>Tourism Demand &amp; Flows Database</v>
      </c>
      <c r="H836" s="48" t="str">
        <f>'Secondary cum Calculation'!H764</f>
        <v>New</v>
      </c>
      <c r="I836" s="48">
        <f>'Secondary cum Calculation'!I764</f>
        <v>0</v>
      </c>
      <c r="J836" s="48" t="str">
        <f>'Secondary cum Calculation'!J764</f>
        <v>Thousand</v>
      </c>
      <c r="K836" s="49">
        <f>'Secondary cum Calculation'!K764</f>
        <v>0</v>
      </c>
      <c r="L836" s="92">
        <f>'Secondary cum Calculation'!L764</f>
        <v>0</v>
      </c>
      <c r="M836" s="92">
        <f>'Secondary cum Calculation'!M764</f>
        <v>0</v>
      </c>
      <c r="N836" s="92">
        <f>'Secondary cum Calculation'!N764</f>
        <v>0</v>
      </c>
      <c r="O836" s="53">
        <f>'Secondary cum Calculation'!O764</f>
        <v>0</v>
      </c>
      <c r="P836" s="53">
        <f>'Secondary cum Calculation'!P764</f>
        <v>0</v>
      </c>
      <c r="Q836" s="53"/>
      <c r="R836" s="53"/>
      <c r="S836" s="53"/>
      <c r="T836" s="53"/>
      <c r="U836" s="53"/>
      <c r="V836" s="53"/>
      <c r="W836" s="102" t="e">
        <f>'Secondary cum Calculation'!W764</f>
        <v>#DIV/0!</v>
      </c>
      <c r="X836" s="102" t="e">
        <f>'Secondary cum Calculation'!X764</f>
        <v>#DIV/0!</v>
      </c>
      <c r="Z836" s="11"/>
    </row>
    <row r="837" spans="1:26">
      <c r="A837" s="48"/>
      <c r="B837" s="48"/>
      <c r="C837" s="52" t="str">
        <f>'Secondary cum Calculation'!C765</f>
        <v>Growth Rate</v>
      </c>
      <c r="D837" s="52"/>
      <c r="E837" s="52"/>
      <c r="F837" s="52">
        <f>'Secondary cum Calculation'!F765</f>
        <v>0</v>
      </c>
      <c r="G837" s="52">
        <f>'Secondary cum Calculation'!G765</f>
        <v>0</v>
      </c>
      <c r="H837" s="52">
        <f>'Secondary cum Calculation'!H765</f>
        <v>0</v>
      </c>
      <c r="I837" s="52">
        <f>'Secondary cum Calculation'!I765</f>
        <v>0</v>
      </c>
      <c r="J837" s="52" t="str">
        <f>'Secondary cum Calculation'!J765</f>
        <v>%</v>
      </c>
      <c r="K837" s="49">
        <f>'Secondary cum Calculation'!K765</f>
        <v>0</v>
      </c>
      <c r="L837" s="53"/>
      <c r="M837" s="54" t="e">
        <f>'Secondary cum Calculation'!M765</f>
        <v>#DIV/0!</v>
      </c>
      <c r="N837" s="54" t="e">
        <f>'Secondary cum Calculation'!N765</f>
        <v>#DIV/0!</v>
      </c>
      <c r="O837" s="54" t="e">
        <f>'Secondary cum Calculation'!O765</f>
        <v>#DIV/0!</v>
      </c>
      <c r="P837" s="54" t="e">
        <f>'Secondary cum Calculation'!P765</f>
        <v>#DIV/0!</v>
      </c>
      <c r="Q837" s="54"/>
      <c r="R837" s="54"/>
      <c r="S837" s="54"/>
      <c r="T837" s="54"/>
      <c r="U837" s="54"/>
      <c r="V837" s="54"/>
      <c r="W837" s="258"/>
      <c r="X837" s="258"/>
    </row>
    <row r="838" spans="1:26">
      <c r="A838" s="46" t="str">
        <f>'Secondary cum Calculation'!A766</f>
        <v>Poland</v>
      </c>
      <c r="B838" s="47" t="str">
        <f>'Secondary cum Calculation'!B766</f>
        <v>Tourism Flows</v>
      </c>
      <c r="C838" s="47" t="str">
        <f>'Secondary cum Calculation'!C766</f>
        <v>International Departures by Destination</v>
      </c>
      <c r="D838" s="47" t="str">
        <f>'Secondary cum Calculation'!D766</f>
        <v>Asia-Pacific</v>
      </c>
      <c r="E838" s="46" t="str">
        <f>'Secondary cum Calculation'!E766</f>
        <v>Mauritius</v>
      </c>
      <c r="F838" s="48" t="str">
        <f>'Secondary cum Calculation'!F766</f>
        <v>The number of international departures from a country to Mauritius</v>
      </c>
      <c r="G838" s="48" t="str">
        <f>'Secondary cum Calculation'!G766</f>
        <v>Tourism Demand &amp; Flows Database</v>
      </c>
      <c r="H838" s="48" t="str">
        <f>'Secondary cum Calculation'!H766</f>
        <v>New</v>
      </c>
      <c r="I838" s="48">
        <f>'Secondary cum Calculation'!I766</f>
        <v>0</v>
      </c>
      <c r="J838" s="48" t="str">
        <f>'Secondary cum Calculation'!J766</f>
        <v>Thousand</v>
      </c>
      <c r="K838" s="49">
        <f>'Secondary cum Calculation'!K766</f>
        <v>0</v>
      </c>
      <c r="L838" s="92">
        <f>'Secondary cum Calculation'!L766</f>
        <v>0</v>
      </c>
      <c r="M838" s="92">
        <f>'Secondary cum Calculation'!M766</f>
        <v>0</v>
      </c>
      <c r="N838" s="92">
        <f>'Secondary cum Calculation'!N766</f>
        <v>0</v>
      </c>
      <c r="O838" s="53">
        <f>'Secondary cum Calculation'!O766</f>
        <v>0</v>
      </c>
      <c r="P838" s="53">
        <f>'Secondary cum Calculation'!P766</f>
        <v>0</v>
      </c>
      <c r="Q838" s="53"/>
      <c r="R838" s="53"/>
      <c r="S838" s="53"/>
      <c r="T838" s="53"/>
      <c r="U838" s="53"/>
      <c r="V838" s="53"/>
      <c r="W838" s="102" t="e">
        <f>'Secondary cum Calculation'!W766</f>
        <v>#DIV/0!</v>
      </c>
      <c r="X838" s="102" t="e">
        <f>'Secondary cum Calculation'!X766</f>
        <v>#DIV/0!</v>
      </c>
      <c r="Z838" s="11"/>
    </row>
    <row r="839" spans="1:26">
      <c r="A839" s="48"/>
      <c r="B839" s="48"/>
      <c r="C839" s="52" t="str">
        <f>'Secondary cum Calculation'!C767</f>
        <v>Growth Rate</v>
      </c>
      <c r="D839" s="52"/>
      <c r="E839" s="52"/>
      <c r="F839" s="52">
        <f>'Secondary cum Calculation'!F767</f>
        <v>0</v>
      </c>
      <c r="G839" s="52">
        <f>'Secondary cum Calculation'!G767</f>
        <v>0</v>
      </c>
      <c r="H839" s="52">
        <f>'Secondary cum Calculation'!H767</f>
        <v>0</v>
      </c>
      <c r="I839" s="52">
        <f>'Secondary cum Calculation'!I767</f>
        <v>0</v>
      </c>
      <c r="J839" s="52" t="str">
        <f>'Secondary cum Calculation'!J767</f>
        <v>%</v>
      </c>
      <c r="K839" s="49">
        <f>'Secondary cum Calculation'!K767</f>
        <v>0</v>
      </c>
      <c r="L839" s="53"/>
      <c r="M839" s="54" t="e">
        <f>'Secondary cum Calculation'!M767</f>
        <v>#DIV/0!</v>
      </c>
      <c r="N839" s="54" t="e">
        <f>'Secondary cum Calculation'!N767</f>
        <v>#DIV/0!</v>
      </c>
      <c r="O839" s="54" t="e">
        <f>'Secondary cum Calculation'!O767</f>
        <v>#DIV/0!</v>
      </c>
      <c r="P839" s="54" t="e">
        <f>'Secondary cum Calculation'!P767</f>
        <v>#DIV/0!</v>
      </c>
      <c r="Q839" s="54"/>
      <c r="R839" s="54"/>
      <c r="S839" s="54"/>
      <c r="T839" s="54"/>
      <c r="U839" s="54"/>
      <c r="V839" s="54"/>
      <c r="W839" s="258"/>
      <c r="X839" s="258"/>
    </row>
    <row r="840" spans="1:26">
      <c r="A840" s="46" t="str">
        <f>'Secondary cum Calculation'!A768</f>
        <v>Poland</v>
      </c>
      <c r="B840" s="47" t="str">
        <f>'Secondary cum Calculation'!B768</f>
        <v>Tourism Flows</v>
      </c>
      <c r="C840" s="47" t="str">
        <f>'Secondary cum Calculation'!C768</f>
        <v>International Departures by Destination</v>
      </c>
      <c r="D840" s="47" t="str">
        <f>'Secondary cum Calculation'!D768</f>
        <v>Asia-Pacific</v>
      </c>
      <c r="E840" s="46" t="str">
        <f>'Secondary cum Calculation'!E768</f>
        <v>Micronesia (Fed. States of)</v>
      </c>
      <c r="F840" s="48" t="str">
        <f>'Secondary cum Calculation'!F768</f>
        <v>The number of international departures from a country to Micronesia (Fed. States of)</v>
      </c>
      <c r="G840" s="48" t="str">
        <f>'Secondary cum Calculation'!G768</f>
        <v>Tourism Demand &amp; Flows Database</v>
      </c>
      <c r="H840" s="48" t="str">
        <f>'Secondary cum Calculation'!H768</f>
        <v>New</v>
      </c>
      <c r="I840" s="48">
        <f>'Secondary cum Calculation'!I768</f>
        <v>0</v>
      </c>
      <c r="J840" s="48" t="str">
        <f>'Secondary cum Calculation'!J768</f>
        <v>Thousand</v>
      </c>
      <c r="K840" s="49">
        <f>'Secondary cum Calculation'!K768</f>
        <v>0</v>
      </c>
      <c r="L840" s="92">
        <f>'Secondary cum Calculation'!L768</f>
        <v>0</v>
      </c>
      <c r="M840" s="92">
        <f>'Secondary cum Calculation'!M768</f>
        <v>0</v>
      </c>
      <c r="N840" s="92">
        <f>'Secondary cum Calculation'!N768</f>
        <v>0</v>
      </c>
      <c r="O840" s="53">
        <f>'Secondary cum Calculation'!O768</f>
        <v>0</v>
      </c>
      <c r="P840" s="53">
        <f>'Secondary cum Calculation'!P768</f>
        <v>0</v>
      </c>
      <c r="Q840" s="53"/>
      <c r="R840" s="53"/>
      <c r="S840" s="53"/>
      <c r="T840" s="53"/>
      <c r="U840" s="53"/>
      <c r="V840" s="53"/>
      <c r="W840" s="102" t="e">
        <f>'Secondary cum Calculation'!W768</f>
        <v>#DIV/0!</v>
      </c>
      <c r="X840" s="102" t="e">
        <f>'Secondary cum Calculation'!X768</f>
        <v>#DIV/0!</v>
      </c>
      <c r="Z840" s="11"/>
    </row>
    <row r="841" spans="1:26">
      <c r="A841" s="48"/>
      <c r="B841" s="48"/>
      <c r="C841" s="52" t="str">
        <f>'Secondary cum Calculation'!C769</f>
        <v>Growth Rate</v>
      </c>
      <c r="D841" s="52"/>
      <c r="E841" s="52"/>
      <c r="F841" s="52">
        <f>'Secondary cum Calculation'!F769</f>
        <v>0</v>
      </c>
      <c r="G841" s="52">
        <f>'Secondary cum Calculation'!G769</f>
        <v>0</v>
      </c>
      <c r="H841" s="52">
        <f>'Secondary cum Calculation'!H769</f>
        <v>0</v>
      </c>
      <c r="I841" s="52">
        <f>'Secondary cum Calculation'!I769</f>
        <v>0</v>
      </c>
      <c r="J841" s="52" t="str">
        <f>'Secondary cum Calculation'!J769</f>
        <v>%</v>
      </c>
      <c r="K841" s="49">
        <f>'Secondary cum Calculation'!K769</f>
        <v>0</v>
      </c>
      <c r="L841" s="53"/>
      <c r="M841" s="54" t="e">
        <f>'Secondary cum Calculation'!M769</f>
        <v>#DIV/0!</v>
      </c>
      <c r="N841" s="54" t="e">
        <f>'Secondary cum Calculation'!N769</f>
        <v>#DIV/0!</v>
      </c>
      <c r="O841" s="54" t="e">
        <f>'Secondary cum Calculation'!O769</f>
        <v>#DIV/0!</v>
      </c>
      <c r="P841" s="54" t="e">
        <f>'Secondary cum Calculation'!P769</f>
        <v>#DIV/0!</v>
      </c>
      <c r="Q841" s="54"/>
      <c r="R841" s="54"/>
      <c r="S841" s="54"/>
      <c r="T841" s="54"/>
      <c r="U841" s="54"/>
      <c r="V841" s="54"/>
      <c r="W841" s="258"/>
      <c r="X841" s="258"/>
    </row>
    <row r="842" spans="1:26">
      <c r="A842" s="46" t="str">
        <f>'Secondary cum Calculation'!A770</f>
        <v>Poland</v>
      </c>
      <c r="B842" s="47" t="str">
        <f>'Secondary cum Calculation'!B770</f>
        <v>Tourism Flows</v>
      </c>
      <c r="C842" s="47" t="str">
        <f>'Secondary cum Calculation'!C770</f>
        <v>International Departures by Destination</v>
      </c>
      <c r="D842" s="47" t="str">
        <f>'Secondary cum Calculation'!D770</f>
        <v>Asia-Pacific</v>
      </c>
      <c r="E842" s="46" t="str">
        <f>'Secondary cum Calculation'!E770</f>
        <v>Mongolia</v>
      </c>
      <c r="F842" s="48" t="str">
        <f>'Secondary cum Calculation'!F770</f>
        <v>The number of international departures from a country to Mongolia</v>
      </c>
      <c r="G842" s="48" t="str">
        <f>'Secondary cum Calculation'!G770</f>
        <v>Tourism Demand &amp; Flows Database</v>
      </c>
      <c r="H842" s="48" t="str">
        <f>'Secondary cum Calculation'!H770</f>
        <v>New</v>
      </c>
      <c r="I842" s="48">
        <f>'Secondary cum Calculation'!I770</f>
        <v>0</v>
      </c>
      <c r="J842" s="48" t="str">
        <f>'Secondary cum Calculation'!J770</f>
        <v>Thousand</v>
      </c>
      <c r="K842" s="49">
        <f>'Secondary cum Calculation'!K770</f>
        <v>0</v>
      </c>
      <c r="L842" s="92">
        <f>'Secondary cum Calculation'!L770</f>
        <v>0</v>
      </c>
      <c r="M842" s="92">
        <f>'Secondary cum Calculation'!M770</f>
        <v>0</v>
      </c>
      <c r="N842" s="92">
        <f>'Secondary cum Calculation'!N770</f>
        <v>0</v>
      </c>
      <c r="O842" s="53">
        <f>'Secondary cum Calculation'!O770</f>
        <v>0</v>
      </c>
      <c r="P842" s="53">
        <f>'Secondary cum Calculation'!P770</f>
        <v>0</v>
      </c>
      <c r="Q842" s="53"/>
      <c r="R842" s="53"/>
      <c r="S842" s="53"/>
      <c r="T842" s="53"/>
      <c r="U842" s="53"/>
      <c r="V842" s="53"/>
      <c r="W842" s="102" t="e">
        <f>'Secondary cum Calculation'!W770</f>
        <v>#DIV/0!</v>
      </c>
      <c r="X842" s="102" t="e">
        <f>'Secondary cum Calculation'!X770</f>
        <v>#DIV/0!</v>
      </c>
      <c r="Z842" s="11"/>
    </row>
    <row r="843" spans="1:26">
      <c r="A843" s="48"/>
      <c r="B843" s="48"/>
      <c r="C843" s="52" t="str">
        <f>'Secondary cum Calculation'!C771</f>
        <v>Growth Rate</v>
      </c>
      <c r="D843" s="52"/>
      <c r="E843" s="52"/>
      <c r="F843" s="52">
        <f>'Secondary cum Calculation'!F771</f>
        <v>0</v>
      </c>
      <c r="G843" s="52">
        <f>'Secondary cum Calculation'!G771</f>
        <v>0</v>
      </c>
      <c r="H843" s="52">
        <f>'Secondary cum Calculation'!H771</f>
        <v>0</v>
      </c>
      <c r="I843" s="52">
        <f>'Secondary cum Calculation'!I771</f>
        <v>0</v>
      </c>
      <c r="J843" s="52" t="str">
        <f>'Secondary cum Calculation'!J771</f>
        <v>%</v>
      </c>
      <c r="K843" s="49">
        <f>'Secondary cum Calculation'!K771</f>
        <v>0</v>
      </c>
      <c r="L843" s="53"/>
      <c r="M843" s="54" t="e">
        <f>'Secondary cum Calculation'!M771</f>
        <v>#DIV/0!</v>
      </c>
      <c r="N843" s="54" t="e">
        <f>'Secondary cum Calculation'!N771</f>
        <v>#DIV/0!</v>
      </c>
      <c r="O843" s="54" t="e">
        <f>'Secondary cum Calculation'!O771</f>
        <v>#DIV/0!</v>
      </c>
      <c r="P843" s="54" t="e">
        <f>'Secondary cum Calculation'!P771</f>
        <v>#DIV/0!</v>
      </c>
      <c r="Q843" s="54"/>
      <c r="R843" s="54"/>
      <c r="S843" s="54"/>
      <c r="T843" s="54"/>
      <c r="U843" s="54"/>
      <c r="V843" s="54"/>
      <c r="W843" s="258"/>
      <c r="X843" s="258"/>
    </row>
    <row r="844" spans="1:26">
      <c r="A844" s="46" t="str">
        <f>'Secondary cum Calculation'!A772</f>
        <v>Poland</v>
      </c>
      <c r="B844" s="47" t="str">
        <f>'Secondary cum Calculation'!B772</f>
        <v>Tourism Flows</v>
      </c>
      <c r="C844" s="47" t="str">
        <f>'Secondary cum Calculation'!C772</f>
        <v>International Departures by Destination</v>
      </c>
      <c r="D844" s="47" t="str">
        <f>'Secondary cum Calculation'!D772</f>
        <v>Asia-Pacific</v>
      </c>
      <c r="E844" s="46" t="str">
        <f>'Secondary cum Calculation'!E772</f>
        <v>Myanmar</v>
      </c>
      <c r="F844" s="48" t="str">
        <f>'Secondary cum Calculation'!F772</f>
        <v>The number of international departures from a country to Myanmar</v>
      </c>
      <c r="G844" s="48" t="str">
        <f>'Secondary cum Calculation'!G772</f>
        <v>Tourism Demand &amp; Flows Database</v>
      </c>
      <c r="H844" s="48" t="str">
        <f>'Secondary cum Calculation'!H772</f>
        <v>New</v>
      </c>
      <c r="I844" s="48">
        <f>'Secondary cum Calculation'!I772</f>
        <v>0</v>
      </c>
      <c r="J844" s="48" t="str">
        <f>'Secondary cum Calculation'!J772</f>
        <v>Thousand</v>
      </c>
      <c r="K844" s="49">
        <f>'Secondary cum Calculation'!K772</f>
        <v>0</v>
      </c>
      <c r="L844" s="92">
        <f>'Secondary cum Calculation'!L772</f>
        <v>0</v>
      </c>
      <c r="M844" s="92">
        <f>'Secondary cum Calculation'!M772</f>
        <v>0</v>
      </c>
      <c r="N844" s="92">
        <f>'Secondary cum Calculation'!N772</f>
        <v>0</v>
      </c>
      <c r="O844" s="53">
        <f>'Secondary cum Calculation'!O772</f>
        <v>0</v>
      </c>
      <c r="P844" s="53">
        <f>'Secondary cum Calculation'!P772</f>
        <v>0</v>
      </c>
      <c r="Q844" s="53"/>
      <c r="R844" s="53"/>
      <c r="S844" s="53"/>
      <c r="T844" s="53"/>
      <c r="U844" s="53"/>
      <c r="V844" s="53"/>
      <c r="W844" s="102" t="e">
        <f>'Secondary cum Calculation'!W772</f>
        <v>#DIV/0!</v>
      </c>
      <c r="X844" s="102" t="e">
        <f>'Secondary cum Calculation'!X772</f>
        <v>#DIV/0!</v>
      </c>
      <c r="Z844" s="11"/>
    </row>
    <row r="845" spans="1:26">
      <c r="A845" s="48"/>
      <c r="B845" s="48"/>
      <c r="C845" s="52" t="str">
        <f>'Secondary cum Calculation'!C773</f>
        <v>Growth Rate</v>
      </c>
      <c r="D845" s="52"/>
      <c r="E845" s="52"/>
      <c r="F845" s="52">
        <f>'Secondary cum Calculation'!F773</f>
        <v>0</v>
      </c>
      <c r="G845" s="52">
        <f>'Secondary cum Calculation'!G773</f>
        <v>0</v>
      </c>
      <c r="H845" s="52">
        <f>'Secondary cum Calculation'!H773</f>
        <v>0</v>
      </c>
      <c r="I845" s="52">
        <f>'Secondary cum Calculation'!I773</f>
        <v>0</v>
      </c>
      <c r="J845" s="52" t="str">
        <f>'Secondary cum Calculation'!J773</f>
        <v>%</v>
      </c>
      <c r="K845" s="49">
        <f>'Secondary cum Calculation'!K773</f>
        <v>0</v>
      </c>
      <c r="L845" s="53"/>
      <c r="M845" s="54" t="e">
        <f>'Secondary cum Calculation'!M773</f>
        <v>#DIV/0!</v>
      </c>
      <c r="N845" s="54" t="e">
        <f>'Secondary cum Calculation'!N773</f>
        <v>#DIV/0!</v>
      </c>
      <c r="O845" s="54" t="e">
        <f>'Secondary cum Calculation'!O773</f>
        <v>#DIV/0!</v>
      </c>
      <c r="P845" s="54" t="e">
        <f>'Secondary cum Calculation'!P773</f>
        <v>#DIV/0!</v>
      </c>
      <c r="Q845" s="54"/>
      <c r="R845" s="54"/>
      <c r="S845" s="54"/>
      <c r="T845" s="54"/>
      <c r="U845" s="54"/>
      <c r="V845" s="54"/>
      <c r="W845" s="258"/>
      <c r="X845" s="258"/>
    </row>
    <row r="846" spans="1:26">
      <c r="A846" s="46" t="str">
        <f>'Secondary cum Calculation'!A774</f>
        <v>Poland</v>
      </c>
      <c r="B846" s="47" t="str">
        <f>'Secondary cum Calculation'!B774</f>
        <v>Tourism Flows</v>
      </c>
      <c r="C846" s="47" t="str">
        <f>'Secondary cum Calculation'!C774</f>
        <v>International Departures by Destination</v>
      </c>
      <c r="D846" s="47" t="str">
        <f>'Secondary cum Calculation'!D774</f>
        <v>Asia-Pacific</v>
      </c>
      <c r="E846" s="46" t="str">
        <f>'Secondary cum Calculation'!E774</f>
        <v>Nepal</v>
      </c>
      <c r="F846" s="48" t="str">
        <f>'Secondary cum Calculation'!F774</f>
        <v>The number of international departures from a country to Nepal</v>
      </c>
      <c r="G846" s="48" t="str">
        <f>'Secondary cum Calculation'!G774</f>
        <v>Tourism Demand &amp; Flows Database</v>
      </c>
      <c r="H846" s="48" t="str">
        <f>'Secondary cum Calculation'!H774</f>
        <v>New</v>
      </c>
      <c r="I846" s="48">
        <f>'Secondary cum Calculation'!I774</f>
        <v>0</v>
      </c>
      <c r="J846" s="48" t="str">
        <f>'Secondary cum Calculation'!J774</f>
        <v>Thousand</v>
      </c>
      <c r="K846" s="49">
        <f>'Secondary cum Calculation'!K774</f>
        <v>0</v>
      </c>
      <c r="L846" s="92">
        <f>'Secondary cum Calculation'!L774</f>
        <v>0</v>
      </c>
      <c r="M846" s="92">
        <f>'Secondary cum Calculation'!M774</f>
        <v>0</v>
      </c>
      <c r="N846" s="92">
        <f>'Secondary cum Calculation'!N774</f>
        <v>0</v>
      </c>
      <c r="O846" s="53">
        <f>'Secondary cum Calculation'!O774</f>
        <v>0</v>
      </c>
      <c r="P846" s="53">
        <f>'Secondary cum Calculation'!P774</f>
        <v>0</v>
      </c>
      <c r="Q846" s="53"/>
      <c r="R846" s="53"/>
      <c r="S846" s="53"/>
      <c r="T846" s="53"/>
      <c r="U846" s="53"/>
      <c r="V846" s="53"/>
      <c r="W846" s="102" t="e">
        <f>'Secondary cum Calculation'!W774</f>
        <v>#DIV/0!</v>
      </c>
      <c r="X846" s="102" t="e">
        <f>'Secondary cum Calculation'!X774</f>
        <v>#DIV/0!</v>
      </c>
      <c r="Z846" s="11"/>
    </row>
    <row r="847" spans="1:26">
      <c r="A847" s="48"/>
      <c r="B847" s="48"/>
      <c r="C847" s="52" t="str">
        <f>'Secondary cum Calculation'!C775</f>
        <v>Growth Rate</v>
      </c>
      <c r="D847" s="52"/>
      <c r="E847" s="52"/>
      <c r="F847" s="52">
        <f>'Secondary cum Calculation'!F775</f>
        <v>0</v>
      </c>
      <c r="G847" s="52">
        <f>'Secondary cum Calculation'!G775</f>
        <v>0</v>
      </c>
      <c r="H847" s="52">
        <f>'Secondary cum Calculation'!H775</f>
        <v>0</v>
      </c>
      <c r="I847" s="52">
        <f>'Secondary cum Calculation'!I775</f>
        <v>0</v>
      </c>
      <c r="J847" s="52" t="str">
        <f>'Secondary cum Calculation'!J775</f>
        <v>%</v>
      </c>
      <c r="K847" s="49">
        <f>'Secondary cum Calculation'!K775</f>
        <v>0</v>
      </c>
      <c r="L847" s="53"/>
      <c r="M847" s="54" t="e">
        <f>'Secondary cum Calculation'!M775</f>
        <v>#DIV/0!</v>
      </c>
      <c r="N847" s="54" t="e">
        <f>'Secondary cum Calculation'!N775</f>
        <v>#DIV/0!</v>
      </c>
      <c r="O847" s="54" t="e">
        <f>'Secondary cum Calculation'!O775</f>
        <v>#DIV/0!</v>
      </c>
      <c r="P847" s="54" t="e">
        <f>'Secondary cum Calculation'!P775</f>
        <v>#DIV/0!</v>
      </c>
      <c r="Q847" s="54"/>
      <c r="R847" s="54"/>
      <c r="S847" s="54"/>
      <c r="T847" s="54"/>
      <c r="U847" s="54"/>
      <c r="V847" s="54"/>
      <c r="W847" s="258"/>
      <c r="X847" s="258"/>
    </row>
    <row r="848" spans="1:26">
      <c r="A848" s="46" t="str">
        <f>'Secondary cum Calculation'!A776</f>
        <v>Poland</v>
      </c>
      <c r="B848" s="47" t="str">
        <f>'Secondary cum Calculation'!B776</f>
        <v>Tourism Flows</v>
      </c>
      <c r="C848" s="47" t="str">
        <f>'Secondary cum Calculation'!C776</f>
        <v>International Departures by Destination</v>
      </c>
      <c r="D848" s="47" t="str">
        <f>'Secondary cum Calculation'!D776</f>
        <v>Asia-Pacific</v>
      </c>
      <c r="E848" s="46" t="str">
        <f>'Secondary cum Calculation'!E776</f>
        <v>New Caledonia</v>
      </c>
      <c r="F848" s="48" t="str">
        <f>'Secondary cum Calculation'!F776</f>
        <v>The number of international departures from a country to New Caledonia</v>
      </c>
      <c r="G848" s="48" t="str">
        <f>'Secondary cum Calculation'!G776</f>
        <v>Tourism Demand &amp; Flows Database</v>
      </c>
      <c r="H848" s="48" t="str">
        <f>'Secondary cum Calculation'!H776</f>
        <v>New</v>
      </c>
      <c r="I848" s="48">
        <f>'Secondary cum Calculation'!I776</f>
        <v>0</v>
      </c>
      <c r="J848" s="48" t="str">
        <f>'Secondary cum Calculation'!J776</f>
        <v>Thousand</v>
      </c>
      <c r="K848" s="49">
        <f>'Secondary cum Calculation'!K776</f>
        <v>0</v>
      </c>
      <c r="L848" s="92">
        <f>'Secondary cum Calculation'!L776</f>
        <v>0</v>
      </c>
      <c r="M848" s="92">
        <f>'Secondary cum Calculation'!M776</f>
        <v>0</v>
      </c>
      <c r="N848" s="92">
        <f>'Secondary cum Calculation'!N776</f>
        <v>0</v>
      </c>
      <c r="O848" s="53">
        <f>'Secondary cum Calculation'!O776</f>
        <v>0</v>
      </c>
      <c r="P848" s="53">
        <f>'Secondary cum Calculation'!P776</f>
        <v>0</v>
      </c>
      <c r="Q848" s="53"/>
      <c r="R848" s="53"/>
      <c r="S848" s="53"/>
      <c r="T848" s="53"/>
      <c r="U848" s="53"/>
      <c r="V848" s="53"/>
      <c r="W848" s="102" t="e">
        <f>'Secondary cum Calculation'!W776</f>
        <v>#DIV/0!</v>
      </c>
      <c r="X848" s="102" t="e">
        <f>'Secondary cum Calculation'!X776</f>
        <v>#DIV/0!</v>
      </c>
      <c r="Z848" s="11"/>
    </row>
    <row r="849" spans="1:26">
      <c r="A849" s="48"/>
      <c r="B849" s="48"/>
      <c r="C849" s="52" t="str">
        <f>'Secondary cum Calculation'!C777</f>
        <v>Growth Rate</v>
      </c>
      <c r="D849" s="52"/>
      <c r="E849" s="52"/>
      <c r="F849" s="52">
        <f>'Secondary cum Calculation'!F777</f>
        <v>0</v>
      </c>
      <c r="G849" s="52">
        <f>'Secondary cum Calculation'!G777</f>
        <v>0</v>
      </c>
      <c r="H849" s="52">
        <f>'Secondary cum Calculation'!H777</f>
        <v>0</v>
      </c>
      <c r="I849" s="52">
        <f>'Secondary cum Calculation'!I777</f>
        <v>0</v>
      </c>
      <c r="J849" s="52" t="str">
        <f>'Secondary cum Calculation'!J777</f>
        <v>%</v>
      </c>
      <c r="K849" s="49">
        <f>'Secondary cum Calculation'!K777</f>
        <v>0</v>
      </c>
      <c r="L849" s="53"/>
      <c r="M849" s="54" t="e">
        <f>'Secondary cum Calculation'!M777</f>
        <v>#DIV/0!</v>
      </c>
      <c r="N849" s="54" t="e">
        <f>'Secondary cum Calculation'!N777</f>
        <v>#DIV/0!</v>
      </c>
      <c r="O849" s="54" t="e">
        <f>'Secondary cum Calculation'!O777</f>
        <v>#DIV/0!</v>
      </c>
      <c r="P849" s="54" t="e">
        <f>'Secondary cum Calculation'!P777</f>
        <v>#DIV/0!</v>
      </c>
      <c r="Q849" s="54"/>
      <c r="R849" s="54"/>
      <c r="S849" s="54"/>
      <c r="T849" s="54"/>
      <c r="U849" s="54"/>
      <c r="V849" s="54"/>
      <c r="W849" s="258"/>
      <c r="X849" s="258"/>
    </row>
    <row r="850" spans="1:26">
      <c r="A850" s="46" t="str">
        <f>'Secondary cum Calculation'!A778</f>
        <v>Poland</v>
      </c>
      <c r="B850" s="47" t="str">
        <f>'Secondary cum Calculation'!B778</f>
        <v>Tourism Flows</v>
      </c>
      <c r="C850" s="47" t="str">
        <f>'Secondary cum Calculation'!C778</f>
        <v>International Departures by Destination</v>
      </c>
      <c r="D850" s="47" t="str">
        <f>'Secondary cum Calculation'!D778</f>
        <v>Asia-Pacific</v>
      </c>
      <c r="E850" s="46" t="str">
        <f>'Secondary cum Calculation'!E778</f>
        <v>New Zealand</v>
      </c>
      <c r="F850" s="48" t="str">
        <f>'Secondary cum Calculation'!F778</f>
        <v>The number of international departures from a country to New Zealand</v>
      </c>
      <c r="G850" s="48" t="str">
        <f>'Secondary cum Calculation'!G778</f>
        <v>Tourism Demand &amp; Flows Database</v>
      </c>
      <c r="H850" s="48" t="str">
        <f>'Secondary cum Calculation'!H778</f>
        <v>New</v>
      </c>
      <c r="I850" s="48">
        <f>'Secondary cum Calculation'!I778</f>
        <v>0</v>
      </c>
      <c r="J850" s="48" t="str">
        <f>'Secondary cum Calculation'!J778</f>
        <v>Thousand</v>
      </c>
      <c r="K850" s="49">
        <f>'Secondary cum Calculation'!K778</f>
        <v>301</v>
      </c>
      <c r="L850" s="53">
        <f>'Secondary cum Calculation'!L778</f>
        <v>0</v>
      </c>
      <c r="M850" s="53">
        <f>'Secondary cum Calculation'!M778</f>
        <v>0</v>
      </c>
      <c r="N850" s="53">
        <f>'Secondary cum Calculation'!N778</f>
        <v>0</v>
      </c>
      <c r="O850" s="53">
        <f>'Secondary cum Calculation'!O778</f>
        <v>0</v>
      </c>
      <c r="P850" s="53">
        <f>'Secondary cum Calculation'!P778</f>
        <v>0</v>
      </c>
      <c r="Q850" s="53"/>
      <c r="R850" s="53"/>
      <c r="S850" s="53"/>
      <c r="T850" s="53"/>
      <c r="U850" s="53"/>
      <c r="V850" s="53"/>
      <c r="W850" s="102" t="e">
        <f>'Secondary cum Calculation'!W778</f>
        <v>#DIV/0!</v>
      </c>
      <c r="X850" s="102" t="e">
        <f>'Secondary cum Calculation'!X778</f>
        <v>#DIV/0!</v>
      </c>
      <c r="Z850" s="11"/>
    </row>
    <row r="851" spans="1:26">
      <c r="A851" s="48"/>
      <c r="B851" s="48"/>
      <c r="C851" s="52" t="str">
        <f>'Secondary cum Calculation'!C779</f>
        <v>Growth Rate</v>
      </c>
      <c r="D851" s="52"/>
      <c r="E851" s="52"/>
      <c r="F851" s="52">
        <f>'Secondary cum Calculation'!F779</f>
        <v>0</v>
      </c>
      <c r="G851" s="52">
        <f>'Secondary cum Calculation'!G779</f>
        <v>0</v>
      </c>
      <c r="H851" s="52">
        <f>'Secondary cum Calculation'!H779</f>
        <v>0</v>
      </c>
      <c r="I851" s="52">
        <f>'Secondary cum Calculation'!I779</f>
        <v>0</v>
      </c>
      <c r="J851" s="52" t="str">
        <f>'Secondary cum Calculation'!J779</f>
        <v>%</v>
      </c>
      <c r="K851" s="49">
        <f>'Secondary cum Calculation'!K779</f>
        <v>0</v>
      </c>
      <c r="L851" s="53"/>
      <c r="M851" s="54" t="e">
        <f>'Secondary cum Calculation'!M779</f>
        <v>#DIV/0!</v>
      </c>
      <c r="N851" s="54" t="e">
        <f>'Secondary cum Calculation'!N779</f>
        <v>#DIV/0!</v>
      </c>
      <c r="O851" s="54" t="e">
        <f>'Secondary cum Calculation'!O779</f>
        <v>#DIV/0!</v>
      </c>
      <c r="P851" s="54" t="e">
        <f>'Secondary cum Calculation'!P779</f>
        <v>#DIV/0!</v>
      </c>
      <c r="Q851" s="54"/>
      <c r="R851" s="54"/>
      <c r="S851" s="54"/>
      <c r="T851" s="54"/>
      <c r="U851" s="54"/>
      <c r="V851" s="54"/>
      <c r="W851" s="258"/>
      <c r="X851" s="258"/>
    </row>
    <row r="852" spans="1:26">
      <c r="A852" s="46" t="str">
        <f>'Secondary cum Calculation'!A780</f>
        <v>Poland</v>
      </c>
      <c r="B852" s="47" t="str">
        <f>'Secondary cum Calculation'!B780</f>
        <v>Tourism Flows</v>
      </c>
      <c r="C852" s="47" t="str">
        <f>'Secondary cum Calculation'!C780</f>
        <v>International Departures by Destination</v>
      </c>
      <c r="D852" s="47" t="str">
        <f>'Secondary cum Calculation'!D780</f>
        <v>Asia-Pacific</v>
      </c>
      <c r="E852" s="46" t="str">
        <f>'Secondary cum Calculation'!E780</f>
        <v>Pakistan</v>
      </c>
      <c r="F852" s="48" t="str">
        <f>'Secondary cum Calculation'!F780</f>
        <v>The number of international departures from a country to Pakistan</v>
      </c>
      <c r="G852" s="48" t="str">
        <f>'Secondary cum Calculation'!G780</f>
        <v>Tourism Demand &amp; Flows Database</v>
      </c>
      <c r="H852" s="48" t="str">
        <f>'Secondary cum Calculation'!H780</f>
        <v>New</v>
      </c>
      <c r="I852" s="48">
        <f>'Secondary cum Calculation'!I780</f>
        <v>0</v>
      </c>
      <c r="J852" s="48" t="str">
        <f>'Secondary cum Calculation'!J780</f>
        <v>Thousand</v>
      </c>
      <c r="K852" s="49">
        <f>'Secondary cum Calculation'!K780</f>
        <v>0</v>
      </c>
      <c r="L852" s="92">
        <f>'Secondary cum Calculation'!L780</f>
        <v>0</v>
      </c>
      <c r="M852" s="92">
        <f>'Secondary cum Calculation'!M780</f>
        <v>0</v>
      </c>
      <c r="N852" s="92">
        <f>'Secondary cum Calculation'!N780</f>
        <v>0</v>
      </c>
      <c r="O852" s="53">
        <f>'Secondary cum Calculation'!O780</f>
        <v>0</v>
      </c>
      <c r="P852" s="53">
        <f>'Secondary cum Calculation'!P780</f>
        <v>0</v>
      </c>
      <c r="Q852" s="53"/>
      <c r="R852" s="53"/>
      <c r="S852" s="53"/>
      <c r="T852" s="53"/>
      <c r="U852" s="53"/>
      <c r="V852" s="53"/>
      <c r="W852" s="102" t="e">
        <f>'Secondary cum Calculation'!W780</f>
        <v>#DIV/0!</v>
      </c>
      <c r="X852" s="102" t="e">
        <f>'Secondary cum Calculation'!X780</f>
        <v>#DIV/0!</v>
      </c>
      <c r="Z852" s="11"/>
    </row>
    <row r="853" spans="1:26">
      <c r="A853" s="48"/>
      <c r="B853" s="48"/>
      <c r="C853" s="52" t="str">
        <f>'Secondary cum Calculation'!C781</f>
        <v>Growth Rate</v>
      </c>
      <c r="D853" s="52"/>
      <c r="E853" s="52"/>
      <c r="F853" s="52">
        <f>'Secondary cum Calculation'!F781</f>
        <v>0</v>
      </c>
      <c r="G853" s="52">
        <f>'Secondary cum Calculation'!G781</f>
        <v>0</v>
      </c>
      <c r="H853" s="52">
        <f>'Secondary cum Calculation'!H781</f>
        <v>0</v>
      </c>
      <c r="I853" s="52">
        <f>'Secondary cum Calculation'!I781</f>
        <v>0</v>
      </c>
      <c r="J853" s="52" t="str">
        <f>'Secondary cum Calculation'!J781</f>
        <v>%</v>
      </c>
      <c r="K853" s="49">
        <f>'Secondary cum Calculation'!K781</f>
        <v>0</v>
      </c>
      <c r="L853" s="53"/>
      <c r="M853" s="54" t="e">
        <f>'Secondary cum Calculation'!M781</f>
        <v>#DIV/0!</v>
      </c>
      <c r="N853" s="54" t="e">
        <f>'Secondary cum Calculation'!N781</f>
        <v>#DIV/0!</v>
      </c>
      <c r="O853" s="54" t="e">
        <f>'Secondary cum Calculation'!O781</f>
        <v>#DIV/0!</v>
      </c>
      <c r="P853" s="54" t="e">
        <f>'Secondary cum Calculation'!P781</f>
        <v>#DIV/0!</v>
      </c>
      <c r="Q853" s="54"/>
      <c r="R853" s="54"/>
      <c r="S853" s="54"/>
      <c r="T853" s="54"/>
      <c r="U853" s="54"/>
      <c r="V853" s="54"/>
      <c r="W853" s="258"/>
      <c r="X853" s="258"/>
    </row>
    <row r="854" spans="1:26">
      <c r="A854" s="46" t="str">
        <f>'Secondary cum Calculation'!A782</f>
        <v>Poland</v>
      </c>
      <c r="B854" s="47" t="str">
        <f>'Secondary cum Calculation'!B782</f>
        <v>Tourism Flows</v>
      </c>
      <c r="C854" s="47" t="str">
        <f>'Secondary cum Calculation'!C782</f>
        <v>International Departures by Destination</v>
      </c>
      <c r="D854" s="47" t="str">
        <f>'Secondary cum Calculation'!D782</f>
        <v>Asia-Pacific</v>
      </c>
      <c r="E854" s="46" t="str">
        <f>'Secondary cum Calculation'!E782</f>
        <v>Papua New Guinea</v>
      </c>
      <c r="F854" s="48" t="str">
        <f>'Secondary cum Calculation'!F782</f>
        <v>The number of international departures from a country to Papua New Guinea</v>
      </c>
      <c r="G854" s="48" t="str">
        <f>'Secondary cum Calculation'!G782</f>
        <v>Tourism Demand &amp; Flows Database</v>
      </c>
      <c r="H854" s="48" t="str">
        <f>'Secondary cum Calculation'!H782</f>
        <v>New</v>
      </c>
      <c r="I854" s="48">
        <f>'Secondary cum Calculation'!I782</f>
        <v>0</v>
      </c>
      <c r="J854" s="48" t="str">
        <f>'Secondary cum Calculation'!J782</f>
        <v>Thousand</v>
      </c>
      <c r="K854" s="49">
        <f>'Secondary cum Calculation'!K782</f>
        <v>0</v>
      </c>
      <c r="L854" s="92">
        <f>'Secondary cum Calculation'!L782</f>
        <v>0</v>
      </c>
      <c r="M854" s="92">
        <f>'Secondary cum Calculation'!M782</f>
        <v>0</v>
      </c>
      <c r="N854" s="92">
        <f>'Secondary cum Calculation'!N782</f>
        <v>0</v>
      </c>
      <c r="O854" s="93">
        <f>'Secondary cum Calculation'!O782</f>
        <v>0</v>
      </c>
      <c r="P854" s="93">
        <f>'Secondary cum Calculation'!P782</f>
        <v>0</v>
      </c>
      <c r="Q854" s="93"/>
      <c r="R854" s="93"/>
      <c r="S854" s="93"/>
      <c r="T854" s="93"/>
      <c r="U854" s="93"/>
      <c r="V854" s="93"/>
      <c r="W854" s="102" t="e">
        <f>'Secondary cum Calculation'!W782</f>
        <v>#DIV/0!</v>
      </c>
      <c r="X854" s="102" t="e">
        <f>'Secondary cum Calculation'!X782</f>
        <v>#DIV/0!</v>
      </c>
      <c r="Z854" s="11"/>
    </row>
    <row r="855" spans="1:26">
      <c r="A855" s="48"/>
      <c r="B855" s="48"/>
      <c r="C855" s="52" t="str">
        <f>'Secondary cum Calculation'!C783</f>
        <v>Growth Rate</v>
      </c>
      <c r="D855" s="52"/>
      <c r="E855" s="52"/>
      <c r="F855" s="52">
        <f>'Secondary cum Calculation'!F783</f>
        <v>0</v>
      </c>
      <c r="G855" s="52">
        <f>'Secondary cum Calculation'!G783</f>
        <v>0</v>
      </c>
      <c r="H855" s="52">
        <f>'Secondary cum Calculation'!H783</f>
        <v>0</v>
      </c>
      <c r="I855" s="52">
        <f>'Secondary cum Calculation'!I783</f>
        <v>0</v>
      </c>
      <c r="J855" s="52" t="str">
        <f>'Secondary cum Calculation'!J783</f>
        <v>%</v>
      </c>
      <c r="K855" s="49">
        <f>'Secondary cum Calculation'!K783</f>
        <v>0</v>
      </c>
      <c r="L855" s="53"/>
      <c r="M855" s="54" t="e">
        <f>'Secondary cum Calculation'!M783</f>
        <v>#DIV/0!</v>
      </c>
      <c r="N855" s="54" t="e">
        <f>'Secondary cum Calculation'!N783</f>
        <v>#DIV/0!</v>
      </c>
      <c r="O855" s="54" t="e">
        <f>'Secondary cum Calculation'!O783</f>
        <v>#DIV/0!</v>
      </c>
      <c r="P855" s="54" t="e">
        <f>'Secondary cum Calculation'!P783</f>
        <v>#DIV/0!</v>
      </c>
      <c r="Q855" s="54"/>
      <c r="R855" s="54"/>
      <c r="S855" s="54"/>
      <c r="T855" s="54"/>
      <c r="U855" s="54"/>
      <c r="V855" s="54"/>
      <c r="W855" s="258"/>
      <c r="X855" s="258"/>
    </row>
    <row r="856" spans="1:26">
      <c r="A856" s="46" t="str">
        <f>'Secondary cum Calculation'!A784</f>
        <v>Poland</v>
      </c>
      <c r="B856" s="47" t="str">
        <f>'Secondary cum Calculation'!B784</f>
        <v>Tourism Flows</v>
      </c>
      <c r="C856" s="47" t="str">
        <f>'Secondary cum Calculation'!C784</f>
        <v>International Departures by Destination</v>
      </c>
      <c r="D856" s="47" t="str">
        <f>'Secondary cum Calculation'!D784</f>
        <v>Asia-Pacific</v>
      </c>
      <c r="E856" s="46" t="str">
        <f>'Secondary cum Calculation'!E784</f>
        <v>Philippines</v>
      </c>
      <c r="F856" s="48" t="str">
        <f>'Secondary cum Calculation'!F784</f>
        <v>The number of international departures from a country to Philippines</v>
      </c>
      <c r="G856" s="48" t="str">
        <f>'Secondary cum Calculation'!G784</f>
        <v>Tourism Demand &amp; Flows Database</v>
      </c>
      <c r="H856" s="48" t="str">
        <f>'Secondary cum Calculation'!H784</f>
        <v>New</v>
      </c>
      <c r="I856" s="48">
        <f>'Secondary cum Calculation'!I784</f>
        <v>0</v>
      </c>
      <c r="J856" s="48" t="str">
        <f>'Secondary cum Calculation'!J784</f>
        <v>Thousand</v>
      </c>
      <c r="K856" s="49">
        <f>'Secondary cum Calculation'!K784</f>
        <v>271</v>
      </c>
      <c r="L856" s="53">
        <f>'Secondary cum Calculation'!L784</f>
        <v>0</v>
      </c>
      <c r="M856" s="53">
        <f>'Secondary cum Calculation'!M784</f>
        <v>0</v>
      </c>
      <c r="N856" s="53">
        <f>'Secondary cum Calculation'!N784</f>
        <v>0</v>
      </c>
      <c r="O856" s="53">
        <f>'Secondary cum Calculation'!O784</f>
        <v>0</v>
      </c>
      <c r="P856" s="53">
        <f>'Secondary cum Calculation'!P784</f>
        <v>0</v>
      </c>
      <c r="Q856" s="53"/>
      <c r="R856" s="53"/>
      <c r="S856" s="53"/>
      <c r="T856" s="53"/>
      <c r="U856" s="53"/>
      <c r="V856" s="53"/>
      <c r="W856" s="102" t="e">
        <f>'Secondary cum Calculation'!W784</f>
        <v>#DIV/0!</v>
      </c>
      <c r="X856" s="102" t="e">
        <f>'Secondary cum Calculation'!X784</f>
        <v>#DIV/0!</v>
      </c>
      <c r="Z856" s="11"/>
    </row>
    <row r="857" spans="1:26">
      <c r="A857" s="48"/>
      <c r="B857" s="48"/>
      <c r="C857" s="52" t="str">
        <f>'Secondary cum Calculation'!C785</f>
        <v>Growth Rate</v>
      </c>
      <c r="D857" s="52"/>
      <c r="E857" s="52"/>
      <c r="F857" s="52">
        <f>'Secondary cum Calculation'!F785</f>
        <v>0</v>
      </c>
      <c r="G857" s="52">
        <f>'Secondary cum Calculation'!G785</f>
        <v>0</v>
      </c>
      <c r="H857" s="52">
        <f>'Secondary cum Calculation'!H785</f>
        <v>0</v>
      </c>
      <c r="I857" s="52">
        <f>'Secondary cum Calculation'!I785</f>
        <v>0</v>
      </c>
      <c r="J857" s="52" t="str">
        <f>'Secondary cum Calculation'!J785</f>
        <v>%</v>
      </c>
      <c r="K857" s="49">
        <f>'Secondary cum Calculation'!K785</f>
        <v>0</v>
      </c>
      <c r="L857" s="53"/>
      <c r="M857" s="54" t="e">
        <f>'Secondary cum Calculation'!M785</f>
        <v>#DIV/0!</v>
      </c>
      <c r="N857" s="54" t="e">
        <f>'Secondary cum Calculation'!N785</f>
        <v>#DIV/0!</v>
      </c>
      <c r="O857" s="54" t="e">
        <f>'Secondary cum Calculation'!O785</f>
        <v>#DIV/0!</v>
      </c>
      <c r="P857" s="54" t="e">
        <f>'Secondary cum Calculation'!P785</f>
        <v>#DIV/0!</v>
      </c>
      <c r="Q857" s="54"/>
      <c r="R857" s="54"/>
      <c r="S857" s="54"/>
      <c r="T857" s="54"/>
      <c r="U857" s="54"/>
      <c r="V857" s="54"/>
      <c r="W857" s="258"/>
      <c r="X857" s="258"/>
    </row>
    <row r="858" spans="1:26">
      <c r="A858" s="46" t="str">
        <f>'Secondary cum Calculation'!A786</f>
        <v>Poland</v>
      </c>
      <c r="B858" s="47" t="str">
        <f>'Secondary cum Calculation'!B786</f>
        <v>Tourism Flows</v>
      </c>
      <c r="C858" s="47" t="str">
        <f>'Secondary cum Calculation'!C786</f>
        <v>International Departures by Destination</v>
      </c>
      <c r="D858" s="47" t="str">
        <f>'Secondary cum Calculation'!D786</f>
        <v>Asia-Pacific</v>
      </c>
      <c r="E858" s="46" t="str">
        <f>'Secondary cum Calculation'!E786</f>
        <v>Republic of Korea</v>
      </c>
      <c r="F858" s="48" t="str">
        <f>'Secondary cum Calculation'!F786</f>
        <v>The number of international departures from a country to Republic of Korea</v>
      </c>
      <c r="G858" s="48" t="str">
        <f>'Secondary cum Calculation'!G786</f>
        <v>Tourism Demand &amp; Flows Database</v>
      </c>
      <c r="H858" s="48" t="str">
        <f>'Secondary cum Calculation'!H786</f>
        <v>New</v>
      </c>
      <c r="I858" s="48">
        <f>'Secondary cum Calculation'!I786</f>
        <v>0</v>
      </c>
      <c r="J858" s="48" t="str">
        <f>'Secondary cum Calculation'!J786</f>
        <v>Thousand</v>
      </c>
      <c r="K858" s="49">
        <f>'Secondary cum Calculation'!K786</f>
        <v>633</v>
      </c>
      <c r="L858" s="53">
        <f>'Secondary cum Calculation'!L786</f>
        <v>0</v>
      </c>
      <c r="M858" s="53">
        <f>'Secondary cum Calculation'!M786</f>
        <v>0</v>
      </c>
      <c r="N858" s="53">
        <f>'Secondary cum Calculation'!N786</f>
        <v>0</v>
      </c>
      <c r="O858" s="53">
        <f>'Secondary cum Calculation'!O786</f>
        <v>0</v>
      </c>
      <c r="P858" s="53">
        <f>'Secondary cum Calculation'!P786</f>
        <v>0</v>
      </c>
      <c r="Q858" s="53"/>
      <c r="R858" s="53"/>
      <c r="S858" s="53"/>
      <c r="T858" s="53"/>
      <c r="U858" s="53"/>
      <c r="V858" s="53"/>
      <c r="W858" s="102" t="e">
        <f>'Secondary cum Calculation'!W786</f>
        <v>#DIV/0!</v>
      </c>
      <c r="X858" s="102" t="e">
        <f>'Secondary cum Calculation'!X786</f>
        <v>#DIV/0!</v>
      </c>
      <c r="Z858" s="11"/>
    </row>
    <row r="859" spans="1:26">
      <c r="A859" s="48"/>
      <c r="B859" s="48"/>
      <c r="C859" s="52" t="str">
        <f>'Secondary cum Calculation'!C787</f>
        <v>Growth Rate</v>
      </c>
      <c r="D859" s="52"/>
      <c r="E859" s="52"/>
      <c r="F859" s="52">
        <f>'Secondary cum Calculation'!F787</f>
        <v>0</v>
      </c>
      <c r="G859" s="52">
        <f>'Secondary cum Calculation'!G787</f>
        <v>0</v>
      </c>
      <c r="H859" s="52">
        <f>'Secondary cum Calculation'!H787</f>
        <v>0</v>
      </c>
      <c r="I859" s="52">
        <f>'Secondary cum Calculation'!I787</f>
        <v>0</v>
      </c>
      <c r="J859" s="52" t="str">
        <f>'Secondary cum Calculation'!J787</f>
        <v>%</v>
      </c>
      <c r="K859" s="49">
        <f>'Secondary cum Calculation'!K787</f>
        <v>0</v>
      </c>
      <c r="L859" s="53"/>
      <c r="M859" s="54" t="e">
        <f>'Secondary cum Calculation'!M787</f>
        <v>#DIV/0!</v>
      </c>
      <c r="N859" s="54" t="e">
        <f>'Secondary cum Calculation'!N787</f>
        <v>#DIV/0!</v>
      </c>
      <c r="O859" s="54" t="e">
        <f>'Secondary cum Calculation'!O787</f>
        <v>#DIV/0!</v>
      </c>
      <c r="P859" s="54" t="e">
        <f>'Secondary cum Calculation'!P787</f>
        <v>#DIV/0!</v>
      </c>
      <c r="Q859" s="54"/>
      <c r="R859" s="54"/>
      <c r="S859" s="54"/>
      <c r="T859" s="54"/>
      <c r="U859" s="54"/>
      <c r="V859" s="54"/>
      <c r="W859" s="258"/>
      <c r="X859" s="258"/>
    </row>
    <row r="860" spans="1:26">
      <c r="A860" s="46" t="str">
        <f>'Secondary cum Calculation'!A788</f>
        <v>Poland</v>
      </c>
      <c r="B860" s="47" t="str">
        <f>'Secondary cum Calculation'!B788</f>
        <v>Tourism Flows</v>
      </c>
      <c r="C860" s="47" t="str">
        <f>'Secondary cum Calculation'!C788</f>
        <v>International Departures by Destination</v>
      </c>
      <c r="D860" s="47" t="str">
        <f>'Secondary cum Calculation'!D788</f>
        <v>Asia-Pacific</v>
      </c>
      <c r="E860" s="46" t="str">
        <f>'Secondary cum Calculation'!E788</f>
        <v>Samoa</v>
      </c>
      <c r="F860" s="48" t="str">
        <f>'Secondary cum Calculation'!F788</f>
        <v>The number of international departures from a country to Samoa</v>
      </c>
      <c r="G860" s="48" t="str">
        <f>'Secondary cum Calculation'!G788</f>
        <v>Tourism Demand &amp; Flows Database</v>
      </c>
      <c r="H860" s="48" t="str">
        <f>'Secondary cum Calculation'!H788</f>
        <v>New</v>
      </c>
      <c r="I860" s="48">
        <f>'Secondary cum Calculation'!I788</f>
        <v>0</v>
      </c>
      <c r="J860" s="48" t="str">
        <f>'Secondary cum Calculation'!J788</f>
        <v>Thousand</v>
      </c>
      <c r="K860" s="49">
        <f>'Secondary cum Calculation'!K788</f>
        <v>0</v>
      </c>
      <c r="L860" s="92">
        <f>'Secondary cum Calculation'!L788</f>
        <v>0</v>
      </c>
      <c r="M860" s="92">
        <f>'Secondary cum Calculation'!M788</f>
        <v>0</v>
      </c>
      <c r="N860" s="92">
        <f>'Secondary cum Calculation'!N788</f>
        <v>0</v>
      </c>
      <c r="O860" s="89">
        <f>'Secondary cum Calculation'!O788</f>
        <v>0</v>
      </c>
      <c r="P860" s="89">
        <f>'Secondary cum Calculation'!P788</f>
        <v>0</v>
      </c>
      <c r="Q860" s="89"/>
      <c r="R860" s="89"/>
      <c r="S860" s="89"/>
      <c r="T860" s="89"/>
      <c r="U860" s="89"/>
      <c r="V860" s="89"/>
      <c r="W860" s="102" t="e">
        <f>'Secondary cum Calculation'!W788</f>
        <v>#DIV/0!</v>
      </c>
      <c r="X860" s="102" t="e">
        <f>'Secondary cum Calculation'!X788</f>
        <v>#DIV/0!</v>
      </c>
      <c r="Z860" s="11"/>
    </row>
    <row r="861" spans="1:26">
      <c r="A861" s="48"/>
      <c r="B861" s="48"/>
      <c r="C861" s="52" t="str">
        <f>'Secondary cum Calculation'!C789</f>
        <v>Growth Rate</v>
      </c>
      <c r="D861" s="52"/>
      <c r="E861" s="52"/>
      <c r="F861" s="52">
        <f>'Secondary cum Calculation'!F789</f>
        <v>0</v>
      </c>
      <c r="G861" s="52">
        <f>'Secondary cum Calculation'!G789</f>
        <v>0</v>
      </c>
      <c r="H861" s="52">
        <f>'Secondary cum Calculation'!H789</f>
        <v>0</v>
      </c>
      <c r="I861" s="52">
        <f>'Secondary cum Calculation'!I789</f>
        <v>0</v>
      </c>
      <c r="J861" s="52" t="str">
        <f>'Secondary cum Calculation'!J789</f>
        <v>%</v>
      </c>
      <c r="K861" s="49">
        <f>'Secondary cum Calculation'!K789</f>
        <v>0</v>
      </c>
      <c r="L861" s="53"/>
      <c r="M861" s="54" t="e">
        <f>'Secondary cum Calculation'!M789</f>
        <v>#DIV/0!</v>
      </c>
      <c r="N861" s="54" t="e">
        <f>'Secondary cum Calculation'!N789</f>
        <v>#DIV/0!</v>
      </c>
      <c r="O861" s="54" t="e">
        <f>'Secondary cum Calculation'!O789</f>
        <v>#DIV/0!</v>
      </c>
      <c r="P861" s="54" t="e">
        <f>'Secondary cum Calculation'!P789</f>
        <v>#DIV/0!</v>
      </c>
      <c r="Q861" s="54"/>
      <c r="R861" s="54"/>
      <c r="S861" s="54"/>
      <c r="T861" s="54"/>
      <c r="U861" s="54"/>
      <c r="V861" s="54"/>
      <c r="W861" s="258"/>
      <c r="X861" s="258"/>
    </row>
    <row r="862" spans="1:26">
      <c r="A862" s="46" t="str">
        <f>'Secondary cum Calculation'!A790</f>
        <v>Poland</v>
      </c>
      <c r="B862" s="47" t="str">
        <f>'Secondary cum Calculation'!B790</f>
        <v>Tourism Flows</v>
      </c>
      <c r="C862" s="47" t="str">
        <f>'Secondary cum Calculation'!C790</f>
        <v>International Departures by Destination</v>
      </c>
      <c r="D862" s="47" t="str">
        <f>'Secondary cum Calculation'!D790</f>
        <v>Asia-Pacific</v>
      </c>
      <c r="E862" s="46" t="str">
        <f>'Secondary cum Calculation'!E790</f>
        <v>Singapore</v>
      </c>
      <c r="F862" s="48" t="str">
        <f>'Secondary cum Calculation'!F790</f>
        <v>The number of international departures from a country to Singapore</v>
      </c>
      <c r="G862" s="48" t="str">
        <f>'Secondary cum Calculation'!G790</f>
        <v>Tourism Demand &amp; Flows Database</v>
      </c>
      <c r="H862" s="48" t="str">
        <f>'Secondary cum Calculation'!H790</f>
        <v>New</v>
      </c>
      <c r="I862" s="48">
        <f>'Secondary cum Calculation'!I790</f>
        <v>0</v>
      </c>
      <c r="J862" s="48" t="str">
        <f>'Secondary cum Calculation'!J790</f>
        <v>Thousand</v>
      </c>
      <c r="K862" s="49">
        <f>'Secondary cum Calculation'!K790</f>
        <v>422</v>
      </c>
      <c r="L862" s="53">
        <f>'Secondary cum Calculation'!L790</f>
        <v>0</v>
      </c>
      <c r="M862" s="53">
        <f>'Secondary cum Calculation'!M790</f>
        <v>0</v>
      </c>
      <c r="N862" s="53">
        <f>'Secondary cum Calculation'!N790</f>
        <v>0</v>
      </c>
      <c r="O862" s="53">
        <f>'Secondary cum Calculation'!O790</f>
        <v>0</v>
      </c>
      <c r="P862" s="53">
        <f>'Secondary cum Calculation'!P790</f>
        <v>0</v>
      </c>
      <c r="Q862" s="53"/>
      <c r="R862" s="53"/>
      <c r="S862" s="53"/>
      <c r="T862" s="53"/>
      <c r="U862" s="53"/>
      <c r="V862" s="53"/>
      <c r="W862" s="102" t="e">
        <f>'Secondary cum Calculation'!W790</f>
        <v>#DIV/0!</v>
      </c>
      <c r="X862" s="102" t="e">
        <f>'Secondary cum Calculation'!X790</f>
        <v>#DIV/0!</v>
      </c>
      <c r="Z862" s="11"/>
    </row>
    <row r="863" spans="1:26">
      <c r="A863" s="48"/>
      <c r="B863" s="48"/>
      <c r="C863" s="52" t="str">
        <f>'Secondary cum Calculation'!C791</f>
        <v>Growth Rate</v>
      </c>
      <c r="D863" s="52"/>
      <c r="E863" s="52"/>
      <c r="F863" s="52">
        <f>'Secondary cum Calculation'!F791</f>
        <v>0</v>
      </c>
      <c r="G863" s="52">
        <f>'Secondary cum Calculation'!G791</f>
        <v>0</v>
      </c>
      <c r="H863" s="52">
        <f>'Secondary cum Calculation'!H791</f>
        <v>0</v>
      </c>
      <c r="I863" s="52">
        <f>'Secondary cum Calculation'!I791</f>
        <v>0</v>
      </c>
      <c r="J863" s="52" t="str">
        <f>'Secondary cum Calculation'!J791</f>
        <v>%</v>
      </c>
      <c r="K863" s="49">
        <f>'Secondary cum Calculation'!K791</f>
        <v>0</v>
      </c>
      <c r="L863" s="53"/>
      <c r="M863" s="54" t="e">
        <f>'Secondary cum Calculation'!M791</f>
        <v>#DIV/0!</v>
      </c>
      <c r="N863" s="54" t="e">
        <f>'Secondary cum Calculation'!N791</f>
        <v>#DIV/0!</v>
      </c>
      <c r="O863" s="54" t="e">
        <f>'Secondary cum Calculation'!O791</f>
        <v>#DIV/0!</v>
      </c>
      <c r="P863" s="54" t="e">
        <f>'Secondary cum Calculation'!P791</f>
        <v>#DIV/0!</v>
      </c>
      <c r="Q863" s="54"/>
      <c r="R863" s="54"/>
      <c r="S863" s="54"/>
      <c r="T863" s="54"/>
      <c r="U863" s="54"/>
      <c r="V863" s="54"/>
      <c r="W863" s="258"/>
      <c r="X863" s="258"/>
    </row>
    <row r="864" spans="1:26">
      <c r="A864" s="46" t="str">
        <f>'Secondary cum Calculation'!A792</f>
        <v>Poland</v>
      </c>
      <c r="B864" s="47" t="str">
        <f>'Secondary cum Calculation'!B792</f>
        <v>Tourism Flows</v>
      </c>
      <c r="C864" s="47" t="str">
        <f>'Secondary cum Calculation'!C792</f>
        <v>International Departures by Destination</v>
      </c>
      <c r="D864" s="47" t="str">
        <f>'Secondary cum Calculation'!D792</f>
        <v>Asia-Pacific</v>
      </c>
      <c r="E864" s="46" t="str">
        <f>'Secondary cum Calculation'!E792</f>
        <v>Solomon Islands</v>
      </c>
      <c r="F864" s="48" t="str">
        <f>'Secondary cum Calculation'!F792</f>
        <v>The number of international departures from a country to Solomon Islands</v>
      </c>
      <c r="G864" s="48" t="str">
        <f>'Secondary cum Calculation'!G792</f>
        <v>Tourism Demand &amp; Flows Database</v>
      </c>
      <c r="H864" s="48" t="str">
        <f>'Secondary cum Calculation'!H792</f>
        <v>New</v>
      </c>
      <c r="I864" s="48">
        <f>'Secondary cum Calculation'!I792</f>
        <v>0</v>
      </c>
      <c r="J864" s="48" t="str">
        <f>'Secondary cum Calculation'!J792</f>
        <v>Thousand</v>
      </c>
      <c r="K864" s="49">
        <f>'Secondary cum Calculation'!K792</f>
        <v>0</v>
      </c>
      <c r="L864" s="92">
        <f>'Secondary cum Calculation'!L792</f>
        <v>0</v>
      </c>
      <c r="M864" s="92">
        <f>'Secondary cum Calculation'!M792</f>
        <v>0</v>
      </c>
      <c r="N864" s="92">
        <f>'Secondary cum Calculation'!N792</f>
        <v>0</v>
      </c>
      <c r="O864" s="89">
        <f>'Secondary cum Calculation'!O792</f>
        <v>0</v>
      </c>
      <c r="P864" s="89">
        <f>'Secondary cum Calculation'!P792</f>
        <v>0</v>
      </c>
      <c r="Q864" s="89"/>
      <c r="R864" s="89"/>
      <c r="S864" s="89"/>
      <c r="T864" s="89"/>
      <c r="U864" s="89"/>
      <c r="V864" s="89"/>
      <c r="W864" s="102" t="e">
        <f>'Secondary cum Calculation'!W792</f>
        <v>#DIV/0!</v>
      </c>
      <c r="X864" s="102" t="e">
        <f>'Secondary cum Calculation'!X792</f>
        <v>#DIV/0!</v>
      </c>
      <c r="Z864" s="11"/>
    </row>
    <row r="865" spans="1:26">
      <c r="A865" s="48"/>
      <c r="B865" s="48"/>
      <c r="C865" s="52" t="str">
        <f>'Secondary cum Calculation'!C793</f>
        <v>Growth Rate</v>
      </c>
      <c r="D865" s="52"/>
      <c r="E865" s="52"/>
      <c r="F865" s="52">
        <f>'Secondary cum Calculation'!F793</f>
        <v>0</v>
      </c>
      <c r="G865" s="52">
        <f>'Secondary cum Calculation'!G793</f>
        <v>0</v>
      </c>
      <c r="H865" s="52">
        <f>'Secondary cum Calculation'!H793</f>
        <v>0</v>
      </c>
      <c r="I865" s="52">
        <f>'Secondary cum Calculation'!I793</f>
        <v>0</v>
      </c>
      <c r="J865" s="52" t="str">
        <f>'Secondary cum Calculation'!J793</f>
        <v>%</v>
      </c>
      <c r="K865" s="49">
        <f>'Secondary cum Calculation'!K793</f>
        <v>0</v>
      </c>
      <c r="L865" s="53"/>
      <c r="M865" s="54" t="e">
        <f>'Secondary cum Calculation'!M793</f>
        <v>#DIV/0!</v>
      </c>
      <c r="N865" s="54" t="e">
        <f>'Secondary cum Calculation'!N793</f>
        <v>#DIV/0!</v>
      </c>
      <c r="O865" s="54" t="e">
        <f>'Secondary cum Calculation'!O793</f>
        <v>#DIV/0!</v>
      </c>
      <c r="P865" s="54" t="e">
        <f>'Secondary cum Calculation'!P793</f>
        <v>#DIV/0!</v>
      </c>
      <c r="Q865" s="54"/>
      <c r="R865" s="54"/>
      <c r="S865" s="54"/>
      <c r="T865" s="54"/>
      <c r="U865" s="54"/>
      <c r="V865" s="54"/>
      <c r="W865" s="258"/>
      <c r="X865" s="258"/>
    </row>
    <row r="866" spans="1:26">
      <c r="A866" s="46" t="str">
        <f>'Secondary cum Calculation'!A794</f>
        <v>Poland</v>
      </c>
      <c r="B866" s="47" t="str">
        <f>'Secondary cum Calculation'!B794</f>
        <v>Tourism Flows</v>
      </c>
      <c r="C866" s="47" t="str">
        <f>'Secondary cum Calculation'!C794</f>
        <v>International Departures by Destination</v>
      </c>
      <c r="D866" s="47" t="str">
        <f>'Secondary cum Calculation'!D794</f>
        <v>Asia-Pacific</v>
      </c>
      <c r="E866" s="46" t="str">
        <f>'Secondary cum Calculation'!E794</f>
        <v>Sri Lanka</v>
      </c>
      <c r="F866" s="48" t="str">
        <f>'Secondary cum Calculation'!F794</f>
        <v>The number of international departures from a country to Sri Lanka</v>
      </c>
      <c r="G866" s="48" t="str">
        <f>'Secondary cum Calculation'!G794</f>
        <v>Tourism Demand &amp; Flows Database</v>
      </c>
      <c r="H866" s="48" t="str">
        <f>'Secondary cum Calculation'!H794</f>
        <v>New</v>
      </c>
      <c r="I866" s="48">
        <f>'Secondary cum Calculation'!I794</f>
        <v>0</v>
      </c>
      <c r="J866" s="48" t="str">
        <f>'Secondary cum Calculation'!J794</f>
        <v>Thousand</v>
      </c>
      <c r="K866" s="49">
        <f>'Secondary cum Calculation'!K794</f>
        <v>0</v>
      </c>
      <c r="L866" s="92">
        <f>'Secondary cum Calculation'!L794</f>
        <v>0</v>
      </c>
      <c r="M866" s="92">
        <f>'Secondary cum Calculation'!M794</f>
        <v>0</v>
      </c>
      <c r="N866" s="92">
        <f>'Secondary cum Calculation'!N794</f>
        <v>0</v>
      </c>
      <c r="O866" s="53">
        <f>'Secondary cum Calculation'!O794</f>
        <v>0</v>
      </c>
      <c r="P866" s="53">
        <f>'Secondary cum Calculation'!P794</f>
        <v>0</v>
      </c>
      <c r="Q866" s="53"/>
      <c r="R866" s="53"/>
      <c r="S866" s="53"/>
      <c r="T866" s="53"/>
      <c r="U866" s="53"/>
      <c r="V866" s="53"/>
      <c r="W866" s="102" t="e">
        <f>'Secondary cum Calculation'!W794</f>
        <v>#DIV/0!</v>
      </c>
      <c r="X866" s="102" t="e">
        <f>'Secondary cum Calculation'!X794</f>
        <v>#DIV/0!</v>
      </c>
      <c r="Z866" s="11"/>
    </row>
    <row r="867" spans="1:26">
      <c r="A867" s="48"/>
      <c r="B867" s="48"/>
      <c r="C867" s="52" t="str">
        <f>'Secondary cum Calculation'!C795</f>
        <v>Growth Rate</v>
      </c>
      <c r="D867" s="52"/>
      <c r="E867" s="52"/>
      <c r="F867" s="52">
        <f>'Secondary cum Calculation'!F795</f>
        <v>0</v>
      </c>
      <c r="G867" s="52">
        <f>'Secondary cum Calculation'!G795</f>
        <v>0</v>
      </c>
      <c r="H867" s="52">
        <f>'Secondary cum Calculation'!H795</f>
        <v>0</v>
      </c>
      <c r="I867" s="52">
        <f>'Secondary cum Calculation'!I795</f>
        <v>0</v>
      </c>
      <c r="J867" s="52" t="str">
        <f>'Secondary cum Calculation'!J795</f>
        <v>%</v>
      </c>
      <c r="K867" s="49">
        <f>'Secondary cum Calculation'!K795</f>
        <v>0</v>
      </c>
      <c r="L867" s="53"/>
      <c r="M867" s="54" t="e">
        <f>'Secondary cum Calculation'!M795</f>
        <v>#DIV/0!</v>
      </c>
      <c r="N867" s="54" t="e">
        <f>'Secondary cum Calculation'!N795</f>
        <v>#DIV/0!</v>
      </c>
      <c r="O867" s="54" t="e">
        <f>'Secondary cum Calculation'!O795</f>
        <v>#DIV/0!</v>
      </c>
      <c r="P867" s="54" t="e">
        <f>'Secondary cum Calculation'!P795</f>
        <v>#DIV/0!</v>
      </c>
      <c r="Q867" s="54"/>
      <c r="R867" s="54"/>
      <c r="S867" s="54"/>
      <c r="T867" s="54"/>
      <c r="U867" s="54"/>
      <c r="V867" s="54"/>
      <c r="W867" s="258"/>
      <c r="X867" s="258"/>
    </row>
    <row r="868" spans="1:26">
      <c r="A868" s="46" t="str">
        <f>'Secondary cum Calculation'!A796</f>
        <v>Poland</v>
      </c>
      <c r="B868" s="47" t="str">
        <f>'Secondary cum Calculation'!B796</f>
        <v>Tourism Flows</v>
      </c>
      <c r="C868" s="47" t="str">
        <f>'Secondary cum Calculation'!C796</f>
        <v>International Departures by Destination</v>
      </c>
      <c r="D868" s="47" t="str">
        <f>'Secondary cum Calculation'!D796</f>
        <v>Asia-Pacific</v>
      </c>
      <c r="E868" s="46" t="str">
        <f>'Secondary cum Calculation'!E796</f>
        <v>Tajikistan</v>
      </c>
      <c r="F868" s="48" t="str">
        <f>'Secondary cum Calculation'!F796</f>
        <v>The number of international departures from a country to Tajikistan</v>
      </c>
      <c r="G868" s="48" t="str">
        <f>'Secondary cum Calculation'!G796</f>
        <v>Tourism Demand &amp; Flows Database</v>
      </c>
      <c r="H868" s="48" t="str">
        <f>'Secondary cum Calculation'!H796</f>
        <v>New</v>
      </c>
      <c r="I868" s="48">
        <f>'Secondary cum Calculation'!I796</f>
        <v>0</v>
      </c>
      <c r="J868" s="48" t="str">
        <f>'Secondary cum Calculation'!J796</f>
        <v>Thousand</v>
      </c>
      <c r="K868" s="49">
        <f>'Secondary cum Calculation'!K796</f>
        <v>0</v>
      </c>
      <c r="L868" s="92">
        <f>'Secondary cum Calculation'!L796</f>
        <v>0</v>
      </c>
      <c r="M868" s="92">
        <f>'Secondary cum Calculation'!M796</f>
        <v>0</v>
      </c>
      <c r="N868" s="92">
        <f>'Secondary cum Calculation'!N796</f>
        <v>0</v>
      </c>
      <c r="O868" s="53">
        <f>'Secondary cum Calculation'!O796</f>
        <v>0</v>
      </c>
      <c r="P868" s="53">
        <f>'Secondary cum Calculation'!P796</f>
        <v>0</v>
      </c>
      <c r="Q868" s="53"/>
      <c r="R868" s="53"/>
      <c r="S868" s="53"/>
      <c r="T868" s="53"/>
      <c r="U868" s="53"/>
      <c r="V868" s="53"/>
      <c r="W868" s="102" t="e">
        <f>'Secondary cum Calculation'!W796</f>
        <v>#DIV/0!</v>
      </c>
      <c r="X868" s="102" t="e">
        <f>'Secondary cum Calculation'!X796</f>
        <v>#DIV/0!</v>
      </c>
      <c r="Z868" s="11"/>
    </row>
    <row r="869" spans="1:26">
      <c r="A869" s="48"/>
      <c r="B869" s="48"/>
      <c r="C869" s="52" t="str">
        <f>'Secondary cum Calculation'!C797</f>
        <v>Growth Rate</v>
      </c>
      <c r="D869" s="52"/>
      <c r="E869" s="52"/>
      <c r="F869" s="52">
        <f>'Secondary cum Calculation'!F797</f>
        <v>0</v>
      </c>
      <c r="G869" s="52">
        <f>'Secondary cum Calculation'!G797</f>
        <v>0</v>
      </c>
      <c r="H869" s="52">
        <f>'Secondary cum Calculation'!H797</f>
        <v>0</v>
      </c>
      <c r="I869" s="52">
        <f>'Secondary cum Calculation'!I797</f>
        <v>0</v>
      </c>
      <c r="J869" s="52" t="str">
        <f>'Secondary cum Calculation'!J797</f>
        <v>%</v>
      </c>
      <c r="K869" s="49">
        <f>'Secondary cum Calculation'!K797</f>
        <v>0</v>
      </c>
      <c r="L869" s="53"/>
      <c r="M869" s="54" t="e">
        <f>'Secondary cum Calculation'!M797</f>
        <v>#DIV/0!</v>
      </c>
      <c r="N869" s="54" t="e">
        <f>'Secondary cum Calculation'!N797</f>
        <v>#DIV/0!</v>
      </c>
      <c r="O869" s="54" t="e">
        <f>'Secondary cum Calculation'!O797</f>
        <v>#DIV/0!</v>
      </c>
      <c r="P869" s="54" t="e">
        <f>'Secondary cum Calculation'!P797</f>
        <v>#DIV/0!</v>
      </c>
      <c r="Q869" s="54"/>
      <c r="R869" s="54"/>
      <c r="S869" s="54"/>
      <c r="T869" s="54"/>
      <c r="U869" s="54"/>
      <c r="V869" s="54"/>
      <c r="W869" s="258"/>
      <c r="X869" s="258"/>
    </row>
    <row r="870" spans="1:26">
      <c r="A870" s="46" t="str">
        <f>'Secondary cum Calculation'!A798</f>
        <v>Poland</v>
      </c>
      <c r="B870" s="47" t="str">
        <f>'Secondary cum Calculation'!B798</f>
        <v>Tourism Flows</v>
      </c>
      <c r="C870" s="47" t="str">
        <f>'Secondary cum Calculation'!C798</f>
        <v>International Departures by Destination</v>
      </c>
      <c r="D870" s="47" t="str">
        <f>'Secondary cum Calculation'!D798</f>
        <v>Asia-Pacific</v>
      </c>
      <c r="E870" s="46" t="str">
        <f>'Secondary cum Calculation'!E798</f>
        <v>Thailand</v>
      </c>
      <c r="F870" s="48" t="str">
        <f>'Secondary cum Calculation'!F798</f>
        <v>The number of international departures from a country to Thailand</v>
      </c>
      <c r="G870" s="48" t="str">
        <f>'Secondary cum Calculation'!G798</f>
        <v>Tourism Demand &amp; Flows Database</v>
      </c>
      <c r="H870" s="48" t="str">
        <f>'Secondary cum Calculation'!H798</f>
        <v>New</v>
      </c>
      <c r="I870" s="48">
        <f>'Secondary cum Calculation'!I798</f>
        <v>0</v>
      </c>
      <c r="J870" s="48" t="str">
        <f>'Secondary cum Calculation'!J798</f>
        <v>Thousand</v>
      </c>
      <c r="K870" s="49">
        <f>'Secondary cum Calculation'!K798</f>
        <v>482</v>
      </c>
      <c r="L870" s="53">
        <f>'Secondary cum Calculation'!L798</f>
        <v>0</v>
      </c>
      <c r="M870" s="53">
        <f>'Secondary cum Calculation'!M798</f>
        <v>0</v>
      </c>
      <c r="N870" s="53">
        <f>'Secondary cum Calculation'!N798</f>
        <v>0</v>
      </c>
      <c r="O870" s="53">
        <f>'Secondary cum Calculation'!O798</f>
        <v>0</v>
      </c>
      <c r="P870" s="53">
        <f>'Secondary cum Calculation'!P798</f>
        <v>0</v>
      </c>
      <c r="Q870" s="53"/>
      <c r="R870" s="53"/>
      <c r="S870" s="53"/>
      <c r="T870" s="53"/>
      <c r="U870" s="53"/>
      <c r="V870" s="53"/>
      <c r="W870" s="102" t="e">
        <f>'Secondary cum Calculation'!W798</f>
        <v>#DIV/0!</v>
      </c>
      <c r="X870" s="102" t="e">
        <f>'Secondary cum Calculation'!X798</f>
        <v>#DIV/0!</v>
      </c>
      <c r="Z870" s="11"/>
    </row>
    <row r="871" spans="1:26">
      <c r="A871" s="48"/>
      <c r="B871" s="48"/>
      <c r="C871" s="52" t="str">
        <f>'Secondary cum Calculation'!C799</f>
        <v>Growth Rate</v>
      </c>
      <c r="D871" s="52"/>
      <c r="E871" s="52"/>
      <c r="F871" s="52">
        <f>'Secondary cum Calculation'!F799</f>
        <v>0</v>
      </c>
      <c r="G871" s="52">
        <f>'Secondary cum Calculation'!G799</f>
        <v>0</v>
      </c>
      <c r="H871" s="52">
        <f>'Secondary cum Calculation'!H799</f>
        <v>0</v>
      </c>
      <c r="I871" s="52">
        <f>'Secondary cum Calculation'!I799</f>
        <v>0</v>
      </c>
      <c r="J871" s="52" t="str">
        <f>'Secondary cum Calculation'!J799</f>
        <v>%</v>
      </c>
      <c r="K871" s="49">
        <f>'Secondary cum Calculation'!K799</f>
        <v>0</v>
      </c>
      <c r="L871" s="53"/>
      <c r="M871" s="54" t="e">
        <f>'Secondary cum Calculation'!M799</f>
        <v>#DIV/0!</v>
      </c>
      <c r="N871" s="54" t="e">
        <f>'Secondary cum Calculation'!N799</f>
        <v>#DIV/0!</v>
      </c>
      <c r="O871" s="54" t="e">
        <f>'Secondary cum Calculation'!O799</f>
        <v>#DIV/0!</v>
      </c>
      <c r="P871" s="54" t="e">
        <f>'Secondary cum Calculation'!P799</f>
        <v>#DIV/0!</v>
      </c>
      <c r="Q871" s="54"/>
      <c r="R871" s="54"/>
      <c r="S871" s="54"/>
      <c r="T871" s="54"/>
      <c r="U871" s="54"/>
      <c r="V871" s="54"/>
      <c r="W871" s="258"/>
      <c r="X871" s="258"/>
    </row>
    <row r="872" spans="1:26">
      <c r="A872" s="46" t="str">
        <f>'Secondary cum Calculation'!A800</f>
        <v>Poland</v>
      </c>
      <c r="B872" s="47" t="str">
        <f>'Secondary cum Calculation'!B800</f>
        <v>Tourism Flows</v>
      </c>
      <c r="C872" s="47" t="str">
        <f>'Secondary cum Calculation'!C800</f>
        <v>International Departures by Destination</v>
      </c>
      <c r="D872" s="47" t="str">
        <f>'Secondary cum Calculation'!D800</f>
        <v>Asia-Pacific</v>
      </c>
      <c r="E872" s="46" t="str">
        <f>'Secondary cum Calculation'!E800</f>
        <v>Timor-Leste</v>
      </c>
      <c r="F872" s="48" t="str">
        <f>'Secondary cum Calculation'!F800</f>
        <v>The number of international departures from a country to Timor-Leste</v>
      </c>
      <c r="G872" s="48" t="str">
        <f>'Secondary cum Calculation'!G800</f>
        <v>Tourism Demand &amp; Flows Database</v>
      </c>
      <c r="H872" s="48" t="str">
        <f>'Secondary cum Calculation'!H800</f>
        <v>New</v>
      </c>
      <c r="I872" s="48">
        <f>'Secondary cum Calculation'!I800</f>
        <v>0</v>
      </c>
      <c r="J872" s="48" t="str">
        <f>'Secondary cum Calculation'!J800</f>
        <v>Thousand</v>
      </c>
      <c r="K872" s="49">
        <f>'Secondary cum Calculation'!K800</f>
        <v>0</v>
      </c>
      <c r="L872" s="92">
        <f>'Secondary cum Calculation'!L800</f>
        <v>0</v>
      </c>
      <c r="M872" s="92">
        <f>'Secondary cum Calculation'!M800</f>
        <v>0</v>
      </c>
      <c r="N872" s="92">
        <f>'Secondary cum Calculation'!N800</f>
        <v>0</v>
      </c>
      <c r="O872" s="89">
        <f>'Secondary cum Calculation'!O800</f>
        <v>0</v>
      </c>
      <c r="P872" s="89">
        <f>'Secondary cum Calculation'!P800</f>
        <v>0</v>
      </c>
      <c r="Q872" s="89"/>
      <c r="R872" s="89"/>
      <c r="S872" s="89"/>
      <c r="T872" s="89"/>
      <c r="U872" s="89"/>
      <c r="V872" s="89"/>
      <c r="W872" s="102" t="e">
        <f>'Secondary cum Calculation'!W800</f>
        <v>#DIV/0!</v>
      </c>
      <c r="X872" s="102" t="e">
        <f>'Secondary cum Calculation'!X800</f>
        <v>#DIV/0!</v>
      </c>
      <c r="Z872" s="11"/>
    </row>
    <row r="873" spans="1:26">
      <c r="A873" s="48"/>
      <c r="B873" s="48"/>
      <c r="C873" s="52" t="str">
        <f>'Secondary cum Calculation'!C801</f>
        <v>Growth Rate</v>
      </c>
      <c r="D873" s="52"/>
      <c r="E873" s="52"/>
      <c r="F873" s="52">
        <f>'Secondary cum Calculation'!F801</f>
        <v>0</v>
      </c>
      <c r="G873" s="52">
        <f>'Secondary cum Calculation'!G801</f>
        <v>0</v>
      </c>
      <c r="H873" s="52">
        <f>'Secondary cum Calculation'!H801</f>
        <v>0</v>
      </c>
      <c r="I873" s="52">
        <f>'Secondary cum Calculation'!I801</f>
        <v>0</v>
      </c>
      <c r="J873" s="52" t="str">
        <f>'Secondary cum Calculation'!J801</f>
        <v>%</v>
      </c>
      <c r="K873" s="49">
        <f>'Secondary cum Calculation'!K801</f>
        <v>0</v>
      </c>
      <c r="L873" s="53"/>
      <c r="M873" s="54" t="e">
        <f>'Secondary cum Calculation'!M801</f>
        <v>#DIV/0!</v>
      </c>
      <c r="N873" s="54" t="e">
        <f>'Secondary cum Calculation'!N801</f>
        <v>#DIV/0!</v>
      </c>
      <c r="O873" s="54" t="e">
        <f>'Secondary cum Calculation'!O801</f>
        <v>#DIV/0!</v>
      </c>
      <c r="P873" s="54" t="e">
        <f>'Secondary cum Calculation'!P801</f>
        <v>#DIV/0!</v>
      </c>
      <c r="Q873" s="54"/>
      <c r="R873" s="54"/>
      <c r="S873" s="54"/>
      <c r="T873" s="54"/>
      <c r="U873" s="54"/>
      <c r="V873" s="54"/>
      <c r="W873" s="258"/>
      <c r="X873" s="258"/>
    </row>
    <row r="874" spans="1:26">
      <c r="A874" s="46" t="str">
        <f>'Secondary cum Calculation'!A802</f>
        <v>Poland</v>
      </c>
      <c r="B874" s="47" t="str">
        <f>'Secondary cum Calculation'!B802</f>
        <v>Tourism Flows</v>
      </c>
      <c r="C874" s="47" t="str">
        <f>'Secondary cum Calculation'!C802</f>
        <v>International Departures by Destination</v>
      </c>
      <c r="D874" s="47" t="str">
        <f>'Secondary cum Calculation'!D802</f>
        <v>Asia-Pacific</v>
      </c>
      <c r="E874" s="46" t="str">
        <f>'Secondary cum Calculation'!E802</f>
        <v>Turkmenistan</v>
      </c>
      <c r="F874" s="48" t="str">
        <f>'Secondary cum Calculation'!F802</f>
        <v>The number of international departures from a country to Turkmenistan</v>
      </c>
      <c r="G874" s="48" t="str">
        <f>'Secondary cum Calculation'!G802</f>
        <v>Tourism Demand &amp; Flows Database</v>
      </c>
      <c r="H874" s="48" t="str">
        <f>'Secondary cum Calculation'!H802</f>
        <v>New</v>
      </c>
      <c r="I874" s="48">
        <f>'Secondary cum Calculation'!I802</f>
        <v>0</v>
      </c>
      <c r="J874" s="48" t="str">
        <f>'Secondary cum Calculation'!J802</f>
        <v>Thousand</v>
      </c>
      <c r="K874" s="49">
        <f>'Secondary cum Calculation'!K802</f>
        <v>0</v>
      </c>
      <c r="L874" s="92">
        <f>'Secondary cum Calculation'!L802</f>
        <v>0</v>
      </c>
      <c r="M874" s="92">
        <f>'Secondary cum Calculation'!M802</f>
        <v>0</v>
      </c>
      <c r="N874" s="92">
        <f>'Secondary cum Calculation'!N802</f>
        <v>0</v>
      </c>
      <c r="O874" s="53">
        <f>'Secondary cum Calculation'!O802</f>
        <v>0</v>
      </c>
      <c r="P874" s="53">
        <f>'Secondary cum Calculation'!P802</f>
        <v>0</v>
      </c>
      <c r="Q874" s="53"/>
      <c r="R874" s="53"/>
      <c r="S874" s="53"/>
      <c r="T874" s="53"/>
      <c r="U874" s="53"/>
      <c r="V874" s="53"/>
      <c r="W874" s="102" t="e">
        <f>'Secondary cum Calculation'!W802</f>
        <v>#DIV/0!</v>
      </c>
      <c r="X874" s="102" t="e">
        <f>'Secondary cum Calculation'!X802</f>
        <v>#DIV/0!</v>
      </c>
      <c r="Z874" s="11"/>
    </row>
    <row r="875" spans="1:26">
      <c r="A875" s="48"/>
      <c r="B875" s="48"/>
      <c r="C875" s="52" t="str">
        <f>'Secondary cum Calculation'!C803</f>
        <v>Growth Rate</v>
      </c>
      <c r="D875" s="52"/>
      <c r="E875" s="52"/>
      <c r="F875" s="52">
        <f>'Secondary cum Calculation'!F803</f>
        <v>0</v>
      </c>
      <c r="G875" s="52">
        <f>'Secondary cum Calculation'!G803</f>
        <v>0</v>
      </c>
      <c r="H875" s="52">
        <f>'Secondary cum Calculation'!H803</f>
        <v>0</v>
      </c>
      <c r="I875" s="52">
        <f>'Secondary cum Calculation'!I803</f>
        <v>0</v>
      </c>
      <c r="J875" s="52" t="str">
        <f>'Secondary cum Calculation'!J803</f>
        <v>%</v>
      </c>
      <c r="K875" s="49">
        <f>'Secondary cum Calculation'!K803</f>
        <v>0</v>
      </c>
      <c r="L875" s="53"/>
      <c r="M875" s="54" t="e">
        <f>'Secondary cum Calculation'!M803</f>
        <v>#DIV/0!</v>
      </c>
      <c r="N875" s="54" t="e">
        <f>'Secondary cum Calculation'!N803</f>
        <v>#DIV/0!</v>
      </c>
      <c r="O875" s="54" t="e">
        <f>'Secondary cum Calculation'!O803</f>
        <v>#DIV/0!</v>
      </c>
      <c r="P875" s="54" t="e">
        <f>'Secondary cum Calculation'!P803</f>
        <v>#DIV/0!</v>
      </c>
      <c r="Q875" s="54"/>
      <c r="R875" s="54"/>
      <c r="S875" s="54"/>
      <c r="T875" s="54"/>
      <c r="U875" s="54"/>
      <c r="V875" s="54"/>
      <c r="W875" s="258"/>
      <c r="X875" s="258"/>
    </row>
    <row r="876" spans="1:26">
      <c r="A876" s="46" t="str">
        <f>'Secondary cum Calculation'!A804</f>
        <v>Poland</v>
      </c>
      <c r="B876" s="47" t="str">
        <f>'Secondary cum Calculation'!B804</f>
        <v>Tourism Flows</v>
      </c>
      <c r="C876" s="47" t="str">
        <f>'Secondary cum Calculation'!C804</f>
        <v>International Departures by Destination</v>
      </c>
      <c r="D876" s="47" t="str">
        <f>'Secondary cum Calculation'!D804</f>
        <v>Asia-Pacific</v>
      </c>
      <c r="E876" s="46" t="str">
        <f>'Secondary cum Calculation'!E804</f>
        <v>Uzbekistan</v>
      </c>
      <c r="F876" s="48" t="str">
        <f>'Secondary cum Calculation'!F804</f>
        <v>The number of international departures from a country to Uzbekistan</v>
      </c>
      <c r="G876" s="48" t="str">
        <f>'Secondary cum Calculation'!G804</f>
        <v>Tourism Demand &amp; Flows Database</v>
      </c>
      <c r="H876" s="48" t="str">
        <f>'Secondary cum Calculation'!H804</f>
        <v>New</v>
      </c>
      <c r="I876" s="48">
        <f>'Secondary cum Calculation'!I804</f>
        <v>0</v>
      </c>
      <c r="J876" s="48" t="str">
        <f>'Secondary cum Calculation'!J804</f>
        <v>Thousand</v>
      </c>
      <c r="K876" s="49">
        <f>'Secondary cum Calculation'!K804</f>
        <v>0</v>
      </c>
      <c r="L876" s="92">
        <f>'Secondary cum Calculation'!L804</f>
        <v>0</v>
      </c>
      <c r="M876" s="92">
        <f>'Secondary cum Calculation'!M804</f>
        <v>0</v>
      </c>
      <c r="N876" s="92">
        <f>'Secondary cum Calculation'!N804</f>
        <v>0</v>
      </c>
      <c r="O876" s="53">
        <f>'Secondary cum Calculation'!O804</f>
        <v>0</v>
      </c>
      <c r="P876" s="53">
        <f>'Secondary cum Calculation'!P804</f>
        <v>0</v>
      </c>
      <c r="Q876" s="53"/>
      <c r="R876" s="53"/>
      <c r="S876" s="53"/>
      <c r="T876" s="53"/>
      <c r="U876" s="53"/>
      <c r="V876" s="53"/>
      <c r="W876" s="102" t="e">
        <f>'Secondary cum Calculation'!W804</f>
        <v>#DIV/0!</v>
      </c>
      <c r="X876" s="102" t="e">
        <f>'Secondary cum Calculation'!X804</f>
        <v>#DIV/0!</v>
      </c>
      <c r="Z876" s="11"/>
    </row>
    <row r="877" spans="1:26">
      <c r="A877" s="48"/>
      <c r="B877" s="48"/>
      <c r="C877" s="52" t="str">
        <f>'Secondary cum Calculation'!C805</f>
        <v>Growth Rate</v>
      </c>
      <c r="D877" s="52"/>
      <c r="E877" s="52"/>
      <c r="F877" s="52">
        <f>'Secondary cum Calculation'!F805</f>
        <v>0</v>
      </c>
      <c r="G877" s="52">
        <f>'Secondary cum Calculation'!G805</f>
        <v>0</v>
      </c>
      <c r="H877" s="52">
        <f>'Secondary cum Calculation'!H805</f>
        <v>0</v>
      </c>
      <c r="I877" s="52">
        <f>'Secondary cum Calculation'!I805</f>
        <v>0</v>
      </c>
      <c r="J877" s="52" t="str">
        <f>'Secondary cum Calculation'!J805</f>
        <v>%</v>
      </c>
      <c r="K877" s="49">
        <f>'Secondary cum Calculation'!K805</f>
        <v>0</v>
      </c>
      <c r="L877" s="53"/>
      <c r="M877" s="54" t="e">
        <f>'Secondary cum Calculation'!M805</f>
        <v>#DIV/0!</v>
      </c>
      <c r="N877" s="54" t="e">
        <f>'Secondary cum Calculation'!N805</f>
        <v>#DIV/0!</v>
      </c>
      <c r="O877" s="54" t="e">
        <f>'Secondary cum Calculation'!O805</f>
        <v>#DIV/0!</v>
      </c>
      <c r="P877" s="54" t="e">
        <f>'Secondary cum Calculation'!P805</f>
        <v>#DIV/0!</v>
      </c>
      <c r="Q877" s="54"/>
      <c r="R877" s="54"/>
      <c r="S877" s="54"/>
      <c r="T877" s="54"/>
      <c r="U877" s="54"/>
      <c r="V877" s="54"/>
      <c r="W877" s="258"/>
      <c r="X877" s="258"/>
    </row>
    <row r="878" spans="1:26">
      <c r="A878" s="46" t="str">
        <f>'Secondary cum Calculation'!A806</f>
        <v>Poland</v>
      </c>
      <c r="B878" s="47" t="str">
        <f>'Secondary cum Calculation'!B806</f>
        <v>Tourism Flows</v>
      </c>
      <c r="C878" s="47" t="str">
        <f>'Secondary cum Calculation'!C806</f>
        <v>International Departures by Destination</v>
      </c>
      <c r="D878" s="47" t="str">
        <f>'Secondary cum Calculation'!D806</f>
        <v>Asia-Pacific</v>
      </c>
      <c r="E878" s="46" t="str">
        <f>'Secondary cum Calculation'!E806</f>
        <v>Vanuatu</v>
      </c>
      <c r="F878" s="48" t="str">
        <f>'Secondary cum Calculation'!F806</f>
        <v>The number of international departures from a country to Vanuatu</v>
      </c>
      <c r="G878" s="48" t="str">
        <f>'Secondary cum Calculation'!G806</f>
        <v>Tourism Demand &amp; Flows Database</v>
      </c>
      <c r="H878" s="48" t="str">
        <f>'Secondary cum Calculation'!H806</f>
        <v>New</v>
      </c>
      <c r="I878" s="48">
        <f>'Secondary cum Calculation'!I806</f>
        <v>0</v>
      </c>
      <c r="J878" s="48" t="str">
        <f>'Secondary cum Calculation'!J806</f>
        <v>Thousand</v>
      </c>
      <c r="K878" s="49">
        <f>'Secondary cum Calculation'!K806</f>
        <v>0</v>
      </c>
      <c r="L878" s="92">
        <f>'Secondary cum Calculation'!L806</f>
        <v>0</v>
      </c>
      <c r="M878" s="92">
        <f>'Secondary cum Calculation'!M806</f>
        <v>0</v>
      </c>
      <c r="N878" s="92">
        <f>'Secondary cum Calculation'!N806</f>
        <v>0</v>
      </c>
      <c r="O878" s="93">
        <f>'Secondary cum Calculation'!O806</f>
        <v>0</v>
      </c>
      <c r="P878" s="93">
        <f>'Secondary cum Calculation'!P806</f>
        <v>0</v>
      </c>
      <c r="Q878" s="93"/>
      <c r="R878" s="93"/>
      <c r="S878" s="93"/>
      <c r="T878" s="93"/>
      <c r="U878" s="93"/>
      <c r="V878" s="93"/>
      <c r="W878" s="102" t="e">
        <f>'Secondary cum Calculation'!W806</f>
        <v>#DIV/0!</v>
      </c>
      <c r="X878" s="102" t="e">
        <f>'Secondary cum Calculation'!X806</f>
        <v>#DIV/0!</v>
      </c>
      <c r="Z878" s="11"/>
    </row>
    <row r="879" spans="1:26">
      <c r="A879" s="48"/>
      <c r="B879" s="48"/>
      <c r="C879" s="52" t="str">
        <f>'Secondary cum Calculation'!C807</f>
        <v>Growth Rate</v>
      </c>
      <c r="D879" s="52"/>
      <c r="E879" s="52"/>
      <c r="F879" s="52">
        <f>'Secondary cum Calculation'!F807</f>
        <v>0</v>
      </c>
      <c r="G879" s="52">
        <f>'Secondary cum Calculation'!G807</f>
        <v>0</v>
      </c>
      <c r="H879" s="52">
        <f>'Secondary cum Calculation'!H807</f>
        <v>0</v>
      </c>
      <c r="I879" s="52">
        <f>'Secondary cum Calculation'!I807</f>
        <v>0</v>
      </c>
      <c r="J879" s="52" t="str">
        <f>'Secondary cum Calculation'!J807</f>
        <v>%</v>
      </c>
      <c r="K879" s="49">
        <f>'Secondary cum Calculation'!K807</f>
        <v>0</v>
      </c>
      <c r="L879" s="53"/>
      <c r="M879" s="54" t="e">
        <f>'Secondary cum Calculation'!M807</f>
        <v>#DIV/0!</v>
      </c>
      <c r="N879" s="54" t="e">
        <f>'Secondary cum Calculation'!N807</f>
        <v>#DIV/0!</v>
      </c>
      <c r="O879" s="54" t="e">
        <f>'Secondary cum Calculation'!O807</f>
        <v>#DIV/0!</v>
      </c>
      <c r="P879" s="54" t="e">
        <f>'Secondary cum Calculation'!P807</f>
        <v>#DIV/0!</v>
      </c>
      <c r="Q879" s="54"/>
      <c r="R879" s="54"/>
      <c r="S879" s="54"/>
      <c r="T879" s="54"/>
      <c r="U879" s="54"/>
      <c r="V879" s="54"/>
      <c r="W879" s="258"/>
      <c r="X879" s="258"/>
    </row>
    <row r="880" spans="1:26">
      <c r="A880" s="46" t="str">
        <f>'Secondary cum Calculation'!A808</f>
        <v>Poland</v>
      </c>
      <c r="B880" s="47" t="str">
        <f>'Secondary cum Calculation'!B808</f>
        <v>Tourism Flows</v>
      </c>
      <c r="C880" s="47" t="str">
        <f>'Secondary cum Calculation'!C808</f>
        <v>International Departures by Destination</v>
      </c>
      <c r="D880" s="47" t="str">
        <f>'Secondary cum Calculation'!D808</f>
        <v>Asia-Pacific</v>
      </c>
      <c r="E880" s="46" t="str">
        <f>'Secondary cum Calculation'!E808</f>
        <v>Vietnam</v>
      </c>
      <c r="F880" s="48" t="str">
        <f>'Secondary cum Calculation'!F808</f>
        <v>The number of international departures from a country to Vietnam</v>
      </c>
      <c r="G880" s="48" t="str">
        <f>'Secondary cum Calculation'!G808</f>
        <v>Tourism Demand &amp; Flows Database</v>
      </c>
      <c r="H880" s="48" t="str">
        <f>'Secondary cum Calculation'!H808</f>
        <v>New</v>
      </c>
      <c r="I880" s="48">
        <f>'Secondary cum Calculation'!I808</f>
        <v>0</v>
      </c>
      <c r="J880" s="48" t="str">
        <f>'Secondary cum Calculation'!J808</f>
        <v>Thousand</v>
      </c>
      <c r="K880" s="49">
        <f>'Secondary cum Calculation'!K808</f>
        <v>181</v>
      </c>
      <c r="L880" s="53">
        <f>'Secondary cum Calculation'!L808</f>
        <v>0</v>
      </c>
      <c r="M880" s="53">
        <f>'Secondary cum Calculation'!M808</f>
        <v>0</v>
      </c>
      <c r="N880" s="53">
        <f>'Secondary cum Calculation'!N808</f>
        <v>0</v>
      </c>
      <c r="O880" s="53">
        <f>'Secondary cum Calculation'!O808</f>
        <v>0</v>
      </c>
      <c r="P880" s="53">
        <f>'Secondary cum Calculation'!P808</f>
        <v>0</v>
      </c>
      <c r="Q880" s="53"/>
      <c r="R880" s="53"/>
      <c r="S880" s="53"/>
      <c r="T880" s="53"/>
      <c r="U880" s="53"/>
      <c r="V880" s="53"/>
      <c r="W880" s="102" t="e">
        <f>'Secondary cum Calculation'!W808</f>
        <v>#DIV/0!</v>
      </c>
      <c r="X880" s="102" t="e">
        <f>'Secondary cum Calculation'!X808</f>
        <v>#DIV/0!</v>
      </c>
      <c r="Z880" s="11"/>
    </row>
    <row r="881" spans="1:26">
      <c r="A881" s="48"/>
      <c r="B881" s="48"/>
      <c r="C881" s="52" t="str">
        <f>'Secondary cum Calculation'!C809</f>
        <v>Growth Rate</v>
      </c>
      <c r="D881" s="52"/>
      <c r="E881" s="52"/>
      <c r="F881" s="52">
        <f>'Secondary cum Calculation'!F809</f>
        <v>0</v>
      </c>
      <c r="G881" s="52">
        <f>'Secondary cum Calculation'!G809</f>
        <v>0</v>
      </c>
      <c r="H881" s="52">
        <f>'Secondary cum Calculation'!H809</f>
        <v>0</v>
      </c>
      <c r="I881" s="52">
        <f>'Secondary cum Calculation'!I809</f>
        <v>0</v>
      </c>
      <c r="J881" s="52" t="str">
        <f>'Secondary cum Calculation'!J809</f>
        <v>%</v>
      </c>
      <c r="K881" s="49">
        <f>'Secondary cum Calculation'!K809</f>
        <v>0</v>
      </c>
      <c r="L881" s="53"/>
      <c r="M881" s="54" t="e">
        <f>'Secondary cum Calculation'!M809</f>
        <v>#DIV/0!</v>
      </c>
      <c r="N881" s="54" t="e">
        <f>'Secondary cum Calculation'!N809</f>
        <v>#DIV/0!</v>
      </c>
      <c r="O881" s="54" t="e">
        <f>'Secondary cum Calculation'!O809</f>
        <v>#DIV/0!</v>
      </c>
      <c r="P881" s="54" t="e">
        <f>'Secondary cum Calculation'!P809</f>
        <v>#DIV/0!</v>
      </c>
      <c r="Q881" s="54"/>
      <c r="R881" s="54"/>
      <c r="S881" s="54"/>
      <c r="T881" s="54"/>
      <c r="U881" s="54"/>
      <c r="V881" s="54"/>
      <c r="W881" s="258"/>
      <c r="X881" s="258"/>
    </row>
    <row r="882" spans="1:26">
      <c r="A882" s="46" t="str">
        <f>'Secondary cum Calculation'!A810</f>
        <v>Poland</v>
      </c>
      <c r="B882" s="47" t="str">
        <f>'Secondary cum Calculation'!B810</f>
        <v>Tourism Flows</v>
      </c>
      <c r="C882" s="47" t="str">
        <f>'Secondary cum Calculation'!C810</f>
        <v>International Departures by Destination</v>
      </c>
      <c r="D882" s="94" t="str">
        <f>'Secondary cum Calculation'!D810</f>
        <v>Asia-Pacific</v>
      </c>
      <c r="E882" s="95" t="str">
        <f>'Secondary cum Calculation'!E810</f>
        <v>Other Asia-Pacific Countries</v>
      </c>
      <c r="F882" s="94" t="str">
        <f>'Secondary cum Calculation'!F810</f>
        <v>To be defined according to the gaps in the country data above</v>
      </c>
      <c r="G882" s="48">
        <f>'Secondary cum Calculation'!G810</f>
        <v>0</v>
      </c>
      <c r="H882" s="48">
        <f>'Secondary cum Calculation'!H810</f>
        <v>0</v>
      </c>
      <c r="I882" s="48">
        <f>'Secondary cum Calculation'!I810</f>
        <v>0</v>
      </c>
      <c r="J882" s="48" t="str">
        <f>'Secondary cum Calculation'!J810</f>
        <v>Thousand</v>
      </c>
      <c r="K882" s="49">
        <f>'Secondary cum Calculation'!K810</f>
        <v>0</v>
      </c>
      <c r="L882" s="53">
        <f>'Secondary cum Calculation'!L810</f>
        <v>179.31527492467055</v>
      </c>
      <c r="M882" s="53">
        <f>'Secondary cum Calculation'!M810</f>
        <v>184.34175232685487</v>
      </c>
      <c r="N882" s="53">
        <f>'Secondary cum Calculation'!N810</f>
        <v>183.32818381664458</v>
      </c>
      <c r="O882" s="53">
        <f>'Secondary cum Calculation'!O810</f>
        <v>193.54742824657512</v>
      </c>
      <c r="P882" s="53">
        <f>'Secondary cum Calculation'!P810</f>
        <v>218.65231902931407</v>
      </c>
      <c r="Q882" s="53"/>
      <c r="R882" s="53"/>
      <c r="S882" s="53"/>
      <c r="T882" s="53"/>
      <c r="U882" s="53"/>
      <c r="V882" s="53"/>
      <c r="W882" s="102">
        <f>'Secondary cum Calculation'!W810</f>
        <v>5.9224417204696289E-2</v>
      </c>
      <c r="X882" s="102">
        <f>'Secondary cum Calculation'!X810</f>
        <v>-1</v>
      </c>
      <c r="Z882" s="11"/>
    </row>
    <row r="883" spans="1:26">
      <c r="A883" s="48"/>
      <c r="B883" s="48"/>
      <c r="C883" s="52" t="str">
        <f>'Secondary cum Calculation'!C811</f>
        <v>Growth Rate</v>
      </c>
      <c r="D883" s="52"/>
      <c r="E883" s="52"/>
      <c r="F883" s="52">
        <f>'Secondary cum Calculation'!F811</f>
        <v>0</v>
      </c>
      <c r="G883" s="52">
        <f>'Secondary cum Calculation'!G811</f>
        <v>0</v>
      </c>
      <c r="H883" s="52">
        <f>'Secondary cum Calculation'!H811</f>
        <v>0</v>
      </c>
      <c r="I883" s="52">
        <f>'Secondary cum Calculation'!I811</f>
        <v>0</v>
      </c>
      <c r="J883" s="52" t="str">
        <f>'Secondary cum Calculation'!J811</f>
        <v>%</v>
      </c>
      <c r="K883" s="49">
        <f>'Secondary cum Calculation'!K811</f>
        <v>0</v>
      </c>
      <c r="L883" s="53"/>
      <c r="M883" s="54">
        <f>'Secondary cum Calculation'!M811</f>
        <v>2.8031507099971931E-2</v>
      </c>
      <c r="N883" s="54">
        <f>'Secondary cum Calculation'!N811</f>
        <v>-5.4983122239889992E-3</v>
      </c>
      <c r="O883" s="54">
        <f>'Secondary cum Calculation'!O811</f>
        <v>5.5742898975922328E-2</v>
      </c>
      <c r="P883" s="54">
        <f>'Secondary cum Calculation'!P811</f>
        <v>0.12970924496478387</v>
      </c>
      <c r="Q883" s="54"/>
      <c r="R883" s="54"/>
      <c r="S883" s="54"/>
      <c r="T883" s="54"/>
      <c r="U883" s="54"/>
      <c r="V883" s="54"/>
      <c r="W883" s="258"/>
      <c r="X883" s="258"/>
    </row>
    <row r="884" spans="1:26">
      <c r="A884" s="46" t="str">
        <f>'Secondary cum Calculation'!A812</f>
        <v>Poland</v>
      </c>
      <c r="B884" s="47" t="str">
        <f>'Secondary cum Calculation'!B812</f>
        <v>Tourism Flows</v>
      </c>
      <c r="C884" s="47" t="str">
        <f>'Secondary cum Calculation'!C812</f>
        <v>International Departures by Destination</v>
      </c>
      <c r="D884" s="46" t="str">
        <f>'Secondary cum Calculation'!D812</f>
        <v>Europe</v>
      </c>
      <c r="E884" s="48"/>
      <c r="F884" s="48" t="str">
        <f>'Secondary cum Calculation'!F812</f>
        <v>The number of international departures from a country to Europe</v>
      </c>
      <c r="G884" s="48" t="str">
        <f>'Secondary cum Calculation'!G812</f>
        <v>Tourism Demand &amp; Flows Database</v>
      </c>
      <c r="H884" s="48" t="str">
        <f>'Secondary cum Calculation'!H812</f>
        <v>New</v>
      </c>
      <c r="I884" s="48">
        <f>'Secondary cum Calculation'!I812</f>
        <v>0</v>
      </c>
      <c r="J884" s="48" t="str">
        <f>'Secondary cum Calculation'!J812</f>
        <v>Thousand</v>
      </c>
      <c r="K884" s="76">
        <f>'Secondary cum Calculation'!K812</f>
        <v>7446</v>
      </c>
      <c r="L884" s="269">
        <f>'Secondary cum Calculation'!L812</f>
        <v>6255.5250237928249</v>
      </c>
      <c r="M884" s="269">
        <f>'Secondary cum Calculation'!M812</f>
        <v>6877.2235533511548</v>
      </c>
      <c r="N884" s="269">
        <f>'Secondary cum Calculation'!N812</f>
        <v>5675.9934490327623</v>
      </c>
      <c r="O884" s="269">
        <f>'Secondary cum Calculation'!O812</f>
        <v>6451.7966470588235</v>
      </c>
      <c r="P884" s="269">
        <f>'Secondary cum Calculation'!P812</f>
        <v>5658.0534705882355</v>
      </c>
      <c r="Q884" s="269">
        <f>'Secondary cum Calculation'!Q812</f>
        <v>5517.8243043497841</v>
      </c>
      <c r="R884" s="269">
        <f t="shared" ref="R884:V884" si="571">Q884*(1+R885)</f>
        <v>5569.8824974001363</v>
      </c>
      <c r="S884" s="269">
        <f t="shared" si="571"/>
        <v>5650.4481242506627</v>
      </c>
      <c r="T884" s="269">
        <f t="shared" si="571"/>
        <v>5679.0749097099351</v>
      </c>
      <c r="U884" s="269">
        <f t="shared" si="571"/>
        <v>5735.938886957827</v>
      </c>
      <c r="V884" s="269">
        <f t="shared" si="571"/>
        <v>5782.5196955703004</v>
      </c>
      <c r="W884" s="102">
        <f>'Secondary cum Calculation'!W812</f>
        <v>-5.3569600458166833E-2</v>
      </c>
      <c r="X884" s="102">
        <f>'Secondary cum Calculation'!X812</f>
        <v>9.4152242354252902E-3</v>
      </c>
      <c r="Z884" s="11"/>
    </row>
    <row r="885" spans="1:26">
      <c r="A885" s="48"/>
      <c r="B885" s="48"/>
      <c r="C885" s="52" t="str">
        <f>'Secondary cum Calculation'!C813</f>
        <v>Growth Rate</v>
      </c>
      <c r="D885" s="52"/>
      <c r="E885" s="52"/>
      <c r="F885" s="52">
        <f>'Secondary cum Calculation'!F813</f>
        <v>0</v>
      </c>
      <c r="G885" s="52">
        <f>'Secondary cum Calculation'!G813</f>
        <v>0</v>
      </c>
      <c r="H885" s="52">
        <f>'Secondary cum Calculation'!H813</f>
        <v>0</v>
      </c>
      <c r="I885" s="52">
        <f>'Secondary cum Calculation'!I813</f>
        <v>0</v>
      </c>
      <c r="J885" s="52" t="str">
        <f>'Secondary cum Calculation'!J813</f>
        <v>%</v>
      </c>
      <c r="K885" s="49">
        <f>'Secondary cum Calculation'!K813</f>
        <v>0</v>
      </c>
      <c r="L885" s="53"/>
      <c r="M885" s="54">
        <f>'Secondary cum Calculation'!M813</f>
        <v>9.9383908975458679E-2</v>
      </c>
      <c r="N885" s="54">
        <f>'Secondary cum Calculation'!N813</f>
        <v>-0.17466788668416244</v>
      </c>
      <c r="O885" s="54">
        <f>'Secondary cum Calculation'!O813</f>
        <v>0.13668148228012211</v>
      </c>
      <c r="P885" s="54">
        <f>'Secondary cum Calculation'!P813</f>
        <v>-0.12302668851666787</v>
      </c>
      <c r="Q885" s="54">
        <f>'Secondary cum Calculation'!Q813</f>
        <v>-2.4783994525218289E-2</v>
      </c>
      <c r="R885" s="54">
        <f>0.6*((L884/O884)^(1/3)-1)+0.4*($E887*R888+$E889*R890+$E891*R892+$E893*R894+$E895*R896+$E897*R898)</f>
        <v>9.434550681382492E-3</v>
      </c>
      <c r="S885" s="54">
        <f>0.6*((L884/O884)^(1/3)-1)+0.4*($E887*S888+$E889*S890+$E891*S892+$E893*S894+$E895*S896+$E897*S898)</f>
        <v>1.4464511035579677E-2</v>
      </c>
      <c r="T885" s="54">
        <f>0.75*((L884/O884)^(1/3)-1)+0.25*($E887*T888+$E889*T890+$E891*T892+$E893*T894+$E895*T896+$E897*T898)</f>
        <v>5.066285864374364E-3</v>
      </c>
      <c r="U885" s="54">
        <f>0.69*((L884/O884)^(1/3)-1)+0.31*($E887*U888+$E889*U890+$E891*U892+$E893*U894+$E895*U896+$E897*U898)</f>
        <v>1.0012894380151167E-2</v>
      </c>
      <c r="V885" s="54">
        <f>0.69*((L884/O884)^(1/3)-1)+0.31*($E887*V888+$E889*V890+$E891*V892+$E893*V894+$E895*V896+$E897*V898)</f>
        <v>8.1208690556984365E-3</v>
      </c>
      <c r="W885" s="258"/>
      <c r="X885" s="258"/>
    </row>
    <row r="886" spans="1:26" outlineLevel="1">
      <c r="A886" s="306"/>
      <c r="B886" s="306"/>
      <c r="C886" s="306"/>
      <c r="D886" s="307" t="s">
        <v>912</v>
      </c>
      <c r="E886" s="112" t="s">
        <v>914</v>
      </c>
      <c r="F886" s="112"/>
      <c r="G886" s="112"/>
      <c r="H886" s="112"/>
      <c r="I886" s="112"/>
      <c r="J886" s="112"/>
      <c r="K886" s="113"/>
      <c r="L886" s="114"/>
      <c r="M886" s="115"/>
      <c r="N886" s="115"/>
      <c r="O886" s="115"/>
      <c r="P886" s="115"/>
      <c r="Q886" s="115"/>
      <c r="R886" s="115"/>
      <c r="S886" s="115"/>
      <c r="T886" s="115"/>
      <c r="U886" s="115"/>
      <c r="V886" s="115"/>
      <c r="W886" s="303"/>
      <c r="X886" s="303"/>
    </row>
    <row r="887" spans="1:26" outlineLevel="1">
      <c r="A887" s="308"/>
      <c r="B887" s="308"/>
      <c r="C887" s="308"/>
      <c r="D887" s="308" t="s">
        <v>937</v>
      </c>
      <c r="E887" s="310">
        <f>W888/W$899</f>
        <v>0.1776808066623258</v>
      </c>
      <c r="F887" s="310"/>
      <c r="G887" s="310"/>
      <c r="H887" s="310"/>
      <c r="I887" s="310"/>
      <c r="J887" s="310"/>
      <c r="K887" s="310"/>
      <c r="L887" s="329">
        <f>L1174</f>
        <v>425.32100000000003</v>
      </c>
      <c r="M887" s="329">
        <f t="shared" ref="M887:U887" si="572">M1174</f>
        <v>529.40099999999995</v>
      </c>
      <c r="N887" s="329">
        <f t="shared" si="572"/>
        <v>430.84699999999998</v>
      </c>
      <c r="O887" s="329">
        <f t="shared" si="572"/>
        <v>469.75299999999999</v>
      </c>
      <c r="P887" s="329">
        <f t="shared" si="572"/>
        <v>514.50300000000004</v>
      </c>
      <c r="Q887" s="329">
        <f t="shared" si="572"/>
        <v>470.35399999999998</v>
      </c>
      <c r="R887" s="329">
        <f t="shared" si="572"/>
        <v>496.14499999999998</v>
      </c>
      <c r="S887" s="329">
        <f t="shared" si="572"/>
        <v>522.93799999999999</v>
      </c>
      <c r="T887" s="329">
        <f t="shared" si="572"/>
        <v>553.78399999999999</v>
      </c>
      <c r="U887" s="329">
        <f t="shared" si="572"/>
        <v>589.50099999999998</v>
      </c>
      <c r="V887" s="329">
        <f t="shared" ref="V887" si="573">V1174</f>
        <v>623.40700000000004</v>
      </c>
      <c r="W887" s="302" t="s">
        <v>915</v>
      </c>
      <c r="X887" s="303"/>
    </row>
    <row r="888" spans="1:26" outlineLevel="1">
      <c r="A888" s="312"/>
      <c r="B888" s="312"/>
      <c r="C888" s="312"/>
      <c r="D888" s="312" t="s">
        <v>892</v>
      </c>
      <c r="E888" s="312"/>
      <c r="F888" s="312"/>
      <c r="G888" s="312"/>
      <c r="H888" s="312"/>
      <c r="I888" s="312"/>
      <c r="J888" s="312"/>
      <c r="K888" s="312"/>
      <c r="L888" s="312"/>
      <c r="M888" s="313">
        <f>M887/L887-1</f>
        <v>0.24470929015966747</v>
      </c>
      <c r="N888" s="313">
        <f t="shared" ref="N888" si="574">N887/M887-1</f>
        <v>-0.18616134083615254</v>
      </c>
      <c r="O888" s="313">
        <f t="shared" ref="O888" si="575">O887/N887-1</f>
        <v>9.0301197408825029E-2</v>
      </c>
      <c r="P888" s="313">
        <f t="shared" ref="P888" si="576">P887/O887-1</f>
        <v>9.5262829614712441E-2</v>
      </c>
      <c r="Q888" s="313">
        <f t="shared" ref="Q888" si="577">Q887/P887-1</f>
        <v>-8.5809023465363787E-2</v>
      </c>
      <c r="R888" s="313">
        <f t="shared" ref="R888" si="578">R887/Q887-1</f>
        <v>5.4833168209476257E-2</v>
      </c>
      <c r="S888" s="313">
        <f t="shared" ref="S888" si="579">S887/R887-1</f>
        <v>5.4002358181580057E-2</v>
      </c>
      <c r="T888" s="313">
        <f t="shared" ref="T888" si="580">T887/S887-1</f>
        <v>5.8985960094695811E-2</v>
      </c>
      <c r="U888" s="313">
        <f t="shared" ref="U888:V888" si="581">U887/T887-1</f>
        <v>6.4496265692038701E-2</v>
      </c>
      <c r="V888" s="313">
        <f t="shared" si="581"/>
        <v>5.7516441872023982E-2</v>
      </c>
      <c r="W888" s="304">
        <f>CORREL(M888:P888,M$885:P$885)</f>
        <v>0.72674959875234701</v>
      </c>
      <c r="X888" s="314"/>
    </row>
    <row r="889" spans="1:26" ht="15" customHeight="1" outlineLevel="1">
      <c r="A889" s="310"/>
      <c r="B889" s="310"/>
      <c r="C889" s="310"/>
      <c r="D889" s="310" t="s">
        <v>936</v>
      </c>
      <c r="E889" s="310">
        <f>W890/W$899</f>
        <v>0.16904303433033654</v>
      </c>
      <c r="F889" s="310"/>
      <c r="G889" s="310"/>
      <c r="H889" s="310"/>
      <c r="I889" s="310"/>
      <c r="J889" s="310"/>
      <c r="K889" s="310"/>
      <c r="L889" s="329">
        <f t="shared" ref="L889:U889" si="582">L1176</f>
        <v>268203.56</v>
      </c>
      <c r="M889" s="329">
        <f t="shared" si="582"/>
        <v>329640.87</v>
      </c>
      <c r="N889" s="329">
        <f t="shared" si="582"/>
        <v>266283.2</v>
      </c>
      <c r="O889" s="329">
        <f t="shared" si="582"/>
        <v>295763.96999999997</v>
      </c>
      <c r="P889" s="329">
        <f t="shared" si="582"/>
        <v>306943.82</v>
      </c>
      <c r="Q889" s="329">
        <f t="shared" si="582"/>
        <v>332356.61829999997</v>
      </c>
      <c r="R889" s="329">
        <f t="shared" si="582"/>
        <v>352225.2107</v>
      </c>
      <c r="S889" s="329">
        <f t="shared" si="582"/>
        <v>371576.09950000001</v>
      </c>
      <c r="T889" s="329">
        <f t="shared" si="582"/>
        <v>386358.77990000002</v>
      </c>
      <c r="U889" s="329">
        <f t="shared" si="582"/>
        <v>409235.93204273965</v>
      </c>
      <c r="V889" s="329">
        <f t="shared" ref="V889" si="583">V1176</f>
        <v>431088.18074672733</v>
      </c>
      <c r="W889" s="304"/>
      <c r="X889" s="315"/>
    </row>
    <row r="890" spans="1:26" outlineLevel="1">
      <c r="A890" s="312"/>
      <c r="B890" s="312"/>
      <c r="C890" s="312"/>
      <c r="D890" s="312" t="s">
        <v>892</v>
      </c>
      <c r="E890" s="312"/>
      <c r="F890" s="312"/>
      <c r="G890" s="312"/>
      <c r="H890" s="312"/>
      <c r="I890" s="312"/>
      <c r="J890" s="312"/>
      <c r="K890" s="312"/>
      <c r="L890" s="312"/>
      <c r="M890" s="316">
        <f>M889/L889-1</f>
        <v>0.22906970362362089</v>
      </c>
      <c r="N890" s="316">
        <f t="shared" ref="N890" si="584">N889/M889-1</f>
        <v>-0.19220210770587998</v>
      </c>
      <c r="O890" s="316">
        <f t="shared" ref="O890" si="585">O889/N889-1</f>
        <v>0.11071209148755901</v>
      </c>
      <c r="P890" s="316">
        <f t="shared" ref="P890" si="586">P889/O889-1</f>
        <v>3.7799905106764786E-2</v>
      </c>
      <c r="Q890" s="316">
        <f t="shared" ref="Q890" si="587">Q889/P889-1</f>
        <v>8.2792995473894848E-2</v>
      </c>
      <c r="R890" s="316">
        <f t="shared" ref="R890" si="588">R889/Q889-1</f>
        <v>5.9780944040253026E-2</v>
      </c>
      <c r="S890" s="316">
        <f t="shared" ref="S890" si="589">S889/R889-1</f>
        <v>5.4938965787096006E-2</v>
      </c>
      <c r="T890" s="316">
        <f t="shared" ref="T890" si="590">T889/S889-1</f>
        <v>3.9783722418885059E-2</v>
      </c>
      <c r="U890" s="316">
        <f t="shared" ref="U890:V890" si="591">U889/T889-1</f>
        <v>5.9212196882547419E-2</v>
      </c>
      <c r="V890" s="316">
        <f t="shared" si="591"/>
        <v>5.339767843676424E-2</v>
      </c>
      <c r="W890" s="304">
        <f>CORREL(M889:P889,M$884:P$884)</f>
        <v>0.69141940358772569</v>
      </c>
      <c r="X890" s="317"/>
    </row>
    <row r="891" spans="1:26" ht="15" customHeight="1" outlineLevel="1">
      <c r="A891" s="310"/>
      <c r="B891" s="310"/>
      <c r="C891" s="310"/>
      <c r="D891" s="310" t="s">
        <v>916</v>
      </c>
      <c r="E891" s="310">
        <f>W892/W$899</f>
        <v>0.12142474348087645</v>
      </c>
      <c r="F891" s="310"/>
      <c r="G891" s="310"/>
      <c r="H891" s="310"/>
      <c r="I891" s="310"/>
      <c r="J891" s="310"/>
      <c r="K891" s="310"/>
      <c r="L891" s="329">
        <f>L1184</f>
        <v>105911</v>
      </c>
      <c r="M891" s="329">
        <f t="shared" ref="M891:U891" si="592">M1184</f>
        <v>107942</v>
      </c>
      <c r="N891" s="329">
        <f t="shared" si="592"/>
        <v>103397</v>
      </c>
      <c r="O891" s="329">
        <f t="shared" si="592"/>
        <v>102162.46730120073</v>
      </c>
      <c r="P891" s="329">
        <f t="shared" si="592"/>
        <v>102961.52808660103</v>
      </c>
      <c r="Q891" s="329">
        <f t="shared" si="592"/>
        <v>104281.82642289056</v>
      </c>
      <c r="R891" s="329">
        <f t="shared" si="592"/>
        <v>106092.99932640951</v>
      </c>
      <c r="S891" s="329">
        <f t="shared" si="592"/>
        <v>107374.74549474263</v>
      </c>
      <c r="T891" s="329">
        <f t="shared" si="592"/>
        <v>108052.42439100673</v>
      </c>
      <c r="U891" s="329">
        <f t="shared" si="592"/>
        <v>109801.45941458517</v>
      </c>
      <c r="V891" s="329">
        <f t="shared" ref="V891" si="593">V1184</f>
        <v>111226.42626151063</v>
      </c>
      <c r="W891" s="315"/>
      <c r="X891" s="315"/>
    </row>
    <row r="892" spans="1:26" outlineLevel="1">
      <c r="A892" s="312"/>
      <c r="B892" s="312"/>
      <c r="C892" s="312"/>
      <c r="D892" s="312" t="s">
        <v>892</v>
      </c>
      <c r="E892" s="312"/>
      <c r="F892" s="312"/>
      <c r="G892" s="312"/>
      <c r="H892" s="312"/>
      <c r="I892" s="312"/>
      <c r="J892" s="312"/>
      <c r="K892" s="312"/>
      <c r="L892" s="312"/>
      <c r="M892" s="316">
        <f>M891/L891-1</f>
        <v>1.9176478363909233E-2</v>
      </c>
      <c r="N892" s="316">
        <f t="shared" ref="N892" si="594">N891/M891-1</f>
        <v>-4.2105945785699705E-2</v>
      </c>
      <c r="O892" s="316">
        <f t="shared" ref="O892" si="595">O891/N891-1</f>
        <v>-1.1939734216653064E-2</v>
      </c>
      <c r="P892" s="316">
        <f t="shared" ref="P892" si="596">P891/O891-1</f>
        <v>7.8214710990138769E-3</v>
      </c>
      <c r="Q892" s="316">
        <f t="shared" ref="Q892" si="597">Q891/P891-1</f>
        <v>1.2823220098083787E-2</v>
      </c>
      <c r="R892" s="316">
        <f t="shared" ref="R892" si="598">R891/Q891-1</f>
        <v>1.7368058900063321E-2</v>
      </c>
      <c r="S892" s="316">
        <f t="shared" ref="S892" si="599">S891/R891-1</f>
        <v>1.2081345390091647E-2</v>
      </c>
      <c r="T892" s="316">
        <f t="shared" ref="T892" si="600">T891/S891-1</f>
        <v>6.3113434461856688E-3</v>
      </c>
      <c r="U892" s="316">
        <f t="shared" ref="U892:V892" si="601">U891/T891-1</f>
        <v>1.6186911431521844E-2</v>
      </c>
      <c r="V892" s="316">
        <f t="shared" si="601"/>
        <v>1.2977667642331658E-2</v>
      </c>
      <c r="W892" s="304">
        <f>CORREL(M892:P892,M$885:P$885)</f>
        <v>0.49665118737917435</v>
      </c>
      <c r="X892" s="317"/>
    </row>
    <row r="893" spans="1:26" ht="15" customHeight="1" outlineLevel="1">
      <c r="A893" s="310"/>
      <c r="B893" s="310"/>
      <c r="C893" s="310"/>
      <c r="D893" s="310" t="s">
        <v>939</v>
      </c>
      <c r="E893" s="310">
        <f>W894/W$899</f>
        <v>0.19489738245405022</v>
      </c>
      <c r="F893" s="310"/>
      <c r="G893" s="310"/>
      <c r="H893" s="310"/>
      <c r="I893" s="310"/>
      <c r="J893" s="310"/>
      <c r="K893" s="310"/>
      <c r="L893" s="311">
        <f>L1202</f>
        <v>16.033000000000001</v>
      </c>
      <c r="M893" s="311">
        <f t="shared" ref="M893:U893" si="602">M1202</f>
        <v>17.960999999999999</v>
      </c>
      <c r="N893" s="311">
        <f t="shared" si="602"/>
        <v>17.234000000000002</v>
      </c>
      <c r="O893" s="311">
        <f t="shared" si="602"/>
        <v>17.117000000000001</v>
      </c>
      <c r="P893" s="311">
        <f t="shared" si="602"/>
        <v>16.678999999999998</v>
      </c>
      <c r="Q893" s="311">
        <f t="shared" si="602"/>
        <v>16.346</v>
      </c>
      <c r="R893" s="311">
        <f t="shared" si="602"/>
        <v>16.545000000000002</v>
      </c>
      <c r="S893" s="311">
        <f t="shared" si="602"/>
        <v>17.265000000000001</v>
      </c>
      <c r="T893" s="311">
        <f t="shared" si="602"/>
        <v>18.077000000000002</v>
      </c>
      <c r="U893" s="311">
        <f t="shared" si="602"/>
        <v>18.934000000000001</v>
      </c>
      <c r="V893" s="311">
        <f t="shared" ref="V893" si="603">V1202</f>
        <v>19.64265063482544</v>
      </c>
      <c r="W893" s="304"/>
      <c r="X893" s="315"/>
    </row>
    <row r="894" spans="1:26" outlineLevel="1">
      <c r="A894" s="312"/>
      <c r="B894" s="312"/>
      <c r="C894" s="312"/>
      <c r="D894" s="312" t="s">
        <v>892</v>
      </c>
      <c r="E894" s="312"/>
      <c r="F894" s="312"/>
      <c r="G894" s="312"/>
      <c r="H894" s="312"/>
      <c r="I894" s="312"/>
      <c r="J894" s="312"/>
      <c r="K894" s="312"/>
      <c r="L894" s="312"/>
      <c r="M894" s="316">
        <f>M893/L893-1</f>
        <v>0.12025198029065032</v>
      </c>
      <c r="N894" s="316">
        <f t="shared" ref="N894" si="604">N893/M893-1</f>
        <v>-4.04765881632424E-2</v>
      </c>
      <c r="O894" s="316">
        <f t="shared" ref="O894" si="605">O893/N893-1</f>
        <v>-6.7889056516189372E-3</v>
      </c>
      <c r="P894" s="316">
        <f t="shared" ref="P894" si="606">P893/O893-1</f>
        <v>-2.5588596132499974E-2</v>
      </c>
      <c r="Q894" s="316">
        <f t="shared" ref="Q894" si="607">Q893/P893-1</f>
        <v>-1.9965225732957559E-2</v>
      </c>
      <c r="R894" s="316">
        <f t="shared" ref="R894" si="608">R893/Q893-1</f>
        <v>1.2174232228068238E-2</v>
      </c>
      <c r="S894" s="316">
        <f t="shared" ref="S894" si="609">S893/R893-1</f>
        <v>4.3517679057116787E-2</v>
      </c>
      <c r="T894" s="316">
        <f t="shared" ref="T894" si="610">T893/S893-1</f>
        <v>4.7031566753547693E-2</v>
      </c>
      <c r="U894" s="316">
        <f t="shared" ref="U894:V894" si="611">U893/T893-1</f>
        <v>4.7408308900813045E-2</v>
      </c>
      <c r="V894" s="316">
        <f t="shared" si="611"/>
        <v>3.7427412845961738E-2</v>
      </c>
      <c r="W894" s="304">
        <f>CORREL(M893:P893,M$884:P$884)</f>
        <v>0.79716879474521429</v>
      </c>
      <c r="X894" s="317"/>
    </row>
    <row r="895" spans="1:26" ht="14.25" customHeight="1" outlineLevel="1">
      <c r="A895" s="310"/>
      <c r="B895" s="310"/>
      <c r="C895" s="310"/>
      <c r="D895" s="310" t="s">
        <v>940</v>
      </c>
      <c r="E895" s="310">
        <f>W896/W$899</f>
        <v>0.16495933940670918</v>
      </c>
      <c r="F895" s="310"/>
      <c r="G895" s="310"/>
      <c r="H895" s="310"/>
      <c r="I895" s="310"/>
      <c r="J895" s="310"/>
      <c r="K895" s="310"/>
      <c r="L895" s="329">
        <f>L1206</f>
        <v>1656.43</v>
      </c>
      <c r="M895" s="329">
        <f t="shared" ref="M895:U895" si="612">M1206</f>
        <v>1785.66</v>
      </c>
      <c r="N895" s="329">
        <f t="shared" si="612"/>
        <v>1582.38</v>
      </c>
      <c r="O895" s="329">
        <f t="shared" si="612"/>
        <v>1549.01</v>
      </c>
      <c r="P895" s="329">
        <f t="shared" si="612"/>
        <v>1535.31</v>
      </c>
      <c r="Q895" s="329">
        <f t="shared" si="612"/>
        <v>1546.62</v>
      </c>
      <c r="R895" s="329">
        <f t="shared" si="612"/>
        <v>1595.52</v>
      </c>
      <c r="S895" s="329">
        <f t="shared" si="612"/>
        <v>1693.52</v>
      </c>
      <c r="T895" s="329">
        <f t="shared" si="612"/>
        <v>1799.38</v>
      </c>
      <c r="U895" s="329">
        <f t="shared" si="612"/>
        <v>1906.48</v>
      </c>
      <c r="V895" s="329">
        <f t="shared" ref="V895" si="613">V1206</f>
        <v>2008.8356710899707</v>
      </c>
      <c r="W895" s="304"/>
      <c r="X895" s="315"/>
    </row>
    <row r="896" spans="1:26" outlineLevel="1">
      <c r="A896" s="312"/>
      <c r="B896" s="312"/>
      <c r="C896" s="312"/>
      <c r="D896" s="312" t="s">
        <v>892</v>
      </c>
      <c r="E896" s="312"/>
      <c r="F896" s="312"/>
      <c r="G896" s="312"/>
      <c r="H896" s="312"/>
      <c r="I896" s="312"/>
      <c r="J896" s="312"/>
      <c r="K896" s="312"/>
      <c r="L896" s="312"/>
      <c r="M896" s="316">
        <f t="shared" ref="M896" si="614">M895/L895-1</f>
        <v>7.8017181528950763E-2</v>
      </c>
      <c r="N896" s="316">
        <f t="shared" ref="N896" si="615">N895/M895-1</f>
        <v>-0.11384026074392661</v>
      </c>
      <c r="O896" s="316">
        <f t="shared" ref="O896" si="616">O895/N895-1</f>
        <v>-2.1088486962676511E-2</v>
      </c>
      <c r="P896" s="316">
        <f t="shared" ref="P896" si="617">P895/O895-1</f>
        <v>-8.8443586548828668E-3</v>
      </c>
      <c r="Q896" s="316">
        <f t="shared" ref="Q896" si="618">Q895/P895-1</f>
        <v>7.3665904605584309E-3</v>
      </c>
      <c r="R896" s="316">
        <f t="shared" ref="R896" si="619">R895/Q895-1</f>
        <v>3.1617333281607651E-2</v>
      </c>
      <c r="S896" s="316">
        <f t="shared" ref="S896" si="620">S895/R895-1</f>
        <v>6.1421981548335447E-2</v>
      </c>
      <c r="T896" s="316">
        <f t="shared" ref="T896" si="621">T895/S895-1</f>
        <v>6.2508857291322384E-2</v>
      </c>
      <c r="U896" s="316">
        <f t="shared" ref="U896:V896" si="622">U895/T895-1</f>
        <v>5.9520501506074242E-2</v>
      </c>
      <c r="V896" s="316">
        <f t="shared" si="622"/>
        <v>5.3688300475206008E-2</v>
      </c>
      <c r="W896" s="304">
        <f>CORREL(M896:P896,M$885:P$885)</f>
        <v>0.67471628464695343</v>
      </c>
      <c r="X896" s="317"/>
    </row>
    <row r="897" spans="1:26" ht="16.5" customHeight="1" outlineLevel="1">
      <c r="A897" s="310"/>
      <c r="B897" s="310"/>
      <c r="C897" s="310"/>
      <c r="D897" s="310" t="s">
        <v>941</v>
      </c>
      <c r="E897" s="310">
        <f>W898/W$899</f>
        <v>0.17199469366570175</v>
      </c>
      <c r="F897" s="310"/>
      <c r="G897" s="310"/>
      <c r="H897" s="310"/>
      <c r="I897" s="310"/>
      <c r="J897" s="310"/>
      <c r="K897" s="310"/>
      <c r="L897" s="311">
        <f>L1204</f>
        <v>158.36699999999999</v>
      </c>
      <c r="M897" s="311">
        <f t="shared" ref="M897:U897" si="623">M1204</f>
        <v>192.11099999999999</v>
      </c>
      <c r="N897" s="311">
        <f t="shared" si="623"/>
        <v>152.917</v>
      </c>
      <c r="O897" s="311">
        <f t="shared" si="623"/>
        <v>143.53800000000001</v>
      </c>
      <c r="P897" s="311">
        <f t="shared" si="623"/>
        <v>145.78100000000001</v>
      </c>
      <c r="Q897" s="311">
        <f t="shared" si="623"/>
        <v>150.74600000000001</v>
      </c>
      <c r="R897" s="311">
        <f t="shared" si="623"/>
        <v>158.99199999999999</v>
      </c>
      <c r="S897" s="311">
        <f t="shared" si="623"/>
        <v>170.608</v>
      </c>
      <c r="T897" s="311">
        <f t="shared" si="623"/>
        <v>184.04900000000001</v>
      </c>
      <c r="U897" s="311">
        <f t="shared" si="623"/>
        <v>197.54300000000001</v>
      </c>
      <c r="V897" s="311">
        <f t="shared" ref="V897" si="624">V1204</f>
        <v>211.35649919176623</v>
      </c>
      <c r="W897" s="304"/>
      <c r="X897" s="315"/>
    </row>
    <row r="898" spans="1:26" outlineLevel="1">
      <c r="A898" s="312"/>
      <c r="B898" s="312"/>
      <c r="C898" s="312"/>
      <c r="D898" s="312" t="s">
        <v>892</v>
      </c>
      <c r="E898" s="312"/>
      <c r="F898" s="312"/>
      <c r="G898" s="312"/>
      <c r="H898" s="312"/>
      <c r="I898" s="312"/>
      <c r="J898" s="312"/>
      <c r="K898" s="312"/>
      <c r="L898" s="312"/>
      <c r="M898" s="316">
        <f t="shared" ref="M898" si="625">M897/L897-1</f>
        <v>0.21307469359146802</v>
      </c>
      <c r="N898" s="316">
        <f t="shared" ref="N898" si="626">N897/M897-1</f>
        <v>-0.20401746906736207</v>
      </c>
      <c r="O898" s="316">
        <f t="shared" ref="O898" si="627">O897/N897-1</f>
        <v>-6.1333926247572168E-2</v>
      </c>
      <c r="P898" s="316">
        <f t="shared" ref="P898" si="628">P897/O897-1</f>
        <v>1.5626523986679519E-2</v>
      </c>
      <c r="Q898" s="316">
        <f t="shared" ref="Q898" si="629">Q897/P897-1</f>
        <v>3.4057936219397567E-2</v>
      </c>
      <c r="R898" s="316">
        <f t="shared" ref="R898" si="630">R897/Q897-1</f>
        <v>5.4701285606251426E-2</v>
      </c>
      <c r="S898" s="316">
        <f t="shared" ref="S898" si="631">S897/R897-1</f>
        <v>7.3060279762503955E-2</v>
      </c>
      <c r="T898" s="316">
        <f t="shared" ref="T898" si="632">T897/S897-1</f>
        <v>7.8782941010972607E-2</v>
      </c>
      <c r="U898" s="316">
        <f t="shared" ref="U898:V898" si="633">U897/T897-1</f>
        <v>7.331743177088712E-2</v>
      </c>
      <c r="V898" s="316">
        <f t="shared" si="633"/>
        <v>6.9926543546297459E-2</v>
      </c>
      <c r="W898" s="304">
        <f>CORREL(M897:P897,M$884:P$884)</f>
        <v>0.70349227334741204</v>
      </c>
      <c r="X898" s="317"/>
    </row>
    <row r="899" spans="1:26" outlineLevel="1">
      <c r="A899" s="116"/>
      <c r="B899" s="318"/>
      <c r="C899" s="310"/>
      <c r="D899" s="319" t="s">
        <v>919</v>
      </c>
      <c r="E899" s="319">
        <f>E887+E889+E891+E893+E895+E897</f>
        <v>0.99999999999999989</v>
      </c>
      <c r="F899" s="310"/>
      <c r="G899" s="310"/>
      <c r="H899" s="310"/>
      <c r="I899" s="310"/>
      <c r="J899" s="310"/>
      <c r="K899" s="310"/>
      <c r="L899" s="310"/>
      <c r="M899" s="310"/>
      <c r="N899" s="310"/>
      <c r="O899" s="310"/>
      <c r="P899" s="310"/>
      <c r="Q899" s="310"/>
      <c r="R899" s="310"/>
      <c r="S899" s="310"/>
      <c r="T899" s="310"/>
      <c r="U899" s="310"/>
      <c r="V899" s="310"/>
      <c r="W899" s="320">
        <f>SUM(W888:W898)</f>
        <v>4.0901975424588271</v>
      </c>
      <c r="X899" s="315"/>
    </row>
    <row r="900" spans="1:26">
      <c r="A900" s="46" t="str">
        <f>'Secondary cum Calculation'!A814</f>
        <v>Poland</v>
      </c>
      <c r="B900" s="47" t="str">
        <f>'Secondary cum Calculation'!B814</f>
        <v>Tourism Flows</v>
      </c>
      <c r="C900" s="47" t="str">
        <f>'Secondary cum Calculation'!C814</f>
        <v>International Departures by Destination</v>
      </c>
      <c r="D900" s="47" t="str">
        <f>'Secondary cum Calculation'!D814</f>
        <v>Europe</v>
      </c>
      <c r="E900" s="46" t="str">
        <f>'Secondary cum Calculation'!E814</f>
        <v>Albania</v>
      </c>
      <c r="F900" s="48" t="str">
        <f>'Secondary cum Calculation'!F814</f>
        <v>The number of international departures from a country to Albania</v>
      </c>
      <c r="G900" s="48" t="str">
        <f>'Secondary cum Calculation'!G814</f>
        <v>Tourism Demand &amp; Flows Database</v>
      </c>
      <c r="H900" s="48" t="str">
        <f>'Secondary cum Calculation'!H814</f>
        <v>New</v>
      </c>
      <c r="I900" s="48">
        <f>'Secondary cum Calculation'!I814</f>
        <v>0</v>
      </c>
      <c r="J900" s="48" t="str">
        <f>'Secondary cum Calculation'!J814</f>
        <v>Thousand</v>
      </c>
      <c r="K900" s="49">
        <f>'Secondary cum Calculation'!K814</f>
        <v>0</v>
      </c>
      <c r="L900" s="92">
        <f>'Secondary cum Calculation'!L814</f>
        <v>0</v>
      </c>
      <c r="M900" s="92">
        <f>'Secondary cum Calculation'!M814</f>
        <v>0</v>
      </c>
      <c r="N900" s="92">
        <f>'Secondary cum Calculation'!N814</f>
        <v>0</v>
      </c>
      <c r="O900" s="53">
        <f>'Secondary cum Calculation'!O814</f>
        <v>0</v>
      </c>
      <c r="P900" s="53">
        <f>'Secondary cum Calculation'!P814</f>
        <v>0</v>
      </c>
      <c r="Q900" s="53"/>
      <c r="R900" s="53"/>
      <c r="S900" s="53"/>
      <c r="T900" s="53"/>
      <c r="U900" s="53"/>
      <c r="V900" s="53"/>
      <c r="W900" s="102" t="e">
        <f>'Secondary cum Calculation'!W814</f>
        <v>#DIV/0!</v>
      </c>
      <c r="X900" s="102" t="e">
        <f>'Secondary cum Calculation'!X814</f>
        <v>#DIV/0!</v>
      </c>
      <c r="Z900" s="11"/>
    </row>
    <row r="901" spans="1:26">
      <c r="A901" s="48"/>
      <c r="B901" s="48"/>
      <c r="C901" s="52" t="str">
        <f>'Secondary cum Calculation'!C815</f>
        <v>Growth Rate</v>
      </c>
      <c r="D901" s="52"/>
      <c r="E901" s="52"/>
      <c r="F901" s="52">
        <f>'Secondary cum Calculation'!F815</f>
        <v>0</v>
      </c>
      <c r="G901" s="52">
        <f>'Secondary cum Calculation'!G815</f>
        <v>0</v>
      </c>
      <c r="H901" s="52">
        <f>'Secondary cum Calculation'!H815</f>
        <v>0</v>
      </c>
      <c r="I901" s="52">
        <f>'Secondary cum Calculation'!I815</f>
        <v>0</v>
      </c>
      <c r="J901" s="52" t="str">
        <f>'Secondary cum Calculation'!J815</f>
        <v>%</v>
      </c>
      <c r="K901" s="49">
        <f>'Secondary cum Calculation'!K815</f>
        <v>0</v>
      </c>
      <c r="L901" s="53"/>
      <c r="M901" s="54" t="e">
        <f>'Secondary cum Calculation'!M815</f>
        <v>#DIV/0!</v>
      </c>
      <c r="N901" s="54" t="e">
        <f>'Secondary cum Calculation'!N815</f>
        <v>#DIV/0!</v>
      </c>
      <c r="O901" s="54" t="e">
        <f>'Secondary cum Calculation'!O815</f>
        <v>#DIV/0!</v>
      </c>
      <c r="P901" s="54" t="e">
        <f>'Secondary cum Calculation'!P815</f>
        <v>#DIV/0!</v>
      </c>
      <c r="Q901" s="54"/>
      <c r="R901" s="54"/>
      <c r="S901" s="54"/>
      <c r="T901" s="54"/>
      <c r="U901" s="54"/>
      <c r="V901" s="54"/>
      <c r="W901" s="258"/>
      <c r="X901" s="258"/>
    </row>
    <row r="902" spans="1:26">
      <c r="A902" s="46" t="str">
        <f>'Secondary cum Calculation'!A816</f>
        <v>Poland</v>
      </c>
      <c r="B902" s="47" t="str">
        <f>'Secondary cum Calculation'!B816</f>
        <v>Tourism Flows</v>
      </c>
      <c r="C902" s="47" t="str">
        <f>'Secondary cum Calculation'!C816</f>
        <v>International Departures by Destination</v>
      </c>
      <c r="D902" s="47" t="str">
        <f>'Secondary cum Calculation'!D816</f>
        <v>Europe</v>
      </c>
      <c r="E902" s="46" t="str">
        <f>'Secondary cum Calculation'!E816</f>
        <v>Armenia</v>
      </c>
      <c r="F902" s="48" t="str">
        <f>'Secondary cum Calculation'!F816</f>
        <v>The number of international departures from a country to Armenia</v>
      </c>
      <c r="G902" s="48" t="str">
        <f>'Secondary cum Calculation'!G816</f>
        <v>Tourism Demand &amp; Flows Database</v>
      </c>
      <c r="H902" s="48" t="str">
        <f>'Secondary cum Calculation'!H816</f>
        <v>New</v>
      </c>
      <c r="I902" s="48">
        <f>'Secondary cum Calculation'!I816</f>
        <v>0</v>
      </c>
      <c r="J902" s="48" t="str">
        <f>'Secondary cum Calculation'!J816</f>
        <v>Thousand</v>
      </c>
      <c r="K902" s="49">
        <f>'Secondary cum Calculation'!K816</f>
        <v>0</v>
      </c>
      <c r="L902" s="92">
        <f>'Secondary cum Calculation'!L816</f>
        <v>0</v>
      </c>
      <c r="M902" s="92">
        <f>'Secondary cum Calculation'!M816</f>
        <v>0</v>
      </c>
      <c r="N902" s="92">
        <f>'Secondary cum Calculation'!N816</f>
        <v>0</v>
      </c>
      <c r="O902" s="89">
        <f>'Secondary cum Calculation'!O816</f>
        <v>0</v>
      </c>
      <c r="P902" s="89">
        <f>'Secondary cum Calculation'!P816</f>
        <v>0</v>
      </c>
      <c r="Q902" s="89"/>
      <c r="R902" s="89"/>
      <c r="S902" s="89"/>
      <c r="T902" s="89"/>
      <c r="U902" s="89"/>
      <c r="V902" s="89"/>
      <c r="W902" s="102" t="e">
        <f>'Secondary cum Calculation'!W816</f>
        <v>#DIV/0!</v>
      </c>
      <c r="X902" s="102" t="e">
        <f>'Secondary cum Calculation'!X816</f>
        <v>#DIV/0!</v>
      </c>
      <c r="Z902" s="11"/>
    </row>
    <row r="903" spans="1:26">
      <c r="A903" s="48"/>
      <c r="B903" s="48"/>
      <c r="C903" s="52" t="str">
        <f>'Secondary cum Calculation'!C817</f>
        <v>Growth Rate</v>
      </c>
      <c r="D903" s="52"/>
      <c r="E903" s="52"/>
      <c r="F903" s="52">
        <f>'Secondary cum Calculation'!F817</f>
        <v>0</v>
      </c>
      <c r="G903" s="52">
        <f>'Secondary cum Calculation'!G817</f>
        <v>0</v>
      </c>
      <c r="H903" s="52">
        <f>'Secondary cum Calculation'!H817</f>
        <v>0</v>
      </c>
      <c r="I903" s="52">
        <f>'Secondary cum Calculation'!I817</f>
        <v>0</v>
      </c>
      <c r="J903" s="52" t="str">
        <f>'Secondary cum Calculation'!J817</f>
        <v>%</v>
      </c>
      <c r="K903" s="49">
        <f>'Secondary cum Calculation'!K817</f>
        <v>0</v>
      </c>
      <c r="L903" s="53"/>
      <c r="M903" s="54" t="e">
        <f>'Secondary cum Calculation'!M817</f>
        <v>#DIV/0!</v>
      </c>
      <c r="N903" s="54" t="e">
        <f>'Secondary cum Calculation'!N817</f>
        <v>#DIV/0!</v>
      </c>
      <c r="O903" s="54" t="e">
        <f>'Secondary cum Calculation'!O817</f>
        <v>#DIV/0!</v>
      </c>
      <c r="P903" s="54" t="e">
        <f>'Secondary cum Calculation'!P817</f>
        <v>#DIV/0!</v>
      </c>
      <c r="Q903" s="54"/>
      <c r="R903" s="54"/>
      <c r="S903" s="54"/>
      <c r="T903" s="54"/>
      <c r="U903" s="54"/>
      <c r="V903" s="54"/>
      <c r="W903" s="258"/>
      <c r="X903" s="258"/>
    </row>
    <row r="904" spans="1:26">
      <c r="A904" s="46" t="str">
        <f>'Secondary cum Calculation'!A818</f>
        <v>Poland</v>
      </c>
      <c r="B904" s="47" t="str">
        <f>'Secondary cum Calculation'!B818</f>
        <v>Tourism Flows</v>
      </c>
      <c r="C904" s="47" t="str">
        <f>'Secondary cum Calculation'!C818</f>
        <v>International Departures by Destination</v>
      </c>
      <c r="D904" s="47" t="str">
        <f>'Secondary cum Calculation'!D818</f>
        <v>Europe</v>
      </c>
      <c r="E904" s="46" t="str">
        <f>'Secondary cum Calculation'!E818</f>
        <v>Austria</v>
      </c>
      <c r="F904" s="48" t="str">
        <f>'Secondary cum Calculation'!F818</f>
        <v>The number of international departures from a country to Austria</v>
      </c>
      <c r="G904" s="48" t="str">
        <f>'Secondary cum Calculation'!G818</f>
        <v>Tourism Demand &amp; Flows Database</v>
      </c>
      <c r="H904" s="48" t="str">
        <f>'Secondary cum Calculation'!H818</f>
        <v>New</v>
      </c>
      <c r="I904" s="48">
        <f>'Secondary cum Calculation'!I818</f>
        <v>0</v>
      </c>
      <c r="J904" s="48" t="str">
        <f>'Secondary cum Calculation'!J818</f>
        <v>Thousand</v>
      </c>
      <c r="K904" s="49">
        <f>'Secondary cum Calculation'!K818</f>
        <v>0</v>
      </c>
      <c r="L904" s="53">
        <f>'Secondary cum Calculation'!L818</f>
        <v>265</v>
      </c>
      <c r="M904" s="53">
        <f>'Secondary cum Calculation'!M818</f>
        <v>250</v>
      </c>
      <c r="N904" s="53">
        <f>'Secondary cum Calculation'!N818</f>
        <v>329</v>
      </c>
      <c r="O904" s="53">
        <f>'Secondary cum Calculation'!O818</f>
        <v>180</v>
      </c>
      <c r="P904" s="53">
        <f>'Secondary cum Calculation'!P818</f>
        <v>146</v>
      </c>
      <c r="Q904" s="53"/>
      <c r="R904" s="53"/>
      <c r="S904" s="53"/>
      <c r="T904" s="53"/>
      <c r="U904" s="53"/>
      <c r="V904" s="53"/>
      <c r="W904" s="102">
        <f>'Secondary cum Calculation'!W818</f>
        <v>-0.15757563833286015</v>
      </c>
      <c r="X904" s="102">
        <f>'Secondary cum Calculation'!X818</f>
        <v>-1</v>
      </c>
      <c r="Z904" s="11"/>
    </row>
    <row r="905" spans="1:26">
      <c r="A905" s="48"/>
      <c r="B905" s="48"/>
      <c r="C905" s="52" t="str">
        <f>'Secondary cum Calculation'!C819</f>
        <v>Growth Rate</v>
      </c>
      <c r="D905" s="52"/>
      <c r="E905" s="52"/>
      <c r="F905" s="52">
        <f>'Secondary cum Calculation'!F819</f>
        <v>0</v>
      </c>
      <c r="G905" s="52">
        <f>'Secondary cum Calculation'!G819</f>
        <v>0</v>
      </c>
      <c r="H905" s="52">
        <f>'Secondary cum Calculation'!H819</f>
        <v>0</v>
      </c>
      <c r="I905" s="52">
        <f>'Secondary cum Calculation'!I819</f>
        <v>0</v>
      </c>
      <c r="J905" s="52" t="str">
        <f>'Secondary cum Calculation'!J819</f>
        <v>%</v>
      </c>
      <c r="K905" s="49">
        <f>'Secondary cum Calculation'!K819</f>
        <v>0</v>
      </c>
      <c r="L905" s="53"/>
      <c r="M905" s="54">
        <f>'Secondary cum Calculation'!M819</f>
        <v>-5.6603773584905648E-2</v>
      </c>
      <c r="N905" s="54">
        <f>'Secondary cum Calculation'!N819</f>
        <v>0.31600000000000006</v>
      </c>
      <c r="O905" s="54">
        <f>'Secondary cum Calculation'!O819</f>
        <v>-0.45288753799392101</v>
      </c>
      <c r="P905" s="54">
        <f>'Secondary cum Calculation'!P819</f>
        <v>-0.18888888888888888</v>
      </c>
      <c r="Q905" s="54"/>
      <c r="R905" s="54"/>
      <c r="S905" s="54"/>
      <c r="T905" s="54"/>
      <c r="U905" s="54"/>
      <c r="V905" s="54"/>
      <c r="W905" s="258"/>
      <c r="X905" s="258"/>
    </row>
    <row r="906" spans="1:26">
      <c r="A906" s="46" t="str">
        <f>'Secondary cum Calculation'!A820</f>
        <v>Poland</v>
      </c>
      <c r="B906" s="47" t="str">
        <f>'Secondary cum Calculation'!B820</f>
        <v>Tourism Flows</v>
      </c>
      <c r="C906" s="47" t="str">
        <f>'Secondary cum Calculation'!C820</f>
        <v>International Departures by Destination</v>
      </c>
      <c r="D906" s="47" t="str">
        <f>'Secondary cum Calculation'!D820</f>
        <v>Europe</v>
      </c>
      <c r="E906" s="46" t="str">
        <f>'Secondary cum Calculation'!E820</f>
        <v>Belarus</v>
      </c>
      <c r="F906" s="48" t="str">
        <f>'Secondary cum Calculation'!F820</f>
        <v>The number of international departures from a country to Belarus</v>
      </c>
      <c r="G906" s="48" t="str">
        <f>'Secondary cum Calculation'!G820</f>
        <v>Tourism Demand &amp; Flows Database</v>
      </c>
      <c r="H906" s="48" t="str">
        <f>'Secondary cum Calculation'!H820</f>
        <v>New</v>
      </c>
      <c r="I906" s="48">
        <f>'Secondary cum Calculation'!I820</f>
        <v>0</v>
      </c>
      <c r="J906" s="48" t="str">
        <f>'Secondary cum Calculation'!J820</f>
        <v>Thousand</v>
      </c>
      <c r="K906" s="49">
        <f>'Secondary cum Calculation'!K820</f>
        <v>0</v>
      </c>
      <c r="L906" s="92">
        <f>'Secondary cum Calculation'!L820</f>
        <v>0</v>
      </c>
      <c r="M906" s="92">
        <f>'Secondary cum Calculation'!M820</f>
        <v>0</v>
      </c>
      <c r="N906" s="92">
        <f>'Secondary cum Calculation'!N820</f>
        <v>0</v>
      </c>
      <c r="O906" s="53">
        <f>'Secondary cum Calculation'!O820</f>
        <v>0</v>
      </c>
      <c r="P906" s="53">
        <f>'Secondary cum Calculation'!P820</f>
        <v>0</v>
      </c>
      <c r="Q906" s="53"/>
      <c r="R906" s="53"/>
      <c r="S906" s="53"/>
      <c r="T906" s="53"/>
      <c r="U906" s="53"/>
      <c r="V906" s="53"/>
      <c r="W906" s="102" t="e">
        <f>'Secondary cum Calculation'!W820</f>
        <v>#DIV/0!</v>
      </c>
      <c r="X906" s="102" t="e">
        <f>'Secondary cum Calculation'!X820</f>
        <v>#DIV/0!</v>
      </c>
      <c r="Z906" s="11"/>
    </row>
    <row r="907" spans="1:26">
      <c r="A907" s="48"/>
      <c r="B907" s="48"/>
      <c r="C907" s="52" t="str">
        <f>'Secondary cum Calculation'!C821</f>
        <v>Growth Rate</v>
      </c>
      <c r="D907" s="52"/>
      <c r="E907" s="52"/>
      <c r="F907" s="52">
        <f>'Secondary cum Calculation'!F821</f>
        <v>0</v>
      </c>
      <c r="G907" s="52">
        <f>'Secondary cum Calculation'!G821</f>
        <v>0</v>
      </c>
      <c r="H907" s="52">
        <f>'Secondary cum Calculation'!H821</f>
        <v>0</v>
      </c>
      <c r="I907" s="52">
        <f>'Secondary cum Calculation'!I821</f>
        <v>0</v>
      </c>
      <c r="J907" s="52" t="str">
        <f>'Secondary cum Calculation'!J821</f>
        <v>%</v>
      </c>
      <c r="K907" s="49">
        <f>'Secondary cum Calculation'!K821</f>
        <v>0</v>
      </c>
      <c r="L907" s="53"/>
      <c r="M907" s="54" t="e">
        <f>'Secondary cum Calculation'!M821</f>
        <v>#DIV/0!</v>
      </c>
      <c r="N907" s="54" t="e">
        <f>'Secondary cum Calculation'!N821</f>
        <v>#DIV/0!</v>
      </c>
      <c r="O907" s="54" t="e">
        <f>'Secondary cum Calculation'!O821</f>
        <v>#DIV/0!</v>
      </c>
      <c r="P907" s="54" t="e">
        <f>'Secondary cum Calculation'!P821</f>
        <v>#DIV/0!</v>
      </c>
      <c r="Q907" s="54"/>
      <c r="R907" s="54"/>
      <c r="S907" s="54"/>
      <c r="T907" s="54"/>
      <c r="U907" s="54"/>
      <c r="V907" s="54"/>
      <c r="W907" s="258"/>
      <c r="X907" s="258"/>
    </row>
    <row r="908" spans="1:26">
      <c r="A908" s="46" t="str">
        <f>'Secondary cum Calculation'!A822</f>
        <v>Poland</v>
      </c>
      <c r="B908" s="47" t="str">
        <f>'Secondary cum Calculation'!B822</f>
        <v>Tourism Flows</v>
      </c>
      <c r="C908" s="47" t="str">
        <f>'Secondary cum Calculation'!C822</f>
        <v>International Departures by Destination</v>
      </c>
      <c r="D908" s="47" t="str">
        <f>'Secondary cum Calculation'!D822</f>
        <v>Europe</v>
      </c>
      <c r="E908" s="46" t="str">
        <f>'Secondary cum Calculation'!E822</f>
        <v>Belgium</v>
      </c>
      <c r="F908" s="48" t="str">
        <f>'Secondary cum Calculation'!F822</f>
        <v>The number of international departures from a country to Belgium</v>
      </c>
      <c r="G908" s="48" t="str">
        <f>'Secondary cum Calculation'!G822</f>
        <v>Tourism Demand &amp; Flows Database</v>
      </c>
      <c r="H908" s="48" t="str">
        <f>'Secondary cum Calculation'!H822</f>
        <v>New</v>
      </c>
      <c r="I908" s="48">
        <f>'Secondary cum Calculation'!I822</f>
        <v>0</v>
      </c>
      <c r="J908" s="48" t="str">
        <f>'Secondary cum Calculation'!J822</f>
        <v>Thousand</v>
      </c>
      <c r="K908" s="49">
        <f>'Secondary cum Calculation'!K822</f>
        <v>0</v>
      </c>
      <c r="L908" s="92">
        <f>'Secondary cum Calculation'!L822</f>
        <v>250</v>
      </c>
      <c r="M908" s="92">
        <f>'Secondary cum Calculation'!M822</f>
        <v>113</v>
      </c>
      <c r="N908" s="92">
        <f>'Secondary cum Calculation'!N822</f>
        <v>274</v>
      </c>
      <c r="O908" s="53">
        <f>'Secondary cum Calculation'!O822</f>
        <v>91</v>
      </c>
      <c r="P908" s="53">
        <f>'Secondary cum Calculation'!P822</f>
        <v>86</v>
      </c>
      <c r="Q908" s="53"/>
      <c r="R908" s="53"/>
      <c r="S908" s="53"/>
      <c r="T908" s="53"/>
      <c r="U908" s="53"/>
      <c r="V908" s="53"/>
      <c r="W908" s="102">
        <f>'Secondary cum Calculation'!W822</f>
        <v>-5.8168206819388502E-2</v>
      </c>
      <c r="X908" s="102">
        <f>'Secondary cum Calculation'!X822</f>
        <v>-1</v>
      </c>
      <c r="Z908" s="11"/>
    </row>
    <row r="909" spans="1:26">
      <c r="A909" s="48"/>
      <c r="B909" s="48"/>
      <c r="C909" s="52" t="str">
        <f>'Secondary cum Calculation'!C823</f>
        <v>Growth Rate</v>
      </c>
      <c r="D909" s="52"/>
      <c r="E909" s="52"/>
      <c r="F909" s="52">
        <f>'Secondary cum Calculation'!F823</f>
        <v>0</v>
      </c>
      <c r="G909" s="52">
        <f>'Secondary cum Calculation'!G823</f>
        <v>0</v>
      </c>
      <c r="H909" s="52">
        <f>'Secondary cum Calculation'!H823</f>
        <v>0</v>
      </c>
      <c r="I909" s="52">
        <f>'Secondary cum Calculation'!I823</f>
        <v>0</v>
      </c>
      <c r="J909" s="52" t="str">
        <f>'Secondary cum Calculation'!J823</f>
        <v>%</v>
      </c>
      <c r="K909" s="49">
        <f>'Secondary cum Calculation'!K823</f>
        <v>0</v>
      </c>
      <c r="L909" s="53"/>
      <c r="M909" s="54">
        <f>'Secondary cum Calculation'!M823</f>
        <v>-0.54800000000000004</v>
      </c>
      <c r="N909" s="54">
        <f>'Secondary cum Calculation'!N823</f>
        <v>1.4247787610619471</v>
      </c>
      <c r="O909" s="54">
        <f>'Secondary cum Calculation'!O823</f>
        <v>-0.66788321167883213</v>
      </c>
      <c r="P909" s="54">
        <f>'Secondary cum Calculation'!P823</f>
        <v>-5.4945054945054972E-2</v>
      </c>
      <c r="Q909" s="54"/>
      <c r="R909" s="54"/>
      <c r="S909" s="54"/>
      <c r="T909" s="54"/>
      <c r="U909" s="54"/>
      <c r="V909" s="54"/>
      <c r="W909" s="258"/>
      <c r="X909" s="258"/>
    </row>
    <row r="910" spans="1:26">
      <c r="A910" s="46" t="str">
        <f>'Secondary cum Calculation'!A824</f>
        <v>Poland</v>
      </c>
      <c r="B910" s="47" t="str">
        <f>'Secondary cum Calculation'!B824</f>
        <v>Tourism Flows</v>
      </c>
      <c r="C910" s="47" t="str">
        <f>'Secondary cum Calculation'!C824</f>
        <v>International Departures by Destination</v>
      </c>
      <c r="D910" s="47" t="str">
        <f>'Secondary cum Calculation'!D824</f>
        <v>Europe</v>
      </c>
      <c r="E910" s="46" t="str">
        <f>'Secondary cum Calculation'!E824</f>
        <v>Bosnia and Herzegovina</v>
      </c>
      <c r="F910" s="48" t="str">
        <f>'Secondary cum Calculation'!F824</f>
        <v>The number of international departures from a country to Bosnia and Herzegovina</v>
      </c>
      <c r="G910" s="48" t="str">
        <f>'Secondary cum Calculation'!G824</f>
        <v>Tourism Demand &amp; Flows Database</v>
      </c>
      <c r="H910" s="48" t="str">
        <f>'Secondary cum Calculation'!H824</f>
        <v>New</v>
      </c>
      <c r="I910" s="48">
        <f>'Secondary cum Calculation'!I824</f>
        <v>0</v>
      </c>
      <c r="J910" s="48" t="str">
        <f>'Secondary cum Calculation'!J824</f>
        <v>Thousand</v>
      </c>
      <c r="K910" s="49">
        <f>'Secondary cum Calculation'!K824</f>
        <v>0</v>
      </c>
      <c r="L910" s="92">
        <f>'Secondary cum Calculation'!L824</f>
        <v>0</v>
      </c>
      <c r="M910" s="92">
        <f>'Secondary cum Calculation'!M824</f>
        <v>0</v>
      </c>
      <c r="N910" s="92">
        <f>'Secondary cum Calculation'!N824</f>
        <v>0</v>
      </c>
      <c r="O910" s="53">
        <f>'Secondary cum Calculation'!O824</f>
        <v>0</v>
      </c>
      <c r="P910" s="53">
        <f>'Secondary cum Calculation'!P824</f>
        <v>0</v>
      </c>
      <c r="Q910" s="53"/>
      <c r="R910" s="53"/>
      <c r="S910" s="53"/>
      <c r="T910" s="53"/>
      <c r="U910" s="53"/>
      <c r="V910" s="53"/>
      <c r="W910" s="102" t="e">
        <f>'Secondary cum Calculation'!W824</f>
        <v>#DIV/0!</v>
      </c>
      <c r="X910" s="102" t="e">
        <f>'Secondary cum Calculation'!X824</f>
        <v>#DIV/0!</v>
      </c>
      <c r="Z910" s="11"/>
    </row>
    <row r="911" spans="1:26">
      <c r="A911" s="48"/>
      <c r="B911" s="48"/>
      <c r="C911" s="52" t="str">
        <f>'Secondary cum Calculation'!C825</f>
        <v>Growth Rate</v>
      </c>
      <c r="D911" s="52"/>
      <c r="E911" s="52"/>
      <c r="F911" s="52">
        <f>'Secondary cum Calculation'!F825</f>
        <v>0</v>
      </c>
      <c r="G911" s="52">
        <f>'Secondary cum Calculation'!G825</f>
        <v>0</v>
      </c>
      <c r="H911" s="52">
        <f>'Secondary cum Calculation'!H825</f>
        <v>0</v>
      </c>
      <c r="I911" s="52">
        <f>'Secondary cum Calculation'!I825</f>
        <v>0</v>
      </c>
      <c r="J911" s="52" t="str">
        <f>'Secondary cum Calculation'!J825</f>
        <v>%</v>
      </c>
      <c r="K911" s="49">
        <f>'Secondary cum Calculation'!K825</f>
        <v>0</v>
      </c>
      <c r="L911" s="53"/>
      <c r="M911" s="54" t="e">
        <f>'Secondary cum Calculation'!M825</f>
        <v>#DIV/0!</v>
      </c>
      <c r="N911" s="54" t="e">
        <f>'Secondary cum Calculation'!N825</f>
        <v>#DIV/0!</v>
      </c>
      <c r="O911" s="54" t="e">
        <f>'Secondary cum Calculation'!O825</f>
        <v>#DIV/0!</v>
      </c>
      <c r="P911" s="54" t="e">
        <f>'Secondary cum Calculation'!P825</f>
        <v>#DIV/0!</v>
      </c>
      <c r="Q911" s="54"/>
      <c r="R911" s="54"/>
      <c r="S911" s="54"/>
      <c r="T911" s="54"/>
      <c r="U911" s="54"/>
      <c r="V911" s="54"/>
      <c r="W911" s="258"/>
      <c r="X911" s="258"/>
    </row>
    <row r="912" spans="1:26">
      <c r="A912" s="46" t="str">
        <f>'Secondary cum Calculation'!A826</f>
        <v>Poland</v>
      </c>
      <c r="B912" s="47" t="str">
        <f>'Secondary cum Calculation'!B826</f>
        <v>Tourism Flows</v>
      </c>
      <c r="C912" s="47" t="str">
        <f>'Secondary cum Calculation'!C826</f>
        <v>International Departures by Destination</v>
      </c>
      <c r="D912" s="47" t="str">
        <f>'Secondary cum Calculation'!D826</f>
        <v>Europe</v>
      </c>
      <c r="E912" s="46" t="str">
        <f>'Secondary cum Calculation'!E826</f>
        <v>Bulgaria</v>
      </c>
      <c r="F912" s="48" t="str">
        <f>'Secondary cum Calculation'!F826</f>
        <v>The number of international departures from a country to Bulgaria</v>
      </c>
      <c r="G912" s="48" t="str">
        <f>'Secondary cum Calculation'!G826</f>
        <v>Tourism Demand &amp; Flows Database</v>
      </c>
      <c r="H912" s="48" t="str">
        <f>'Secondary cum Calculation'!H826</f>
        <v>New</v>
      </c>
      <c r="I912" s="48">
        <f>'Secondary cum Calculation'!I826</f>
        <v>0</v>
      </c>
      <c r="J912" s="48" t="str">
        <f>'Secondary cum Calculation'!J826</f>
        <v>Thousand</v>
      </c>
      <c r="K912" s="49">
        <f>'Secondary cum Calculation'!K826</f>
        <v>0</v>
      </c>
      <c r="L912" s="92">
        <f>'Secondary cum Calculation'!L826</f>
        <v>0</v>
      </c>
      <c r="M912" s="92">
        <f>'Secondary cum Calculation'!M826</f>
        <v>0</v>
      </c>
      <c r="N912" s="92">
        <f>'Secondary cum Calculation'!N826</f>
        <v>0</v>
      </c>
      <c r="O912" s="53">
        <f>'Secondary cum Calculation'!O826</f>
        <v>0</v>
      </c>
      <c r="P912" s="53">
        <f>'Secondary cum Calculation'!P826</f>
        <v>0</v>
      </c>
      <c r="Q912" s="53"/>
      <c r="R912" s="53"/>
      <c r="S912" s="53"/>
      <c r="T912" s="53"/>
      <c r="U912" s="53"/>
      <c r="V912" s="53"/>
      <c r="W912" s="102" t="e">
        <f>'Secondary cum Calculation'!W826</f>
        <v>#DIV/0!</v>
      </c>
      <c r="X912" s="102" t="e">
        <f>'Secondary cum Calculation'!X826</f>
        <v>#DIV/0!</v>
      </c>
      <c r="Z912" s="11"/>
    </row>
    <row r="913" spans="1:26">
      <c r="A913" s="48"/>
      <c r="B913" s="48"/>
      <c r="C913" s="52" t="str">
        <f>'Secondary cum Calculation'!C827</f>
        <v>Growth Rate</v>
      </c>
      <c r="D913" s="52"/>
      <c r="E913" s="52"/>
      <c r="F913" s="52">
        <f>'Secondary cum Calculation'!F827</f>
        <v>0</v>
      </c>
      <c r="G913" s="52">
        <f>'Secondary cum Calculation'!G827</f>
        <v>0</v>
      </c>
      <c r="H913" s="52">
        <f>'Secondary cum Calculation'!H827</f>
        <v>0</v>
      </c>
      <c r="I913" s="52">
        <f>'Secondary cum Calculation'!I827</f>
        <v>0</v>
      </c>
      <c r="J913" s="52" t="str">
        <f>'Secondary cum Calculation'!J827</f>
        <v>%</v>
      </c>
      <c r="K913" s="49">
        <f>'Secondary cum Calculation'!K827</f>
        <v>0</v>
      </c>
      <c r="L913" s="53"/>
      <c r="M913" s="54" t="e">
        <f>'Secondary cum Calculation'!M827</f>
        <v>#DIV/0!</v>
      </c>
      <c r="N913" s="54" t="e">
        <f>'Secondary cum Calculation'!N827</f>
        <v>#DIV/0!</v>
      </c>
      <c r="O913" s="54" t="e">
        <f>'Secondary cum Calculation'!O827</f>
        <v>#DIV/0!</v>
      </c>
      <c r="P913" s="54" t="e">
        <f>'Secondary cum Calculation'!P827</f>
        <v>#DIV/0!</v>
      </c>
      <c r="Q913" s="54"/>
      <c r="R913" s="54"/>
      <c r="S913" s="54"/>
      <c r="T913" s="54"/>
      <c r="U913" s="54"/>
      <c r="V913" s="54"/>
      <c r="W913" s="258"/>
      <c r="X913" s="258"/>
    </row>
    <row r="914" spans="1:26">
      <c r="A914" s="46" t="str">
        <f>'Secondary cum Calculation'!A828</f>
        <v>Poland</v>
      </c>
      <c r="B914" s="47" t="str">
        <f>'Secondary cum Calculation'!B828</f>
        <v>Tourism Flows</v>
      </c>
      <c r="C914" s="47" t="str">
        <f>'Secondary cum Calculation'!C828</f>
        <v>International Departures by Destination</v>
      </c>
      <c r="D914" s="47" t="str">
        <f>'Secondary cum Calculation'!D828</f>
        <v>Europe</v>
      </c>
      <c r="E914" s="46" t="str">
        <f>'Secondary cum Calculation'!E828</f>
        <v>Channel Islands</v>
      </c>
      <c r="F914" s="48" t="str">
        <f>'Secondary cum Calculation'!F828</f>
        <v>The number of international departures from a country to Channel Islands</v>
      </c>
      <c r="G914" s="48" t="str">
        <f>'Secondary cum Calculation'!G828</f>
        <v>Tourism Demand &amp; Flows Database</v>
      </c>
      <c r="H914" s="48" t="str">
        <f>'Secondary cum Calculation'!H828</f>
        <v>New</v>
      </c>
      <c r="I914" s="48">
        <f>'Secondary cum Calculation'!I828</f>
        <v>0</v>
      </c>
      <c r="J914" s="48" t="str">
        <f>'Secondary cum Calculation'!J828</f>
        <v>Thousand</v>
      </c>
      <c r="K914" s="49">
        <f>'Secondary cum Calculation'!K828</f>
        <v>0</v>
      </c>
      <c r="L914" s="92">
        <f>'Secondary cum Calculation'!L828</f>
        <v>0</v>
      </c>
      <c r="M914" s="92">
        <f>'Secondary cum Calculation'!M828</f>
        <v>0</v>
      </c>
      <c r="N914" s="92">
        <f>'Secondary cum Calculation'!N828</f>
        <v>0</v>
      </c>
      <c r="O914" s="53">
        <f>'Secondary cum Calculation'!O828</f>
        <v>0</v>
      </c>
      <c r="P914" s="53">
        <f>'Secondary cum Calculation'!P828</f>
        <v>0</v>
      </c>
      <c r="Q914" s="53"/>
      <c r="R914" s="53"/>
      <c r="S914" s="53"/>
      <c r="T914" s="53"/>
      <c r="U914" s="53"/>
      <c r="V914" s="53"/>
      <c r="W914" s="102" t="e">
        <f>'Secondary cum Calculation'!W828</f>
        <v>#DIV/0!</v>
      </c>
      <c r="X914" s="102" t="e">
        <f>'Secondary cum Calculation'!X828</f>
        <v>#DIV/0!</v>
      </c>
      <c r="Z914" s="11"/>
    </row>
    <row r="915" spans="1:26">
      <c r="A915" s="48"/>
      <c r="B915" s="48"/>
      <c r="C915" s="52" t="str">
        <f>'Secondary cum Calculation'!C829</f>
        <v>Growth Rate</v>
      </c>
      <c r="D915" s="52"/>
      <c r="E915" s="52"/>
      <c r="F915" s="52">
        <f>'Secondary cum Calculation'!F829</f>
        <v>0</v>
      </c>
      <c r="G915" s="52">
        <f>'Secondary cum Calculation'!G829</f>
        <v>0</v>
      </c>
      <c r="H915" s="52">
        <f>'Secondary cum Calculation'!H829</f>
        <v>0</v>
      </c>
      <c r="I915" s="52">
        <f>'Secondary cum Calculation'!I829</f>
        <v>0</v>
      </c>
      <c r="J915" s="52" t="str">
        <f>'Secondary cum Calculation'!J829</f>
        <v>%</v>
      </c>
      <c r="K915" s="49">
        <f>'Secondary cum Calculation'!K829</f>
        <v>0</v>
      </c>
      <c r="L915" s="53"/>
      <c r="M915" s="54" t="e">
        <f>'Secondary cum Calculation'!M829</f>
        <v>#DIV/0!</v>
      </c>
      <c r="N915" s="54" t="e">
        <f>'Secondary cum Calculation'!N829</f>
        <v>#DIV/0!</v>
      </c>
      <c r="O915" s="54" t="e">
        <f>'Secondary cum Calculation'!O829</f>
        <v>#DIV/0!</v>
      </c>
      <c r="P915" s="54" t="e">
        <f>'Secondary cum Calculation'!P829</f>
        <v>#DIV/0!</v>
      </c>
      <c r="Q915" s="54"/>
      <c r="R915" s="54"/>
      <c r="S915" s="54"/>
      <c r="T915" s="54"/>
      <c r="U915" s="54"/>
      <c r="V915" s="54"/>
      <c r="W915" s="258"/>
      <c r="X915" s="258"/>
    </row>
    <row r="916" spans="1:26">
      <c r="A916" s="46" t="str">
        <f>'Secondary cum Calculation'!A830</f>
        <v>Poland</v>
      </c>
      <c r="B916" s="47" t="str">
        <f>'Secondary cum Calculation'!B830</f>
        <v>Tourism Flows</v>
      </c>
      <c r="C916" s="47" t="str">
        <f>'Secondary cum Calculation'!C830</f>
        <v>International Departures by Destination</v>
      </c>
      <c r="D916" s="47" t="str">
        <f>'Secondary cum Calculation'!D830</f>
        <v>Europe</v>
      </c>
      <c r="E916" s="46" t="str">
        <f>'Secondary cum Calculation'!E830</f>
        <v>Croatia</v>
      </c>
      <c r="F916" s="48" t="str">
        <f>'Secondary cum Calculation'!F830</f>
        <v>The number of international departures from a country to Croatia</v>
      </c>
      <c r="G916" s="48" t="str">
        <f>'Secondary cum Calculation'!G830</f>
        <v>Tourism Demand &amp; Flows Database</v>
      </c>
      <c r="H916" s="48" t="str">
        <f>'Secondary cum Calculation'!H830</f>
        <v>New</v>
      </c>
      <c r="I916" s="48">
        <f>'Secondary cum Calculation'!I830</f>
        <v>0</v>
      </c>
      <c r="J916" s="48" t="str">
        <f>'Secondary cum Calculation'!J830</f>
        <v>Thousand</v>
      </c>
      <c r="K916" s="49">
        <f>'Secondary cum Calculation'!K830</f>
        <v>0</v>
      </c>
      <c r="L916" s="92">
        <f>'Secondary cum Calculation'!L830</f>
        <v>0</v>
      </c>
      <c r="M916" s="92">
        <f>'Secondary cum Calculation'!M830</f>
        <v>0</v>
      </c>
      <c r="N916" s="92">
        <f>'Secondary cum Calculation'!N830</f>
        <v>0</v>
      </c>
      <c r="O916" s="53">
        <f>'Secondary cum Calculation'!O830</f>
        <v>0</v>
      </c>
      <c r="P916" s="53">
        <f>'Secondary cum Calculation'!P830</f>
        <v>0</v>
      </c>
      <c r="Q916" s="53"/>
      <c r="R916" s="53"/>
      <c r="S916" s="53"/>
      <c r="T916" s="53"/>
      <c r="U916" s="53"/>
      <c r="V916" s="53"/>
      <c r="W916" s="102" t="e">
        <f>'Secondary cum Calculation'!W830</f>
        <v>#DIV/0!</v>
      </c>
      <c r="X916" s="102" t="e">
        <f>'Secondary cum Calculation'!X830</f>
        <v>#DIV/0!</v>
      </c>
      <c r="Z916" s="11"/>
    </row>
    <row r="917" spans="1:26">
      <c r="A917" s="48"/>
      <c r="B917" s="48"/>
      <c r="C917" s="52" t="str">
        <f>'Secondary cum Calculation'!C831</f>
        <v>Growth Rate</v>
      </c>
      <c r="D917" s="52"/>
      <c r="E917" s="52"/>
      <c r="F917" s="52">
        <f>'Secondary cum Calculation'!F831</f>
        <v>0</v>
      </c>
      <c r="G917" s="52">
        <f>'Secondary cum Calculation'!G831</f>
        <v>0</v>
      </c>
      <c r="H917" s="52">
        <f>'Secondary cum Calculation'!H831</f>
        <v>0</v>
      </c>
      <c r="I917" s="52">
        <f>'Secondary cum Calculation'!I831</f>
        <v>0</v>
      </c>
      <c r="J917" s="52" t="str">
        <f>'Secondary cum Calculation'!J831</f>
        <v>%</v>
      </c>
      <c r="K917" s="49">
        <f>'Secondary cum Calculation'!K831</f>
        <v>0</v>
      </c>
      <c r="L917" s="53"/>
      <c r="M917" s="54" t="e">
        <f>'Secondary cum Calculation'!M831</f>
        <v>#DIV/0!</v>
      </c>
      <c r="N917" s="54" t="e">
        <f>'Secondary cum Calculation'!N831</f>
        <v>#DIV/0!</v>
      </c>
      <c r="O917" s="54" t="e">
        <f>'Secondary cum Calculation'!O831</f>
        <v>#DIV/0!</v>
      </c>
      <c r="P917" s="54" t="e">
        <f>'Secondary cum Calculation'!P831</f>
        <v>#DIV/0!</v>
      </c>
      <c r="Q917" s="54"/>
      <c r="R917" s="54"/>
      <c r="S917" s="54"/>
      <c r="T917" s="54"/>
      <c r="U917" s="54"/>
      <c r="V917" s="54"/>
      <c r="W917" s="258"/>
      <c r="X917" s="258"/>
    </row>
    <row r="918" spans="1:26">
      <c r="A918" s="46" t="str">
        <f>'Secondary cum Calculation'!A832</f>
        <v>Poland</v>
      </c>
      <c r="B918" s="47" t="str">
        <f>'Secondary cum Calculation'!B832</f>
        <v>Tourism Flows</v>
      </c>
      <c r="C918" s="47" t="str">
        <f>'Secondary cum Calculation'!C832</f>
        <v>International Departures by Destination</v>
      </c>
      <c r="D918" s="47" t="str">
        <f>'Secondary cum Calculation'!D832</f>
        <v>Europe</v>
      </c>
      <c r="E918" s="46" t="str">
        <f>'Secondary cum Calculation'!E832</f>
        <v>Cyprus</v>
      </c>
      <c r="F918" s="48" t="str">
        <f>'Secondary cum Calculation'!F832</f>
        <v>The number of international departures from a country to Cyprus</v>
      </c>
      <c r="G918" s="48" t="str">
        <f>'Secondary cum Calculation'!G832</f>
        <v>Tourism Demand &amp; Flows Database</v>
      </c>
      <c r="H918" s="48" t="str">
        <f>'Secondary cum Calculation'!H832</f>
        <v>New</v>
      </c>
      <c r="I918" s="48">
        <f>'Secondary cum Calculation'!I832</f>
        <v>0</v>
      </c>
      <c r="J918" s="48" t="str">
        <f>'Secondary cum Calculation'!J832</f>
        <v>Thousand</v>
      </c>
      <c r="K918" s="49">
        <f>'Secondary cum Calculation'!K832</f>
        <v>0</v>
      </c>
      <c r="L918" s="92">
        <f>'Secondary cum Calculation'!L832</f>
        <v>0</v>
      </c>
      <c r="M918" s="92">
        <f>'Secondary cum Calculation'!M832</f>
        <v>0</v>
      </c>
      <c r="N918" s="92">
        <f>'Secondary cum Calculation'!N832</f>
        <v>0</v>
      </c>
      <c r="O918" s="89">
        <f>'Secondary cum Calculation'!O832</f>
        <v>0</v>
      </c>
      <c r="P918" s="89">
        <f>'Secondary cum Calculation'!P832</f>
        <v>0</v>
      </c>
      <c r="Q918" s="89"/>
      <c r="R918" s="89"/>
      <c r="S918" s="89"/>
      <c r="T918" s="89"/>
      <c r="U918" s="89"/>
      <c r="V918" s="89"/>
      <c r="W918" s="102" t="e">
        <f>'Secondary cum Calculation'!W832</f>
        <v>#DIV/0!</v>
      </c>
      <c r="X918" s="102" t="e">
        <f>'Secondary cum Calculation'!X832</f>
        <v>#DIV/0!</v>
      </c>
      <c r="Z918" s="11"/>
    </row>
    <row r="919" spans="1:26">
      <c r="A919" s="48"/>
      <c r="B919" s="48"/>
      <c r="C919" s="52" t="str">
        <f>'Secondary cum Calculation'!C833</f>
        <v>Growth Rate</v>
      </c>
      <c r="D919" s="52"/>
      <c r="E919" s="52"/>
      <c r="F919" s="52">
        <f>'Secondary cum Calculation'!F833</f>
        <v>0</v>
      </c>
      <c r="G919" s="52">
        <f>'Secondary cum Calculation'!G833</f>
        <v>0</v>
      </c>
      <c r="H919" s="52">
        <f>'Secondary cum Calculation'!H833</f>
        <v>0</v>
      </c>
      <c r="I919" s="52">
        <f>'Secondary cum Calculation'!I833</f>
        <v>0</v>
      </c>
      <c r="J919" s="52" t="str">
        <f>'Secondary cum Calculation'!J833</f>
        <v>%</v>
      </c>
      <c r="K919" s="49">
        <f>'Secondary cum Calculation'!K833</f>
        <v>0</v>
      </c>
      <c r="L919" s="53"/>
      <c r="M919" s="54" t="e">
        <f>'Secondary cum Calculation'!M833</f>
        <v>#DIV/0!</v>
      </c>
      <c r="N919" s="54" t="e">
        <f>'Secondary cum Calculation'!N833</f>
        <v>#DIV/0!</v>
      </c>
      <c r="O919" s="54" t="e">
        <f>'Secondary cum Calculation'!O833</f>
        <v>#DIV/0!</v>
      </c>
      <c r="P919" s="54" t="e">
        <f>'Secondary cum Calculation'!P833</f>
        <v>#DIV/0!</v>
      </c>
      <c r="Q919" s="54"/>
      <c r="R919" s="54"/>
      <c r="S919" s="54"/>
      <c r="T919" s="54"/>
      <c r="U919" s="54"/>
      <c r="V919" s="54"/>
      <c r="W919" s="258"/>
      <c r="X919" s="258"/>
    </row>
    <row r="920" spans="1:26">
      <c r="A920" s="46" t="str">
        <f>'Secondary cum Calculation'!A834</f>
        <v>Poland</v>
      </c>
      <c r="B920" s="47" t="str">
        <f>'Secondary cum Calculation'!B834</f>
        <v>Tourism Flows</v>
      </c>
      <c r="C920" s="47" t="str">
        <f>'Secondary cum Calculation'!C834</f>
        <v>International Departures by Destination</v>
      </c>
      <c r="D920" s="47" t="str">
        <f>'Secondary cum Calculation'!D834</f>
        <v>Europe</v>
      </c>
      <c r="E920" s="46" t="str">
        <f>'Secondary cum Calculation'!E834</f>
        <v>Czech Republic</v>
      </c>
      <c r="F920" s="48" t="str">
        <f>'Secondary cum Calculation'!F834</f>
        <v>The number of international departures from a country to Czech Republic</v>
      </c>
      <c r="G920" s="48" t="str">
        <f>'Secondary cum Calculation'!G834</f>
        <v>Tourism Demand &amp; Flows Database</v>
      </c>
      <c r="H920" s="48" t="str">
        <f>'Secondary cum Calculation'!H834</f>
        <v>New</v>
      </c>
      <c r="I920" s="48">
        <f>'Secondary cum Calculation'!I834</f>
        <v>0</v>
      </c>
      <c r="J920" s="48" t="str">
        <f>'Secondary cum Calculation'!J834</f>
        <v>Thousand</v>
      </c>
      <c r="K920" s="49">
        <f>'Secondary cum Calculation'!K834</f>
        <v>0</v>
      </c>
      <c r="L920" s="53">
        <f>'Secondary cum Calculation'!L834</f>
        <v>268</v>
      </c>
      <c r="M920" s="53">
        <f>'Secondary cum Calculation'!M834</f>
        <v>599</v>
      </c>
      <c r="N920" s="53">
        <f>'Secondary cum Calculation'!N834</f>
        <v>324</v>
      </c>
      <c r="O920" s="53">
        <f>'Secondary cum Calculation'!O834</f>
        <v>360</v>
      </c>
      <c r="P920" s="53">
        <f>'Secondary cum Calculation'!P834</f>
        <v>204</v>
      </c>
      <c r="Q920" s="53"/>
      <c r="R920" s="53"/>
      <c r="S920" s="53"/>
      <c r="T920" s="53"/>
      <c r="U920" s="53"/>
      <c r="V920" s="53"/>
      <c r="W920" s="102">
        <f>'Secondary cum Calculation'!W834</f>
        <v>-0.26851584274831708</v>
      </c>
      <c r="X920" s="102">
        <f>'Secondary cum Calculation'!X834</f>
        <v>-1</v>
      </c>
      <c r="Z920" s="11"/>
    </row>
    <row r="921" spans="1:26">
      <c r="A921" s="48"/>
      <c r="B921" s="48"/>
      <c r="C921" s="52" t="str">
        <f>'Secondary cum Calculation'!C835</f>
        <v>Growth Rate</v>
      </c>
      <c r="D921" s="52"/>
      <c r="E921" s="52"/>
      <c r="F921" s="52">
        <f>'Secondary cum Calculation'!F835</f>
        <v>0</v>
      </c>
      <c r="G921" s="52">
        <f>'Secondary cum Calculation'!G835</f>
        <v>0</v>
      </c>
      <c r="H921" s="52">
        <f>'Secondary cum Calculation'!H835</f>
        <v>0</v>
      </c>
      <c r="I921" s="52">
        <f>'Secondary cum Calculation'!I835</f>
        <v>0</v>
      </c>
      <c r="J921" s="52" t="str">
        <f>'Secondary cum Calculation'!J835</f>
        <v>%</v>
      </c>
      <c r="K921" s="49">
        <f>'Secondary cum Calculation'!K835</f>
        <v>0</v>
      </c>
      <c r="L921" s="53"/>
      <c r="M921" s="54">
        <f>'Secondary cum Calculation'!M835</f>
        <v>1.2350746268656718</v>
      </c>
      <c r="N921" s="54">
        <f>'Secondary cum Calculation'!N835</f>
        <v>-0.45909849749582643</v>
      </c>
      <c r="O921" s="54">
        <f>'Secondary cum Calculation'!O835</f>
        <v>0.11111111111111116</v>
      </c>
      <c r="P921" s="54">
        <f>'Secondary cum Calculation'!P835</f>
        <v>-0.43333333333333335</v>
      </c>
      <c r="Q921" s="54"/>
      <c r="R921" s="54"/>
      <c r="S921" s="54"/>
      <c r="T921" s="54"/>
      <c r="U921" s="54"/>
      <c r="V921" s="54"/>
      <c r="W921" s="258"/>
      <c r="X921" s="258"/>
    </row>
    <row r="922" spans="1:26">
      <c r="A922" s="46" t="str">
        <f>'Secondary cum Calculation'!A836</f>
        <v>Poland</v>
      </c>
      <c r="B922" s="47" t="str">
        <f>'Secondary cum Calculation'!B836</f>
        <v>Tourism Flows</v>
      </c>
      <c r="C922" s="47" t="str">
        <f>'Secondary cum Calculation'!C836</f>
        <v>International Departures by Destination</v>
      </c>
      <c r="D922" s="47" t="str">
        <f>'Secondary cum Calculation'!D836</f>
        <v>Europe</v>
      </c>
      <c r="E922" s="46" t="str">
        <f>'Secondary cum Calculation'!E836</f>
        <v>Denmark</v>
      </c>
      <c r="F922" s="48" t="str">
        <f>'Secondary cum Calculation'!F836</f>
        <v>The number of international departures from a country to Denmark</v>
      </c>
      <c r="G922" s="48" t="str">
        <f>'Secondary cum Calculation'!G836</f>
        <v>Tourism Demand &amp; Flows Database</v>
      </c>
      <c r="H922" s="48" t="str">
        <f>'Secondary cum Calculation'!H836</f>
        <v>New</v>
      </c>
      <c r="I922" s="48">
        <f>'Secondary cum Calculation'!I836</f>
        <v>0</v>
      </c>
      <c r="J922" s="48" t="str">
        <f>'Secondary cum Calculation'!J836</f>
        <v>Thousand</v>
      </c>
      <c r="K922" s="49">
        <f>'Secondary cum Calculation'!K836</f>
        <v>0</v>
      </c>
      <c r="L922" s="92">
        <f>'Secondary cum Calculation'!L836</f>
        <v>210</v>
      </c>
      <c r="M922" s="92">
        <f>'Secondary cum Calculation'!M836</f>
        <v>92</v>
      </c>
      <c r="N922" s="92">
        <f>'Secondary cum Calculation'!N836</f>
        <v>92</v>
      </c>
      <c r="O922" s="53">
        <f>'Secondary cum Calculation'!O836</f>
        <v>101</v>
      </c>
      <c r="P922" s="53">
        <f>'Secondary cum Calculation'!P836</f>
        <v>72</v>
      </c>
      <c r="Q922" s="53"/>
      <c r="R922" s="53"/>
      <c r="S922" s="53"/>
      <c r="T922" s="53"/>
      <c r="U922" s="53"/>
      <c r="V922" s="53"/>
      <c r="W922" s="102">
        <f>'Secondary cum Calculation'!W836</f>
        <v>-9.9095173382672597E-2</v>
      </c>
      <c r="X922" s="102">
        <f>'Secondary cum Calculation'!X836</f>
        <v>-1</v>
      </c>
      <c r="Z922" s="11"/>
    </row>
    <row r="923" spans="1:26">
      <c r="A923" s="48"/>
      <c r="B923" s="48"/>
      <c r="C923" s="52" t="str">
        <f>'Secondary cum Calculation'!C837</f>
        <v>Growth Rate</v>
      </c>
      <c r="D923" s="52"/>
      <c r="E923" s="52"/>
      <c r="F923" s="52">
        <f>'Secondary cum Calculation'!F837</f>
        <v>0</v>
      </c>
      <c r="G923" s="52">
        <f>'Secondary cum Calculation'!G837</f>
        <v>0</v>
      </c>
      <c r="H923" s="52">
        <f>'Secondary cum Calculation'!H837</f>
        <v>0</v>
      </c>
      <c r="I923" s="52">
        <f>'Secondary cum Calculation'!I837</f>
        <v>0</v>
      </c>
      <c r="J923" s="52" t="str">
        <f>'Secondary cum Calculation'!J837</f>
        <v>%</v>
      </c>
      <c r="K923" s="49">
        <f>'Secondary cum Calculation'!K837</f>
        <v>0</v>
      </c>
      <c r="L923" s="53"/>
      <c r="M923" s="54">
        <f>'Secondary cum Calculation'!M837</f>
        <v>-0.56190476190476191</v>
      </c>
      <c r="N923" s="54">
        <f>'Secondary cum Calculation'!N837</f>
        <v>0</v>
      </c>
      <c r="O923" s="54">
        <f>'Secondary cum Calculation'!O837</f>
        <v>9.7826086956521729E-2</v>
      </c>
      <c r="P923" s="54">
        <f>'Secondary cum Calculation'!P837</f>
        <v>-0.28712871287128716</v>
      </c>
      <c r="Q923" s="54"/>
      <c r="R923" s="54"/>
      <c r="S923" s="54"/>
      <c r="T923" s="54"/>
      <c r="U923" s="54"/>
      <c r="V923" s="54"/>
      <c r="W923" s="258"/>
      <c r="X923" s="258"/>
    </row>
    <row r="924" spans="1:26">
      <c r="A924" s="46" t="str">
        <f>'Secondary cum Calculation'!A838</f>
        <v>Poland</v>
      </c>
      <c r="B924" s="47" t="str">
        <f>'Secondary cum Calculation'!B838</f>
        <v>Tourism Flows</v>
      </c>
      <c r="C924" s="47" t="str">
        <f>'Secondary cum Calculation'!C838</f>
        <v>International Departures by Destination</v>
      </c>
      <c r="D924" s="47" t="str">
        <f>'Secondary cum Calculation'!D838</f>
        <v>Europe</v>
      </c>
      <c r="E924" s="46" t="str">
        <f>'Secondary cum Calculation'!E838</f>
        <v>Estonia</v>
      </c>
      <c r="F924" s="48" t="str">
        <f>'Secondary cum Calculation'!F838</f>
        <v>The number of international departures from a country to Estonia</v>
      </c>
      <c r="G924" s="48" t="str">
        <f>'Secondary cum Calculation'!G838</f>
        <v>Tourism Demand &amp; Flows Database</v>
      </c>
      <c r="H924" s="48" t="str">
        <f>'Secondary cum Calculation'!H838</f>
        <v>New</v>
      </c>
      <c r="I924" s="48">
        <f>'Secondary cum Calculation'!I838</f>
        <v>0</v>
      </c>
      <c r="J924" s="48" t="str">
        <f>'Secondary cum Calculation'!J838</f>
        <v>Thousand</v>
      </c>
      <c r="K924" s="49">
        <f>'Secondary cum Calculation'!K838</f>
        <v>0</v>
      </c>
      <c r="L924" s="92">
        <f>'Secondary cum Calculation'!L838</f>
        <v>0</v>
      </c>
      <c r="M924" s="92">
        <f>'Secondary cum Calculation'!M838</f>
        <v>0</v>
      </c>
      <c r="N924" s="92">
        <f>'Secondary cum Calculation'!N838</f>
        <v>0</v>
      </c>
      <c r="O924" s="53">
        <f>'Secondary cum Calculation'!O838</f>
        <v>0</v>
      </c>
      <c r="P924" s="53">
        <f>'Secondary cum Calculation'!P838</f>
        <v>0</v>
      </c>
      <c r="Q924" s="53"/>
      <c r="R924" s="53"/>
      <c r="S924" s="53"/>
      <c r="T924" s="53"/>
      <c r="U924" s="53"/>
      <c r="V924" s="53"/>
      <c r="W924" s="102" t="e">
        <f>'Secondary cum Calculation'!W838</f>
        <v>#DIV/0!</v>
      </c>
      <c r="X924" s="102" t="e">
        <f>'Secondary cum Calculation'!X838</f>
        <v>#DIV/0!</v>
      </c>
      <c r="Z924" s="11"/>
    </row>
    <row r="925" spans="1:26">
      <c r="A925" s="48"/>
      <c r="B925" s="48"/>
      <c r="C925" s="52" t="str">
        <f>'Secondary cum Calculation'!C839</f>
        <v>Growth Rate</v>
      </c>
      <c r="D925" s="52"/>
      <c r="E925" s="52"/>
      <c r="F925" s="52">
        <f>'Secondary cum Calculation'!F839</f>
        <v>0</v>
      </c>
      <c r="G925" s="52">
        <f>'Secondary cum Calculation'!G839</f>
        <v>0</v>
      </c>
      <c r="H925" s="52">
        <f>'Secondary cum Calculation'!H839</f>
        <v>0</v>
      </c>
      <c r="I925" s="52">
        <f>'Secondary cum Calculation'!I839</f>
        <v>0</v>
      </c>
      <c r="J925" s="52" t="str">
        <f>'Secondary cum Calculation'!J839</f>
        <v>%</v>
      </c>
      <c r="K925" s="49">
        <f>'Secondary cum Calculation'!K839</f>
        <v>0</v>
      </c>
      <c r="L925" s="53"/>
      <c r="M925" s="54" t="e">
        <f>'Secondary cum Calculation'!M839</f>
        <v>#DIV/0!</v>
      </c>
      <c r="N925" s="54" t="e">
        <f>'Secondary cum Calculation'!N839</f>
        <v>#DIV/0!</v>
      </c>
      <c r="O925" s="54" t="e">
        <f>'Secondary cum Calculation'!O839</f>
        <v>#DIV/0!</v>
      </c>
      <c r="P925" s="54" t="e">
        <f>'Secondary cum Calculation'!P839</f>
        <v>#DIV/0!</v>
      </c>
      <c r="Q925" s="54"/>
      <c r="R925" s="54"/>
      <c r="S925" s="54"/>
      <c r="T925" s="54"/>
      <c r="U925" s="54"/>
      <c r="V925" s="54"/>
      <c r="W925" s="258"/>
      <c r="X925" s="258"/>
    </row>
    <row r="926" spans="1:26">
      <c r="A926" s="46" t="str">
        <f>'Secondary cum Calculation'!A840</f>
        <v>Poland</v>
      </c>
      <c r="B926" s="47" t="str">
        <f>'Secondary cum Calculation'!B840</f>
        <v>Tourism Flows</v>
      </c>
      <c r="C926" s="47" t="str">
        <f>'Secondary cum Calculation'!C840</f>
        <v>International Departures by Destination</v>
      </c>
      <c r="D926" s="47" t="str">
        <f>'Secondary cum Calculation'!D840</f>
        <v>Europe</v>
      </c>
      <c r="E926" s="46" t="str">
        <f>'Secondary cum Calculation'!E840</f>
        <v>Finland</v>
      </c>
      <c r="F926" s="48" t="str">
        <f>'Secondary cum Calculation'!F840</f>
        <v>The number of international departures from a country to Finland</v>
      </c>
      <c r="G926" s="48" t="str">
        <f>'Secondary cum Calculation'!G840</f>
        <v>Tourism Demand &amp; Flows Database</v>
      </c>
      <c r="H926" s="48" t="str">
        <f>'Secondary cum Calculation'!H840</f>
        <v>New</v>
      </c>
      <c r="I926" s="48">
        <f>'Secondary cum Calculation'!I840</f>
        <v>0</v>
      </c>
      <c r="J926" s="48" t="str">
        <f>'Secondary cum Calculation'!J840</f>
        <v>Thousand</v>
      </c>
      <c r="K926" s="49">
        <f>'Secondary cum Calculation'!K840</f>
        <v>0</v>
      </c>
      <c r="L926" s="92">
        <f>'Secondary cum Calculation'!L840</f>
        <v>0</v>
      </c>
      <c r="M926" s="92">
        <f>'Secondary cum Calculation'!M840</f>
        <v>0</v>
      </c>
      <c r="N926" s="92">
        <f>'Secondary cum Calculation'!N840</f>
        <v>0</v>
      </c>
      <c r="O926" s="89">
        <f>'Secondary cum Calculation'!O840</f>
        <v>0</v>
      </c>
      <c r="P926" s="89">
        <f>'Secondary cum Calculation'!P840</f>
        <v>0</v>
      </c>
      <c r="Q926" s="89"/>
      <c r="R926" s="89"/>
      <c r="S926" s="89"/>
      <c r="T926" s="89"/>
      <c r="U926" s="89"/>
      <c r="V926" s="89"/>
      <c r="W926" s="102" t="e">
        <f>'Secondary cum Calculation'!W840</f>
        <v>#DIV/0!</v>
      </c>
      <c r="X926" s="102" t="e">
        <f>'Secondary cum Calculation'!X840</f>
        <v>#DIV/0!</v>
      </c>
      <c r="Z926" s="11"/>
    </row>
    <row r="927" spans="1:26">
      <c r="A927" s="48"/>
      <c r="B927" s="48"/>
      <c r="C927" s="52" t="str">
        <f>'Secondary cum Calculation'!C841</f>
        <v>Growth Rate</v>
      </c>
      <c r="D927" s="52"/>
      <c r="E927" s="52"/>
      <c r="F927" s="52">
        <f>'Secondary cum Calculation'!F841</f>
        <v>0</v>
      </c>
      <c r="G927" s="52">
        <f>'Secondary cum Calculation'!G841</f>
        <v>0</v>
      </c>
      <c r="H927" s="52">
        <f>'Secondary cum Calculation'!H841</f>
        <v>0</v>
      </c>
      <c r="I927" s="52">
        <f>'Secondary cum Calculation'!I841</f>
        <v>0</v>
      </c>
      <c r="J927" s="52" t="str">
        <f>'Secondary cum Calculation'!J841</f>
        <v>%</v>
      </c>
      <c r="K927" s="49">
        <f>'Secondary cum Calculation'!K841</f>
        <v>0</v>
      </c>
      <c r="L927" s="53"/>
      <c r="M927" s="54" t="e">
        <f>'Secondary cum Calculation'!M841</f>
        <v>#DIV/0!</v>
      </c>
      <c r="N927" s="54" t="e">
        <f>'Secondary cum Calculation'!N841</f>
        <v>#DIV/0!</v>
      </c>
      <c r="O927" s="54" t="e">
        <f>'Secondary cum Calculation'!O841</f>
        <v>#DIV/0!</v>
      </c>
      <c r="P927" s="54" t="e">
        <f>'Secondary cum Calculation'!P841</f>
        <v>#DIV/0!</v>
      </c>
      <c r="Q927" s="54"/>
      <c r="R927" s="54"/>
      <c r="S927" s="54"/>
      <c r="T927" s="54"/>
      <c r="U927" s="54"/>
      <c r="V927" s="54"/>
      <c r="W927" s="258"/>
      <c r="X927" s="258"/>
    </row>
    <row r="928" spans="1:26">
      <c r="A928" s="46" t="str">
        <f>'Secondary cum Calculation'!A842</f>
        <v>Poland</v>
      </c>
      <c r="B928" s="47" t="str">
        <f>'Secondary cum Calculation'!B842</f>
        <v>Tourism Flows</v>
      </c>
      <c r="C928" s="47" t="str">
        <f>'Secondary cum Calculation'!C842</f>
        <v>International Departures by Destination</v>
      </c>
      <c r="D928" s="47" t="str">
        <f>'Secondary cum Calculation'!D842</f>
        <v>Europe</v>
      </c>
      <c r="E928" s="46" t="str">
        <f>'Secondary cum Calculation'!E842</f>
        <v>France</v>
      </c>
      <c r="F928" s="48" t="str">
        <f>'Secondary cum Calculation'!F842</f>
        <v>The number of international departures from a country to France</v>
      </c>
      <c r="G928" s="48" t="str">
        <f>'Secondary cum Calculation'!G842</f>
        <v>Tourism Demand &amp; Flows Database</v>
      </c>
      <c r="H928" s="48" t="str">
        <f>'Secondary cum Calculation'!H842</f>
        <v>New</v>
      </c>
      <c r="I928" s="48">
        <f>'Secondary cum Calculation'!I842</f>
        <v>0</v>
      </c>
      <c r="J928" s="48" t="str">
        <f>'Secondary cum Calculation'!J842</f>
        <v>Thousand</v>
      </c>
      <c r="K928" s="49">
        <f>'Secondary cum Calculation'!K842</f>
        <v>2231</v>
      </c>
      <c r="L928" s="53">
        <f>'Secondary cum Calculation'!L842</f>
        <v>420</v>
      </c>
      <c r="M928" s="53">
        <f>'Secondary cum Calculation'!M842</f>
        <v>286</v>
      </c>
      <c r="N928" s="53">
        <f>'Secondary cum Calculation'!N842</f>
        <v>190</v>
      </c>
      <c r="O928" s="53">
        <f>'Secondary cum Calculation'!O842</f>
        <v>415</v>
      </c>
      <c r="P928" s="53">
        <f>'Secondary cum Calculation'!P842</f>
        <v>363</v>
      </c>
      <c r="Q928" s="53"/>
      <c r="R928" s="53"/>
      <c r="S928" s="53"/>
      <c r="T928" s="53"/>
      <c r="U928" s="53"/>
      <c r="V928" s="53"/>
      <c r="W928" s="102">
        <f>'Secondary cum Calculation'!W842</f>
        <v>5.2046051588065412E-2</v>
      </c>
      <c r="X928" s="102">
        <f>'Secondary cum Calculation'!X842</f>
        <v>-1</v>
      </c>
      <c r="Z928" s="11"/>
    </row>
    <row r="929" spans="1:26">
      <c r="A929" s="48"/>
      <c r="B929" s="48"/>
      <c r="C929" s="52" t="str">
        <f>'Secondary cum Calculation'!C843</f>
        <v>Growth Rate</v>
      </c>
      <c r="D929" s="52"/>
      <c r="E929" s="52"/>
      <c r="F929" s="52">
        <f>'Secondary cum Calculation'!F843</f>
        <v>0</v>
      </c>
      <c r="G929" s="52">
        <f>'Secondary cum Calculation'!G843</f>
        <v>0</v>
      </c>
      <c r="H929" s="52">
        <f>'Secondary cum Calculation'!H843</f>
        <v>0</v>
      </c>
      <c r="I929" s="52">
        <f>'Secondary cum Calculation'!I843</f>
        <v>0</v>
      </c>
      <c r="J929" s="52" t="str">
        <f>'Secondary cum Calculation'!J843</f>
        <v>%</v>
      </c>
      <c r="K929" s="49">
        <f>'Secondary cum Calculation'!K843</f>
        <v>0</v>
      </c>
      <c r="L929" s="53"/>
      <c r="M929" s="54">
        <f>'Secondary cum Calculation'!M843</f>
        <v>-0.31904761904761902</v>
      </c>
      <c r="N929" s="54">
        <f>'Secondary cum Calculation'!N843</f>
        <v>-0.33566433566433562</v>
      </c>
      <c r="O929" s="54">
        <f>'Secondary cum Calculation'!O843</f>
        <v>1.1842105263157894</v>
      </c>
      <c r="P929" s="54">
        <f>'Secondary cum Calculation'!P843</f>
        <v>-0.12530120481927709</v>
      </c>
      <c r="Q929" s="54"/>
      <c r="R929" s="54"/>
      <c r="S929" s="54"/>
      <c r="T929" s="54"/>
      <c r="U929" s="54"/>
      <c r="V929" s="54"/>
      <c r="W929" s="258"/>
      <c r="X929" s="258"/>
    </row>
    <row r="930" spans="1:26">
      <c r="A930" s="46" t="str">
        <f>'Secondary cum Calculation'!A844</f>
        <v>Poland</v>
      </c>
      <c r="B930" s="47" t="str">
        <f>'Secondary cum Calculation'!B844</f>
        <v>Tourism Flows</v>
      </c>
      <c r="C930" s="47" t="str">
        <f>'Secondary cum Calculation'!C844</f>
        <v>International Departures by Destination</v>
      </c>
      <c r="D930" s="47" t="str">
        <f>'Secondary cum Calculation'!D844</f>
        <v>Europe</v>
      </c>
      <c r="E930" s="46" t="str">
        <f>'Secondary cum Calculation'!E844</f>
        <v>Georgia</v>
      </c>
      <c r="F930" s="48" t="str">
        <f>'Secondary cum Calculation'!F844</f>
        <v>The number of international departures from a country to Georgia</v>
      </c>
      <c r="G930" s="48" t="str">
        <f>'Secondary cum Calculation'!G844</f>
        <v>Tourism Demand &amp; Flows Database</v>
      </c>
      <c r="H930" s="48" t="str">
        <f>'Secondary cum Calculation'!H844</f>
        <v>New</v>
      </c>
      <c r="I930" s="48">
        <f>'Secondary cum Calculation'!I844</f>
        <v>0</v>
      </c>
      <c r="J930" s="48" t="str">
        <f>'Secondary cum Calculation'!J844</f>
        <v>Thousand</v>
      </c>
      <c r="K930" s="49">
        <f>'Secondary cum Calculation'!K844</f>
        <v>0</v>
      </c>
      <c r="L930" s="92">
        <f>'Secondary cum Calculation'!L844</f>
        <v>0</v>
      </c>
      <c r="M930" s="92">
        <f>'Secondary cum Calculation'!M844</f>
        <v>0</v>
      </c>
      <c r="N930" s="92">
        <f>'Secondary cum Calculation'!N844</f>
        <v>0</v>
      </c>
      <c r="O930" s="89">
        <f>'Secondary cum Calculation'!O844</f>
        <v>0</v>
      </c>
      <c r="P930" s="89">
        <f>'Secondary cum Calculation'!P844</f>
        <v>0</v>
      </c>
      <c r="Q930" s="89"/>
      <c r="R930" s="89"/>
      <c r="S930" s="89"/>
      <c r="T930" s="89"/>
      <c r="U930" s="89"/>
      <c r="V930" s="89"/>
      <c r="W930" s="102" t="e">
        <f>'Secondary cum Calculation'!W844</f>
        <v>#DIV/0!</v>
      </c>
      <c r="X930" s="102" t="e">
        <f>'Secondary cum Calculation'!X844</f>
        <v>#DIV/0!</v>
      </c>
      <c r="Z930" s="11"/>
    </row>
    <row r="931" spans="1:26">
      <c r="A931" s="48"/>
      <c r="B931" s="48"/>
      <c r="C931" s="52" t="str">
        <f>'Secondary cum Calculation'!C845</f>
        <v>Growth Rate</v>
      </c>
      <c r="D931" s="52"/>
      <c r="E931" s="52"/>
      <c r="F931" s="52">
        <f>'Secondary cum Calculation'!F845</f>
        <v>0</v>
      </c>
      <c r="G931" s="52">
        <f>'Secondary cum Calculation'!G845</f>
        <v>0</v>
      </c>
      <c r="H931" s="52">
        <f>'Secondary cum Calculation'!H845</f>
        <v>0</v>
      </c>
      <c r="I931" s="52">
        <f>'Secondary cum Calculation'!I845</f>
        <v>0</v>
      </c>
      <c r="J931" s="52" t="str">
        <f>'Secondary cum Calculation'!J845</f>
        <v>%</v>
      </c>
      <c r="K931" s="49">
        <f>'Secondary cum Calculation'!K845</f>
        <v>0</v>
      </c>
      <c r="L931" s="53"/>
      <c r="M931" s="54" t="e">
        <f>'Secondary cum Calculation'!M845</f>
        <v>#DIV/0!</v>
      </c>
      <c r="N931" s="54" t="e">
        <f>'Secondary cum Calculation'!N845</f>
        <v>#DIV/0!</v>
      </c>
      <c r="O931" s="54" t="e">
        <f>'Secondary cum Calculation'!O845</f>
        <v>#DIV/0!</v>
      </c>
      <c r="P931" s="54" t="e">
        <f>'Secondary cum Calculation'!P845</f>
        <v>#DIV/0!</v>
      </c>
      <c r="Q931" s="54"/>
      <c r="R931" s="54"/>
      <c r="S931" s="54"/>
      <c r="T931" s="54"/>
      <c r="U931" s="54"/>
      <c r="V931" s="54"/>
      <c r="W931" s="258"/>
      <c r="X931" s="258"/>
    </row>
    <row r="932" spans="1:26">
      <c r="A932" s="46" t="str">
        <f>'Secondary cum Calculation'!A846</f>
        <v>Poland</v>
      </c>
      <c r="B932" s="47" t="str">
        <f>'Secondary cum Calculation'!B846</f>
        <v>Tourism Flows</v>
      </c>
      <c r="C932" s="47" t="str">
        <f>'Secondary cum Calculation'!C846</f>
        <v>International Departures by Destination</v>
      </c>
      <c r="D932" s="47" t="str">
        <f>'Secondary cum Calculation'!D846</f>
        <v>Europe</v>
      </c>
      <c r="E932" s="46" t="str">
        <f>'Secondary cum Calculation'!E846</f>
        <v>Germany</v>
      </c>
      <c r="F932" s="48" t="str">
        <f>'Secondary cum Calculation'!F846</f>
        <v>The number of international departures from a country to Germany</v>
      </c>
      <c r="G932" s="48" t="str">
        <f>'Secondary cum Calculation'!G846</f>
        <v>Tourism Demand &amp; Flows Database</v>
      </c>
      <c r="H932" s="48" t="str">
        <f>'Secondary cum Calculation'!H846</f>
        <v>New</v>
      </c>
      <c r="I932" s="48">
        <f>'Secondary cum Calculation'!I846</f>
        <v>0</v>
      </c>
      <c r="J932" s="48" t="str">
        <f>'Secondary cum Calculation'!J846</f>
        <v>Thousand</v>
      </c>
      <c r="K932" s="49">
        <f>'Secondary cum Calculation'!K846</f>
        <v>1688</v>
      </c>
      <c r="L932" s="53">
        <f>'Secondary cum Calculation'!L846</f>
        <v>1432</v>
      </c>
      <c r="M932" s="53">
        <f>'Secondary cum Calculation'!M846</f>
        <v>1647</v>
      </c>
      <c r="N932" s="53">
        <f>'Secondary cum Calculation'!N846</f>
        <v>1203</v>
      </c>
      <c r="O932" s="53">
        <f>'Secondary cum Calculation'!O846</f>
        <v>1285</v>
      </c>
      <c r="P932" s="53">
        <f>'Secondary cum Calculation'!P846</f>
        <v>912</v>
      </c>
      <c r="Q932" s="53"/>
      <c r="R932" s="53"/>
      <c r="S932" s="53"/>
      <c r="T932" s="53"/>
      <c r="U932" s="53"/>
      <c r="V932" s="53"/>
      <c r="W932" s="102">
        <f>'Secondary cum Calculation'!W846</f>
        <v>-0.16114467078346673</v>
      </c>
      <c r="X932" s="102">
        <f>'Secondary cum Calculation'!X846</f>
        <v>-1</v>
      </c>
      <c r="Z932" s="11"/>
    </row>
    <row r="933" spans="1:26">
      <c r="A933" s="48"/>
      <c r="B933" s="48"/>
      <c r="C933" s="52" t="str">
        <f>'Secondary cum Calculation'!C847</f>
        <v>Growth Rate</v>
      </c>
      <c r="D933" s="52"/>
      <c r="E933" s="52"/>
      <c r="F933" s="52">
        <f>'Secondary cum Calculation'!F847</f>
        <v>0</v>
      </c>
      <c r="G933" s="52">
        <f>'Secondary cum Calculation'!G847</f>
        <v>0</v>
      </c>
      <c r="H933" s="52">
        <f>'Secondary cum Calculation'!H847</f>
        <v>0</v>
      </c>
      <c r="I933" s="52">
        <f>'Secondary cum Calculation'!I847</f>
        <v>0</v>
      </c>
      <c r="J933" s="52" t="str">
        <f>'Secondary cum Calculation'!J847</f>
        <v>%</v>
      </c>
      <c r="K933" s="49">
        <f>'Secondary cum Calculation'!K847</f>
        <v>0</v>
      </c>
      <c r="L933" s="53"/>
      <c r="M933" s="54">
        <f>'Secondary cum Calculation'!M847</f>
        <v>0.15013966480446927</v>
      </c>
      <c r="N933" s="54">
        <f>'Secondary cum Calculation'!N847</f>
        <v>-0.26958105646630237</v>
      </c>
      <c r="O933" s="54">
        <f>'Secondary cum Calculation'!O847</f>
        <v>6.8162926018287662E-2</v>
      </c>
      <c r="P933" s="54">
        <f>'Secondary cum Calculation'!P847</f>
        <v>-0.290272373540856</v>
      </c>
      <c r="Q933" s="54"/>
      <c r="R933" s="54"/>
      <c r="S933" s="54"/>
      <c r="T933" s="54"/>
      <c r="U933" s="54"/>
      <c r="V933" s="54"/>
      <c r="W933" s="258"/>
      <c r="X933" s="258"/>
    </row>
    <row r="934" spans="1:26">
      <c r="A934" s="46" t="str">
        <f>'Secondary cum Calculation'!A848</f>
        <v>Poland</v>
      </c>
      <c r="B934" s="47" t="str">
        <f>'Secondary cum Calculation'!B848</f>
        <v>Tourism Flows</v>
      </c>
      <c r="C934" s="47" t="str">
        <f>'Secondary cum Calculation'!C848</f>
        <v>International Departures by Destination</v>
      </c>
      <c r="D934" s="47" t="str">
        <f>'Secondary cum Calculation'!D848</f>
        <v>Europe</v>
      </c>
      <c r="E934" s="46" t="str">
        <f>'Secondary cum Calculation'!E848</f>
        <v>Greece</v>
      </c>
      <c r="F934" s="48" t="str">
        <f>'Secondary cum Calculation'!F848</f>
        <v>The number of international departures from a country to Greece</v>
      </c>
      <c r="G934" s="48" t="str">
        <f>'Secondary cum Calculation'!G848</f>
        <v>Tourism Demand &amp; Flows Database</v>
      </c>
      <c r="H934" s="48" t="str">
        <f>'Secondary cum Calculation'!H848</f>
        <v>New</v>
      </c>
      <c r="I934" s="48">
        <f>'Secondary cum Calculation'!I848</f>
        <v>0</v>
      </c>
      <c r="J934" s="48" t="str">
        <f>'Secondary cum Calculation'!J848</f>
        <v>Thousand</v>
      </c>
      <c r="K934" s="49">
        <f>'Secondary cum Calculation'!K848</f>
        <v>482</v>
      </c>
      <c r="L934" s="53">
        <f>'Secondary cum Calculation'!L848</f>
        <v>0</v>
      </c>
      <c r="M934" s="53">
        <f>'Secondary cum Calculation'!M848</f>
        <v>0</v>
      </c>
      <c r="N934" s="53">
        <f>'Secondary cum Calculation'!N848</f>
        <v>0</v>
      </c>
      <c r="O934" s="53">
        <f>'Secondary cum Calculation'!O848</f>
        <v>0</v>
      </c>
      <c r="P934" s="53">
        <f>'Secondary cum Calculation'!P848</f>
        <v>0</v>
      </c>
      <c r="Q934" s="53"/>
      <c r="R934" s="53"/>
      <c r="S934" s="53"/>
      <c r="T934" s="53"/>
      <c r="U934" s="53"/>
      <c r="V934" s="53"/>
      <c r="W934" s="102" t="e">
        <f>'Secondary cum Calculation'!W848</f>
        <v>#DIV/0!</v>
      </c>
      <c r="X934" s="102" t="e">
        <f>'Secondary cum Calculation'!X848</f>
        <v>#DIV/0!</v>
      </c>
      <c r="Z934" s="11"/>
    </row>
    <row r="935" spans="1:26">
      <c r="A935" s="48"/>
      <c r="B935" s="48"/>
      <c r="C935" s="52" t="str">
        <f>'Secondary cum Calculation'!C849</f>
        <v>Growth Rate</v>
      </c>
      <c r="D935" s="52"/>
      <c r="E935" s="52"/>
      <c r="F935" s="52">
        <f>'Secondary cum Calculation'!F849</f>
        <v>0</v>
      </c>
      <c r="G935" s="52">
        <f>'Secondary cum Calculation'!G849</f>
        <v>0</v>
      </c>
      <c r="H935" s="52">
        <f>'Secondary cum Calculation'!H849</f>
        <v>0</v>
      </c>
      <c r="I935" s="52">
        <f>'Secondary cum Calculation'!I849</f>
        <v>0</v>
      </c>
      <c r="J935" s="52" t="str">
        <f>'Secondary cum Calculation'!J849</f>
        <v>%</v>
      </c>
      <c r="K935" s="49">
        <f>'Secondary cum Calculation'!K849</f>
        <v>0</v>
      </c>
      <c r="L935" s="53"/>
      <c r="M935" s="54" t="e">
        <f>'Secondary cum Calculation'!M849</f>
        <v>#DIV/0!</v>
      </c>
      <c r="N935" s="54" t="e">
        <f>'Secondary cum Calculation'!N849</f>
        <v>#DIV/0!</v>
      </c>
      <c r="O935" s="54" t="e">
        <f>'Secondary cum Calculation'!O849</f>
        <v>#DIV/0!</v>
      </c>
      <c r="P935" s="54" t="e">
        <f>'Secondary cum Calculation'!P849</f>
        <v>#DIV/0!</v>
      </c>
      <c r="Q935" s="54"/>
      <c r="R935" s="54"/>
      <c r="S935" s="54"/>
      <c r="T935" s="54"/>
      <c r="U935" s="54"/>
      <c r="V935" s="54"/>
      <c r="W935" s="258"/>
      <c r="X935" s="258"/>
    </row>
    <row r="936" spans="1:26">
      <c r="A936" s="46" t="str">
        <f>'Secondary cum Calculation'!A850</f>
        <v>Poland</v>
      </c>
      <c r="B936" s="47" t="str">
        <f>'Secondary cum Calculation'!B850</f>
        <v>Tourism Flows</v>
      </c>
      <c r="C936" s="47" t="str">
        <f>'Secondary cum Calculation'!C850</f>
        <v>International Departures by Destination</v>
      </c>
      <c r="D936" s="47" t="str">
        <f>'Secondary cum Calculation'!D850</f>
        <v>Europe</v>
      </c>
      <c r="E936" s="46" t="str">
        <f>'Secondary cum Calculation'!E850</f>
        <v>Hungary</v>
      </c>
      <c r="F936" s="48" t="str">
        <f>'Secondary cum Calculation'!F850</f>
        <v>The number of international departures from a country to Hungary</v>
      </c>
      <c r="G936" s="48" t="str">
        <f>'Secondary cum Calculation'!G850</f>
        <v>Tourism Demand &amp; Flows Database</v>
      </c>
      <c r="H936" s="48" t="str">
        <f>'Secondary cum Calculation'!H850</f>
        <v>New</v>
      </c>
      <c r="I936" s="48">
        <f>'Secondary cum Calculation'!I850</f>
        <v>0</v>
      </c>
      <c r="J936" s="48" t="str">
        <f>'Secondary cum Calculation'!J850</f>
        <v>Thousand</v>
      </c>
      <c r="K936" s="49">
        <f>'Secondary cum Calculation'!K850</f>
        <v>0</v>
      </c>
      <c r="L936" s="92">
        <f>'Secondary cum Calculation'!L850</f>
        <v>0</v>
      </c>
      <c r="M936" s="92">
        <f>'Secondary cum Calculation'!M850</f>
        <v>0</v>
      </c>
      <c r="N936" s="92">
        <f>'Secondary cum Calculation'!N850</f>
        <v>0</v>
      </c>
      <c r="O936" s="89">
        <f>'Secondary cum Calculation'!O850</f>
        <v>0</v>
      </c>
      <c r="P936" s="89">
        <f>'Secondary cum Calculation'!P850</f>
        <v>0</v>
      </c>
      <c r="Q936" s="89"/>
      <c r="R936" s="89"/>
      <c r="S936" s="89"/>
      <c r="T936" s="89"/>
      <c r="U936" s="89"/>
      <c r="V936" s="89"/>
      <c r="W936" s="102" t="e">
        <f>'Secondary cum Calculation'!W850</f>
        <v>#DIV/0!</v>
      </c>
      <c r="X936" s="102" t="e">
        <f>'Secondary cum Calculation'!X850</f>
        <v>#DIV/0!</v>
      </c>
      <c r="Z936" s="11"/>
    </row>
    <row r="937" spans="1:26">
      <c r="A937" s="48"/>
      <c r="B937" s="48"/>
      <c r="C937" s="52" t="str">
        <f>'Secondary cum Calculation'!C851</f>
        <v>Growth Rate</v>
      </c>
      <c r="D937" s="52"/>
      <c r="E937" s="52"/>
      <c r="F937" s="52">
        <f>'Secondary cum Calculation'!F851</f>
        <v>0</v>
      </c>
      <c r="G937" s="52">
        <f>'Secondary cum Calculation'!G851</f>
        <v>0</v>
      </c>
      <c r="H937" s="52">
        <f>'Secondary cum Calculation'!H851</f>
        <v>0</v>
      </c>
      <c r="I937" s="52">
        <f>'Secondary cum Calculation'!I851</f>
        <v>0</v>
      </c>
      <c r="J937" s="52" t="str">
        <f>'Secondary cum Calculation'!J851</f>
        <v>%</v>
      </c>
      <c r="K937" s="49">
        <f>'Secondary cum Calculation'!K851</f>
        <v>0</v>
      </c>
      <c r="L937" s="53"/>
      <c r="M937" s="54" t="e">
        <f>'Secondary cum Calculation'!M851</f>
        <v>#DIV/0!</v>
      </c>
      <c r="N937" s="54" t="e">
        <f>'Secondary cum Calculation'!N851</f>
        <v>#DIV/0!</v>
      </c>
      <c r="O937" s="54" t="e">
        <f>'Secondary cum Calculation'!O851</f>
        <v>#DIV/0!</v>
      </c>
      <c r="P937" s="54" t="e">
        <f>'Secondary cum Calculation'!P851</f>
        <v>#DIV/0!</v>
      </c>
      <c r="Q937" s="54"/>
      <c r="R937" s="54"/>
      <c r="S937" s="54"/>
      <c r="T937" s="54"/>
      <c r="U937" s="54"/>
      <c r="V937" s="54"/>
      <c r="W937" s="258"/>
      <c r="X937" s="258"/>
    </row>
    <row r="938" spans="1:26">
      <c r="A938" s="46" t="str">
        <f>'Secondary cum Calculation'!A852</f>
        <v>Poland</v>
      </c>
      <c r="B938" s="47" t="str">
        <f>'Secondary cum Calculation'!B852</f>
        <v>Tourism Flows</v>
      </c>
      <c r="C938" s="47" t="str">
        <f>'Secondary cum Calculation'!C852</f>
        <v>International Departures by Destination</v>
      </c>
      <c r="D938" s="47" t="str">
        <f>'Secondary cum Calculation'!D852</f>
        <v>Europe</v>
      </c>
      <c r="E938" s="46" t="str">
        <f>'Secondary cum Calculation'!E852</f>
        <v>Iceland</v>
      </c>
      <c r="F938" s="48" t="str">
        <f>'Secondary cum Calculation'!F852</f>
        <v>The number of international departures from a country to Iceland</v>
      </c>
      <c r="G938" s="48" t="str">
        <f>'Secondary cum Calculation'!G852</f>
        <v>Tourism Demand &amp; Flows Database</v>
      </c>
      <c r="H938" s="48" t="str">
        <f>'Secondary cum Calculation'!H852</f>
        <v>New</v>
      </c>
      <c r="I938" s="48">
        <f>'Secondary cum Calculation'!I852</f>
        <v>0</v>
      </c>
      <c r="J938" s="48" t="str">
        <f>'Secondary cum Calculation'!J852</f>
        <v>Thousand</v>
      </c>
      <c r="K938" s="49">
        <f>'Secondary cum Calculation'!K852</f>
        <v>0</v>
      </c>
      <c r="L938" s="92">
        <f>'Secondary cum Calculation'!L852</f>
        <v>0</v>
      </c>
      <c r="M938" s="92">
        <f>'Secondary cum Calculation'!M852</f>
        <v>0</v>
      </c>
      <c r="N938" s="92">
        <f>'Secondary cum Calculation'!N852</f>
        <v>0</v>
      </c>
      <c r="O938" s="89">
        <f>'Secondary cum Calculation'!O852</f>
        <v>0</v>
      </c>
      <c r="P938" s="89">
        <f>'Secondary cum Calculation'!P852</f>
        <v>0</v>
      </c>
      <c r="Q938" s="89"/>
      <c r="R938" s="89"/>
      <c r="S938" s="89"/>
      <c r="T938" s="89"/>
      <c r="U938" s="89"/>
      <c r="V938" s="89"/>
      <c r="W938" s="102" t="e">
        <f>'Secondary cum Calculation'!W852</f>
        <v>#DIV/0!</v>
      </c>
      <c r="X938" s="102" t="e">
        <f>'Secondary cum Calculation'!X852</f>
        <v>#DIV/0!</v>
      </c>
      <c r="Z938" s="11"/>
    </row>
    <row r="939" spans="1:26">
      <c r="A939" s="48"/>
      <c r="B939" s="48"/>
      <c r="C939" s="52" t="str">
        <f>'Secondary cum Calculation'!C853</f>
        <v>Growth Rate</v>
      </c>
      <c r="D939" s="52"/>
      <c r="E939" s="52"/>
      <c r="F939" s="52">
        <f>'Secondary cum Calculation'!F853</f>
        <v>0</v>
      </c>
      <c r="G939" s="52">
        <f>'Secondary cum Calculation'!G853</f>
        <v>0</v>
      </c>
      <c r="H939" s="52">
        <f>'Secondary cum Calculation'!H853</f>
        <v>0</v>
      </c>
      <c r="I939" s="52">
        <f>'Secondary cum Calculation'!I853</f>
        <v>0</v>
      </c>
      <c r="J939" s="52" t="str">
        <f>'Secondary cum Calculation'!J853</f>
        <v>%</v>
      </c>
      <c r="K939" s="49">
        <f>'Secondary cum Calculation'!K853</f>
        <v>0</v>
      </c>
      <c r="L939" s="53"/>
      <c r="M939" s="54" t="e">
        <f>'Secondary cum Calculation'!M853</f>
        <v>#DIV/0!</v>
      </c>
      <c r="N939" s="54" t="e">
        <f>'Secondary cum Calculation'!N853</f>
        <v>#DIV/0!</v>
      </c>
      <c r="O939" s="54" t="e">
        <f>'Secondary cum Calculation'!O853</f>
        <v>#DIV/0!</v>
      </c>
      <c r="P939" s="54" t="e">
        <f>'Secondary cum Calculation'!P853</f>
        <v>#DIV/0!</v>
      </c>
      <c r="Q939" s="54"/>
      <c r="R939" s="54"/>
      <c r="S939" s="54"/>
      <c r="T939" s="54"/>
      <c r="U939" s="54"/>
      <c r="V939" s="54"/>
      <c r="W939" s="258"/>
      <c r="X939" s="258"/>
    </row>
    <row r="940" spans="1:26">
      <c r="A940" s="46" t="str">
        <f>'Secondary cum Calculation'!A854</f>
        <v>Poland</v>
      </c>
      <c r="B940" s="47" t="str">
        <f>'Secondary cum Calculation'!B854</f>
        <v>Tourism Flows</v>
      </c>
      <c r="C940" s="47" t="str">
        <f>'Secondary cum Calculation'!C854</f>
        <v>International Departures by Destination</v>
      </c>
      <c r="D940" s="47" t="str">
        <f>'Secondary cum Calculation'!D854</f>
        <v>Europe</v>
      </c>
      <c r="E940" s="46" t="str">
        <f>'Secondary cum Calculation'!E854</f>
        <v>Ireland</v>
      </c>
      <c r="F940" s="48" t="str">
        <f>'Secondary cum Calculation'!F854</f>
        <v>The number of international departures from a country to Ireland</v>
      </c>
      <c r="G940" s="48" t="str">
        <f>'Secondary cum Calculation'!G854</f>
        <v>Tourism Demand &amp; Flows Database</v>
      </c>
      <c r="H940" s="48" t="str">
        <f>'Secondary cum Calculation'!H854</f>
        <v>New</v>
      </c>
      <c r="I940" s="48">
        <f>'Secondary cum Calculation'!I854</f>
        <v>0</v>
      </c>
      <c r="J940" s="48" t="str">
        <f>'Secondary cum Calculation'!J854</f>
        <v>Thousand</v>
      </c>
      <c r="K940" s="49">
        <f>'Secondary cum Calculation'!K854</f>
        <v>844</v>
      </c>
      <c r="L940" s="53">
        <f>'Secondary cum Calculation'!L854</f>
        <v>0</v>
      </c>
      <c r="M940" s="53">
        <f>'Secondary cum Calculation'!M854</f>
        <v>0</v>
      </c>
      <c r="N940" s="53">
        <f>'Secondary cum Calculation'!N854</f>
        <v>0</v>
      </c>
      <c r="O940" s="53">
        <f>'Secondary cum Calculation'!O854</f>
        <v>0</v>
      </c>
      <c r="P940" s="53">
        <f>'Secondary cum Calculation'!P854</f>
        <v>0</v>
      </c>
      <c r="Q940" s="53"/>
      <c r="R940" s="53"/>
      <c r="S940" s="53"/>
      <c r="T940" s="53"/>
      <c r="U940" s="53"/>
      <c r="V940" s="53"/>
      <c r="W940" s="102" t="e">
        <f>'Secondary cum Calculation'!W854</f>
        <v>#DIV/0!</v>
      </c>
      <c r="X940" s="102" t="e">
        <f>'Secondary cum Calculation'!X854</f>
        <v>#DIV/0!</v>
      </c>
      <c r="Z940" s="11"/>
    </row>
    <row r="941" spans="1:26">
      <c r="A941" s="48"/>
      <c r="B941" s="48"/>
      <c r="C941" s="52" t="str">
        <f>'Secondary cum Calculation'!C855</f>
        <v>Growth Rate</v>
      </c>
      <c r="D941" s="52"/>
      <c r="E941" s="52"/>
      <c r="F941" s="52">
        <f>'Secondary cum Calculation'!F855</f>
        <v>0</v>
      </c>
      <c r="G941" s="52">
        <f>'Secondary cum Calculation'!G855</f>
        <v>0</v>
      </c>
      <c r="H941" s="52">
        <f>'Secondary cum Calculation'!H855</f>
        <v>0</v>
      </c>
      <c r="I941" s="52">
        <f>'Secondary cum Calculation'!I855</f>
        <v>0</v>
      </c>
      <c r="J941" s="52" t="str">
        <f>'Secondary cum Calculation'!J855</f>
        <v>%</v>
      </c>
      <c r="K941" s="49">
        <f>'Secondary cum Calculation'!K855</f>
        <v>0</v>
      </c>
      <c r="L941" s="53"/>
      <c r="M941" s="54" t="e">
        <f>'Secondary cum Calculation'!M855</f>
        <v>#DIV/0!</v>
      </c>
      <c r="N941" s="54" t="e">
        <f>'Secondary cum Calculation'!N855</f>
        <v>#DIV/0!</v>
      </c>
      <c r="O941" s="54" t="e">
        <f>'Secondary cum Calculation'!O855</f>
        <v>#DIV/0!</v>
      </c>
      <c r="P941" s="54" t="e">
        <f>'Secondary cum Calculation'!P855</f>
        <v>#DIV/0!</v>
      </c>
      <c r="Q941" s="54"/>
      <c r="R941" s="54"/>
      <c r="S941" s="54"/>
      <c r="T941" s="54"/>
      <c r="U941" s="54"/>
      <c r="V941" s="54"/>
      <c r="W941" s="258"/>
      <c r="X941" s="258"/>
    </row>
    <row r="942" spans="1:26">
      <c r="A942" s="46" t="str">
        <f>'Secondary cum Calculation'!A856</f>
        <v>Poland</v>
      </c>
      <c r="B942" s="47" t="str">
        <f>'Secondary cum Calculation'!B856</f>
        <v>Tourism Flows</v>
      </c>
      <c r="C942" s="47" t="str">
        <f>'Secondary cum Calculation'!C856</f>
        <v>International Departures by Destination</v>
      </c>
      <c r="D942" s="47" t="str">
        <f>'Secondary cum Calculation'!D856</f>
        <v>Europe</v>
      </c>
      <c r="E942" s="46" t="str">
        <f>'Secondary cum Calculation'!E856</f>
        <v>Italy</v>
      </c>
      <c r="F942" s="48" t="str">
        <f>'Secondary cum Calculation'!F856</f>
        <v>The number of international departures from a country to Italy</v>
      </c>
      <c r="G942" s="48" t="str">
        <f>'Secondary cum Calculation'!G856</f>
        <v>Tourism Demand &amp; Flows Database</v>
      </c>
      <c r="H942" s="48" t="str">
        <f>'Secondary cum Calculation'!H856</f>
        <v>New</v>
      </c>
      <c r="I942" s="48">
        <f>'Secondary cum Calculation'!I856</f>
        <v>0</v>
      </c>
      <c r="J942" s="48" t="str">
        <f>'Secondary cum Calculation'!J856</f>
        <v>Thousand</v>
      </c>
      <c r="K942" s="49">
        <f>'Secondary cum Calculation'!K856</f>
        <v>2201</v>
      </c>
      <c r="L942" s="53">
        <f>'Secondary cum Calculation'!L856</f>
        <v>0</v>
      </c>
      <c r="M942" s="53">
        <f>'Secondary cum Calculation'!M856</f>
        <v>0</v>
      </c>
      <c r="N942" s="53">
        <f>'Secondary cum Calculation'!N856</f>
        <v>0</v>
      </c>
      <c r="O942" s="53">
        <f>'Secondary cum Calculation'!O856</f>
        <v>0</v>
      </c>
      <c r="P942" s="53">
        <f>'Secondary cum Calculation'!P856</f>
        <v>0</v>
      </c>
      <c r="Q942" s="53"/>
      <c r="R942" s="53"/>
      <c r="S942" s="53"/>
      <c r="T942" s="53"/>
      <c r="U942" s="53"/>
      <c r="V942" s="53"/>
      <c r="W942" s="102" t="e">
        <f>'Secondary cum Calculation'!W856</f>
        <v>#DIV/0!</v>
      </c>
      <c r="X942" s="102" t="e">
        <f>'Secondary cum Calculation'!X856</f>
        <v>#DIV/0!</v>
      </c>
      <c r="Z942" s="11"/>
    </row>
    <row r="943" spans="1:26">
      <c r="A943" s="48"/>
      <c r="B943" s="48"/>
      <c r="C943" s="52" t="str">
        <f>'Secondary cum Calculation'!C857</f>
        <v>Growth Rate</v>
      </c>
      <c r="D943" s="52"/>
      <c r="E943" s="52"/>
      <c r="F943" s="52">
        <f>'Secondary cum Calculation'!F857</f>
        <v>0</v>
      </c>
      <c r="G943" s="52">
        <f>'Secondary cum Calculation'!G857</f>
        <v>0</v>
      </c>
      <c r="H943" s="52">
        <f>'Secondary cum Calculation'!H857</f>
        <v>0</v>
      </c>
      <c r="I943" s="52">
        <f>'Secondary cum Calculation'!I857</f>
        <v>0</v>
      </c>
      <c r="J943" s="52" t="str">
        <f>'Secondary cum Calculation'!J857</f>
        <v>%</v>
      </c>
      <c r="K943" s="49">
        <f>'Secondary cum Calculation'!K857</f>
        <v>0</v>
      </c>
      <c r="L943" s="53"/>
      <c r="M943" s="54" t="e">
        <f>'Secondary cum Calculation'!M857</f>
        <v>#DIV/0!</v>
      </c>
      <c r="N943" s="54" t="e">
        <f>'Secondary cum Calculation'!N857</f>
        <v>#DIV/0!</v>
      </c>
      <c r="O943" s="54" t="e">
        <f>'Secondary cum Calculation'!O857</f>
        <v>#DIV/0!</v>
      </c>
      <c r="P943" s="54" t="e">
        <f>'Secondary cum Calculation'!P857</f>
        <v>#DIV/0!</v>
      </c>
      <c r="Q943" s="54"/>
      <c r="R943" s="54"/>
      <c r="S943" s="54"/>
      <c r="T943" s="54"/>
      <c r="U943" s="54"/>
      <c r="V943" s="54"/>
      <c r="W943" s="258"/>
      <c r="X943" s="258"/>
    </row>
    <row r="944" spans="1:26">
      <c r="A944" s="46" t="str">
        <f>'Secondary cum Calculation'!A858</f>
        <v>Poland</v>
      </c>
      <c r="B944" s="47" t="str">
        <f>'Secondary cum Calculation'!B858</f>
        <v>Tourism Flows</v>
      </c>
      <c r="C944" s="47" t="str">
        <f>'Secondary cum Calculation'!C858</f>
        <v>International Departures by Destination</v>
      </c>
      <c r="D944" s="47" t="str">
        <f>'Secondary cum Calculation'!D858</f>
        <v>Europe</v>
      </c>
      <c r="E944" s="46" t="str">
        <f>'Secondary cum Calculation'!E858</f>
        <v>Latvia</v>
      </c>
      <c r="F944" s="48" t="str">
        <f>'Secondary cum Calculation'!F858</f>
        <v>The number of international departures from a country to Latvia</v>
      </c>
      <c r="G944" s="48" t="str">
        <f>'Secondary cum Calculation'!G858</f>
        <v>Tourism Demand &amp; Flows Database</v>
      </c>
      <c r="H944" s="48" t="str">
        <f>'Secondary cum Calculation'!H858</f>
        <v>New</v>
      </c>
      <c r="I944" s="48">
        <f>'Secondary cum Calculation'!I858</f>
        <v>0</v>
      </c>
      <c r="J944" s="48" t="str">
        <f>'Secondary cum Calculation'!J858</f>
        <v>Thousand</v>
      </c>
      <c r="K944" s="49">
        <f>'Secondary cum Calculation'!K858</f>
        <v>0</v>
      </c>
      <c r="L944" s="92">
        <f>'Secondary cum Calculation'!L858</f>
        <v>0</v>
      </c>
      <c r="M944" s="92">
        <f>'Secondary cum Calculation'!M858</f>
        <v>0</v>
      </c>
      <c r="N944" s="92">
        <f>'Secondary cum Calculation'!N858</f>
        <v>0</v>
      </c>
      <c r="O944" s="89">
        <f>'Secondary cum Calculation'!O858</f>
        <v>0</v>
      </c>
      <c r="P944" s="89">
        <f>'Secondary cum Calculation'!P858</f>
        <v>0</v>
      </c>
      <c r="Q944" s="89"/>
      <c r="R944" s="89"/>
      <c r="S944" s="89"/>
      <c r="T944" s="89"/>
      <c r="U944" s="89"/>
      <c r="V944" s="89"/>
      <c r="W944" s="102" t="e">
        <f>'Secondary cum Calculation'!W858</f>
        <v>#DIV/0!</v>
      </c>
      <c r="X944" s="102" t="e">
        <f>'Secondary cum Calculation'!X858</f>
        <v>#DIV/0!</v>
      </c>
      <c r="Z944" s="11"/>
    </row>
    <row r="945" spans="1:26">
      <c r="A945" s="48"/>
      <c r="B945" s="48"/>
      <c r="C945" s="52" t="str">
        <f>'Secondary cum Calculation'!C859</f>
        <v>Growth Rate</v>
      </c>
      <c r="D945" s="52"/>
      <c r="E945" s="52"/>
      <c r="F945" s="52">
        <f>'Secondary cum Calculation'!F859</f>
        <v>0</v>
      </c>
      <c r="G945" s="52">
        <f>'Secondary cum Calculation'!G859</f>
        <v>0</v>
      </c>
      <c r="H945" s="52">
        <f>'Secondary cum Calculation'!H859</f>
        <v>0</v>
      </c>
      <c r="I945" s="52">
        <f>'Secondary cum Calculation'!I859</f>
        <v>0</v>
      </c>
      <c r="J945" s="52" t="str">
        <f>'Secondary cum Calculation'!J859</f>
        <v>%</v>
      </c>
      <c r="K945" s="49">
        <f>'Secondary cum Calculation'!K859</f>
        <v>0</v>
      </c>
      <c r="L945" s="53"/>
      <c r="M945" s="54" t="e">
        <f>'Secondary cum Calculation'!M859</f>
        <v>#DIV/0!</v>
      </c>
      <c r="N945" s="54" t="e">
        <f>'Secondary cum Calculation'!N859</f>
        <v>#DIV/0!</v>
      </c>
      <c r="O945" s="54" t="e">
        <f>'Secondary cum Calculation'!O859</f>
        <v>#DIV/0!</v>
      </c>
      <c r="P945" s="54" t="e">
        <f>'Secondary cum Calculation'!P859</f>
        <v>#DIV/0!</v>
      </c>
      <c r="Q945" s="54"/>
      <c r="R945" s="54"/>
      <c r="S945" s="54"/>
      <c r="T945" s="54"/>
      <c r="U945" s="54"/>
      <c r="V945" s="54"/>
      <c r="W945" s="258"/>
      <c r="X945" s="258"/>
    </row>
    <row r="946" spans="1:26">
      <c r="A946" s="46" t="str">
        <f>'Secondary cum Calculation'!A860</f>
        <v>Poland</v>
      </c>
      <c r="B946" s="47" t="str">
        <f>'Secondary cum Calculation'!B860</f>
        <v>Tourism Flows</v>
      </c>
      <c r="C946" s="47" t="str">
        <f>'Secondary cum Calculation'!C860</f>
        <v>International Departures by Destination</v>
      </c>
      <c r="D946" s="47" t="str">
        <f>'Secondary cum Calculation'!D860</f>
        <v>Europe</v>
      </c>
      <c r="E946" s="46" t="str">
        <f>'Secondary cum Calculation'!E860</f>
        <v>Lithuania</v>
      </c>
      <c r="F946" s="48" t="str">
        <f>'Secondary cum Calculation'!F860</f>
        <v>The number of international departures from a country to Lithuania</v>
      </c>
      <c r="G946" s="48" t="str">
        <f>'Secondary cum Calculation'!G860</f>
        <v>Tourism Demand &amp; Flows Database</v>
      </c>
      <c r="H946" s="48" t="str">
        <f>'Secondary cum Calculation'!H860</f>
        <v>New</v>
      </c>
      <c r="I946" s="48">
        <f>'Secondary cum Calculation'!I860</f>
        <v>0</v>
      </c>
      <c r="J946" s="48" t="str">
        <f>'Secondary cum Calculation'!J860</f>
        <v>Thousand</v>
      </c>
      <c r="K946" s="49">
        <f>'Secondary cum Calculation'!K860</f>
        <v>0</v>
      </c>
      <c r="L946" s="92">
        <f>'Secondary cum Calculation'!L860</f>
        <v>0</v>
      </c>
      <c r="M946" s="92">
        <f>'Secondary cum Calculation'!M860</f>
        <v>0</v>
      </c>
      <c r="N946" s="92">
        <f>'Secondary cum Calculation'!N860</f>
        <v>0</v>
      </c>
      <c r="O946" s="53">
        <f>'Secondary cum Calculation'!O860</f>
        <v>0</v>
      </c>
      <c r="P946" s="53">
        <f>'Secondary cum Calculation'!P860</f>
        <v>0</v>
      </c>
      <c r="Q946" s="53"/>
      <c r="R946" s="53"/>
      <c r="S946" s="53"/>
      <c r="T946" s="53"/>
      <c r="U946" s="53"/>
      <c r="V946" s="53"/>
      <c r="W946" s="102" t="e">
        <f>'Secondary cum Calculation'!W860</f>
        <v>#DIV/0!</v>
      </c>
      <c r="X946" s="102" t="e">
        <f>'Secondary cum Calculation'!X860</f>
        <v>#DIV/0!</v>
      </c>
      <c r="Z946" s="11"/>
    </row>
    <row r="947" spans="1:26">
      <c r="A947" s="48"/>
      <c r="B947" s="48"/>
      <c r="C947" s="52" t="str">
        <f>'Secondary cum Calculation'!C861</f>
        <v>Growth Rate</v>
      </c>
      <c r="D947" s="52"/>
      <c r="E947" s="52"/>
      <c r="F947" s="52">
        <f>'Secondary cum Calculation'!F861</f>
        <v>0</v>
      </c>
      <c r="G947" s="52">
        <f>'Secondary cum Calculation'!G861</f>
        <v>0</v>
      </c>
      <c r="H947" s="52">
        <f>'Secondary cum Calculation'!H861</f>
        <v>0</v>
      </c>
      <c r="I947" s="52">
        <f>'Secondary cum Calculation'!I861</f>
        <v>0</v>
      </c>
      <c r="J947" s="52" t="str">
        <f>'Secondary cum Calculation'!J861</f>
        <v>%</v>
      </c>
      <c r="K947" s="49">
        <f>'Secondary cum Calculation'!K861</f>
        <v>0</v>
      </c>
      <c r="L947" s="53"/>
      <c r="M947" s="54" t="e">
        <f>'Secondary cum Calculation'!M861</f>
        <v>#DIV/0!</v>
      </c>
      <c r="N947" s="54" t="e">
        <f>'Secondary cum Calculation'!N861</f>
        <v>#DIV/0!</v>
      </c>
      <c r="O947" s="54" t="e">
        <f>'Secondary cum Calculation'!O861</f>
        <v>#DIV/0!</v>
      </c>
      <c r="P947" s="54" t="e">
        <f>'Secondary cum Calculation'!P861</f>
        <v>#DIV/0!</v>
      </c>
      <c r="Q947" s="54"/>
      <c r="R947" s="54"/>
      <c r="S947" s="54"/>
      <c r="T947" s="54"/>
      <c r="U947" s="54"/>
      <c r="V947" s="54"/>
      <c r="W947" s="258"/>
      <c r="X947" s="258"/>
    </row>
    <row r="948" spans="1:26">
      <c r="A948" s="46" t="str">
        <f>'Secondary cum Calculation'!A862</f>
        <v>Poland</v>
      </c>
      <c r="B948" s="47" t="str">
        <f>'Secondary cum Calculation'!B862</f>
        <v>Tourism Flows</v>
      </c>
      <c r="C948" s="47" t="str">
        <f>'Secondary cum Calculation'!C862</f>
        <v>International Departures by Destination</v>
      </c>
      <c r="D948" s="47" t="str">
        <f>'Secondary cum Calculation'!D862</f>
        <v>Europe</v>
      </c>
      <c r="E948" s="46" t="str">
        <f>'Secondary cum Calculation'!E862</f>
        <v>Luxembourg</v>
      </c>
      <c r="F948" s="48" t="str">
        <f>'Secondary cum Calculation'!F862</f>
        <v>The number of international departures from a country to Luxembourg</v>
      </c>
      <c r="G948" s="48" t="str">
        <f>'Secondary cum Calculation'!G862</f>
        <v>Tourism Demand &amp; Flows Database</v>
      </c>
      <c r="H948" s="48" t="str">
        <f>'Secondary cum Calculation'!H862</f>
        <v>New</v>
      </c>
      <c r="I948" s="48">
        <f>'Secondary cum Calculation'!I862</f>
        <v>0</v>
      </c>
      <c r="J948" s="48" t="str">
        <f>'Secondary cum Calculation'!J862</f>
        <v>Thousand</v>
      </c>
      <c r="K948" s="49">
        <f>'Secondary cum Calculation'!K862</f>
        <v>0</v>
      </c>
      <c r="L948" s="92">
        <f>'Secondary cum Calculation'!L862</f>
        <v>0</v>
      </c>
      <c r="M948" s="92">
        <f>'Secondary cum Calculation'!M862</f>
        <v>0</v>
      </c>
      <c r="N948" s="92">
        <f>'Secondary cum Calculation'!N862</f>
        <v>0</v>
      </c>
      <c r="O948" s="53">
        <f>'Secondary cum Calculation'!O862</f>
        <v>0</v>
      </c>
      <c r="P948" s="53">
        <f>'Secondary cum Calculation'!P862</f>
        <v>0</v>
      </c>
      <c r="Q948" s="53"/>
      <c r="R948" s="53"/>
      <c r="S948" s="53"/>
      <c r="T948" s="53"/>
      <c r="U948" s="53"/>
      <c r="V948" s="53"/>
      <c r="W948" s="102" t="e">
        <f>'Secondary cum Calculation'!W862</f>
        <v>#DIV/0!</v>
      </c>
      <c r="X948" s="102" t="e">
        <f>'Secondary cum Calculation'!X862</f>
        <v>#DIV/0!</v>
      </c>
      <c r="Z948" s="11"/>
    </row>
    <row r="949" spans="1:26">
      <c r="A949" s="48"/>
      <c r="B949" s="48"/>
      <c r="C949" s="52" t="str">
        <f>'Secondary cum Calculation'!C863</f>
        <v>Growth Rate</v>
      </c>
      <c r="D949" s="52"/>
      <c r="E949" s="52"/>
      <c r="F949" s="52">
        <f>'Secondary cum Calculation'!F863</f>
        <v>0</v>
      </c>
      <c r="G949" s="52">
        <f>'Secondary cum Calculation'!G863</f>
        <v>0</v>
      </c>
      <c r="H949" s="52">
        <f>'Secondary cum Calculation'!H863</f>
        <v>0</v>
      </c>
      <c r="I949" s="52">
        <f>'Secondary cum Calculation'!I863</f>
        <v>0</v>
      </c>
      <c r="J949" s="52" t="str">
        <f>'Secondary cum Calculation'!J863</f>
        <v>%</v>
      </c>
      <c r="K949" s="49">
        <f>'Secondary cum Calculation'!K863</f>
        <v>0</v>
      </c>
      <c r="L949" s="53"/>
      <c r="M949" s="54" t="e">
        <f>'Secondary cum Calculation'!M863</f>
        <v>#DIV/0!</v>
      </c>
      <c r="N949" s="54" t="e">
        <f>'Secondary cum Calculation'!N863</f>
        <v>#DIV/0!</v>
      </c>
      <c r="O949" s="54" t="e">
        <f>'Secondary cum Calculation'!O863</f>
        <v>#DIV/0!</v>
      </c>
      <c r="P949" s="54" t="e">
        <f>'Secondary cum Calculation'!P863</f>
        <v>#DIV/0!</v>
      </c>
      <c r="Q949" s="54"/>
      <c r="R949" s="54"/>
      <c r="S949" s="54"/>
      <c r="T949" s="54"/>
      <c r="U949" s="54"/>
      <c r="V949" s="54"/>
      <c r="W949" s="258"/>
      <c r="X949" s="258"/>
    </row>
    <row r="950" spans="1:26">
      <c r="A950" s="46" t="str">
        <f>'Secondary cum Calculation'!A864</f>
        <v>Poland</v>
      </c>
      <c r="B950" s="47" t="str">
        <f>'Secondary cum Calculation'!B864</f>
        <v>Tourism Flows</v>
      </c>
      <c r="C950" s="47" t="str">
        <f>'Secondary cum Calculation'!C864</f>
        <v>International Departures by Destination</v>
      </c>
      <c r="D950" s="47" t="str">
        <f>'Secondary cum Calculation'!D864</f>
        <v>Europe</v>
      </c>
      <c r="E950" s="46" t="str">
        <f>'Secondary cum Calculation'!E864</f>
        <v>Malta</v>
      </c>
      <c r="F950" s="48" t="str">
        <f>'Secondary cum Calculation'!F864</f>
        <v>The number of international departures from a country to Malta</v>
      </c>
      <c r="G950" s="48" t="str">
        <f>'Secondary cum Calculation'!G864</f>
        <v>Tourism Demand &amp; Flows Database</v>
      </c>
      <c r="H950" s="48" t="str">
        <f>'Secondary cum Calculation'!H864</f>
        <v>New</v>
      </c>
      <c r="I950" s="48">
        <f>'Secondary cum Calculation'!I864</f>
        <v>0</v>
      </c>
      <c r="J950" s="48" t="str">
        <f>'Secondary cum Calculation'!J864</f>
        <v>Thousand</v>
      </c>
      <c r="K950" s="49">
        <f>'Secondary cum Calculation'!K864</f>
        <v>0</v>
      </c>
      <c r="L950" s="92">
        <f>'Secondary cum Calculation'!L864</f>
        <v>0</v>
      </c>
      <c r="M950" s="92">
        <f>'Secondary cum Calculation'!M864</f>
        <v>0</v>
      </c>
      <c r="N950" s="92">
        <f>'Secondary cum Calculation'!N864</f>
        <v>0</v>
      </c>
      <c r="O950" s="53">
        <f>'Secondary cum Calculation'!O864</f>
        <v>0</v>
      </c>
      <c r="P950" s="53">
        <f>'Secondary cum Calculation'!P864</f>
        <v>0</v>
      </c>
      <c r="Q950" s="53"/>
      <c r="R950" s="53"/>
      <c r="S950" s="53"/>
      <c r="T950" s="53"/>
      <c r="U950" s="53"/>
      <c r="V950" s="53"/>
      <c r="W950" s="102" t="e">
        <f>'Secondary cum Calculation'!W864</f>
        <v>#DIV/0!</v>
      </c>
      <c r="X950" s="102" t="e">
        <f>'Secondary cum Calculation'!X864</f>
        <v>#DIV/0!</v>
      </c>
      <c r="Z950" s="11"/>
    </row>
    <row r="951" spans="1:26">
      <c r="A951" s="48"/>
      <c r="B951" s="48"/>
      <c r="C951" s="52" t="str">
        <f>'Secondary cum Calculation'!C865</f>
        <v>Growth Rate</v>
      </c>
      <c r="D951" s="52"/>
      <c r="E951" s="52"/>
      <c r="F951" s="52">
        <f>'Secondary cum Calculation'!F865</f>
        <v>0</v>
      </c>
      <c r="G951" s="52">
        <f>'Secondary cum Calculation'!G865</f>
        <v>0</v>
      </c>
      <c r="H951" s="52">
        <f>'Secondary cum Calculation'!H865</f>
        <v>0</v>
      </c>
      <c r="I951" s="52">
        <f>'Secondary cum Calculation'!I865</f>
        <v>0</v>
      </c>
      <c r="J951" s="52" t="str">
        <f>'Secondary cum Calculation'!J865</f>
        <v>%</v>
      </c>
      <c r="K951" s="49">
        <f>'Secondary cum Calculation'!K865</f>
        <v>0</v>
      </c>
      <c r="L951" s="53"/>
      <c r="M951" s="54" t="e">
        <f>'Secondary cum Calculation'!M865</f>
        <v>#DIV/0!</v>
      </c>
      <c r="N951" s="54" t="e">
        <f>'Secondary cum Calculation'!N865</f>
        <v>#DIV/0!</v>
      </c>
      <c r="O951" s="54" t="e">
        <f>'Secondary cum Calculation'!O865</f>
        <v>#DIV/0!</v>
      </c>
      <c r="P951" s="54" t="e">
        <f>'Secondary cum Calculation'!P865</f>
        <v>#DIV/0!</v>
      </c>
      <c r="Q951" s="54"/>
      <c r="R951" s="54"/>
      <c r="S951" s="54"/>
      <c r="T951" s="54"/>
      <c r="U951" s="54"/>
      <c r="V951" s="54"/>
      <c r="W951" s="258"/>
      <c r="X951" s="258"/>
    </row>
    <row r="952" spans="1:26">
      <c r="A952" s="46" t="str">
        <f>'Secondary cum Calculation'!A866</f>
        <v>Poland</v>
      </c>
      <c r="B952" s="47" t="str">
        <f>'Secondary cum Calculation'!B866</f>
        <v>Tourism Flows</v>
      </c>
      <c r="C952" s="47" t="str">
        <f>'Secondary cum Calculation'!C866</f>
        <v>International Departures by Destination</v>
      </c>
      <c r="D952" s="47" t="str">
        <f>'Secondary cum Calculation'!D866</f>
        <v>Europe</v>
      </c>
      <c r="E952" s="46" t="str">
        <f>'Secondary cum Calculation'!E866</f>
        <v>Montenegro</v>
      </c>
      <c r="F952" s="48" t="str">
        <f>'Secondary cum Calculation'!F866</f>
        <v>The number of international departures from a country to Montenegro</v>
      </c>
      <c r="G952" s="48" t="str">
        <f>'Secondary cum Calculation'!G866</f>
        <v>Tourism Demand &amp; Flows Database</v>
      </c>
      <c r="H952" s="48" t="str">
        <f>'Secondary cum Calculation'!H866</f>
        <v>New</v>
      </c>
      <c r="I952" s="48">
        <f>'Secondary cum Calculation'!I866</f>
        <v>0</v>
      </c>
      <c r="J952" s="48" t="str">
        <f>'Secondary cum Calculation'!J866</f>
        <v>Thousand</v>
      </c>
      <c r="K952" s="49">
        <f>'Secondary cum Calculation'!K866</f>
        <v>0</v>
      </c>
      <c r="L952" s="92">
        <f>'Secondary cum Calculation'!L866</f>
        <v>0</v>
      </c>
      <c r="M952" s="92">
        <f>'Secondary cum Calculation'!M866</f>
        <v>0</v>
      </c>
      <c r="N952" s="92">
        <f>'Secondary cum Calculation'!N866</f>
        <v>0</v>
      </c>
      <c r="O952" s="53">
        <f>'Secondary cum Calculation'!O866</f>
        <v>0</v>
      </c>
      <c r="P952" s="53">
        <f>'Secondary cum Calculation'!P866</f>
        <v>0</v>
      </c>
      <c r="Q952" s="53"/>
      <c r="R952" s="53"/>
      <c r="S952" s="53"/>
      <c r="T952" s="53"/>
      <c r="U952" s="53"/>
      <c r="V952" s="53"/>
      <c r="W952" s="102" t="e">
        <f>'Secondary cum Calculation'!W866</f>
        <v>#DIV/0!</v>
      </c>
      <c r="X952" s="102" t="e">
        <f>'Secondary cum Calculation'!X866</f>
        <v>#DIV/0!</v>
      </c>
      <c r="Z952" s="11"/>
    </row>
    <row r="953" spans="1:26">
      <c r="A953" s="48"/>
      <c r="B953" s="48"/>
      <c r="C953" s="52" t="str">
        <f>'Secondary cum Calculation'!C867</f>
        <v>Growth Rate</v>
      </c>
      <c r="D953" s="52"/>
      <c r="E953" s="52"/>
      <c r="F953" s="52">
        <f>'Secondary cum Calculation'!F867</f>
        <v>0</v>
      </c>
      <c r="G953" s="52">
        <f>'Secondary cum Calculation'!G867</f>
        <v>0</v>
      </c>
      <c r="H953" s="52">
        <f>'Secondary cum Calculation'!H867</f>
        <v>0</v>
      </c>
      <c r="I953" s="52">
        <f>'Secondary cum Calculation'!I867</f>
        <v>0</v>
      </c>
      <c r="J953" s="52" t="str">
        <f>'Secondary cum Calculation'!J867</f>
        <v>%</v>
      </c>
      <c r="K953" s="49">
        <f>'Secondary cum Calculation'!K867</f>
        <v>0</v>
      </c>
      <c r="L953" s="53"/>
      <c r="M953" s="54" t="e">
        <f>'Secondary cum Calculation'!M867</f>
        <v>#DIV/0!</v>
      </c>
      <c r="N953" s="54" t="e">
        <f>'Secondary cum Calculation'!N867</f>
        <v>#DIV/0!</v>
      </c>
      <c r="O953" s="54" t="e">
        <f>'Secondary cum Calculation'!O867</f>
        <v>#DIV/0!</v>
      </c>
      <c r="P953" s="54" t="e">
        <f>'Secondary cum Calculation'!P867</f>
        <v>#DIV/0!</v>
      </c>
      <c r="Q953" s="54"/>
      <c r="R953" s="54"/>
      <c r="S953" s="54"/>
      <c r="T953" s="54"/>
      <c r="U953" s="54"/>
      <c r="V953" s="54"/>
      <c r="W953" s="258"/>
      <c r="X953" s="258"/>
    </row>
    <row r="954" spans="1:26">
      <c r="A954" s="46" t="str">
        <f>'Secondary cum Calculation'!A868</f>
        <v>Poland</v>
      </c>
      <c r="B954" s="47" t="str">
        <f>'Secondary cum Calculation'!B868</f>
        <v>Tourism Flows</v>
      </c>
      <c r="C954" s="47" t="str">
        <f>'Secondary cum Calculation'!C868</f>
        <v>International Departures by Destination</v>
      </c>
      <c r="D954" s="47" t="str">
        <f>'Secondary cum Calculation'!D868</f>
        <v>Europe</v>
      </c>
      <c r="E954" s="46" t="str">
        <f>'Secondary cum Calculation'!E868</f>
        <v>Netherlands</v>
      </c>
      <c r="F954" s="48" t="str">
        <f>'Secondary cum Calculation'!F868</f>
        <v>The number of international departures from a country to Netherlands</v>
      </c>
      <c r="G954" s="48" t="str">
        <f>'Secondary cum Calculation'!G868</f>
        <v>Tourism Demand &amp; Flows Database</v>
      </c>
      <c r="H954" s="48" t="str">
        <f>'Secondary cum Calculation'!H868</f>
        <v>New</v>
      </c>
      <c r="I954" s="48">
        <f>'Secondary cum Calculation'!I868</f>
        <v>0</v>
      </c>
      <c r="J954" s="48" t="str">
        <f>'Secondary cum Calculation'!J868</f>
        <v>Thousand</v>
      </c>
      <c r="K954" s="49">
        <f>'Secondary cum Calculation'!K868</f>
        <v>904</v>
      </c>
      <c r="L954" s="53">
        <f>'Secondary cum Calculation'!L868</f>
        <v>257</v>
      </c>
      <c r="M954" s="53">
        <f>'Secondary cum Calculation'!M868</f>
        <v>313</v>
      </c>
      <c r="N954" s="53">
        <f>'Secondary cum Calculation'!N868</f>
        <v>318</v>
      </c>
      <c r="O954" s="53">
        <f>'Secondary cum Calculation'!O868</f>
        <v>143</v>
      </c>
      <c r="P954" s="53">
        <f>'Secondary cum Calculation'!P868</f>
        <v>129</v>
      </c>
      <c r="Q954" s="53"/>
      <c r="R954" s="53"/>
      <c r="S954" s="53"/>
      <c r="T954" s="53"/>
      <c r="U954" s="53"/>
      <c r="V954" s="53"/>
      <c r="W954" s="102">
        <f>'Secondary cum Calculation'!W868</f>
        <v>-0.23235416266101239</v>
      </c>
      <c r="X954" s="102">
        <f>'Secondary cum Calculation'!X868</f>
        <v>-1</v>
      </c>
      <c r="Z954" s="11"/>
    </row>
    <row r="955" spans="1:26">
      <c r="A955" s="48"/>
      <c r="B955" s="48"/>
      <c r="C955" s="52" t="str">
        <f>'Secondary cum Calculation'!C869</f>
        <v>Growth Rate</v>
      </c>
      <c r="D955" s="52"/>
      <c r="E955" s="52"/>
      <c r="F955" s="52">
        <f>'Secondary cum Calculation'!F869</f>
        <v>0</v>
      </c>
      <c r="G955" s="52">
        <f>'Secondary cum Calculation'!G869</f>
        <v>0</v>
      </c>
      <c r="H955" s="52">
        <f>'Secondary cum Calculation'!H869</f>
        <v>0</v>
      </c>
      <c r="I955" s="52">
        <f>'Secondary cum Calculation'!I869</f>
        <v>0</v>
      </c>
      <c r="J955" s="52" t="str">
        <f>'Secondary cum Calculation'!J869</f>
        <v>%</v>
      </c>
      <c r="K955" s="49">
        <f>'Secondary cum Calculation'!K869</f>
        <v>0</v>
      </c>
      <c r="L955" s="53"/>
      <c r="M955" s="54">
        <f>'Secondary cum Calculation'!M869</f>
        <v>0.21789883268482479</v>
      </c>
      <c r="N955" s="54">
        <f>'Secondary cum Calculation'!N869</f>
        <v>1.5974440894568787E-2</v>
      </c>
      <c r="O955" s="54">
        <f>'Secondary cum Calculation'!O869</f>
        <v>-0.55031446540880502</v>
      </c>
      <c r="P955" s="54">
        <f>'Secondary cum Calculation'!P869</f>
        <v>-9.7902097902097918E-2</v>
      </c>
      <c r="Q955" s="54"/>
      <c r="R955" s="54"/>
      <c r="S955" s="54"/>
      <c r="T955" s="54"/>
      <c r="U955" s="54"/>
      <c r="V955" s="54"/>
      <c r="W955" s="258"/>
      <c r="X955" s="258"/>
    </row>
    <row r="956" spans="1:26">
      <c r="A956" s="46" t="str">
        <f>'Secondary cum Calculation'!A870</f>
        <v>Poland</v>
      </c>
      <c r="B956" s="47" t="str">
        <f>'Secondary cum Calculation'!B870</f>
        <v>Tourism Flows</v>
      </c>
      <c r="C956" s="47" t="str">
        <f>'Secondary cum Calculation'!C870</f>
        <v>International Departures by Destination</v>
      </c>
      <c r="D956" s="47" t="str">
        <f>'Secondary cum Calculation'!D870</f>
        <v>Europe</v>
      </c>
      <c r="E956" s="46" t="str">
        <f>'Secondary cum Calculation'!E870</f>
        <v>Norway</v>
      </c>
      <c r="F956" s="48" t="str">
        <f>'Secondary cum Calculation'!F870</f>
        <v>The number of international departures from a country to Norway</v>
      </c>
      <c r="G956" s="48" t="str">
        <f>'Secondary cum Calculation'!G870</f>
        <v>Tourism Demand &amp; Flows Database</v>
      </c>
      <c r="H956" s="48" t="str">
        <f>'Secondary cum Calculation'!H870</f>
        <v>New</v>
      </c>
      <c r="I956" s="48">
        <f>'Secondary cum Calculation'!I870</f>
        <v>0</v>
      </c>
      <c r="J956" s="48" t="str">
        <f>'Secondary cum Calculation'!J870</f>
        <v>Thousand</v>
      </c>
      <c r="K956" s="49">
        <f>'Secondary cum Calculation'!K870</f>
        <v>0</v>
      </c>
      <c r="L956" s="92">
        <f>'Secondary cum Calculation'!L870</f>
        <v>142</v>
      </c>
      <c r="M956" s="92">
        <f>'Secondary cum Calculation'!M870</f>
        <v>110</v>
      </c>
      <c r="N956" s="92">
        <f>'Secondary cum Calculation'!N870</f>
        <v>54</v>
      </c>
      <c r="O956" s="89">
        <f>'Secondary cum Calculation'!O870</f>
        <v>88</v>
      </c>
      <c r="P956" s="89">
        <f>'Secondary cum Calculation'!P870</f>
        <v>70</v>
      </c>
      <c r="Q956" s="89"/>
      <c r="R956" s="89"/>
      <c r="S956" s="89"/>
      <c r="T956" s="89"/>
      <c r="U956" s="89"/>
      <c r="V956" s="89"/>
      <c r="W956" s="102">
        <f>'Secondary cum Calculation'!W870</f>
        <v>-0.13705070254000562</v>
      </c>
      <c r="X956" s="102">
        <f>'Secondary cum Calculation'!X870</f>
        <v>-1</v>
      </c>
      <c r="Z956" s="11"/>
    </row>
    <row r="957" spans="1:26">
      <c r="A957" s="48"/>
      <c r="B957" s="48"/>
      <c r="C957" s="52" t="str">
        <f>'Secondary cum Calculation'!C871</f>
        <v>Growth Rate</v>
      </c>
      <c r="D957" s="52"/>
      <c r="E957" s="52"/>
      <c r="F957" s="52">
        <f>'Secondary cum Calculation'!F871</f>
        <v>0</v>
      </c>
      <c r="G957" s="52">
        <f>'Secondary cum Calculation'!G871</f>
        <v>0</v>
      </c>
      <c r="H957" s="52">
        <f>'Secondary cum Calculation'!H871</f>
        <v>0</v>
      </c>
      <c r="I957" s="52">
        <f>'Secondary cum Calculation'!I871</f>
        <v>0</v>
      </c>
      <c r="J957" s="52" t="str">
        <f>'Secondary cum Calculation'!J871</f>
        <v>%</v>
      </c>
      <c r="K957" s="49">
        <f>'Secondary cum Calculation'!K871</f>
        <v>0</v>
      </c>
      <c r="L957" s="53"/>
      <c r="M957" s="54">
        <f>'Secondary cum Calculation'!M871</f>
        <v>-0.22535211267605637</v>
      </c>
      <c r="N957" s="54">
        <f>'Secondary cum Calculation'!N871</f>
        <v>-0.50909090909090904</v>
      </c>
      <c r="O957" s="54">
        <f>'Secondary cum Calculation'!O871</f>
        <v>0.62962962962962954</v>
      </c>
      <c r="P957" s="54">
        <f>'Secondary cum Calculation'!P871</f>
        <v>-0.20454545454545459</v>
      </c>
      <c r="Q957" s="54"/>
      <c r="R957" s="54"/>
      <c r="S957" s="54"/>
      <c r="T957" s="54"/>
      <c r="U957" s="54"/>
      <c r="V957" s="54"/>
      <c r="W957" s="258"/>
      <c r="X957" s="258"/>
    </row>
    <row r="958" spans="1:26">
      <c r="A958" s="46" t="str">
        <f>'Secondary cum Calculation'!A872</f>
        <v>Poland</v>
      </c>
      <c r="B958" s="47" t="str">
        <f>'Secondary cum Calculation'!B872</f>
        <v>Tourism Flows</v>
      </c>
      <c r="C958" s="47" t="str">
        <f>'Secondary cum Calculation'!C872</f>
        <v>International Departures by Destination</v>
      </c>
      <c r="D958" s="47" t="str">
        <f>'Secondary cum Calculation'!D872</f>
        <v>Europe</v>
      </c>
      <c r="E958" s="46" t="str">
        <f>'Secondary cum Calculation'!E872</f>
        <v>Poland</v>
      </c>
      <c r="F958" s="48" t="str">
        <f>'Secondary cum Calculation'!F872</f>
        <v>The number of international departures from a country to Poland</v>
      </c>
      <c r="G958" s="48" t="str">
        <f>'Secondary cum Calculation'!G872</f>
        <v>Tourism Demand &amp; Flows Database</v>
      </c>
      <c r="H958" s="48" t="str">
        <f>'Secondary cum Calculation'!H872</f>
        <v>New</v>
      </c>
      <c r="I958" s="48">
        <f>'Secondary cum Calculation'!I872</f>
        <v>0</v>
      </c>
      <c r="J958" s="48" t="str">
        <f>'Secondary cum Calculation'!J872</f>
        <v>Thousand</v>
      </c>
      <c r="K958" s="49">
        <f>'Secondary cum Calculation'!K872</f>
        <v>0</v>
      </c>
      <c r="L958" s="53">
        <f>'Secondary cum Calculation'!L872</f>
        <v>0</v>
      </c>
      <c r="M958" s="53">
        <f>'Secondary cum Calculation'!M872</f>
        <v>0</v>
      </c>
      <c r="N958" s="53">
        <f>'Secondary cum Calculation'!N872</f>
        <v>0</v>
      </c>
      <c r="O958" s="53">
        <f>'Secondary cum Calculation'!O872</f>
        <v>0</v>
      </c>
      <c r="P958" s="53">
        <f>'Secondary cum Calculation'!P872</f>
        <v>0</v>
      </c>
      <c r="Q958" s="53"/>
      <c r="R958" s="53"/>
      <c r="S958" s="53"/>
      <c r="T958" s="53"/>
      <c r="U958" s="53"/>
      <c r="V958" s="53"/>
      <c r="W958" s="102" t="e">
        <f>'Secondary cum Calculation'!W872</f>
        <v>#DIV/0!</v>
      </c>
      <c r="X958" s="102" t="e">
        <f>'Secondary cum Calculation'!X872</f>
        <v>#DIV/0!</v>
      </c>
      <c r="Z958" s="11"/>
    </row>
    <row r="959" spans="1:26">
      <c r="A959" s="48"/>
      <c r="B959" s="48"/>
      <c r="C959" s="52" t="str">
        <f>'Secondary cum Calculation'!C873</f>
        <v>Growth Rate</v>
      </c>
      <c r="D959" s="52"/>
      <c r="E959" s="52"/>
      <c r="F959" s="52">
        <f>'Secondary cum Calculation'!F873</f>
        <v>0</v>
      </c>
      <c r="G959" s="52">
        <f>'Secondary cum Calculation'!G873</f>
        <v>0</v>
      </c>
      <c r="H959" s="52">
        <f>'Secondary cum Calculation'!H873</f>
        <v>0</v>
      </c>
      <c r="I959" s="52">
        <f>'Secondary cum Calculation'!I873</f>
        <v>0</v>
      </c>
      <c r="J959" s="52" t="str">
        <f>'Secondary cum Calculation'!J873</f>
        <v>%</v>
      </c>
      <c r="K959" s="49">
        <f>'Secondary cum Calculation'!K873</f>
        <v>0</v>
      </c>
      <c r="L959" s="53"/>
      <c r="M959" s="54" t="e">
        <f>'Secondary cum Calculation'!M873</f>
        <v>#DIV/0!</v>
      </c>
      <c r="N959" s="54" t="e">
        <f>'Secondary cum Calculation'!N873</f>
        <v>#DIV/0!</v>
      </c>
      <c r="O959" s="54" t="e">
        <f>'Secondary cum Calculation'!O873</f>
        <v>#DIV/0!</v>
      </c>
      <c r="P959" s="54" t="e">
        <f>'Secondary cum Calculation'!P873</f>
        <v>#DIV/0!</v>
      </c>
      <c r="Q959" s="54"/>
      <c r="R959" s="54"/>
      <c r="S959" s="54"/>
      <c r="T959" s="54"/>
      <c r="U959" s="54"/>
      <c r="V959" s="54"/>
      <c r="W959" s="258"/>
      <c r="X959" s="258"/>
    </row>
    <row r="960" spans="1:26">
      <c r="A960" s="46" t="str">
        <f>'Secondary cum Calculation'!A874</f>
        <v>Poland</v>
      </c>
      <c r="B960" s="47" t="str">
        <f>'Secondary cum Calculation'!B874</f>
        <v>Tourism Flows</v>
      </c>
      <c r="C960" s="47" t="str">
        <f>'Secondary cum Calculation'!C874</f>
        <v>International Departures by Destination</v>
      </c>
      <c r="D960" s="47" t="str">
        <f>'Secondary cum Calculation'!D874</f>
        <v>Europe</v>
      </c>
      <c r="E960" s="46" t="str">
        <f>'Secondary cum Calculation'!E874</f>
        <v>Portugal</v>
      </c>
      <c r="F960" s="48" t="str">
        <f>'Secondary cum Calculation'!F874</f>
        <v>The number of international departures from a country to Portugal</v>
      </c>
      <c r="G960" s="48" t="str">
        <f>'Secondary cum Calculation'!G874</f>
        <v>Tourism Demand &amp; Flows Database</v>
      </c>
      <c r="H960" s="48" t="str">
        <f>'Secondary cum Calculation'!H874</f>
        <v>New</v>
      </c>
      <c r="I960" s="48">
        <f>'Secondary cum Calculation'!I874</f>
        <v>0</v>
      </c>
      <c r="J960" s="48" t="str">
        <f>'Secondary cum Calculation'!J874</f>
        <v>Thousand</v>
      </c>
      <c r="K960" s="49">
        <f>'Secondary cum Calculation'!K874</f>
        <v>0</v>
      </c>
      <c r="L960" s="92">
        <f>'Secondary cum Calculation'!L874</f>
        <v>0</v>
      </c>
      <c r="M960" s="92">
        <f>'Secondary cum Calculation'!M874</f>
        <v>0</v>
      </c>
      <c r="N960" s="92">
        <f>'Secondary cum Calculation'!N874</f>
        <v>0</v>
      </c>
      <c r="O960" s="53">
        <f>'Secondary cum Calculation'!O874</f>
        <v>0</v>
      </c>
      <c r="P960" s="53">
        <f>'Secondary cum Calculation'!P874</f>
        <v>0</v>
      </c>
      <c r="Q960" s="53"/>
      <c r="R960" s="53"/>
      <c r="S960" s="53"/>
      <c r="T960" s="53"/>
      <c r="U960" s="53"/>
      <c r="V960" s="53"/>
      <c r="W960" s="102" t="e">
        <f>'Secondary cum Calculation'!W874</f>
        <v>#DIV/0!</v>
      </c>
      <c r="X960" s="102" t="e">
        <f>'Secondary cum Calculation'!X874</f>
        <v>#DIV/0!</v>
      </c>
      <c r="Z960" s="11"/>
    </row>
    <row r="961" spans="1:26">
      <c r="A961" s="48"/>
      <c r="B961" s="48"/>
      <c r="C961" s="52" t="str">
        <f>'Secondary cum Calculation'!C875</f>
        <v>Growth Rate</v>
      </c>
      <c r="D961" s="52"/>
      <c r="E961" s="52"/>
      <c r="F961" s="52">
        <f>'Secondary cum Calculation'!F875</f>
        <v>0</v>
      </c>
      <c r="G961" s="52">
        <f>'Secondary cum Calculation'!G875</f>
        <v>0</v>
      </c>
      <c r="H961" s="52">
        <f>'Secondary cum Calculation'!H875</f>
        <v>0</v>
      </c>
      <c r="I961" s="52">
        <f>'Secondary cum Calculation'!I875</f>
        <v>0</v>
      </c>
      <c r="J961" s="52" t="str">
        <f>'Secondary cum Calculation'!J875</f>
        <v>%</v>
      </c>
      <c r="K961" s="49">
        <f>'Secondary cum Calculation'!K875</f>
        <v>0</v>
      </c>
      <c r="L961" s="53"/>
      <c r="M961" s="54" t="e">
        <f>'Secondary cum Calculation'!M875</f>
        <v>#DIV/0!</v>
      </c>
      <c r="N961" s="54" t="e">
        <f>'Secondary cum Calculation'!N875</f>
        <v>#DIV/0!</v>
      </c>
      <c r="O961" s="54" t="e">
        <f>'Secondary cum Calculation'!O875</f>
        <v>#DIV/0!</v>
      </c>
      <c r="P961" s="54" t="e">
        <f>'Secondary cum Calculation'!P875</f>
        <v>#DIV/0!</v>
      </c>
      <c r="Q961" s="54"/>
      <c r="R961" s="54"/>
      <c r="S961" s="54"/>
      <c r="T961" s="54"/>
      <c r="U961" s="54"/>
      <c r="V961" s="54"/>
      <c r="W961" s="258"/>
      <c r="X961" s="258"/>
    </row>
    <row r="962" spans="1:26">
      <c r="A962" s="46" t="str">
        <f>'Secondary cum Calculation'!A876</f>
        <v>Poland</v>
      </c>
      <c r="B962" s="47" t="str">
        <f>'Secondary cum Calculation'!B876</f>
        <v>Tourism Flows</v>
      </c>
      <c r="C962" s="47" t="str">
        <f>'Secondary cum Calculation'!C876</f>
        <v>International Departures by Destination</v>
      </c>
      <c r="D962" s="47" t="str">
        <f>'Secondary cum Calculation'!D876</f>
        <v>Europe</v>
      </c>
      <c r="E962" s="46" t="str">
        <f>'Secondary cum Calculation'!E876</f>
        <v>Republic of Moldova</v>
      </c>
      <c r="F962" s="48" t="str">
        <f>'Secondary cum Calculation'!F876</f>
        <v>The number of international departures from a country to Republic of Moldova</v>
      </c>
      <c r="G962" s="48" t="str">
        <f>'Secondary cum Calculation'!G876</f>
        <v>Tourism Demand &amp; Flows Database</v>
      </c>
      <c r="H962" s="48" t="str">
        <f>'Secondary cum Calculation'!H876</f>
        <v>New</v>
      </c>
      <c r="I962" s="48">
        <f>'Secondary cum Calculation'!I876</f>
        <v>0</v>
      </c>
      <c r="J962" s="48" t="str">
        <f>'Secondary cum Calculation'!J876</f>
        <v>Thousand</v>
      </c>
      <c r="K962" s="49">
        <f>'Secondary cum Calculation'!K876</f>
        <v>0</v>
      </c>
      <c r="L962" s="92">
        <f>'Secondary cum Calculation'!L876</f>
        <v>0</v>
      </c>
      <c r="M962" s="92">
        <f>'Secondary cum Calculation'!M876</f>
        <v>0</v>
      </c>
      <c r="N962" s="92">
        <f>'Secondary cum Calculation'!N876</f>
        <v>0</v>
      </c>
      <c r="O962" s="53">
        <f>'Secondary cum Calculation'!O876</f>
        <v>0</v>
      </c>
      <c r="P962" s="53">
        <f>'Secondary cum Calculation'!P876</f>
        <v>0</v>
      </c>
      <c r="Q962" s="53"/>
      <c r="R962" s="53"/>
      <c r="S962" s="53"/>
      <c r="T962" s="53"/>
      <c r="U962" s="53"/>
      <c r="V962" s="53"/>
      <c r="W962" s="102" t="e">
        <f>'Secondary cum Calculation'!W876</f>
        <v>#DIV/0!</v>
      </c>
      <c r="X962" s="102" t="e">
        <f>'Secondary cum Calculation'!X876</f>
        <v>#DIV/0!</v>
      </c>
      <c r="Z962" s="11"/>
    </row>
    <row r="963" spans="1:26">
      <c r="A963" s="48"/>
      <c r="B963" s="48"/>
      <c r="C963" s="52" t="str">
        <f>'Secondary cum Calculation'!C877</f>
        <v>Growth Rate</v>
      </c>
      <c r="D963" s="52"/>
      <c r="E963" s="52"/>
      <c r="F963" s="52">
        <f>'Secondary cum Calculation'!F877</f>
        <v>0</v>
      </c>
      <c r="G963" s="52">
        <f>'Secondary cum Calculation'!G877</f>
        <v>0</v>
      </c>
      <c r="H963" s="52">
        <f>'Secondary cum Calculation'!H877</f>
        <v>0</v>
      </c>
      <c r="I963" s="52">
        <f>'Secondary cum Calculation'!I877</f>
        <v>0</v>
      </c>
      <c r="J963" s="52" t="str">
        <f>'Secondary cum Calculation'!J877</f>
        <v>%</v>
      </c>
      <c r="K963" s="49">
        <f>'Secondary cum Calculation'!K877</f>
        <v>0</v>
      </c>
      <c r="L963" s="53"/>
      <c r="M963" s="54" t="e">
        <f>'Secondary cum Calculation'!M877</f>
        <v>#DIV/0!</v>
      </c>
      <c r="N963" s="54" t="e">
        <f>'Secondary cum Calculation'!N877</f>
        <v>#DIV/0!</v>
      </c>
      <c r="O963" s="54" t="e">
        <f>'Secondary cum Calculation'!O877</f>
        <v>#DIV/0!</v>
      </c>
      <c r="P963" s="54" t="e">
        <f>'Secondary cum Calculation'!P877</f>
        <v>#DIV/0!</v>
      </c>
      <c r="Q963" s="54"/>
      <c r="R963" s="54"/>
      <c r="S963" s="54"/>
      <c r="T963" s="54"/>
      <c r="U963" s="54"/>
      <c r="V963" s="54"/>
      <c r="W963" s="258"/>
      <c r="X963" s="258"/>
    </row>
    <row r="964" spans="1:26">
      <c r="A964" s="46" t="str">
        <f>'Secondary cum Calculation'!A878</f>
        <v>Poland</v>
      </c>
      <c r="B964" s="47" t="str">
        <f>'Secondary cum Calculation'!B878</f>
        <v>Tourism Flows</v>
      </c>
      <c r="C964" s="47" t="str">
        <f>'Secondary cum Calculation'!C878</f>
        <v>International Departures by Destination</v>
      </c>
      <c r="D964" s="47" t="str">
        <f>'Secondary cum Calculation'!D878</f>
        <v>Europe</v>
      </c>
      <c r="E964" s="46" t="str">
        <f>'Secondary cum Calculation'!E878</f>
        <v>Romania</v>
      </c>
      <c r="F964" s="48" t="str">
        <f>'Secondary cum Calculation'!F878</f>
        <v>The number of international departures from a country to Romania</v>
      </c>
      <c r="G964" s="48" t="str">
        <f>'Secondary cum Calculation'!G878</f>
        <v>Tourism Demand &amp; Flows Database</v>
      </c>
      <c r="H964" s="48" t="str">
        <f>'Secondary cum Calculation'!H878</f>
        <v>New</v>
      </c>
      <c r="I964" s="48">
        <f>'Secondary cum Calculation'!I878</f>
        <v>0</v>
      </c>
      <c r="J964" s="48" t="str">
        <f>'Secondary cum Calculation'!J878</f>
        <v>Thousand</v>
      </c>
      <c r="K964" s="49">
        <f>'Secondary cum Calculation'!K878</f>
        <v>0</v>
      </c>
      <c r="L964" s="92">
        <f>'Secondary cum Calculation'!L878</f>
        <v>0</v>
      </c>
      <c r="M964" s="92">
        <f>'Secondary cum Calculation'!M878</f>
        <v>0</v>
      </c>
      <c r="N964" s="92">
        <f>'Secondary cum Calculation'!N878</f>
        <v>0</v>
      </c>
      <c r="O964" s="53">
        <f>'Secondary cum Calculation'!O878</f>
        <v>0</v>
      </c>
      <c r="P964" s="53">
        <f>'Secondary cum Calculation'!P878</f>
        <v>0</v>
      </c>
      <c r="Q964" s="53"/>
      <c r="R964" s="53"/>
      <c r="S964" s="53"/>
      <c r="T964" s="53"/>
      <c r="U964" s="53"/>
      <c r="V964" s="53"/>
      <c r="W964" s="102" t="e">
        <f>'Secondary cum Calculation'!W878</f>
        <v>#DIV/0!</v>
      </c>
      <c r="X964" s="102" t="e">
        <f>'Secondary cum Calculation'!X878</f>
        <v>#DIV/0!</v>
      </c>
      <c r="Z964" s="11"/>
    </row>
    <row r="965" spans="1:26">
      <c r="A965" s="48"/>
      <c r="B965" s="48"/>
      <c r="C965" s="52" t="str">
        <f>'Secondary cum Calculation'!C879</f>
        <v>Growth Rate</v>
      </c>
      <c r="D965" s="52"/>
      <c r="E965" s="52"/>
      <c r="F965" s="52">
        <f>'Secondary cum Calculation'!F879</f>
        <v>0</v>
      </c>
      <c r="G965" s="52">
        <f>'Secondary cum Calculation'!G879</f>
        <v>0</v>
      </c>
      <c r="H965" s="52">
        <f>'Secondary cum Calculation'!H879</f>
        <v>0</v>
      </c>
      <c r="I965" s="52">
        <f>'Secondary cum Calculation'!I879</f>
        <v>0</v>
      </c>
      <c r="J965" s="52" t="str">
        <f>'Secondary cum Calculation'!J879</f>
        <v>%</v>
      </c>
      <c r="K965" s="49">
        <f>'Secondary cum Calculation'!K879</f>
        <v>0</v>
      </c>
      <c r="L965" s="53"/>
      <c r="M965" s="54" t="e">
        <f>'Secondary cum Calculation'!M879</f>
        <v>#DIV/0!</v>
      </c>
      <c r="N965" s="54" t="e">
        <f>'Secondary cum Calculation'!N879</f>
        <v>#DIV/0!</v>
      </c>
      <c r="O965" s="54" t="e">
        <f>'Secondary cum Calculation'!O879</f>
        <v>#DIV/0!</v>
      </c>
      <c r="P965" s="54" t="e">
        <f>'Secondary cum Calculation'!P879</f>
        <v>#DIV/0!</v>
      </c>
      <c r="Q965" s="54"/>
      <c r="R965" s="54"/>
      <c r="S965" s="54"/>
      <c r="T965" s="54"/>
      <c r="U965" s="54"/>
      <c r="V965" s="54"/>
      <c r="W965" s="258"/>
      <c r="X965" s="258"/>
    </row>
    <row r="966" spans="1:26">
      <c r="A966" s="46" t="str">
        <f>'Secondary cum Calculation'!A880</f>
        <v>Poland</v>
      </c>
      <c r="B966" s="47" t="str">
        <f>'Secondary cum Calculation'!B880</f>
        <v>Tourism Flows</v>
      </c>
      <c r="C966" s="47" t="str">
        <f>'Secondary cum Calculation'!C880</f>
        <v>International Departures by Destination</v>
      </c>
      <c r="D966" s="47" t="str">
        <f>'Secondary cum Calculation'!D880</f>
        <v>Europe</v>
      </c>
      <c r="E966" s="46" t="str">
        <f>'Secondary cum Calculation'!E880</f>
        <v>Russian Federation</v>
      </c>
      <c r="F966" s="48" t="str">
        <f>'Secondary cum Calculation'!F880</f>
        <v>The number of international departures from a country to Russian Federation</v>
      </c>
      <c r="G966" s="48" t="str">
        <f>'Secondary cum Calculation'!G880</f>
        <v>Tourism Demand &amp; Flows Database</v>
      </c>
      <c r="H966" s="48" t="str">
        <f>'Secondary cum Calculation'!H880</f>
        <v>New</v>
      </c>
      <c r="I966" s="48">
        <f>'Secondary cum Calculation'!I880</f>
        <v>0</v>
      </c>
      <c r="J966" s="48" t="str">
        <f>'Secondary cum Calculation'!J880</f>
        <v>Thousand</v>
      </c>
      <c r="K966" s="49">
        <f>'Secondary cum Calculation'!K880</f>
        <v>0</v>
      </c>
      <c r="L966" s="53">
        <f>'Secondary cum Calculation'!L880</f>
        <v>0</v>
      </c>
      <c r="M966" s="53">
        <f>'Secondary cum Calculation'!M880</f>
        <v>0</v>
      </c>
      <c r="N966" s="53">
        <f>'Secondary cum Calculation'!N880</f>
        <v>0</v>
      </c>
      <c r="O966" s="53">
        <f>'Secondary cum Calculation'!O880</f>
        <v>0</v>
      </c>
      <c r="P966" s="53">
        <f>'Secondary cum Calculation'!P880</f>
        <v>0</v>
      </c>
      <c r="Q966" s="53"/>
      <c r="R966" s="53"/>
      <c r="S966" s="53"/>
      <c r="T966" s="53"/>
      <c r="U966" s="53"/>
      <c r="V966" s="53"/>
      <c r="W966" s="102" t="e">
        <f>'Secondary cum Calculation'!W880</f>
        <v>#DIV/0!</v>
      </c>
      <c r="X966" s="102" t="e">
        <f>'Secondary cum Calculation'!X880</f>
        <v>#DIV/0!</v>
      </c>
      <c r="Z966" s="11"/>
    </row>
    <row r="967" spans="1:26">
      <c r="A967" s="48"/>
      <c r="B967" s="48"/>
      <c r="C967" s="52" t="str">
        <f>'Secondary cum Calculation'!C881</f>
        <v>Growth Rate</v>
      </c>
      <c r="D967" s="52"/>
      <c r="E967" s="52"/>
      <c r="F967" s="52">
        <f>'Secondary cum Calculation'!F881</f>
        <v>0</v>
      </c>
      <c r="G967" s="52">
        <f>'Secondary cum Calculation'!G881</f>
        <v>0</v>
      </c>
      <c r="H967" s="52">
        <f>'Secondary cum Calculation'!H881</f>
        <v>0</v>
      </c>
      <c r="I967" s="52">
        <f>'Secondary cum Calculation'!I881</f>
        <v>0</v>
      </c>
      <c r="J967" s="52" t="str">
        <f>'Secondary cum Calculation'!J881</f>
        <v>%</v>
      </c>
      <c r="K967" s="49">
        <f>'Secondary cum Calculation'!K881</f>
        <v>0</v>
      </c>
      <c r="L967" s="53"/>
      <c r="M967" s="54" t="e">
        <f>'Secondary cum Calculation'!M881</f>
        <v>#DIV/0!</v>
      </c>
      <c r="N967" s="54" t="e">
        <f>'Secondary cum Calculation'!N881</f>
        <v>#DIV/0!</v>
      </c>
      <c r="O967" s="54" t="e">
        <f>'Secondary cum Calculation'!O881</f>
        <v>#DIV/0!</v>
      </c>
      <c r="P967" s="54" t="e">
        <f>'Secondary cum Calculation'!P881</f>
        <v>#DIV/0!</v>
      </c>
      <c r="Q967" s="54"/>
      <c r="R967" s="54"/>
      <c r="S967" s="54"/>
      <c r="T967" s="54"/>
      <c r="U967" s="54"/>
      <c r="V967" s="54"/>
      <c r="W967" s="258"/>
      <c r="X967" s="258"/>
    </row>
    <row r="968" spans="1:26">
      <c r="A968" s="46" t="str">
        <f>'Secondary cum Calculation'!A882</f>
        <v>Poland</v>
      </c>
      <c r="B968" s="47" t="str">
        <f>'Secondary cum Calculation'!B882</f>
        <v>Tourism Flows</v>
      </c>
      <c r="C968" s="47" t="str">
        <f>'Secondary cum Calculation'!C882</f>
        <v>International Departures by Destination</v>
      </c>
      <c r="D968" s="47" t="str">
        <f>'Secondary cum Calculation'!D882</f>
        <v>Europe</v>
      </c>
      <c r="E968" s="46" t="str">
        <f>'Secondary cum Calculation'!E882</f>
        <v>Serbia</v>
      </c>
      <c r="F968" s="48" t="str">
        <f>'Secondary cum Calculation'!F882</f>
        <v>The number of international departures from a country to Serbia</v>
      </c>
      <c r="G968" s="48" t="str">
        <f>'Secondary cum Calculation'!G882</f>
        <v>Tourism Demand &amp; Flows Database</v>
      </c>
      <c r="H968" s="48" t="str">
        <f>'Secondary cum Calculation'!H882</f>
        <v>New</v>
      </c>
      <c r="I968" s="48">
        <f>'Secondary cum Calculation'!I882</f>
        <v>0</v>
      </c>
      <c r="J968" s="48" t="str">
        <f>'Secondary cum Calculation'!J882</f>
        <v>Thousand</v>
      </c>
      <c r="K968" s="49">
        <f>'Secondary cum Calculation'!K882</f>
        <v>0</v>
      </c>
      <c r="L968" s="92">
        <f>'Secondary cum Calculation'!L882</f>
        <v>0</v>
      </c>
      <c r="M968" s="92">
        <f>'Secondary cum Calculation'!M882</f>
        <v>0</v>
      </c>
      <c r="N968" s="92">
        <f>'Secondary cum Calculation'!N882</f>
        <v>0</v>
      </c>
      <c r="O968" s="53">
        <f>'Secondary cum Calculation'!O882</f>
        <v>0</v>
      </c>
      <c r="P968" s="53">
        <f>'Secondary cum Calculation'!P882</f>
        <v>0</v>
      </c>
      <c r="Q968" s="53"/>
      <c r="R968" s="53"/>
      <c r="S968" s="53"/>
      <c r="T968" s="53"/>
      <c r="U968" s="53"/>
      <c r="V968" s="53"/>
      <c r="W968" s="102" t="e">
        <f>'Secondary cum Calculation'!W882</f>
        <v>#DIV/0!</v>
      </c>
      <c r="X968" s="102" t="e">
        <f>'Secondary cum Calculation'!X882</f>
        <v>#DIV/0!</v>
      </c>
      <c r="Z968" s="11"/>
    </row>
    <row r="969" spans="1:26">
      <c r="A969" s="48"/>
      <c r="B969" s="48"/>
      <c r="C969" s="52" t="str">
        <f>'Secondary cum Calculation'!C883</f>
        <v>Growth Rate</v>
      </c>
      <c r="D969" s="52"/>
      <c r="E969" s="52"/>
      <c r="F969" s="52">
        <f>'Secondary cum Calculation'!F883</f>
        <v>0</v>
      </c>
      <c r="G969" s="52">
        <f>'Secondary cum Calculation'!G883</f>
        <v>0</v>
      </c>
      <c r="H969" s="52">
        <f>'Secondary cum Calculation'!H883</f>
        <v>0</v>
      </c>
      <c r="I969" s="52">
        <f>'Secondary cum Calculation'!I883</f>
        <v>0</v>
      </c>
      <c r="J969" s="52" t="str">
        <f>'Secondary cum Calculation'!J883</f>
        <v>%</v>
      </c>
      <c r="K969" s="49">
        <f>'Secondary cum Calculation'!K883</f>
        <v>0</v>
      </c>
      <c r="L969" s="53"/>
      <c r="M969" s="54" t="e">
        <f>'Secondary cum Calculation'!M883</f>
        <v>#DIV/0!</v>
      </c>
      <c r="N969" s="54" t="e">
        <f>'Secondary cum Calculation'!N883</f>
        <v>#DIV/0!</v>
      </c>
      <c r="O969" s="54" t="e">
        <f>'Secondary cum Calculation'!O883</f>
        <v>#DIV/0!</v>
      </c>
      <c r="P969" s="54" t="e">
        <f>'Secondary cum Calculation'!P883</f>
        <v>#DIV/0!</v>
      </c>
      <c r="Q969" s="54"/>
      <c r="R969" s="54"/>
      <c r="S969" s="54"/>
      <c r="T969" s="54"/>
      <c r="U969" s="54"/>
      <c r="V969" s="54"/>
      <c r="W969" s="258"/>
      <c r="X969" s="258"/>
    </row>
    <row r="970" spans="1:26">
      <c r="A970" s="46" t="str">
        <f>'Secondary cum Calculation'!A884</f>
        <v>Poland</v>
      </c>
      <c r="B970" s="47" t="str">
        <f>'Secondary cum Calculation'!B884</f>
        <v>Tourism Flows</v>
      </c>
      <c r="C970" s="47" t="str">
        <f>'Secondary cum Calculation'!C884</f>
        <v>International Departures by Destination</v>
      </c>
      <c r="D970" s="47" t="str">
        <f>'Secondary cum Calculation'!D884</f>
        <v>Europe</v>
      </c>
      <c r="E970" s="46" t="str">
        <f>'Secondary cum Calculation'!E884</f>
        <v>Slovakia</v>
      </c>
      <c r="F970" s="48" t="str">
        <f>'Secondary cum Calculation'!F884</f>
        <v>The number of international departures from a country to Slovakia</v>
      </c>
      <c r="G970" s="48" t="str">
        <f>'Secondary cum Calculation'!G884</f>
        <v>Tourism Demand &amp; Flows Database</v>
      </c>
      <c r="H970" s="48" t="str">
        <f>'Secondary cum Calculation'!H884</f>
        <v>New</v>
      </c>
      <c r="I970" s="48">
        <f>'Secondary cum Calculation'!I884</f>
        <v>0</v>
      </c>
      <c r="J970" s="48" t="str">
        <f>'Secondary cum Calculation'!J884</f>
        <v>Thousand</v>
      </c>
      <c r="K970" s="49">
        <f>'Secondary cum Calculation'!K884</f>
        <v>0</v>
      </c>
      <c r="L970" s="92">
        <f>'Secondary cum Calculation'!L884</f>
        <v>0</v>
      </c>
      <c r="M970" s="92">
        <f>'Secondary cum Calculation'!M884</f>
        <v>0</v>
      </c>
      <c r="N970" s="92">
        <f>'Secondary cum Calculation'!N884</f>
        <v>0</v>
      </c>
      <c r="O970" s="53">
        <f>'Secondary cum Calculation'!O884</f>
        <v>0</v>
      </c>
      <c r="P970" s="53">
        <f>'Secondary cum Calculation'!P884</f>
        <v>0</v>
      </c>
      <c r="Q970" s="53"/>
      <c r="R970" s="53"/>
      <c r="S970" s="53"/>
      <c r="T970" s="53"/>
      <c r="U970" s="53"/>
      <c r="V970" s="53"/>
      <c r="W970" s="102" t="e">
        <f>'Secondary cum Calculation'!W884</f>
        <v>#DIV/0!</v>
      </c>
      <c r="X970" s="102" t="e">
        <f>'Secondary cum Calculation'!X884</f>
        <v>#DIV/0!</v>
      </c>
      <c r="Z970" s="11"/>
    </row>
    <row r="971" spans="1:26">
      <c r="A971" s="48"/>
      <c r="B971" s="48"/>
      <c r="C971" s="52" t="str">
        <f>'Secondary cum Calculation'!C885</f>
        <v>Growth Rate</v>
      </c>
      <c r="D971" s="52"/>
      <c r="E971" s="52"/>
      <c r="F971" s="52">
        <f>'Secondary cum Calculation'!F885</f>
        <v>0</v>
      </c>
      <c r="G971" s="52">
        <f>'Secondary cum Calculation'!G885</f>
        <v>0</v>
      </c>
      <c r="H971" s="52">
        <f>'Secondary cum Calculation'!H885</f>
        <v>0</v>
      </c>
      <c r="I971" s="52">
        <f>'Secondary cum Calculation'!I885</f>
        <v>0</v>
      </c>
      <c r="J971" s="52" t="str">
        <f>'Secondary cum Calculation'!J885</f>
        <v>%</v>
      </c>
      <c r="K971" s="49">
        <f>'Secondary cum Calculation'!K885</f>
        <v>0</v>
      </c>
      <c r="L971" s="53"/>
      <c r="M971" s="54" t="e">
        <f>'Secondary cum Calculation'!M885</f>
        <v>#DIV/0!</v>
      </c>
      <c r="N971" s="54" t="e">
        <f>'Secondary cum Calculation'!N885</f>
        <v>#DIV/0!</v>
      </c>
      <c r="O971" s="54" t="e">
        <f>'Secondary cum Calculation'!O885</f>
        <v>#DIV/0!</v>
      </c>
      <c r="P971" s="54" t="e">
        <f>'Secondary cum Calculation'!P885</f>
        <v>#DIV/0!</v>
      </c>
      <c r="Q971" s="54"/>
      <c r="R971" s="54"/>
      <c r="S971" s="54"/>
      <c r="T971" s="54"/>
      <c r="U971" s="54"/>
      <c r="V971" s="54"/>
      <c r="W971" s="258"/>
      <c r="X971" s="258"/>
    </row>
    <row r="972" spans="1:26">
      <c r="A972" s="46" t="str">
        <f>'Secondary cum Calculation'!A886</f>
        <v>Poland</v>
      </c>
      <c r="B972" s="47" t="str">
        <f>'Secondary cum Calculation'!B886</f>
        <v>Tourism Flows</v>
      </c>
      <c r="C972" s="47" t="str">
        <f>'Secondary cum Calculation'!C886</f>
        <v>International Departures by Destination</v>
      </c>
      <c r="D972" s="47" t="str">
        <f>'Secondary cum Calculation'!D886</f>
        <v>Europe</v>
      </c>
      <c r="E972" s="46" t="str">
        <f>'Secondary cum Calculation'!E886</f>
        <v>Slovenia</v>
      </c>
      <c r="F972" s="48" t="str">
        <f>'Secondary cum Calculation'!F886</f>
        <v>The number of international departures from a country to Slovenia</v>
      </c>
      <c r="G972" s="48" t="str">
        <f>'Secondary cum Calculation'!G886</f>
        <v>Tourism Demand &amp; Flows Database</v>
      </c>
      <c r="H972" s="48" t="str">
        <f>'Secondary cum Calculation'!H886</f>
        <v>New</v>
      </c>
      <c r="I972" s="48">
        <f>'Secondary cum Calculation'!I886</f>
        <v>0</v>
      </c>
      <c r="J972" s="48" t="str">
        <f>'Secondary cum Calculation'!J886</f>
        <v>Thousand</v>
      </c>
      <c r="K972" s="49">
        <f>'Secondary cum Calculation'!K886</f>
        <v>0</v>
      </c>
      <c r="L972" s="92">
        <f>'Secondary cum Calculation'!L886</f>
        <v>0</v>
      </c>
      <c r="M972" s="92">
        <f>'Secondary cum Calculation'!M886</f>
        <v>0</v>
      </c>
      <c r="N972" s="92">
        <f>'Secondary cum Calculation'!N886</f>
        <v>0</v>
      </c>
      <c r="O972" s="53">
        <f>'Secondary cum Calculation'!O886</f>
        <v>0</v>
      </c>
      <c r="P972" s="53">
        <f>'Secondary cum Calculation'!P886</f>
        <v>0</v>
      </c>
      <c r="Q972" s="53"/>
      <c r="R972" s="53"/>
      <c r="S972" s="53"/>
      <c r="T972" s="53"/>
      <c r="U972" s="53"/>
      <c r="V972" s="53"/>
      <c r="W972" s="102" t="e">
        <f>'Secondary cum Calculation'!W886</f>
        <v>#DIV/0!</v>
      </c>
      <c r="X972" s="102" t="e">
        <f>'Secondary cum Calculation'!X886</f>
        <v>#DIV/0!</v>
      </c>
      <c r="Z972" s="11"/>
    </row>
    <row r="973" spans="1:26">
      <c r="A973" s="48"/>
      <c r="B973" s="48"/>
      <c r="C973" s="52" t="str">
        <f>'Secondary cum Calculation'!C887</f>
        <v>Growth Rate</v>
      </c>
      <c r="D973" s="52"/>
      <c r="E973" s="52"/>
      <c r="F973" s="52">
        <f>'Secondary cum Calculation'!F887</f>
        <v>0</v>
      </c>
      <c r="G973" s="52">
        <f>'Secondary cum Calculation'!G887</f>
        <v>0</v>
      </c>
      <c r="H973" s="52">
        <f>'Secondary cum Calculation'!H887</f>
        <v>0</v>
      </c>
      <c r="I973" s="52">
        <f>'Secondary cum Calculation'!I887</f>
        <v>0</v>
      </c>
      <c r="J973" s="52" t="str">
        <f>'Secondary cum Calculation'!J887</f>
        <v>%</v>
      </c>
      <c r="K973" s="49">
        <f>'Secondary cum Calculation'!K887</f>
        <v>0</v>
      </c>
      <c r="L973" s="53"/>
      <c r="M973" s="54" t="e">
        <f>'Secondary cum Calculation'!M887</f>
        <v>#DIV/0!</v>
      </c>
      <c r="N973" s="54" t="e">
        <f>'Secondary cum Calculation'!N887</f>
        <v>#DIV/0!</v>
      </c>
      <c r="O973" s="54" t="e">
        <f>'Secondary cum Calculation'!O887</f>
        <v>#DIV/0!</v>
      </c>
      <c r="P973" s="54" t="e">
        <f>'Secondary cum Calculation'!P887</f>
        <v>#DIV/0!</v>
      </c>
      <c r="Q973" s="54"/>
      <c r="R973" s="54"/>
      <c r="S973" s="54"/>
      <c r="T973" s="54"/>
      <c r="U973" s="54"/>
      <c r="V973" s="54"/>
      <c r="W973" s="258"/>
      <c r="X973" s="258"/>
    </row>
    <row r="974" spans="1:26">
      <c r="A974" s="46" t="str">
        <f>'Secondary cum Calculation'!A888</f>
        <v>Poland</v>
      </c>
      <c r="B974" s="47" t="str">
        <f>'Secondary cum Calculation'!B888</f>
        <v>Tourism Flows</v>
      </c>
      <c r="C974" s="47" t="str">
        <f>'Secondary cum Calculation'!C888</f>
        <v>International Departures by Destination</v>
      </c>
      <c r="D974" s="47" t="str">
        <f>'Secondary cum Calculation'!D888</f>
        <v>Europe</v>
      </c>
      <c r="E974" s="46" t="str">
        <f>'Secondary cum Calculation'!E888</f>
        <v>Spain</v>
      </c>
      <c r="F974" s="48" t="str">
        <f>'Secondary cum Calculation'!F888</f>
        <v>The number of international departures from a country to Spain</v>
      </c>
      <c r="G974" s="48" t="str">
        <f>'Secondary cum Calculation'!G888</f>
        <v>Tourism Demand &amp; Flows Database</v>
      </c>
      <c r="H974" s="48" t="str">
        <f>'Secondary cum Calculation'!H888</f>
        <v>New</v>
      </c>
      <c r="I974" s="48">
        <f>'Secondary cum Calculation'!I888</f>
        <v>0</v>
      </c>
      <c r="J974" s="48" t="str">
        <f>'Secondary cum Calculation'!J888</f>
        <v>Thousand</v>
      </c>
      <c r="K974" s="49">
        <f>'Secondary cum Calculation'!K888</f>
        <v>995</v>
      </c>
      <c r="L974" s="53">
        <f>'Secondary cum Calculation'!L888</f>
        <v>0</v>
      </c>
      <c r="M974" s="53">
        <f>'Secondary cum Calculation'!M888</f>
        <v>0</v>
      </c>
      <c r="N974" s="53">
        <f>'Secondary cum Calculation'!N888</f>
        <v>0</v>
      </c>
      <c r="O974" s="53">
        <f>'Secondary cum Calculation'!O888</f>
        <v>0</v>
      </c>
      <c r="P974" s="53">
        <f>'Secondary cum Calculation'!P888</f>
        <v>0</v>
      </c>
      <c r="Q974" s="53"/>
      <c r="R974" s="53"/>
      <c r="S974" s="53"/>
      <c r="T974" s="53"/>
      <c r="U974" s="53"/>
      <c r="V974" s="53"/>
      <c r="W974" s="102" t="e">
        <f>'Secondary cum Calculation'!W888</f>
        <v>#DIV/0!</v>
      </c>
      <c r="X974" s="102" t="e">
        <f>'Secondary cum Calculation'!X888</f>
        <v>#DIV/0!</v>
      </c>
      <c r="Z974" s="11"/>
    </row>
    <row r="975" spans="1:26">
      <c r="A975" s="48"/>
      <c r="B975" s="48"/>
      <c r="C975" s="52" t="str">
        <f>'Secondary cum Calculation'!C889</f>
        <v>Growth Rate</v>
      </c>
      <c r="D975" s="52"/>
      <c r="E975" s="52"/>
      <c r="F975" s="52">
        <f>'Secondary cum Calculation'!F889</f>
        <v>0</v>
      </c>
      <c r="G975" s="52">
        <f>'Secondary cum Calculation'!G889</f>
        <v>0</v>
      </c>
      <c r="H975" s="52">
        <f>'Secondary cum Calculation'!H889</f>
        <v>0</v>
      </c>
      <c r="I975" s="52">
        <f>'Secondary cum Calculation'!I889</f>
        <v>0</v>
      </c>
      <c r="J975" s="52" t="str">
        <f>'Secondary cum Calculation'!J889</f>
        <v>%</v>
      </c>
      <c r="K975" s="49">
        <f>'Secondary cum Calculation'!K889</f>
        <v>0</v>
      </c>
      <c r="L975" s="53"/>
      <c r="M975" s="54" t="e">
        <f>'Secondary cum Calculation'!M889</f>
        <v>#DIV/0!</v>
      </c>
      <c r="N975" s="54" t="e">
        <f>'Secondary cum Calculation'!N889</f>
        <v>#DIV/0!</v>
      </c>
      <c r="O975" s="54" t="e">
        <f>'Secondary cum Calculation'!O889</f>
        <v>#DIV/0!</v>
      </c>
      <c r="P975" s="54" t="e">
        <f>'Secondary cum Calculation'!P889</f>
        <v>#DIV/0!</v>
      </c>
      <c r="Q975" s="54"/>
      <c r="R975" s="54"/>
      <c r="S975" s="54"/>
      <c r="T975" s="54"/>
      <c r="U975" s="54"/>
      <c r="V975" s="54"/>
      <c r="W975" s="258"/>
      <c r="X975" s="258"/>
    </row>
    <row r="976" spans="1:26">
      <c r="A976" s="46" t="str">
        <f>'Secondary cum Calculation'!A890</f>
        <v>Poland</v>
      </c>
      <c r="B976" s="47" t="str">
        <f>'Secondary cum Calculation'!B890</f>
        <v>Tourism Flows</v>
      </c>
      <c r="C976" s="47" t="str">
        <f>'Secondary cum Calculation'!C890</f>
        <v>International Departures by Destination</v>
      </c>
      <c r="D976" s="47" t="str">
        <f>'Secondary cum Calculation'!D890</f>
        <v>Europe</v>
      </c>
      <c r="E976" s="46" t="str">
        <f>'Secondary cum Calculation'!E890</f>
        <v>Sweden</v>
      </c>
      <c r="F976" s="48" t="str">
        <f>'Secondary cum Calculation'!F890</f>
        <v>The number of international departures from a country to Sweden</v>
      </c>
      <c r="G976" s="48" t="str">
        <f>'Secondary cum Calculation'!G890</f>
        <v>Tourism Demand &amp; Flows Database</v>
      </c>
      <c r="H976" s="48" t="str">
        <f>'Secondary cum Calculation'!H890</f>
        <v>New</v>
      </c>
      <c r="I976" s="48">
        <f>'Secondary cum Calculation'!I890</f>
        <v>0</v>
      </c>
      <c r="J976" s="48" t="str">
        <f>'Secondary cum Calculation'!J890</f>
        <v>Thousand</v>
      </c>
      <c r="K976" s="49">
        <f>'Secondary cum Calculation'!K890</f>
        <v>0</v>
      </c>
      <c r="L976" s="92">
        <f>'Secondary cum Calculation'!L890</f>
        <v>123</v>
      </c>
      <c r="M976" s="92">
        <f>'Secondary cum Calculation'!M890</f>
        <v>114</v>
      </c>
      <c r="N976" s="92">
        <f>'Secondary cum Calculation'!N890</f>
        <v>153</v>
      </c>
      <c r="O976" s="53">
        <f>'Secondary cum Calculation'!O890</f>
        <v>118</v>
      </c>
      <c r="P976" s="53">
        <f>'Secondary cum Calculation'!P890</f>
        <v>88</v>
      </c>
      <c r="Q976" s="53"/>
      <c r="R976" s="53"/>
      <c r="S976" s="53"/>
      <c r="T976" s="53"/>
      <c r="U976" s="53"/>
      <c r="V976" s="53"/>
      <c r="W976" s="102">
        <f>'Secondary cum Calculation'!W890</f>
        <v>-7.6619833700018014E-2</v>
      </c>
      <c r="X976" s="102">
        <f>'Secondary cum Calculation'!X890</f>
        <v>-1</v>
      </c>
      <c r="Z976" s="11"/>
    </row>
    <row r="977" spans="1:26">
      <c r="A977" s="48"/>
      <c r="B977" s="48"/>
      <c r="C977" s="52" t="str">
        <f>'Secondary cum Calculation'!C891</f>
        <v>Growth Rate</v>
      </c>
      <c r="D977" s="52"/>
      <c r="E977" s="52"/>
      <c r="F977" s="52">
        <f>'Secondary cum Calculation'!F891</f>
        <v>0</v>
      </c>
      <c r="G977" s="52">
        <f>'Secondary cum Calculation'!G891</f>
        <v>0</v>
      </c>
      <c r="H977" s="52">
        <f>'Secondary cum Calculation'!H891</f>
        <v>0</v>
      </c>
      <c r="I977" s="52">
        <f>'Secondary cum Calculation'!I891</f>
        <v>0</v>
      </c>
      <c r="J977" s="52" t="str">
        <f>'Secondary cum Calculation'!J891</f>
        <v>%</v>
      </c>
      <c r="K977" s="49">
        <f>'Secondary cum Calculation'!K891</f>
        <v>0</v>
      </c>
      <c r="L977" s="53"/>
      <c r="M977" s="54">
        <f>'Secondary cum Calculation'!M891</f>
        <v>-7.3170731707317027E-2</v>
      </c>
      <c r="N977" s="54">
        <f>'Secondary cum Calculation'!N891</f>
        <v>0.34210526315789469</v>
      </c>
      <c r="O977" s="54">
        <f>'Secondary cum Calculation'!O891</f>
        <v>-0.22875816993464049</v>
      </c>
      <c r="P977" s="54">
        <f>'Secondary cum Calculation'!P891</f>
        <v>-0.25423728813559321</v>
      </c>
      <c r="Q977" s="54"/>
      <c r="R977" s="54"/>
      <c r="S977" s="54"/>
      <c r="T977" s="54"/>
      <c r="U977" s="54"/>
      <c r="V977" s="54"/>
      <c r="W977" s="258"/>
      <c r="X977" s="258"/>
    </row>
    <row r="978" spans="1:26">
      <c r="A978" s="46" t="str">
        <f>'Secondary cum Calculation'!A892</f>
        <v>Poland</v>
      </c>
      <c r="B978" s="47" t="str">
        <f>'Secondary cum Calculation'!B892</f>
        <v>Tourism Flows</v>
      </c>
      <c r="C978" s="47" t="str">
        <f>'Secondary cum Calculation'!C892</f>
        <v>International Departures by Destination</v>
      </c>
      <c r="D978" s="47" t="str">
        <f>'Secondary cum Calculation'!D892</f>
        <v>Europe</v>
      </c>
      <c r="E978" s="46" t="str">
        <f>'Secondary cum Calculation'!E892</f>
        <v>Switzerland</v>
      </c>
      <c r="F978" s="48" t="str">
        <f>'Secondary cum Calculation'!F892</f>
        <v>The number of international departures from a country to Switzerland</v>
      </c>
      <c r="G978" s="48" t="str">
        <f>'Secondary cum Calculation'!G892</f>
        <v>Tourism Demand &amp; Flows Database</v>
      </c>
      <c r="H978" s="48" t="str">
        <f>'Secondary cum Calculation'!H892</f>
        <v>New</v>
      </c>
      <c r="I978" s="48">
        <f>'Secondary cum Calculation'!I892</f>
        <v>0</v>
      </c>
      <c r="J978" s="48" t="str">
        <f>'Secondary cum Calculation'!J892</f>
        <v>Thousand</v>
      </c>
      <c r="K978" s="49">
        <f>'Secondary cum Calculation'!K892</f>
        <v>633</v>
      </c>
      <c r="L978" s="53">
        <f>'Secondary cum Calculation'!L892</f>
        <v>64</v>
      </c>
      <c r="M978" s="53">
        <f>'Secondary cum Calculation'!M892</f>
        <v>36</v>
      </c>
      <c r="N978" s="53">
        <f>'Secondary cum Calculation'!N892</f>
        <v>40</v>
      </c>
      <c r="O978" s="53">
        <f>'Secondary cum Calculation'!O892</f>
        <v>123</v>
      </c>
      <c r="P978" s="53">
        <f>'Secondary cum Calculation'!P892</f>
        <v>120</v>
      </c>
      <c r="Q978" s="53"/>
      <c r="R978" s="53"/>
      <c r="S978" s="53"/>
      <c r="T978" s="53"/>
      <c r="U978" s="53"/>
      <c r="V978" s="53"/>
      <c r="W978" s="102">
        <f>'Secondary cum Calculation'!W892</f>
        <v>0.38524076778404348</v>
      </c>
      <c r="X978" s="102">
        <f>'Secondary cum Calculation'!X892</f>
        <v>-1</v>
      </c>
      <c r="Z978" s="11"/>
    </row>
    <row r="979" spans="1:26">
      <c r="A979" s="48"/>
      <c r="B979" s="48"/>
      <c r="C979" s="52" t="str">
        <f>'Secondary cum Calculation'!C893</f>
        <v>Growth Rate</v>
      </c>
      <c r="D979" s="52"/>
      <c r="E979" s="52"/>
      <c r="F979" s="52">
        <f>'Secondary cum Calculation'!F893</f>
        <v>0</v>
      </c>
      <c r="G979" s="52">
        <f>'Secondary cum Calculation'!G893</f>
        <v>0</v>
      </c>
      <c r="H979" s="52">
        <f>'Secondary cum Calculation'!H893</f>
        <v>0</v>
      </c>
      <c r="I979" s="52">
        <f>'Secondary cum Calculation'!I893</f>
        <v>0</v>
      </c>
      <c r="J979" s="52" t="str">
        <f>'Secondary cum Calculation'!J893</f>
        <v>%</v>
      </c>
      <c r="K979" s="49">
        <f>'Secondary cum Calculation'!K893</f>
        <v>0</v>
      </c>
      <c r="L979" s="53"/>
      <c r="M979" s="54">
        <f>'Secondary cum Calculation'!M893</f>
        <v>-0.4375</v>
      </c>
      <c r="N979" s="54">
        <f>'Secondary cum Calculation'!N893</f>
        <v>0.11111111111111116</v>
      </c>
      <c r="O979" s="54">
        <f>'Secondary cum Calculation'!O893</f>
        <v>2.0750000000000002</v>
      </c>
      <c r="P979" s="54">
        <f>'Secondary cum Calculation'!P893</f>
        <v>-2.4390243902439046E-2</v>
      </c>
      <c r="Q979" s="54"/>
      <c r="R979" s="54"/>
      <c r="S979" s="54"/>
      <c r="T979" s="54"/>
      <c r="U979" s="54"/>
      <c r="V979" s="54"/>
      <c r="W979" s="258"/>
      <c r="X979" s="258"/>
    </row>
    <row r="980" spans="1:26">
      <c r="A980" s="46" t="str">
        <f>'Secondary cum Calculation'!A894</f>
        <v>Poland</v>
      </c>
      <c r="B980" s="47" t="str">
        <f>'Secondary cum Calculation'!B894</f>
        <v>Tourism Flows</v>
      </c>
      <c r="C980" s="47" t="str">
        <f>'Secondary cum Calculation'!C894</f>
        <v>International Departures by Destination</v>
      </c>
      <c r="D980" s="47" t="str">
        <f>'Secondary cum Calculation'!D894</f>
        <v>Europe</v>
      </c>
      <c r="E980" s="46" t="str">
        <f>'Secondary cum Calculation'!E894</f>
        <v>TFYR Macedonia</v>
      </c>
      <c r="F980" s="48" t="str">
        <f>'Secondary cum Calculation'!F894</f>
        <v>The number of international departures from a country to TFYR Macedonia</v>
      </c>
      <c r="G980" s="48" t="str">
        <f>'Secondary cum Calculation'!G894</f>
        <v>Tourism Demand &amp; Flows Database</v>
      </c>
      <c r="H980" s="48" t="str">
        <f>'Secondary cum Calculation'!H894</f>
        <v>New</v>
      </c>
      <c r="I980" s="48">
        <f>'Secondary cum Calculation'!I894</f>
        <v>0</v>
      </c>
      <c r="J980" s="48" t="str">
        <f>'Secondary cum Calculation'!J894</f>
        <v>Thousand</v>
      </c>
      <c r="K980" s="49">
        <f>'Secondary cum Calculation'!K894</f>
        <v>0</v>
      </c>
      <c r="L980" s="92">
        <f>'Secondary cum Calculation'!L894</f>
        <v>0</v>
      </c>
      <c r="M980" s="92">
        <f>'Secondary cum Calculation'!M894</f>
        <v>0</v>
      </c>
      <c r="N980" s="92">
        <f>'Secondary cum Calculation'!N894</f>
        <v>0</v>
      </c>
      <c r="O980" s="53">
        <f>'Secondary cum Calculation'!O894</f>
        <v>0</v>
      </c>
      <c r="P980" s="53">
        <f>'Secondary cum Calculation'!P894</f>
        <v>0</v>
      </c>
      <c r="Q980" s="53"/>
      <c r="R980" s="53"/>
      <c r="S980" s="53"/>
      <c r="T980" s="53"/>
      <c r="U980" s="53"/>
      <c r="V980" s="53"/>
      <c r="W980" s="102" t="e">
        <f>'Secondary cum Calculation'!W894</f>
        <v>#DIV/0!</v>
      </c>
      <c r="X980" s="102" t="e">
        <f>'Secondary cum Calculation'!X894</f>
        <v>#DIV/0!</v>
      </c>
      <c r="Z980" s="11"/>
    </row>
    <row r="981" spans="1:26">
      <c r="A981" s="48"/>
      <c r="B981" s="48"/>
      <c r="C981" s="52" t="str">
        <f>'Secondary cum Calculation'!C895</f>
        <v>Growth Rate</v>
      </c>
      <c r="D981" s="52"/>
      <c r="E981" s="52"/>
      <c r="F981" s="52">
        <f>'Secondary cum Calculation'!F895</f>
        <v>0</v>
      </c>
      <c r="G981" s="52">
        <f>'Secondary cum Calculation'!G895</f>
        <v>0</v>
      </c>
      <c r="H981" s="52">
        <f>'Secondary cum Calculation'!H895</f>
        <v>0</v>
      </c>
      <c r="I981" s="52">
        <f>'Secondary cum Calculation'!I895</f>
        <v>0</v>
      </c>
      <c r="J981" s="52" t="str">
        <f>'Secondary cum Calculation'!J895</f>
        <v>%</v>
      </c>
      <c r="K981" s="49">
        <f>'Secondary cum Calculation'!K895</f>
        <v>0</v>
      </c>
      <c r="L981" s="53"/>
      <c r="M981" s="54" t="e">
        <f>'Secondary cum Calculation'!M895</f>
        <v>#DIV/0!</v>
      </c>
      <c r="N981" s="54" t="e">
        <f>'Secondary cum Calculation'!N895</f>
        <v>#DIV/0!</v>
      </c>
      <c r="O981" s="54" t="e">
        <f>'Secondary cum Calculation'!O895</f>
        <v>#DIV/0!</v>
      </c>
      <c r="P981" s="54" t="e">
        <f>'Secondary cum Calculation'!P895</f>
        <v>#DIV/0!</v>
      </c>
      <c r="Q981" s="54"/>
      <c r="R981" s="54"/>
      <c r="S981" s="54"/>
      <c r="T981" s="54"/>
      <c r="U981" s="54"/>
      <c r="V981" s="54"/>
      <c r="W981" s="258"/>
      <c r="X981" s="258"/>
    </row>
    <row r="982" spans="1:26">
      <c r="A982" s="46" t="str">
        <f>'Secondary cum Calculation'!A896</f>
        <v>Poland</v>
      </c>
      <c r="B982" s="47" t="str">
        <f>'Secondary cum Calculation'!B896</f>
        <v>Tourism Flows</v>
      </c>
      <c r="C982" s="47" t="str">
        <f>'Secondary cum Calculation'!C896</f>
        <v>International Departures by Destination</v>
      </c>
      <c r="D982" s="47" t="str">
        <f>'Secondary cum Calculation'!D896</f>
        <v>Europe</v>
      </c>
      <c r="E982" s="46" t="str">
        <f>'Secondary cum Calculation'!E896</f>
        <v>Turkey</v>
      </c>
      <c r="F982" s="48" t="str">
        <f>'Secondary cum Calculation'!F896</f>
        <v>The number of international departures from a country to Turkey</v>
      </c>
      <c r="G982" s="48" t="str">
        <f>'Secondary cum Calculation'!G896</f>
        <v>Tourism Demand &amp; Flows Database</v>
      </c>
      <c r="H982" s="48" t="str">
        <f>'Secondary cum Calculation'!H896</f>
        <v>New</v>
      </c>
      <c r="I982" s="48">
        <f>'Secondary cum Calculation'!I896</f>
        <v>0</v>
      </c>
      <c r="J982" s="48" t="str">
        <f>'Secondary cum Calculation'!J896</f>
        <v>Thousand</v>
      </c>
      <c r="K982" s="49" t="str">
        <f>'Secondary cum Calculation'!K896</f>
        <v>**</v>
      </c>
      <c r="L982" s="53">
        <f>'Secondary cum Calculation'!L896</f>
        <v>0</v>
      </c>
      <c r="M982" s="53">
        <f>'Secondary cum Calculation'!M896</f>
        <v>0</v>
      </c>
      <c r="N982" s="53">
        <f>'Secondary cum Calculation'!N896</f>
        <v>0</v>
      </c>
      <c r="O982" s="53">
        <f>'Secondary cum Calculation'!O896</f>
        <v>0</v>
      </c>
      <c r="P982" s="53">
        <f>'Secondary cum Calculation'!P896</f>
        <v>0</v>
      </c>
      <c r="Q982" s="53"/>
      <c r="R982" s="53"/>
      <c r="S982" s="53"/>
      <c r="T982" s="53"/>
      <c r="U982" s="53"/>
      <c r="V982" s="53"/>
      <c r="W982" s="102" t="e">
        <f>'Secondary cum Calculation'!W896</f>
        <v>#DIV/0!</v>
      </c>
      <c r="X982" s="102" t="e">
        <f>'Secondary cum Calculation'!X896</f>
        <v>#DIV/0!</v>
      </c>
      <c r="Z982" s="11"/>
    </row>
    <row r="983" spans="1:26">
      <c r="A983" s="48"/>
      <c r="B983" s="48"/>
      <c r="C983" s="52" t="str">
        <f>'Secondary cum Calculation'!C897</f>
        <v>Growth Rate</v>
      </c>
      <c r="D983" s="52"/>
      <c r="E983" s="52"/>
      <c r="F983" s="52">
        <f>'Secondary cum Calculation'!F897</f>
        <v>0</v>
      </c>
      <c r="G983" s="52">
        <f>'Secondary cum Calculation'!G897</f>
        <v>0</v>
      </c>
      <c r="H983" s="52">
        <f>'Secondary cum Calculation'!H897</f>
        <v>0</v>
      </c>
      <c r="I983" s="52">
        <f>'Secondary cum Calculation'!I897</f>
        <v>0</v>
      </c>
      <c r="J983" s="52" t="str">
        <f>'Secondary cum Calculation'!J897</f>
        <v>%</v>
      </c>
      <c r="K983" s="49">
        <f>'Secondary cum Calculation'!K897</f>
        <v>0</v>
      </c>
      <c r="L983" s="53"/>
      <c r="M983" s="54" t="e">
        <f>'Secondary cum Calculation'!M897</f>
        <v>#DIV/0!</v>
      </c>
      <c r="N983" s="54" t="e">
        <f>'Secondary cum Calculation'!N897</f>
        <v>#DIV/0!</v>
      </c>
      <c r="O983" s="54" t="e">
        <f>'Secondary cum Calculation'!O897</f>
        <v>#DIV/0!</v>
      </c>
      <c r="P983" s="54" t="e">
        <f>'Secondary cum Calculation'!P897</f>
        <v>#DIV/0!</v>
      </c>
      <c r="Q983" s="54"/>
      <c r="R983" s="54"/>
      <c r="S983" s="54"/>
      <c r="T983" s="54"/>
      <c r="U983" s="54"/>
      <c r="V983" s="54"/>
      <c r="W983" s="258"/>
      <c r="X983" s="258"/>
    </row>
    <row r="984" spans="1:26">
      <c r="A984" s="46" t="str">
        <f>'Secondary cum Calculation'!A898</f>
        <v>Poland</v>
      </c>
      <c r="B984" s="47" t="str">
        <f>'Secondary cum Calculation'!B898</f>
        <v>Tourism Flows</v>
      </c>
      <c r="C984" s="47" t="str">
        <f>'Secondary cum Calculation'!C898</f>
        <v>International Departures by Destination</v>
      </c>
      <c r="D984" s="47" t="str">
        <f>'Secondary cum Calculation'!D898</f>
        <v>Europe</v>
      </c>
      <c r="E984" s="46" t="str">
        <f>'Secondary cum Calculation'!E898</f>
        <v>Ukraine</v>
      </c>
      <c r="F984" s="48" t="str">
        <f>'Secondary cum Calculation'!F898</f>
        <v>The number of international departures from a country to Ukraine</v>
      </c>
      <c r="G984" s="48" t="str">
        <f>'Secondary cum Calculation'!G898</f>
        <v>Tourism Demand &amp; Flows Database</v>
      </c>
      <c r="H984" s="48" t="str">
        <f>'Secondary cum Calculation'!H898</f>
        <v>New</v>
      </c>
      <c r="I984" s="48">
        <f>'Secondary cum Calculation'!I898</f>
        <v>0</v>
      </c>
      <c r="J984" s="48" t="str">
        <f>'Secondary cum Calculation'!J898</f>
        <v>Thousand</v>
      </c>
      <c r="K984" s="49">
        <f>'Secondary cum Calculation'!K898</f>
        <v>0</v>
      </c>
      <c r="L984" s="92">
        <f>'Secondary cum Calculation'!L898</f>
        <v>0</v>
      </c>
      <c r="M984" s="92">
        <f>'Secondary cum Calculation'!M898</f>
        <v>0</v>
      </c>
      <c r="N984" s="92">
        <f>'Secondary cum Calculation'!N898</f>
        <v>0</v>
      </c>
      <c r="O984" s="53">
        <f>'Secondary cum Calculation'!O898</f>
        <v>0</v>
      </c>
      <c r="P984" s="53">
        <f>'Secondary cum Calculation'!P898</f>
        <v>0</v>
      </c>
      <c r="Q984" s="53"/>
      <c r="R984" s="53"/>
      <c r="S984" s="53"/>
      <c r="T984" s="53"/>
      <c r="U984" s="53"/>
      <c r="V984" s="53"/>
      <c r="W984" s="102" t="e">
        <f>'Secondary cum Calculation'!W898</f>
        <v>#DIV/0!</v>
      </c>
      <c r="X984" s="102" t="e">
        <f>'Secondary cum Calculation'!X898</f>
        <v>#DIV/0!</v>
      </c>
      <c r="Z984" s="11"/>
    </row>
    <row r="985" spans="1:26">
      <c r="A985" s="48"/>
      <c r="B985" s="48"/>
      <c r="C985" s="52" t="str">
        <f>'Secondary cum Calculation'!C899</f>
        <v>Growth Rate</v>
      </c>
      <c r="D985" s="52"/>
      <c r="E985" s="52"/>
      <c r="F985" s="52">
        <f>'Secondary cum Calculation'!F899</f>
        <v>0</v>
      </c>
      <c r="G985" s="52">
        <f>'Secondary cum Calculation'!G899</f>
        <v>0</v>
      </c>
      <c r="H985" s="52">
        <f>'Secondary cum Calculation'!H899</f>
        <v>0</v>
      </c>
      <c r="I985" s="52">
        <f>'Secondary cum Calculation'!I899</f>
        <v>0</v>
      </c>
      <c r="J985" s="52" t="str">
        <f>'Secondary cum Calculation'!J899</f>
        <v>%</v>
      </c>
      <c r="K985" s="49">
        <f>'Secondary cum Calculation'!K899</f>
        <v>0</v>
      </c>
      <c r="L985" s="53"/>
      <c r="M985" s="54" t="e">
        <f>'Secondary cum Calculation'!M899</f>
        <v>#DIV/0!</v>
      </c>
      <c r="N985" s="54" t="e">
        <f>'Secondary cum Calculation'!N899</f>
        <v>#DIV/0!</v>
      </c>
      <c r="O985" s="54" t="e">
        <f>'Secondary cum Calculation'!O899</f>
        <v>#DIV/0!</v>
      </c>
      <c r="P985" s="54" t="e">
        <f>'Secondary cum Calculation'!P899</f>
        <v>#DIV/0!</v>
      </c>
      <c r="Q985" s="54"/>
      <c r="R985" s="54"/>
      <c r="S985" s="54"/>
      <c r="T985" s="54"/>
      <c r="U985" s="54"/>
      <c r="V985" s="54"/>
      <c r="W985" s="258"/>
      <c r="X985" s="258"/>
    </row>
    <row r="986" spans="1:26">
      <c r="A986" s="46" t="str">
        <f>'Secondary cum Calculation'!A900</f>
        <v>Poland</v>
      </c>
      <c r="B986" s="47" t="str">
        <f>'Secondary cum Calculation'!B900</f>
        <v>Tourism Flows</v>
      </c>
      <c r="C986" s="47" t="str">
        <f>'Secondary cum Calculation'!C900</f>
        <v>International Departures by Destination</v>
      </c>
      <c r="D986" s="47" t="str">
        <f>'Secondary cum Calculation'!D900</f>
        <v>Europe</v>
      </c>
      <c r="E986" s="46" t="str">
        <f>'Secondary cum Calculation'!E900</f>
        <v>United Kingdom</v>
      </c>
      <c r="F986" s="48" t="str">
        <f>'Secondary cum Calculation'!F900</f>
        <v>The number of international departures from a country to United Kingdom</v>
      </c>
      <c r="G986" s="48" t="str">
        <f>'Secondary cum Calculation'!G900</f>
        <v>Tourism Demand &amp; Flows Database</v>
      </c>
      <c r="H986" s="48" t="str">
        <f>'Secondary cum Calculation'!H900</f>
        <v>New</v>
      </c>
      <c r="I986" s="48">
        <f>'Secondary cum Calculation'!I900</f>
        <v>0</v>
      </c>
      <c r="J986" s="48" t="str">
        <f>'Secondary cum Calculation'!J900</f>
        <v>Thousand</v>
      </c>
      <c r="K986" s="49">
        <f>'Secondary cum Calculation'!K900</f>
        <v>3286</v>
      </c>
      <c r="L986" s="53">
        <f>'Secondary cum Calculation'!L900</f>
        <v>763</v>
      </c>
      <c r="M986" s="53">
        <f>'Secondary cum Calculation'!M900</f>
        <v>409</v>
      </c>
      <c r="N986" s="53">
        <f>'Secondary cum Calculation'!N900</f>
        <v>463</v>
      </c>
      <c r="O986" s="53">
        <f>'Secondary cum Calculation'!O900</f>
        <v>570</v>
      </c>
      <c r="P986" s="53">
        <f>'Secondary cum Calculation'!P900</f>
        <v>492</v>
      </c>
      <c r="Q986" s="53"/>
      <c r="R986" s="53"/>
      <c r="S986" s="53"/>
      <c r="T986" s="53"/>
      <c r="U986" s="53"/>
      <c r="V986" s="53"/>
      <c r="W986" s="102">
        <f>'Secondary cum Calculation'!W900</f>
        <v>3.1449117825271822E-2</v>
      </c>
      <c r="X986" s="102">
        <f>'Secondary cum Calculation'!X900</f>
        <v>-1</v>
      </c>
      <c r="Z986" s="11"/>
    </row>
    <row r="987" spans="1:26">
      <c r="A987" s="48"/>
      <c r="B987" s="48"/>
      <c r="C987" s="52" t="str">
        <f>'Secondary cum Calculation'!C901</f>
        <v>Growth Rate</v>
      </c>
      <c r="D987" s="52"/>
      <c r="E987" s="52"/>
      <c r="F987" s="52">
        <f>'Secondary cum Calculation'!F901</f>
        <v>0</v>
      </c>
      <c r="G987" s="52">
        <f>'Secondary cum Calculation'!G901</f>
        <v>0</v>
      </c>
      <c r="H987" s="52">
        <f>'Secondary cum Calculation'!H901</f>
        <v>0</v>
      </c>
      <c r="I987" s="52">
        <f>'Secondary cum Calculation'!I901</f>
        <v>0</v>
      </c>
      <c r="J987" s="52" t="str">
        <f>'Secondary cum Calculation'!J901</f>
        <v>%</v>
      </c>
      <c r="K987" s="49">
        <f>'Secondary cum Calculation'!K901</f>
        <v>0</v>
      </c>
      <c r="L987" s="53"/>
      <c r="M987" s="54">
        <f>'Secondary cum Calculation'!M901</f>
        <v>-0.46395806028833553</v>
      </c>
      <c r="N987" s="54">
        <f>'Secondary cum Calculation'!N901</f>
        <v>0.13202933985330079</v>
      </c>
      <c r="O987" s="54">
        <f>'Secondary cum Calculation'!O901</f>
        <v>0.23110151187904959</v>
      </c>
      <c r="P987" s="54">
        <f>'Secondary cum Calculation'!P901</f>
        <v>-0.13684210526315788</v>
      </c>
      <c r="Q987" s="54"/>
      <c r="R987" s="54"/>
      <c r="S987" s="54"/>
      <c r="T987" s="54"/>
      <c r="U987" s="54"/>
      <c r="V987" s="54"/>
      <c r="W987" s="258"/>
      <c r="X987" s="258"/>
    </row>
    <row r="988" spans="1:26">
      <c r="A988" s="46" t="str">
        <f>'Secondary cum Calculation'!A902</f>
        <v>Poland</v>
      </c>
      <c r="B988" s="47" t="str">
        <f>'Secondary cum Calculation'!B902</f>
        <v>Tourism Flows</v>
      </c>
      <c r="C988" s="47" t="str">
        <f>'Secondary cum Calculation'!C902</f>
        <v>International Departures by Destination</v>
      </c>
      <c r="D988" s="94" t="str">
        <f>'Secondary cum Calculation'!D902</f>
        <v>Europe</v>
      </c>
      <c r="E988" s="95" t="str">
        <f>'Secondary cum Calculation'!E902</f>
        <v>Other European Countries</v>
      </c>
      <c r="F988" s="94" t="str">
        <f>'Secondary cum Calculation'!F902</f>
        <v>To be defined according to the gaps in the country data above</v>
      </c>
      <c r="G988" s="48">
        <f>'Secondary cum Calculation'!G902</f>
        <v>0</v>
      </c>
      <c r="H988" s="48">
        <f>'Secondary cum Calculation'!H902</f>
        <v>0</v>
      </c>
      <c r="I988" s="48">
        <f>'Secondary cum Calculation'!I902</f>
        <v>0</v>
      </c>
      <c r="J988" s="48" t="str">
        <f>'Secondary cum Calculation'!J902</f>
        <v>Thousand</v>
      </c>
      <c r="K988" s="49">
        <f>'Secondary cum Calculation'!K902</f>
        <v>0</v>
      </c>
      <c r="L988" s="53">
        <f>'Secondary cum Calculation'!L902</f>
        <v>2061.5250237928249</v>
      </c>
      <c r="M988" s="53">
        <f>'Secondary cum Calculation'!M902</f>
        <v>2908.2235533511548</v>
      </c>
      <c r="N988" s="53">
        <f>'Secondary cum Calculation'!N902</f>
        <v>2235.9934490327623</v>
      </c>
      <c r="O988" s="53">
        <f>'Secondary cum Calculation'!O902</f>
        <v>2977.7966470588235</v>
      </c>
      <c r="P988" s="53">
        <f>'Secondary cum Calculation'!P902</f>
        <v>2976.0534705882355</v>
      </c>
      <c r="Q988" s="53"/>
      <c r="R988" s="53"/>
      <c r="S988" s="53"/>
      <c r="T988" s="53"/>
      <c r="U988" s="53"/>
      <c r="V988" s="53"/>
      <c r="W988" s="102">
        <f>'Secondary cum Calculation'!W902</f>
        <v>1.2547981884027282E-2</v>
      </c>
      <c r="X988" s="102">
        <f>'Secondary cum Calculation'!X902</f>
        <v>-1</v>
      </c>
      <c r="Z988" s="11"/>
    </row>
    <row r="989" spans="1:26">
      <c r="A989" s="48"/>
      <c r="B989" s="48"/>
      <c r="C989" s="52" t="str">
        <f>'Secondary cum Calculation'!C903</f>
        <v>Growth Rate</v>
      </c>
      <c r="D989" s="52"/>
      <c r="E989" s="52"/>
      <c r="F989" s="52">
        <f>'Secondary cum Calculation'!F903</f>
        <v>0</v>
      </c>
      <c r="G989" s="52">
        <f>'Secondary cum Calculation'!G903</f>
        <v>0</v>
      </c>
      <c r="H989" s="52">
        <f>'Secondary cum Calculation'!H903</f>
        <v>0</v>
      </c>
      <c r="I989" s="52">
        <f>'Secondary cum Calculation'!I903</f>
        <v>0</v>
      </c>
      <c r="J989" s="52" t="str">
        <f>'Secondary cum Calculation'!J903</f>
        <v>%</v>
      </c>
      <c r="K989" s="49">
        <f>'Secondary cum Calculation'!K903</f>
        <v>0</v>
      </c>
      <c r="L989" s="53"/>
      <c r="M989" s="54">
        <f>'Secondary cum Calculation'!M903</f>
        <v>0.41071465045840738</v>
      </c>
      <c r="N989" s="54">
        <f>'Secondary cum Calculation'!N903</f>
        <v>-0.23114801595763834</v>
      </c>
      <c r="O989" s="54">
        <f>'Secondary cum Calculation'!O903</f>
        <v>0.33175553280218573</v>
      </c>
      <c r="P989" s="54">
        <f>'Secondary cum Calculation'!P903</f>
        <v>-5.8539137395752228E-4</v>
      </c>
      <c r="Q989" s="54"/>
      <c r="R989" s="54"/>
      <c r="S989" s="54"/>
      <c r="T989" s="54"/>
      <c r="U989" s="54"/>
      <c r="V989" s="54"/>
      <c r="W989" s="258"/>
      <c r="X989" s="258"/>
    </row>
    <row r="990" spans="1:26">
      <c r="A990" s="46" t="str">
        <f>'Secondary cum Calculation'!A904</f>
        <v>Poland</v>
      </c>
      <c r="B990" s="47" t="str">
        <f>'Secondary cum Calculation'!B904</f>
        <v>Tourism Flows</v>
      </c>
      <c r="C990" s="47" t="str">
        <f>'Secondary cum Calculation'!C904</f>
        <v>International Departures by Destination</v>
      </c>
      <c r="D990" s="46" t="str">
        <f>'Secondary cum Calculation'!D904</f>
        <v>Middle East</v>
      </c>
      <c r="E990" s="48"/>
      <c r="F990" s="48" t="str">
        <f>'Secondary cum Calculation'!F904</f>
        <v>The number of international departures from a country to the Middle East</v>
      </c>
      <c r="G990" s="48" t="str">
        <f>'Secondary cum Calculation'!G904</f>
        <v>Tourism Demand &amp; Flows Database</v>
      </c>
      <c r="H990" s="48" t="str">
        <f>'Secondary cum Calculation'!H904</f>
        <v>New</v>
      </c>
      <c r="I990" s="48">
        <f>'Secondary cum Calculation'!I904</f>
        <v>0</v>
      </c>
      <c r="J990" s="48" t="str">
        <f>'Secondary cum Calculation'!J904</f>
        <v>Thousand</v>
      </c>
      <c r="K990" s="76">
        <f>'Secondary cum Calculation'!K904</f>
        <v>0</v>
      </c>
      <c r="L990" s="91">
        <f>'Secondary cum Calculation'!L904</f>
        <v>30.684725075329453</v>
      </c>
      <c r="M990" s="91">
        <f>'Secondary cum Calculation'!M904</f>
        <v>42.164130026086298</v>
      </c>
      <c r="N990" s="91">
        <f>'Secondary cum Calculation'!N904</f>
        <v>36.156641710798738</v>
      </c>
      <c r="O990" s="91">
        <f>'Secondary cum Calculation'!O904</f>
        <v>41.070924694601359</v>
      </c>
      <c r="P990" s="91">
        <f>'Secondary cum Calculation'!P904</f>
        <v>46.363210382450632</v>
      </c>
      <c r="Q990" s="91">
        <f>'Secondary cum Calculation'!Q904</f>
        <v>48.841907364934627</v>
      </c>
      <c r="R990" s="91">
        <f t="shared" ref="R990:V990" si="634">Q990*(1+R991)</f>
        <v>51.158895135277753</v>
      </c>
      <c r="S990" s="91">
        <f t="shared" si="634"/>
        <v>53.298234296365237</v>
      </c>
      <c r="T990" s="91">
        <f t="shared" si="634"/>
        <v>55.059053556440809</v>
      </c>
      <c r="U990" s="91">
        <f t="shared" si="634"/>
        <v>57.314803815954285</v>
      </c>
      <c r="V990" s="91">
        <f t="shared" si="634"/>
        <v>59.53342329960784</v>
      </c>
      <c r="W990" s="102">
        <f>'Secondary cum Calculation'!W904</f>
        <v>3.7438516749683126E-2</v>
      </c>
      <c r="X990" s="102">
        <f>'Secondary cum Calculation'!X904</f>
        <v>4.0383960523816986E-2</v>
      </c>
      <c r="Z990" s="11"/>
    </row>
    <row r="991" spans="1:26">
      <c r="A991" s="48"/>
      <c r="B991" s="48"/>
      <c r="C991" s="52" t="str">
        <f>'Secondary cum Calculation'!C905</f>
        <v>Growth Rate</v>
      </c>
      <c r="D991" s="52"/>
      <c r="E991" s="52"/>
      <c r="F991" s="52">
        <f>'Secondary cum Calculation'!F905</f>
        <v>0</v>
      </c>
      <c r="G991" s="52">
        <f>'Secondary cum Calculation'!G905</f>
        <v>0</v>
      </c>
      <c r="H991" s="52">
        <f>'Secondary cum Calculation'!H905</f>
        <v>0</v>
      </c>
      <c r="I991" s="52">
        <f>'Secondary cum Calculation'!I905</f>
        <v>0</v>
      </c>
      <c r="J991" s="52" t="str">
        <f>'Secondary cum Calculation'!J905</f>
        <v>%</v>
      </c>
      <c r="K991" s="49">
        <f>'Secondary cum Calculation'!K905</f>
        <v>0</v>
      </c>
      <c r="L991" s="53"/>
      <c r="M991" s="54">
        <f>'Secondary cum Calculation'!M905</f>
        <v>0.37410812456606624</v>
      </c>
      <c r="N991" s="54">
        <f>'Secondary cum Calculation'!N905</f>
        <v>-0.14247864978053193</v>
      </c>
      <c r="O991" s="54">
        <f>'Secondary cum Calculation'!O905</f>
        <v>0.13591646655432865</v>
      </c>
      <c r="P991" s="54">
        <f>'Secondary cum Calculation'!P905</f>
        <v>0.12885723239011782</v>
      </c>
      <c r="Q991" s="54">
        <f>'Secondary cum Calculation'!Q905</f>
        <v>5.3462582984163509E-2</v>
      </c>
      <c r="R991" s="54">
        <f>0.1*((L990/O990)^(1/3)-1)+0.9*($E993*R994+$E995*R996+$E997*R998+$E999*R1000+$E1001*R1002+$E1003*R1004)</f>
        <v>4.7438519405705662E-2</v>
      </c>
      <c r="S991" s="54">
        <f t="shared" ref="S991:V991" si="635">0.2*((M990/P990)^(1/3)-1)+0.8*($E993*S994+$E995*S996+$E997*S998+$E999*S1000+$E1001*S1002+$E1003*S1004)</f>
        <v>4.1817540340355272E-2</v>
      </c>
      <c r="T991" s="54">
        <f>0.15*((N990/Q990)^(1/3)-1)+0.85*($E993*T994+$E995*T996+$E997*T998+$E999*T1000+$E1001*T1002+$E1003*T1004)</f>
        <v>3.3037103073331284E-2</v>
      </c>
      <c r="U991" s="54">
        <f>0.15*((O990/R990)^(1/3)-1)+0.85*($E993*U994+$E995*U996+$E997*U998+$E999*U1000+$E1001*U1002+$E1003*U1004)</f>
        <v>4.0969651924748642E-2</v>
      </c>
      <c r="V991" s="54">
        <f t="shared" si="635"/>
        <v>3.8709361908972964E-2</v>
      </c>
      <c r="W991" s="258"/>
      <c r="X991" s="258"/>
    </row>
    <row r="992" spans="1:26" outlineLevel="1">
      <c r="A992" s="306"/>
      <c r="B992" s="306"/>
      <c r="C992" s="306"/>
      <c r="D992" s="307" t="s">
        <v>912</v>
      </c>
      <c r="E992" s="112" t="s">
        <v>914</v>
      </c>
      <c r="F992" s="112"/>
      <c r="G992" s="112"/>
      <c r="H992" s="112"/>
      <c r="I992" s="112"/>
      <c r="J992" s="112"/>
      <c r="K992" s="113"/>
      <c r="L992" s="114"/>
      <c r="M992" s="115"/>
      <c r="N992" s="115"/>
      <c r="O992" s="115"/>
      <c r="P992" s="115"/>
      <c r="Q992" s="115"/>
      <c r="R992" s="115"/>
      <c r="S992" s="115"/>
      <c r="T992" s="115"/>
      <c r="U992" s="115"/>
      <c r="V992" s="115"/>
      <c r="W992" s="303"/>
      <c r="X992" s="303"/>
    </row>
    <row r="993" spans="1:26" outlineLevel="1">
      <c r="A993" s="308"/>
      <c r="B993" s="308"/>
      <c r="C993" s="308"/>
      <c r="D993" s="308" t="s">
        <v>937</v>
      </c>
      <c r="E993" s="310">
        <f>W994/W$1005</f>
        <v>0.18554580993166597</v>
      </c>
      <c r="F993" s="310"/>
      <c r="G993" s="310"/>
      <c r="H993" s="310"/>
      <c r="I993" s="310"/>
      <c r="J993" s="310"/>
      <c r="K993" s="310"/>
      <c r="L993" s="329">
        <f>L1174</f>
        <v>425.32100000000003</v>
      </c>
      <c r="M993" s="329">
        <f t="shared" ref="M993:U993" si="636">M1174</f>
        <v>529.40099999999995</v>
      </c>
      <c r="N993" s="329">
        <f t="shared" si="636"/>
        <v>430.84699999999998</v>
      </c>
      <c r="O993" s="329">
        <f t="shared" si="636"/>
        <v>469.75299999999999</v>
      </c>
      <c r="P993" s="329">
        <f t="shared" si="636"/>
        <v>514.50300000000004</v>
      </c>
      <c r="Q993" s="329">
        <f t="shared" si="636"/>
        <v>470.35399999999998</v>
      </c>
      <c r="R993" s="329">
        <f t="shared" si="636"/>
        <v>496.14499999999998</v>
      </c>
      <c r="S993" s="329">
        <f t="shared" si="636"/>
        <v>522.93799999999999</v>
      </c>
      <c r="T993" s="329">
        <f t="shared" si="636"/>
        <v>553.78399999999999</v>
      </c>
      <c r="U993" s="329">
        <f t="shared" si="636"/>
        <v>589.50099999999998</v>
      </c>
      <c r="V993" s="329">
        <f t="shared" ref="V993" si="637">V1174</f>
        <v>623.40700000000004</v>
      </c>
      <c r="W993" s="302" t="s">
        <v>915</v>
      </c>
      <c r="X993" s="303"/>
    </row>
    <row r="994" spans="1:26" outlineLevel="1">
      <c r="A994" s="312"/>
      <c r="B994" s="312"/>
      <c r="C994" s="312"/>
      <c r="D994" s="312" t="s">
        <v>892</v>
      </c>
      <c r="E994" s="312"/>
      <c r="F994" s="312"/>
      <c r="G994" s="312"/>
      <c r="H994" s="312"/>
      <c r="I994" s="312"/>
      <c r="J994" s="312"/>
      <c r="K994" s="312"/>
      <c r="L994" s="312"/>
      <c r="M994" s="313">
        <f>M993/L993-1</f>
        <v>0.24470929015966747</v>
      </c>
      <c r="N994" s="313">
        <f t="shared" ref="N994" si="638">N993/M993-1</f>
        <v>-0.18616134083615254</v>
      </c>
      <c r="O994" s="313">
        <f t="shared" ref="O994" si="639">O993/N993-1</f>
        <v>9.0301197408825029E-2</v>
      </c>
      <c r="P994" s="313">
        <f t="shared" ref="P994" si="640">P993/O993-1</f>
        <v>9.5262829614712441E-2</v>
      </c>
      <c r="Q994" s="313">
        <f t="shared" ref="Q994" si="641">Q993/P993-1</f>
        <v>-8.5809023465363787E-2</v>
      </c>
      <c r="R994" s="313">
        <f t="shared" ref="R994" si="642">R993/Q993-1</f>
        <v>5.4833168209476257E-2</v>
      </c>
      <c r="S994" s="313">
        <f t="shared" ref="S994" si="643">S993/R993-1</f>
        <v>5.4002358181580057E-2</v>
      </c>
      <c r="T994" s="313">
        <f t="shared" ref="T994" si="644">T993/S993-1</f>
        <v>5.8985960094695811E-2</v>
      </c>
      <c r="U994" s="313">
        <f t="shared" ref="U994:V994" si="645">U993/T993-1</f>
        <v>6.4496265692038701E-2</v>
      </c>
      <c r="V994" s="313">
        <f t="shared" si="645"/>
        <v>5.7516441872023982E-2</v>
      </c>
      <c r="W994" s="304">
        <f>CORREL(M994:P994,M$991:P$991)</f>
        <v>0.98689195939929542</v>
      </c>
      <c r="X994" s="314"/>
    </row>
    <row r="995" spans="1:26" ht="21" customHeight="1" outlineLevel="1">
      <c r="A995" s="310"/>
      <c r="B995" s="310"/>
      <c r="C995" s="310"/>
      <c r="D995" s="310" t="s">
        <v>936</v>
      </c>
      <c r="E995" s="310">
        <f>W996/W$1005</f>
        <v>0.18394964884925871</v>
      </c>
      <c r="F995" s="310"/>
      <c r="G995" s="310"/>
      <c r="H995" s="310"/>
      <c r="I995" s="310"/>
      <c r="J995" s="310"/>
      <c r="K995" s="310"/>
      <c r="L995" s="329">
        <f>L1176</f>
        <v>268203.56</v>
      </c>
      <c r="M995" s="329">
        <f t="shared" ref="M995:U995" si="646">M1176</f>
        <v>329640.87</v>
      </c>
      <c r="N995" s="329">
        <f t="shared" si="646"/>
        <v>266283.2</v>
      </c>
      <c r="O995" s="329">
        <f t="shared" si="646"/>
        <v>295763.96999999997</v>
      </c>
      <c r="P995" s="329">
        <f t="shared" si="646"/>
        <v>306943.82</v>
      </c>
      <c r="Q995" s="329">
        <f t="shared" si="646"/>
        <v>332356.61829999997</v>
      </c>
      <c r="R995" s="329">
        <f t="shared" si="646"/>
        <v>352225.2107</v>
      </c>
      <c r="S995" s="329">
        <f t="shared" si="646"/>
        <v>371576.09950000001</v>
      </c>
      <c r="T995" s="329">
        <f t="shared" si="646"/>
        <v>386358.77990000002</v>
      </c>
      <c r="U995" s="329">
        <f t="shared" si="646"/>
        <v>409235.93204273965</v>
      </c>
      <c r="V995" s="329">
        <f t="shared" ref="V995" si="647">V1176</f>
        <v>431088.18074672733</v>
      </c>
      <c r="W995" s="304"/>
      <c r="X995" s="315"/>
    </row>
    <row r="996" spans="1:26" outlineLevel="1">
      <c r="A996" s="312"/>
      <c r="B996" s="312"/>
      <c r="C996" s="312"/>
      <c r="D996" s="312" t="s">
        <v>892</v>
      </c>
      <c r="E996" s="312"/>
      <c r="F996" s="312"/>
      <c r="G996" s="312"/>
      <c r="H996" s="312"/>
      <c r="I996" s="312"/>
      <c r="J996" s="312"/>
      <c r="K996" s="312"/>
      <c r="L996" s="312"/>
      <c r="M996" s="316">
        <f>M995/L995-1</f>
        <v>0.22906970362362089</v>
      </c>
      <c r="N996" s="316">
        <f t="shared" ref="N996" si="648">N995/M995-1</f>
        <v>-0.19220210770587998</v>
      </c>
      <c r="O996" s="316">
        <f t="shared" ref="O996" si="649">O995/N995-1</f>
        <v>0.11071209148755901</v>
      </c>
      <c r="P996" s="316">
        <f t="shared" ref="P996" si="650">P995/O995-1</f>
        <v>3.7799905106764786E-2</v>
      </c>
      <c r="Q996" s="316">
        <f t="shared" ref="Q996" si="651">Q995/P995-1</f>
        <v>8.2792995473894848E-2</v>
      </c>
      <c r="R996" s="316">
        <f t="shared" ref="R996" si="652">R995/Q995-1</f>
        <v>5.9780944040253026E-2</v>
      </c>
      <c r="S996" s="316">
        <f t="shared" ref="S996" si="653">S995/R995-1</f>
        <v>5.4938965787096006E-2</v>
      </c>
      <c r="T996" s="316">
        <f t="shared" ref="T996" si="654">T995/S995-1</f>
        <v>3.9783722418885059E-2</v>
      </c>
      <c r="U996" s="316">
        <f t="shared" ref="U996:V996" si="655">U995/T995-1</f>
        <v>5.9212196882547419E-2</v>
      </c>
      <c r="V996" s="316">
        <f t="shared" si="655"/>
        <v>5.339767843676424E-2</v>
      </c>
      <c r="W996" s="304">
        <f>CORREL(M996:P996,M$991:P$991)</f>
        <v>0.9784022040191338</v>
      </c>
      <c r="X996" s="317"/>
    </row>
    <row r="997" spans="1:26" ht="19.5" customHeight="1" outlineLevel="1">
      <c r="A997" s="310"/>
      <c r="B997" s="310"/>
      <c r="C997" s="310"/>
      <c r="D997" s="310" t="s">
        <v>916</v>
      </c>
      <c r="E997" s="310">
        <f>W998/W$1005</f>
        <v>0.17599318083605464</v>
      </c>
      <c r="F997" s="310"/>
      <c r="G997" s="310"/>
      <c r="H997" s="310"/>
      <c r="I997" s="310"/>
      <c r="J997" s="310"/>
      <c r="K997" s="310"/>
      <c r="L997" s="329">
        <f>L1184</f>
        <v>105911</v>
      </c>
      <c r="M997" s="329">
        <f t="shared" ref="M997:U997" si="656">M1184</f>
        <v>107942</v>
      </c>
      <c r="N997" s="329">
        <f t="shared" si="656"/>
        <v>103397</v>
      </c>
      <c r="O997" s="329">
        <f t="shared" si="656"/>
        <v>102162.46730120073</v>
      </c>
      <c r="P997" s="329">
        <f t="shared" si="656"/>
        <v>102961.52808660103</v>
      </c>
      <c r="Q997" s="329">
        <f t="shared" si="656"/>
        <v>104281.82642289056</v>
      </c>
      <c r="R997" s="329">
        <f t="shared" si="656"/>
        <v>106092.99932640951</v>
      </c>
      <c r="S997" s="329">
        <f t="shared" si="656"/>
        <v>107374.74549474263</v>
      </c>
      <c r="T997" s="329">
        <f t="shared" si="656"/>
        <v>108052.42439100673</v>
      </c>
      <c r="U997" s="329">
        <f t="shared" si="656"/>
        <v>109801.45941458517</v>
      </c>
      <c r="V997" s="329">
        <f t="shared" ref="V997" si="657">V1184</f>
        <v>111226.42626151063</v>
      </c>
      <c r="W997" s="315"/>
      <c r="X997" s="315"/>
    </row>
    <row r="998" spans="1:26" outlineLevel="1">
      <c r="A998" s="312"/>
      <c r="B998" s="312"/>
      <c r="C998" s="312"/>
      <c r="D998" s="312" t="s">
        <v>892</v>
      </c>
      <c r="E998" s="312"/>
      <c r="F998" s="312"/>
      <c r="G998" s="312"/>
      <c r="H998" s="312"/>
      <c r="I998" s="312"/>
      <c r="J998" s="312"/>
      <c r="K998" s="312"/>
      <c r="L998" s="312"/>
      <c r="M998" s="316">
        <f>M997/L997-1</f>
        <v>1.9176478363909233E-2</v>
      </c>
      <c r="N998" s="316">
        <f t="shared" ref="N998" si="658">N997/M997-1</f>
        <v>-4.2105945785699705E-2</v>
      </c>
      <c r="O998" s="316">
        <f t="shared" ref="O998" si="659">O997/N997-1</f>
        <v>-1.1939734216653064E-2</v>
      </c>
      <c r="P998" s="316">
        <f t="shared" ref="P998" si="660">P997/O997-1</f>
        <v>7.8214710990138769E-3</v>
      </c>
      <c r="Q998" s="316">
        <f t="shared" ref="Q998" si="661">Q997/P997-1</f>
        <v>1.2823220098083787E-2</v>
      </c>
      <c r="R998" s="316">
        <f t="shared" ref="R998" si="662">R997/Q997-1</f>
        <v>1.7368058900063321E-2</v>
      </c>
      <c r="S998" s="316">
        <f t="shared" ref="S998" si="663">S997/R997-1</f>
        <v>1.2081345390091647E-2</v>
      </c>
      <c r="T998" s="316">
        <f t="shared" ref="T998" si="664">T997/S997-1</f>
        <v>6.3113434461856688E-3</v>
      </c>
      <c r="U998" s="316">
        <f t="shared" ref="U998:V998" si="665">U997/T997-1</f>
        <v>1.6186911431521844E-2</v>
      </c>
      <c r="V998" s="316">
        <f t="shared" si="665"/>
        <v>1.2977667642331658E-2</v>
      </c>
      <c r="W998" s="304">
        <f>CORREL(M998:P998,M$991:P$991)</f>
        <v>0.93608287430567583</v>
      </c>
      <c r="X998" s="317"/>
    </row>
    <row r="999" spans="1:26" ht="19.5" customHeight="1" outlineLevel="1">
      <c r="A999" s="310"/>
      <c r="B999" s="310"/>
      <c r="C999" s="310"/>
      <c r="D999" s="310" t="s">
        <v>968</v>
      </c>
      <c r="E999" s="310">
        <f>W1000/W$1005</f>
        <v>9.8236717956478953E-2</v>
      </c>
      <c r="F999" s="310"/>
      <c r="G999" s="310"/>
      <c r="H999" s="310"/>
      <c r="I999" s="310"/>
      <c r="J999" s="310"/>
      <c r="K999" s="310"/>
      <c r="L999" s="311">
        <f>L1210</f>
        <v>0.92</v>
      </c>
      <c r="M999" s="311">
        <f t="shared" ref="M999:U999" si="666">M1210</f>
        <v>1.0920000000000001</v>
      </c>
      <c r="N999" s="311">
        <f t="shared" si="666"/>
        <v>1.212</v>
      </c>
      <c r="O999" s="311">
        <f t="shared" si="666"/>
        <v>1.282</v>
      </c>
      <c r="P999" s="311">
        <f t="shared" si="666"/>
        <v>1.3879999999999999</v>
      </c>
      <c r="Q999" s="311">
        <f t="shared" si="666"/>
        <v>1.508</v>
      </c>
      <c r="R999" s="311">
        <f t="shared" si="666"/>
        <v>1.621</v>
      </c>
      <c r="S999" s="311">
        <f t="shared" si="666"/>
        <v>1.738</v>
      </c>
      <c r="T999" s="311">
        <f t="shared" si="666"/>
        <v>1.865</v>
      </c>
      <c r="U999" s="311">
        <f t="shared" si="666"/>
        <v>2.0009999999999999</v>
      </c>
      <c r="V999" s="311">
        <f t="shared" ref="V999" si="667">V1210</f>
        <v>2.1476253687591855</v>
      </c>
      <c r="W999" s="304"/>
      <c r="X999" s="315"/>
    </row>
    <row r="1000" spans="1:26" outlineLevel="1">
      <c r="A1000" s="312"/>
      <c r="B1000" s="312"/>
      <c r="C1000" s="312"/>
      <c r="D1000" s="312" t="s">
        <v>892</v>
      </c>
      <c r="E1000" s="312"/>
      <c r="F1000" s="312"/>
      <c r="G1000" s="312"/>
      <c r="H1000" s="312"/>
      <c r="I1000" s="312"/>
      <c r="J1000" s="312"/>
      <c r="K1000" s="312"/>
      <c r="L1000" s="312"/>
      <c r="M1000" s="316">
        <f>M999/L999-1</f>
        <v>0.18695652173913047</v>
      </c>
      <c r="N1000" s="316">
        <f t="shared" ref="N1000" si="668">N999/M999-1</f>
        <v>0.10989010989010972</v>
      </c>
      <c r="O1000" s="316">
        <f t="shared" ref="O1000" si="669">O999/N999-1</f>
        <v>5.7755775577557733E-2</v>
      </c>
      <c r="P1000" s="316">
        <f t="shared" ref="P1000" si="670">P999/O999-1</f>
        <v>8.2683307332293232E-2</v>
      </c>
      <c r="Q1000" s="316">
        <f t="shared" ref="Q1000" si="671">Q999/P999-1</f>
        <v>8.6455331412103931E-2</v>
      </c>
      <c r="R1000" s="316">
        <f t="shared" ref="R1000" si="672">R999/Q999-1</f>
        <v>7.493368700265246E-2</v>
      </c>
      <c r="S1000" s="316">
        <f t="shared" ref="S1000" si="673">S999/R999-1</f>
        <v>7.2177668106107262E-2</v>
      </c>
      <c r="T1000" s="316">
        <f t="shared" ref="T1000" si="674">T999/S999-1</f>
        <v>7.307249712313002E-2</v>
      </c>
      <c r="U1000" s="316">
        <f t="shared" ref="U1000:V1000" si="675">U999/T999-1</f>
        <v>7.2922252010723776E-2</v>
      </c>
      <c r="V1000" s="316">
        <f t="shared" si="675"/>
        <v>7.3276046356414604E-2</v>
      </c>
      <c r="W1000" s="304">
        <f>CORREL(M1000:P1000,M$991:P$991)</f>
        <v>0.52250722937225302</v>
      </c>
      <c r="X1000" s="317"/>
    </row>
    <row r="1001" spans="1:26" ht="21.75" customHeight="1" outlineLevel="1">
      <c r="A1001" s="310"/>
      <c r="B1001" s="310"/>
      <c r="C1001" s="310"/>
      <c r="D1001" s="310" t="s">
        <v>969</v>
      </c>
      <c r="E1001" s="310">
        <f>W1002/W$1005</f>
        <v>0.18325187552564276</v>
      </c>
      <c r="F1001" s="310"/>
      <c r="G1001" s="310"/>
      <c r="H1001" s="310"/>
      <c r="I1001" s="310"/>
      <c r="J1001" s="310"/>
      <c r="K1001" s="310"/>
      <c r="L1001" s="311">
        <f>L1214</f>
        <v>119.536</v>
      </c>
      <c r="M1001" s="311">
        <f t="shared" ref="M1001:U1001" si="676">M1214</f>
        <v>145.45099999999999</v>
      </c>
      <c r="N1001" s="311">
        <f t="shared" si="676"/>
        <v>141.131</v>
      </c>
      <c r="O1001" s="311">
        <f t="shared" si="676"/>
        <v>149.291</v>
      </c>
      <c r="P1001" s="311">
        <f t="shared" si="676"/>
        <v>159.482</v>
      </c>
      <c r="Q1001" s="311">
        <f t="shared" si="676"/>
        <v>172.02799999999999</v>
      </c>
      <c r="R1001" s="311">
        <f t="shared" si="676"/>
        <v>185.661</v>
      </c>
      <c r="S1001" s="311">
        <f t="shared" si="676"/>
        <v>200.26900000000001</v>
      </c>
      <c r="T1001" s="311">
        <f t="shared" si="676"/>
        <v>216.12899999999999</v>
      </c>
      <c r="U1001" s="311">
        <f t="shared" si="676"/>
        <v>232.881</v>
      </c>
      <c r="V1001" s="311">
        <f t="shared" ref="V1001" si="677">V1214</f>
        <v>251.19893081893244</v>
      </c>
      <c r="W1001" s="304"/>
      <c r="X1001" s="315"/>
    </row>
    <row r="1002" spans="1:26" outlineLevel="1">
      <c r="A1002" s="312"/>
      <c r="B1002" s="312"/>
      <c r="C1002" s="312"/>
      <c r="D1002" s="312" t="s">
        <v>892</v>
      </c>
      <c r="E1002" s="312"/>
      <c r="F1002" s="312"/>
      <c r="G1002" s="312"/>
      <c r="H1002" s="312"/>
      <c r="I1002" s="312"/>
      <c r="J1002" s="312"/>
      <c r="K1002" s="312"/>
      <c r="L1002" s="312"/>
      <c r="M1002" s="316">
        <f t="shared" ref="M1002" si="678">M1001/L1001-1</f>
        <v>0.21679661357248015</v>
      </c>
      <c r="N1002" s="316">
        <f t="shared" ref="N1002" si="679">N1001/M1001-1</f>
        <v>-2.9700723955146335E-2</v>
      </c>
      <c r="O1002" s="316">
        <f t="shared" ref="O1002" si="680">O1001/N1001-1</f>
        <v>5.7818622414635978E-2</v>
      </c>
      <c r="P1002" s="316">
        <f t="shared" ref="P1002" si="681">P1001/O1001-1</f>
        <v>6.8262654815092638E-2</v>
      </c>
      <c r="Q1002" s="316">
        <f t="shared" ref="Q1002" si="682">Q1001/P1001-1</f>
        <v>7.8667185011474627E-2</v>
      </c>
      <c r="R1002" s="316">
        <f t="shared" ref="R1002" si="683">R1001/Q1001-1</f>
        <v>7.9248726951426596E-2</v>
      </c>
      <c r="S1002" s="316">
        <f t="shared" ref="S1002" si="684">S1001/R1001-1</f>
        <v>7.8681036943677007E-2</v>
      </c>
      <c r="T1002" s="316">
        <f t="shared" ref="T1002" si="685">T1001/S1001-1</f>
        <v>7.9193484762993593E-2</v>
      </c>
      <c r="U1002" s="316">
        <f t="shared" ref="U1002:V1002" si="686">U1001/T1001-1</f>
        <v>7.7509265299890329E-2</v>
      </c>
      <c r="V1002" s="316">
        <f t="shared" si="686"/>
        <v>7.8657901756401083E-2</v>
      </c>
      <c r="W1002" s="304">
        <f>CORREL(M1002:P1002,M$991:P$991)</f>
        <v>0.97469084625355817</v>
      </c>
      <c r="X1002" s="317"/>
    </row>
    <row r="1003" spans="1:26" ht="16.5" customHeight="1" outlineLevel="1">
      <c r="A1003" s="310"/>
      <c r="B1003" s="310"/>
      <c r="C1003" s="310"/>
      <c r="D1003" s="310" t="s">
        <v>970</v>
      </c>
      <c r="E1003" s="310">
        <f>W1004/W$1005</f>
        <v>0.17302276690089913</v>
      </c>
      <c r="F1003" s="310"/>
      <c r="G1003" s="310"/>
      <c r="H1003" s="310"/>
      <c r="I1003" s="310"/>
      <c r="J1003" s="310"/>
      <c r="K1003" s="310"/>
      <c r="L1003" s="311">
        <f>L1212</f>
        <v>26.361999999999998</v>
      </c>
      <c r="M1003" s="311">
        <f t="shared" ref="M1003:U1003" si="687">M1212</f>
        <v>32.143000000000001</v>
      </c>
      <c r="N1003" s="311">
        <f t="shared" si="687"/>
        <v>28.364999999999998</v>
      </c>
      <c r="O1003" s="311">
        <f t="shared" si="687"/>
        <v>26.722000000000001</v>
      </c>
      <c r="P1003" s="311">
        <f t="shared" si="687"/>
        <v>27.324000000000002</v>
      </c>
      <c r="Q1003" s="311">
        <f t="shared" si="687"/>
        <v>29.896000000000001</v>
      </c>
      <c r="R1003" s="311">
        <f t="shared" si="687"/>
        <v>32.814</v>
      </c>
      <c r="S1003" s="311">
        <f t="shared" si="687"/>
        <v>35.905000000000001</v>
      </c>
      <c r="T1003" s="311">
        <f t="shared" si="687"/>
        <v>38.942</v>
      </c>
      <c r="U1003" s="311">
        <f t="shared" si="687"/>
        <v>41.999000000000002</v>
      </c>
      <c r="V1003" s="311">
        <f t="shared" ref="V1003" si="688">V1212</f>
        <v>45.724126353227213</v>
      </c>
      <c r="W1003" s="304"/>
      <c r="X1003" s="315"/>
    </row>
    <row r="1004" spans="1:26" outlineLevel="1">
      <c r="A1004" s="312"/>
      <c r="B1004" s="312"/>
      <c r="C1004" s="312"/>
      <c r="D1004" s="312" t="s">
        <v>892</v>
      </c>
      <c r="E1004" s="312"/>
      <c r="F1004" s="312"/>
      <c r="G1004" s="312"/>
      <c r="H1004" s="312"/>
      <c r="I1004" s="312"/>
      <c r="J1004" s="312"/>
      <c r="K1004" s="312"/>
      <c r="L1004" s="312"/>
      <c r="M1004" s="316">
        <f t="shared" ref="M1004" si="689">M1003/L1003-1</f>
        <v>0.21929292162961844</v>
      </c>
      <c r="N1004" s="316">
        <f t="shared" ref="N1004" si="690">N1003/M1003-1</f>
        <v>-0.11753725538997606</v>
      </c>
      <c r="O1004" s="316">
        <f t="shared" ref="O1004" si="691">O1003/N1003-1</f>
        <v>-5.7923497267759472E-2</v>
      </c>
      <c r="P1004" s="316">
        <f t="shared" ref="P1004" si="692">P1003/O1003-1</f>
        <v>2.2528253873213E-2</v>
      </c>
      <c r="Q1004" s="316">
        <f t="shared" ref="Q1004" si="693">Q1003/P1003-1</f>
        <v>9.4129702825354933E-2</v>
      </c>
      <c r="R1004" s="316">
        <f t="shared" ref="R1004" si="694">R1003/Q1003-1</f>
        <v>9.760503077334759E-2</v>
      </c>
      <c r="S1004" s="316">
        <f t="shared" ref="S1004" si="695">S1003/R1003-1</f>
        <v>9.4197598585969544E-2</v>
      </c>
      <c r="T1004" s="316">
        <f t="shared" ref="T1004" si="696">T1003/S1003-1</f>
        <v>8.45843197326277E-2</v>
      </c>
      <c r="U1004" s="316">
        <f t="shared" ref="U1004:V1004" si="697">U1003/T1003-1</f>
        <v>7.8501360998407987E-2</v>
      </c>
      <c r="V1004" s="316">
        <f t="shared" si="697"/>
        <v>8.8695596400562238E-2</v>
      </c>
      <c r="W1004" s="304">
        <f>CORREL(M1004:P1004,M$991:P$991)</f>
        <v>0.92028366208001444</v>
      </c>
      <c r="X1004" s="317"/>
    </row>
    <row r="1005" spans="1:26" outlineLevel="1">
      <c r="A1005" s="116"/>
      <c r="B1005" s="318"/>
      <c r="C1005" s="310"/>
      <c r="D1005" s="319" t="s">
        <v>919</v>
      </c>
      <c r="E1005" s="319">
        <f>E993+E995+E997+E999+E1001+E1003</f>
        <v>1</v>
      </c>
      <c r="F1005" s="310"/>
      <c r="G1005" s="310"/>
      <c r="H1005" s="310"/>
      <c r="I1005" s="310"/>
      <c r="J1005" s="310"/>
      <c r="K1005" s="310"/>
      <c r="L1005" s="310"/>
      <c r="M1005" s="310"/>
      <c r="N1005" s="310"/>
      <c r="O1005" s="310"/>
      <c r="P1005" s="310"/>
      <c r="Q1005" s="310"/>
      <c r="R1005" s="310"/>
      <c r="S1005" s="310"/>
      <c r="T1005" s="310"/>
      <c r="U1005" s="310"/>
      <c r="V1005" s="310"/>
      <c r="W1005" s="320">
        <f>SUM(W994:W1004)</f>
        <v>5.3188587754299297</v>
      </c>
      <c r="X1005" s="315"/>
    </row>
    <row r="1006" spans="1:26">
      <c r="A1006" s="46" t="str">
        <f>'Secondary cum Calculation'!A906</f>
        <v>Poland</v>
      </c>
      <c r="B1006" s="47" t="str">
        <f>'Secondary cum Calculation'!B906</f>
        <v>Tourism Flows</v>
      </c>
      <c r="C1006" s="47" t="str">
        <f>'Secondary cum Calculation'!C906</f>
        <v>International Departures by Destination</v>
      </c>
      <c r="D1006" s="47" t="str">
        <f>'Secondary cum Calculation'!D906</f>
        <v>Middle East</v>
      </c>
      <c r="E1006" s="46" t="str">
        <f>'Secondary cum Calculation'!E906</f>
        <v>Bahrain</v>
      </c>
      <c r="F1006" s="48" t="str">
        <f>'Secondary cum Calculation'!F906</f>
        <v>The number of international departures from a country to Bahrain</v>
      </c>
      <c r="G1006" s="48" t="str">
        <f>'Secondary cum Calculation'!G906</f>
        <v>Tourism Demand &amp; Flows Database</v>
      </c>
      <c r="H1006" s="48" t="str">
        <f>'Secondary cum Calculation'!H906</f>
        <v>New</v>
      </c>
      <c r="I1006" s="48">
        <f>'Secondary cum Calculation'!I906</f>
        <v>0</v>
      </c>
      <c r="J1006" s="48" t="str">
        <f>'Secondary cum Calculation'!J906</f>
        <v>Thousand</v>
      </c>
      <c r="K1006" s="49">
        <f>'Secondary cum Calculation'!K906</f>
        <v>0</v>
      </c>
      <c r="L1006" s="92">
        <f>'Secondary cum Calculation'!L906</f>
        <v>0</v>
      </c>
      <c r="M1006" s="92">
        <f>'Secondary cum Calculation'!M906</f>
        <v>0</v>
      </c>
      <c r="N1006" s="92">
        <f>'Secondary cum Calculation'!N906</f>
        <v>0</v>
      </c>
      <c r="O1006" s="53">
        <f>'Secondary cum Calculation'!O906</f>
        <v>0</v>
      </c>
      <c r="P1006" s="53">
        <f>'Secondary cum Calculation'!P906</f>
        <v>0</v>
      </c>
      <c r="Q1006" s="53"/>
      <c r="R1006" s="53"/>
      <c r="S1006" s="53"/>
      <c r="T1006" s="53"/>
      <c r="U1006" s="53"/>
      <c r="V1006" s="53"/>
      <c r="W1006" s="102" t="e">
        <f>'Secondary cum Calculation'!W906</f>
        <v>#DIV/0!</v>
      </c>
      <c r="X1006" s="102" t="e">
        <f>'Secondary cum Calculation'!X906</f>
        <v>#DIV/0!</v>
      </c>
      <c r="Z1006" s="11"/>
    </row>
    <row r="1007" spans="1:26">
      <c r="A1007" s="48"/>
      <c r="B1007" s="48"/>
      <c r="C1007" s="52" t="str">
        <f>'Secondary cum Calculation'!C907</f>
        <v>Growth Rate</v>
      </c>
      <c r="D1007" s="52"/>
      <c r="E1007" s="52"/>
      <c r="F1007" s="52">
        <f>'Secondary cum Calculation'!F907</f>
        <v>0</v>
      </c>
      <c r="G1007" s="52">
        <f>'Secondary cum Calculation'!G907</f>
        <v>0</v>
      </c>
      <c r="H1007" s="52">
        <f>'Secondary cum Calculation'!H907</f>
        <v>0</v>
      </c>
      <c r="I1007" s="52">
        <f>'Secondary cum Calculation'!I907</f>
        <v>0</v>
      </c>
      <c r="J1007" s="52" t="str">
        <f>'Secondary cum Calculation'!J907</f>
        <v>%</v>
      </c>
      <c r="K1007" s="49">
        <f>'Secondary cum Calculation'!K907</f>
        <v>0</v>
      </c>
      <c r="L1007" s="53"/>
      <c r="M1007" s="54" t="e">
        <f>'Secondary cum Calculation'!M907</f>
        <v>#DIV/0!</v>
      </c>
      <c r="N1007" s="54" t="e">
        <f>'Secondary cum Calculation'!N907</f>
        <v>#DIV/0!</v>
      </c>
      <c r="O1007" s="54" t="e">
        <f>'Secondary cum Calculation'!O907</f>
        <v>#DIV/0!</v>
      </c>
      <c r="P1007" s="54" t="e">
        <f>'Secondary cum Calculation'!P907</f>
        <v>#DIV/0!</v>
      </c>
      <c r="Q1007" s="54"/>
      <c r="R1007" s="54"/>
      <c r="S1007" s="54"/>
      <c r="T1007" s="54"/>
      <c r="U1007" s="54"/>
      <c r="V1007" s="54"/>
      <c r="W1007" s="258"/>
      <c r="X1007" s="258"/>
    </row>
    <row r="1008" spans="1:26">
      <c r="A1008" s="46" t="str">
        <f>'Secondary cum Calculation'!A908</f>
        <v>Poland</v>
      </c>
      <c r="B1008" s="47" t="str">
        <f>'Secondary cum Calculation'!B908</f>
        <v>Tourism Flows</v>
      </c>
      <c r="C1008" s="47" t="str">
        <f>'Secondary cum Calculation'!C908</f>
        <v>International Departures by Destination</v>
      </c>
      <c r="D1008" s="47" t="str">
        <f>'Secondary cum Calculation'!D908</f>
        <v>Middle East</v>
      </c>
      <c r="E1008" s="46" t="str">
        <f>'Secondary cum Calculation'!E908</f>
        <v>Iran (Islamic Republic of)</v>
      </c>
      <c r="F1008" s="48" t="str">
        <f>'Secondary cum Calculation'!F908</f>
        <v>The number of international departures from a country to Iran (Islamic Republic of)</v>
      </c>
      <c r="G1008" s="48" t="str">
        <f>'Secondary cum Calculation'!G908</f>
        <v>Tourism Demand &amp; Flows Database</v>
      </c>
      <c r="H1008" s="48" t="str">
        <f>'Secondary cum Calculation'!H908</f>
        <v>New</v>
      </c>
      <c r="I1008" s="48">
        <f>'Secondary cum Calculation'!I908</f>
        <v>0</v>
      </c>
      <c r="J1008" s="48" t="str">
        <f>'Secondary cum Calculation'!J908</f>
        <v>Thousand</v>
      </c>
      <c r="K1008" s="49">
        <f>'Secondary cum Calculation'!K908</f>
        <v>0</v>
      </c>
      <c r="L1008" s="92">
        <f>'Secondary cum Calculation'!L908</f>
        <v>0</v>
      </c>
      <c r="M1008" s="92">
        <f>'Secondary cum Calculation'!M908</f>
        <v>0</v>
      </c>
      <c r="N1008" s="92">
        <f>'Secondary cum Calculation'!N908</f>
        <v>0</v>
      </c>
      <c r="O1008" s="53">
        <f>'Secondary cum Calculation'!O908</f>
        <v>0</v>
      </c>
      <c r="P1008" s="53">
        <f>'Secondary cum Calculation'!P908</f>
        <v>0</v>
      </c>
      <c r="Q1008" s="53"/>
      <c r="R1008" s="53"/>
      <c r="S1008" s="53"/>
      <c r="T1008" s="53"/>
      <c r="U1008" s="53"/>
      <c r="V1008" s="53"/>
      <c r="W1008" s="102" t="e">
        <f>'Secondary cum Calculation'!W908</f>
        <v>#DIV/0!</v>
      </c>
      <c r="X1008" s="102" t="e">
        <f>'Secondary cum Calculation'!X908</f>
        <v>#DIV/0!</v>
      </c>
      <c r="Z1008" s="11"/>
    </row>
    <row r="1009" spans="1:26">
      <c r="A1009" s="48"/>
      <c r="B1009" s="48"/>
      <c r="C1009" s="52" t="str">
        <f>'Secondary cum Calculation'!C909</f>
        <v>Growth Rate</v>
      </c>
      <c r="D1009" s="52"/>
      <c r="E1009" s="52"/>
      <c r="F1009" s="52">
        <f>'Secondary cum Calculation'!F909</f>
        <v>0</v>
      </c>
      <c r="G1009" s="52">
        <f>'Secondary cum Calculation'!G909</f>
        <v>0</v>
      </c>
      <c r="H1009" s="52">
        <f>'Secondary cum Calculation'!H909</f>
        <v>0</v>
      </c>
      <c r="I1009" s="52">
        <f>'Secondary cum Calculation'!I909</f>
        <v>0</v>
      </c>
      <c r="J1009" s="52" t="str">
        <f>'Secondary cum Calculation'!J909</f>
        <v>%</v>
      </c>
      <c r="K1009" s="49">
        <f>'Secondary cum Calculation'!K909</f>
        <v>0</v>
      </c>
      <c r="L1009" s="53"/>
      <c r="M1009" s="54" t="e">
        <f>'Secondary cum Calculation'!M909</f>
        <v>#DIV/0!</v>
      </c>
      <c r="N1009" s="54" t="e">
        <f>'Secondary cum Calculation'!N909</f>
        <v>#DIV/0!</v>
      </c>
      <c r="O1009" s="54" t="e">
        <f>'Secondary cum Calculation'!O909</f>
        <v>#DIV/0!</v>
      </c>
      <c r="P1009" s="54" t="e">
        <f>'Secondary cum Calculation'!P909</f>
        <v>#DIV/0!</v>
      </c>
      <c r="Q1009" s="54"/>
      <c r="R1009" s="54"/>
      <c r="S1009" s="54"/>
      <c r="T1009" s="54"/>
      <c r="U1009" s="54"/>
      <c r="V1009" s="54"/>
      <c r="W1009" s="258"/>
      <c r="X1009" s="258"/>
    </row>
    <row r="1010" spans="1:26">
      <c r="A1010" s="46" t="str">
        <f>'Secondary cum Calculation'!A910</f>
        <v>Poland</v>
      </c>
      <c r="B1010" s="47" t="str">
        <f>'Secondary cum Calculation'!B910</f>
        <v>Tourism Flows</v>
      </c>
      <c r="C1010" s="47" t="str">
        <f>'Secondary cum Calculation'!C910</f>
        <v>International Departures by Destination</v>
      </c>
      <c r="D1010" s="47" t="str">
        <f>'Secondary cum Calculation'!D910</f>
        <v>Middle East</v>
      </c>
      <c r="E1010" s="46" t="str">
        <f>'Secondary cum Calculation'!E910</f>
        <v>Iraq</v>
      </c>
      <c r="F1010" s="48" t="str">
        <f>'Secondary cum Calculation'!F910</f>
        <v>The number of international departures from a country to Iraq</v>
      </c>
      <c r="G1010" s="48" t="str">
        <f>'Secondary cum Calculation'!G910</f>
        <v>Tourism Demand &amp; Flows Database</v>
      </c>
      <c r="H1010" s="48" t="str">
        <f>'Secondary cum Calculation'!H910</f>
        <v>New</v>
      </c>
      <c r="I1010" s="48">
        <f>'Secondary cum Calculation'!I910</f>
        <v>0</v>
      </c>
      <c r="J1010" s="48" t="str">
        <f>'Secondary cum Calculation'!J910</f>
        <v>Thousand</v>
      </c>
      <c r="K1010" s="49">
        <f>'Secondary cum Calculation'!K910</f>
        <v>0</v>
      </c>
      <c r="L1010" s="92">
        <f>'Secondary cum Calculation'!L910</f>
        <v>0</v>
      </c>
      <c r="M1010" s="92">
        <f>'Secondary cum Calculation'!M910</f>
        <v>0</v>
      </c>
      <c r="N1010" s="92">
        <f>'Secondary cum Calculation'!N910</f>
        <v>0</v>
      </c>
      <c r="O1010" s="53">
        <f>'Secondary cum Calculation'!O910</f>
        <v>0</v>
      </c>
      <c r="P1010" s="53">
        <f>'Secondary cum Calculation'!P910</f>
        <v>0</v>
      </c>
      <c r="Q1010" s="53"/>
      <c r="R1010" s="53"/>
      <c r="S1010" s="53"/>
      <c r="T1010" s="53"/>
      <c r="U1010" s="53"/>
      <c r="V1010" s="53"/>
      <c r="W1010" s="102" t="e">
        <f>'Secondary cum Calculation'!W910</f>
        <v>#DIV/0!</v>
      </c>
      <c r="X1010" s="102" t="e">
        <f>'Secondary cum Calculation'!X910</f>
        <v>#DIV/0!</v>
      </c>
      <c r="Z1010" s="11"/>
    </row>
    <row r="1011" spans="1:26">
      <c r="A1011" s="48"/>
      <c r="B1011" s="48"/>
      <c r="C1011" s="52" t="str">
        <f>'Secondary cum Calculation'!C911</f>
        <v>Growth Rate</v>
      </c>
      <c r="D1011" s="52"/>
      <c r="E1011" s="52"/>
      <c r="F1011" s="52">
        <f>'Secondary cum Calculation'!F911</f>
        <v>0</v>
      </c>
      <c r="G1011" s="52">
        <f>'Secondary cum Calculation'!G911</f>
        <v>0</v>
      </c>
      <c r="H1011" s="52">
        <f>'Secondary cum Calculation'!H911</f>
        <v>0</v>
      </c>
      <c r="I1011" s="52">
        <f>'Secondary cum Calculation'!I911</f>
        <v>0</v>
      </c>
      <c r="J1011" s="52" t="str">
        <f>'Secondary cum Calculation'!J911</f>
        <v>%</v>
      </c>
      <c r="K1011" s="49">
        <f>'Secondary cum Calculation'!K911</f>
        <v>0</v>
      </c>
      <c r="L1011" s="53"/>
      <c r="M1011" s="54" t="e">
        <f>'Secondary cum Calculation'!M911</f>
        <v>#DIV/0!</v>
      </c>
      <c r="N1011" s="54" t="e">
        <f>'Secondary cum Calculation'!N911</f>
        <v>#DIV/0!</v>
      </c>
      <c r="O1011" s="54" t="e">
        <f>'Secondary cum Calculation'!O911</f>
        <v>#DIV/0!</v>
      </c>
      <c r="P1011" s="54" t="e">
        <f>'Secondary cum Calculation'!P911</f>
        <v>#DIV/0!</v>
      </c>
      <c r="Q1011" s="54"/>
      <c r="R1011" s="54"/>
      <c r="S1011" s="54"/>
      <c r="T1011" s="54"/>
      <c r="U1011" s="54"/>
      <c r="V1011" s="54"/>
      <c r="W1011" s="258"/>
      <c r="X1011" s="258"/>
    </row>
    <row r="1012" spans="1:26">
      <c r="A1012" s="46" t="str">
        <f>'Secondary cum Calculation'!A912</f>
        <v>Poland</v>
      </c>
      <c r="B1012" s="47" t="str">
        <f>'Secondary cum Calculation'!B912</f>
        <v>Tourism Flows</v>
      </c>
      <c r="C1012" s="47" t="str">
        <f>'Secondary cum Calculation'!C912</f>
        <v>International Departures by Destination</v>
      </c>
      <c r="D1012" s="47" t="str">
        <f>'Secondary cum Calculation'!D912</f>
        <v>Middle East</v>
      </c>
      <c r="E1012" s="46" t="str">
        <f>'Secondary cum Calculation'!E912</f>
        <v>Israel</v>
      </c>
      <c r="F1012" s="48" t="str">
        <f>'Secondary cum Calculation'!F912</f>
        <v>The number of international departures from a country to Israel</v>
      </c>
      <c r="G1012" s="48" t="str">
        <f>'Secondary cum Calculation'!G912</f>
        <v>Tourism Demand &amp; Flows Database</v>
      </c>
      <c r="H1012" s="48" t="str">
        <f>'Secondary cum Calculation'!H912</f>
        <v>New</v>
      </c>
      <c r="I1012" s="48">
        <f>'Secondary cum Calculation'!I912</f>
        <v>0</v>
      </c>
      <c r="J1012" s="48" t="str">
        <f>'Secondary cum Calculation'!J912</f>
        <v>Thousand</v>
      </c>
      <c r="K1012" s="49">
        <f>'Secondary cum Calculation'!K912</f>
        <v>0</v>
      </c>
      <c r="L1012" s="53">
        <f>'Secondary cum Calculation'!L912</f>
        <v>0</v>
      </c>
      <c r="M1012" s="53">
        <f>'Secondary cum Calculation'!M912</f>
        <v>0</v>
      </c>
      <c r="N1012" s="53">
        <f>'Secondary cum Calculation'!N912</f>
        <v>0</v>
      </c>
      <c r="O1012" s="53">
        <f>'Secondary cum Calculation'!O912</f>
        <v>0</v>
      </c>
      <c r="P1012" s="53">
        <f>'Secondary cum Calculation'!P912</f>
        <v>0</v>
      </c>
      <c r="Q1012" s="53"/>
      <c r="R1012" s="53"/>
      <c r="S1012" s="53"/>
      <c r="T1012" s="53"/>
      <c r="U1012" s="53"/>
      <c r="V1012" s="53"/>
      <c r="W1012" s="102" t="e">
        <f>'Secondary cum Calculation'!W912</f>
        <v>#DIV/0!</v>
      </c>
      <c r="X1012" s="102" t="e">
        <f>'Secondary cum Calculation'!X912</f>
        <v>#DIV/0!</v>
      </c>
      <c r="Z1012" s="11"/>
    </row>
    <row r="1013" spans="1:26">
      <c r="A1013" s="48"/>
      <c r="B1013" s="48"/>
      <c r="C1013" s="52" t="str">
        <f>'Secondary cum Calculation'!C913</f>
        <v>Growth Rate</v>
      </c>
      <c r="D1013" s="52"/>
      <c r="E1013" s="52"/>
      <c r="F1013" s="52">
        <f>'Secondary cum Calculation'!F913</f>
        <v>0</v>
      </c>
      <c r="G1013" s="52">
        <f>'Secondary cum Calculation'!G913</f>
        <v>0</v>
      </c>
      <c r="H1013" s="52">
        <f>'Secondary cum Calculation'!H913</f>
        <v>0</v>
      </c>
      <c r="I1013" s="52">
        <f>'Secondary cum Calculation'!I913</f>
        <v>0</v>
      </c>
      <c r="J1013" s="52" t="str">
        <f>'Secondary cum Calculation'!J913</f>
        <v>%</v>
      </c>
      <c r="K1013" s="49">
        <f>'Secondary cum Calculation'!K913</f>
        <v>0</v>
      </c>
      <c r="L1013" s="53"/>
      <c r="M1013" s="54" t="e">
        <f>'Secondary cum Calculation'!M913</f>
        <v>#DIV/0!</v>
      </c>
      <c r="N1013" s="54" t="e">
        <f>'Secondary cum Calculation'!N913</f>
        <v>#DIV/0!</v>
      </c>
      <c r="O1013" s="54" t="e">
        <f>'Secondary cum Calculation'!O913</f>
        <v>#DIV/0!</v>
      </c>
      <c r="P1013" s="54" t="e">
        <f>'Secondary cum Calculation'!P913</f>
        <v>#DIV/0!</v>
      </c>
      <c r="Q1013" s="54"/>
      <c r="R1013" s="54"/>
      <c r="S1013" s="54"/>
      <c r="T1013" s="54"/>
      <c r="U1013" s="54"/>
      <c r="V1013" s="54"/>
      <c r="W1013" s="258"/>
      <c r="X1013" s="258"/>
    </row>
    <row r="1014" spans="1:26">
      <c r="A1014" s="46" t="str">
        <f>'Secondary cum Calculation'!A914</f>
        <v>Poland</v>
      </c>
      <c r="B1014" s="47" t="str">
        <f>'Secondary cum Calculation'!B914</f>
        <v>Tourism Flows</v>
      </c>
      <c r="C1014" s="47" t="str">
        <f>'Secondary cum Calculation'!C914</f>
        <v>International Departures by Destination</v>
      </c>
      <c r="D1014" s="47" t="str">
        <f>'Secondary cum Calculation'!D914</f>
        <v>Middle East</v>
      </c>
      <c r="E1014" s="46" t="str">
        <f>'Secondary cum Calculation'!E914</f>
        <v>Jordan</v>
      </c>
      <c r="F1014" s="48" t="str">
        <f>'Secondary cum Calculation'!F914</f>
        <v>The number of international departures from a country to Jordan</v>
      </c>
      <c r="G1014" s="48" t="str">
        <f>'Secondary cum Calculation'!G914</f>
        <v>Tourism Demand &amp; Flows Database</v>
      </c>
      <c r="H1014" s="48" t="str">
        <f>'Secondary cum Calculation'!H914</f>
        <v>New</v>
      </c>
      <c r="I1014" s="48">
        <f>'Secondary cum Calculation'!I914</f>
        <v>0</v>
      </c>
      <c r="J1014" s="48" t="str">
        <f>'Secondary cum Calculation'!J914</f>
        <v>Thousand</v>
      </c>
      <c r="K1014" s="49">
        <f>'Secondary cum Calculation'!K914</f>
        <v>0</v>
      </c>
      <c r="L1014" s="92">
        <f>'Secondary cum Calculation'!L914</f>
        <v>0</v>
      </c>
      <c r="M1014" s="92">
        <f>'Secondary cum Calculation'!M914</f>
        <v>0</v>
      </c>
      <c r="N1014" s="92">
        <f>'Secondary cum Calculation'!N914</f>
        <v>0</v>
      </c>
      <c r="O1014" s="53">
        <f>'Secondary cum Calculation'!O914</f>
        <v>0</v>
      </c>
      <c r="P1014" s="53">
        <f>'Secondary cum Calculation'!P914</f>
        <v>0</v>
      </c>
      <c r="Q1014" s="53"/>
      <c r="R1014" s="53"/>
      <c r="S1014" s="53"/>
      <c r="T1014" s="53"/>
      <c r="U1014" s="53"/>
      <c r="V1014" s="53"/>
      <c r="W1014" s="102" t="e">
        <f>'Secondary cum Calculation'!W914</f>
        <v>#DIV/0!</v>
      </c>
      <c r="X1014" s="102" t="e">
        <f>'Secondary cum Calculation'!X914</f>
        <v>#DIV/0!</v>
      </c>
      <c r="Z1014" s="11"/>
    </row>
    <row r="1015" spans="1:26">
      <c r="A1015" s="48"/>
      <c r="B1015" s="48"/>
      <c r="C1015" s="52" t="str">
        <f>'Secondary cum Calculation'!C915</f>
        <v>Growth Rate</v>
      </c>
      <c r="D1015" s="52"/>
      <c r="E1015" s="52"/>
      <c r="F1015" s="52">
        <f>'Secondary cum Calculation'!F915</f>
        <v>0</v>
      </c>
      <c r="G1015" s="52">
        <f>'Secondary cum Calculation'!G915</f>
        <v>0</v>
      </c>
      <c r="H1015" s="52">
        <f>'Secondary cum Calculation'!H915</f>
        <v>0</v>
      </c>
      <c r="I1015" s="52">
        <f>'Secondary cum Calculation'!I915</f>
        <v>0</v>
      </c>
      <c r="J1015" s="52" t="str">
        <f>'Secondary cum Calculation'!J915</f>
        <v>%</v>
      </c>
      <c r="K1015" s="49">
        <f>'Secondary cum Calculation'!K915</f>
        <v>0</v>
      </c>
      <c r="L1015" s="53"/>
      <c r="M1015" s="54" t="e">
        <f>'Secondary cum Calculation'!M915</f>
        <v>#DIV/0!</v>
      </c>
      <c r="N1015" s="54" t="e">
        <f>'Secondary cum Calculation'!N915</f>
        <v>#DIV/0!</v>
      </c>
      <c r="O1015" s="54" t="e">
        <f>'Secondary cum Calculation'!O915</f>
        <v>#DIV/0!</v>
      </c>
      <c r="P1015" s="54" t="e">
        <f>'Secondary cum Calculation'!P915</f>
        <v>#DIV/0!</v>
      </c>
      <c r="Q1015" s="54"/>
      <c r="R1015" s="54"/>
      <c r="S1015" s="54"/>
      <c r="T1015" s="54"/>
      <c r="U1015" s="54"/>
      <c r="V1015" s="54"/>
      <c r="W1015" s="258"/>
      <c r="X1015" s="258"/>
    </row>
    <row r="1016" spans="1:26">
      <c r="A1016" s="46" t="str">
        <f>'Secondary cum Calculation'!A916</f>
        <v>Poland</v>
      </c>
      <c r="B1016" s="47" t="str">
        <f>'Secondary cum Calculation'!B916</f>
        <v>Tourism Flows</v>
      </c>
      <c r="C1016" s="47" t="str">
        <f>'Secondary cum Calculation'!C916</f>
        <v>International Departures by Destination</v>
      </c>
      <c r="D1016" s="47" t="str">
        <f>'Secondary cum Calculation'!D916</f>
        <v>Middle East</v>
      </c>
      <c r="E1016" s="46" t="str">
        <f>'Secondary cum Calculation'!E916</f>
        <v>Kuwait</v>
      </c>
      <c r="F1016" s="48" t="str">
        <f>'Secondary cum Calculation'!F916</f>
        <v>The number of international departures from a country to Kuwait</v>
      </c>
      <c r="G1016" s="48" t="str">
        <f>'Secondary cum Calculation'!G916</f>
        <v>Tourism Demand &amp; Flows Database</v>
      </c>
      <c r="H1016" s="48" t="str">
        <f>'Secondary cum Calculation'!H916</f>
        <v>New</v>
      </c>
      <c r="I1016" s="48">
        <f>'Secondary cum Calculation'!I916</f>
        <v>0</v>
      </c>
      <c r="J1016" s="48" t="str">
        <f>'Secondary cum Calculation'!J916</f>
        <v>Thousand</v>
      </c>
      <c r="K1016" s="49">
        <f>'Secondary cum Calculation'!K916</f>
        <v>0</v>
      </c>
      <c r="L1016" s="92">
        <f>'Secondary cum Calculation'!L916</f>
        <v>0</v>
      </c>
      <c r="M1016" s="92">
        <f>'Secondary cum Calculation'!M916</f>
        <v>0</v>
      </c>
      <c r="N1016" s="92">
        <f>'Secondary cum Calculation'!N916</f>
        <v>0</v>
      </c>
      <c r="O1016" s="53">
        <f>'Secondary cum Calculation'!O916</f>
        <v>0</v>
      </c>
      <c r="P1016" s="53">
        <f>'Secondary cum Calculation'!P916</f>
        <v>0</v>
      </c>
      <c r="Q1016" s="53"/>
      <c r="R1016" s="53"/>
      <c r="S1016" s="53"/>
      <c r="T1016" s="53"/>
      <c r="U1016" s="53"/>
      <c r="V1016" s="53"/>
      <c r="W1016" s="102" t="e">
        <f>'Secondary cum Calculation'!W916</f>
        <v>#DIV/0!</v>
      </c>
      <c r="X1016" s="102" t="e">
        <f>'Secondary cum Calculation'!X916</f>
        <v>#DIV/0!</v>
      </c>
      <c r="Z1016" s="11"/>
    </row>
    <row r="1017" spans="1:26">
      <c r="A1017" s="48"/>
      <c r="B1017" s="48"/>
      <c r="C1017" s="52" t="str">
        <f>'Secondary cum Calculation'!C917</f>
        <v>Growth Rate</v>
      </c>
      <c r="D1017" s="52"/>
      <c r="E1017" s="52"/>
      <c r="F1017" s="52">
        <f>'Secondary cum Calculation'!F917</f>
        <v>0</v>
      </c>
      <c r="G1017" s="52">
        <f>'Secondary cum Calculation'!G917</f>
        <v>0</v>
      </c>
      <c r="H1017" s="52">
        <f>'Secondary cum Calculation'!H917</f>
        <v>0</v>
      </c>
      <c r="I1017" s="52">
        <f>'Secondary cum Calculation'!I917</f>
        <v>0</v>
      </c>
      <c r="J1017" s="52" t="str">
        <f>'Secondary cum Calculation'!J917</f>
        <v>%</v>
      </c>
      <c r="K1017" s="49">
        <f>'Secondary cum Calculation'!K917</f>
        <v>0</v>
      </c>
      <c r="L1017" s="53"/>
      <c r="M1017" s="54" t="e">
        <f>'Secondary cum Calculation'!M917</f>
        <v>#DIV/0!</v>
      </c>
      <c r="N1017" s="54" t="e">
        <f>'Secondary cum Calculation'!N917</f>
        <v>#DIV/0!</v>
      </c>
      <c r="O1017" s="54" t="e">
        <f>'Secondary cum Calculation'!O917</f>
        <v>#DIV/0!</v>
      </c>
      <c r="P1017" s="54" t="e">
        <f>'Secondary cum Calculation'!P917</f>
        <v>#DIV/0!</v>
      </c>
      <c r="Q1017" s="54"/>
      <c r="R1017" s="54"/>
      <c r="S1017" s="54"/>
      <c r="T1017" s="54"/>
      <c r="U1017" s="54"/>
      <c r="V1017" s="54"/>
      <c r="W1017" s="258"/>
      <c r="X1017" s="258"/>
    </row>
    <row r="1018" spans="1:26">
      <c r="A1018" s="46" t="str">
        <f>'Secondary cum Calculation'!A918</f>
        <v>Poland</v>
      </c>
      <c r="B1018" s="47" t="str">
        <f>'Secondary cum Calculation'!B918</f>
        <v>Tourism Flows</v>
      </c>
      <c r="C1018" s="47" t="str">
        <f>'Secondary cum Calculation'!C918</f>
        <v>International Departures by Destination</v>
      </c>
      <c r="D1018" s="47" t="str">
        <f>'Secondary cum Calculation'!D918</f>
        <v>Middle East</v>
      </c>
      <c r="E1018" s="46" t="str">
        <f>'Secondary cum Calculation'!E918</f>
        <v>Lebanon</v>
      </c>
      <c r="F1018" s="48" t="str">
        <f>'Secondary cum Calculation'!F918</f>
        <v>The number of international departures from a country to Lebanon</v>
      </c>
      <c r="G1018" s="48" t="str">
        <f>'Secondary cum Calculation'!G918</f>
        <v>Tourism Demand &amp; Flows Database</v>
      </c>
      <c r="H1018" s="48" t="str">
        <f>'Secondary cum Calculation'!H918</f>
        <v>New</v>
      </c>
      <c r="I1018" s="48">
        <f>'Secondary cum Calculation'!I918</f>
        <v>0</v>
      </c>
      <c r="J1018" s="48" t="str">
        <f>'Secondary cum Calculation'!J918</f>
        <v>Thousand</v>
      </c>
      <c r="K1018" s="49">
        <f>'Secondary cum Calculation'!K918</f>
        <v>0</v>
      </c>
      <c r="L1018" s="92">
        <f>'Secondary cum Calculation'!L918</f>
        <v>0</v>
      </c>
      <c r="M1018" s="92">
        <f>'Secondary cum Calculation'!M918</f>
        <v>0</v>
      </c>
      <c r="N1018" s="92">
        <f>'Secondary cum Calculation'!N918</f>
        <v>0</v>
      </c>
      <c r="O1018" s="53">
        <f>'Secondary cum Calculation'!O918</f>
        <v>0</v>
      </c>
      <c r="P1018" s="53">
        <f>'Secondary cum Calculation'!P918</f>
        <v>0</v>
      </c>
      <c r="Q1018" s="53"/>
      <c r="R1018" s="53"/>
      <c r="S1018" s="53"/>
      <c r="T1018" s="53"/>
      <c r="U1018" s="53"/>
      <c r="V1018" s="53"/>
      <c r="W1018" s="102" t="e">
        <f>'Secondary cum Calculation'!W918</f>
        <v>#DIV/0!</v>
      </c>
      <c r="X1018" s="102" t="e">
        <f>'Secondary cum Calculation'!X918</f>
        <v>#DIV/0!</v>
      </c>
      <c r="Z1018" s="11"/>
    </row>
    <row r="1019" spans="1:26">
      <c r="A1019" s="48"/>
      <c r="B1019" s="48"/>
      <c r="C1019" s="52" t="str">
        <f>'Secondary cum Calculation'!C919</f>
        <v>Growth Rate</v>
      </c>
      <c r="D1019" s="52"/>
      <c r="E1019" s="52"/>
      <c r="F1019" s="52">
        <f>'Secondary cum Calculation'!F919</f>
        <v>0</v>
      </c>
      <c r="G1019" s="52">
        <f>'Secondary cum Calculation'!G919</f>
        <v>0</v>
      </c>
      <c r="H1019" s="52">
        <f>'Secondary cum Calculation'!H919</f>
        <v>0</v>
      </c>
      <c r="I1019" s="52">
        <f>'Secondary cum Calculation'!I919</f>
        <v>0</v>
      </c>
      <c r="J1019" s="52" t="str">
        <f>'Secondary cum Calculation'!J919</f>
        <v>%</v>
      </c>
      <c r="K1019" s="49">
        <f>'Secondary cum Calculation'!K919</f>
        <v>0</v>
      </c>
      <c r="L1019" s="53"/>
      <c r="M1019" s="54" t="e">
        <f>'Secondary cum Calculation'!M919</f>
        <v>#DIV/0!</v>
      </c>
      <c r="N1019" s="54" t="e">
        <f>'Secondary cum Calculation'!N919</f>
        <v>#DIV/0!</v>
      </c>
      <c r="O1019" s="54" t="e">
        <f>'Secondary cum Calculation'!O919</f>
        <v>#DIV/0!</v>
      </c>
      <c r="P1019" s="54" t="e">
        <f>'Secondary cum Calculation'!P919</f>
        <v>#DIV/0!</v>
      </c>
      <c r="Q1019" s="54"/>
      <c r="R1019" s="54"/>
      <c r="S1019" s="54"/>
      <c r="T1019" s="54"/>
      <c r="U1019" s="54"/>
      <c r="V1019" s="54"/>
      <c r="W1019" s="258"/>
      <c r="X1019" s="258"/>
    </row>
    <row r="1020" spans="1:26">
      <c r="A1020" s="46" t="str">
        <f>'Secondary cum Calculation'!A920</f>
        <v>Poland</v>
      </c>
      <c r="B1020" s="47" t="str">
        <f>'Secondary cum Calculation'!B920</f>
        <v>Tourism Flows</v>
      </c>
      <c r="C1020" s="47" t="str">
        <f>'Secondary cum Calculation'!C920</f>
        <v>International Departures by Destination</v>
      </c>
      <c r="D1020" s="47" t="str">
        <f>'Secondary cum Calculation'!D920</f>
        <v>Middle East</v>
      </c>
      <c r="E1020" s="46" t="str">
        <f>'Secondary cum Calculation'!E920</f>
        <v>Occupied Palestinian Territory</v>
      </c>
      <c r="F1020" s="48" t="str">
        <f>'Secondary cum Calculation'!F920</f>
        <v>The number of international departures from a country to Occupied Palestinian Territory</v>
      </c>
      <c r="G1020" s="48" t="str">
        <f>'Secondary cum Calculation'!G920</f>
        <v>Tourism Demand &amp; Flows Database</v>
      </c>
      <c r="H1020" s="48" t="str">
        <f>'Secondary cum Calculation'!H920</f>
        <v>New</v>
      </c>
      <c r="I1020" s="48">
        <f>'Secondary cum Calculation'!I920</f>
        <v>0</v>
      </c>
      <c r="J1020" s="48" t="str">
        <f>'Secondary cum Calculation'!J920</f>
        <v>Thousand</v>
      </c>
      <c r="K1020" s="49">
        <f>'Secondary cum Calculation'!K920</f>
        <v>0</v>
      </c>
      <c r="L1020" s="92">
        <f>'Secondary cum Calculation'!L920</f>
        <v>0</v>
      </c>
      <c r="M1020" s="92">
        <f>'Secondary cum Calculation'!M920</f>
        <v>0</v>
      </c>
      <c r="N1020" s="92">
        <f>'Secondary cum Calculation'!N920</f>
        <v>0</v>
      </c>
      <c r="O1020" s="53">
        <f>'Secondary cum Calculation'!O920</f>
        <v>0</v>
      </c>
      <c r="P1020" s="53">
        <f>'Secondary cum Calculation'!P920</f>
        <v>0</v>
      </c>
      <c r="Q1020" s="53"/>
      <c r="R1020" s="53"/>
      <c r="S1020" s="53"/>
      <c r="T1020" s="53"/>
      <c r="U1020" s="53"/>
      <c r="V1020" s="53"/>
      <c r="W1020" s="102" t="e">
        <f>'Secondary cum Calculation'!W920</f>
        <v>#DIV/0!</v>
      </c>
      <c r="X1020" s="102" t="e">
        <f>'Secondary cum Calculation'!X920</f>
        <v>#DIV/0!</v>
      </c>
      <c r="Z1020" s="11"/>
    </row>
    <row r="1021" spans="1:26">
      <c r="A1021" s="48"/>
      <c r="B1021" s="48"/>
      <c r="C1021" s="52" t="str">
        <f>'Secondary cum Calculation'!C921</f>
        <v>Growth Rate</v>
      </c>
      <c r="D1021" s="52"/>
      <c r="E1021" s="52"/>
      <c r="F1021" s="52">
        <f>'Secondary cum Calculation'!F921</f>
        <v>0</v>
      </c>
      <c r="G1021" s="52">
        <f>'Secondary cum Calculation'!G921</f>
        <v>0</v>
      </c>
      <c r="H1021" s="52">
        <f>'Secondary cum Calculation'!H921</f>
        <v>0</v>
      </c>
      <c r="I1021" s="52">
        <f>'Secondary cum Calculation'!I921</f>
        <v>0</v>
      </c>
      <c r="J1021" s="52" t="str">
        <f>'Secondary cum Calculation'!J921</f>
        <v>%</v>
      </c>
      <c r="K1021" s="49">
        <f>'Secondary cum Calculation'!K921</f>
        <v>0</v>
      </c>
      <c r="L1021" s="53"/>
      <c r="M1021" s="54" t="e">
        <f>'Secondary cum Calculation'!M921</f>
        <v>#DIV/0!</v>
      </c>
      <c r="N1021" s="54" t="e">
        <f>'Secondary cum Calculation'!N921</f>
        <v>#DIV/0!</v>
      </c>
      <c r="O1021" s="54" t="e">
        <f>'Secondary cum Calculation'!O921</f>
        <v>#DIV/0!</v>
      </c>
      <c r="P1021" s="54" t="e">
        <f>'Secondary cum Calculation'!P921</f>
        <v>#DIV/0!</v>
      </c>
      <c r="Q1021" s="54"/>
      <c r="R1021" s="54"/>
      <c r="S1021" s="54"/>
      <c r="T1021" s="54"/>
      <c r="U1021" s="54"/>
      <c r="V1021" s="54"/>
      <c r="W1021" s="258"/>
      <c r="X1021" s="258"/>
    </row>
    <row r="1022" spans="1:26">
      <c r="A1022" s="46" t="str">
        <f>'Secondary cum Calculation'!A922</f>
        <v>Poland</v>
      </c>
      <c r="B1022" s="47" t="str">
        <f>'Secondary cum Calculation'!B922</f>
        <v>Tourism Flows</v>
      </c>
      <c r="C1022" s="47" t="str">
        <f>'Secondary cum Calculation'!C922</f>
        <v>International Departures by Destination</v>
      </c>
      <c r="D1022" s="47" t="str">
        <f>'Secondary cum Calculation'!D922</f>
        <v>Middle East</v>
      </c>
      <c r="E1022" s="46" t="str">
        <f>'Secondary cum Calculation'!E922</f>
        <v>Oman</v>
      </c>
      <c r="F1022" s="48" t="str">
        <f>'Secondary cum Calculation'!F922</f>
        <v>The number of international departures from a country to Oman</v>
      </c>
      <c r="G1022" s="48" t="str">
        <f>'Secondary cum Calculation'!G922</f>
        <v>Tourism Demand &amp; Flows Database</v>
      </c>
      <c r="H1022" s="48" t="str">
        <f>'Secondary cum Calculation'!H922</f>
        <v>New</v>
      </c>
      <c r="I1022" s="48">
        <f>'Secondary cum Calculation'!I922</f>
        <v>0</v>
      </c>
      <c r="J1022" s="48" t="str">
        <f>'Secondary cum Calculation'!J922</f>
        <v>Thousand</v>
      </c>
      <c r="K1022" s="49">
        <f>'Secondary cum Calculation'!K922</f>
        <v>0</v>
      </c>
      <c r="L1022" s="92">
        <f>'Secondary cum Calculation'!L922</f>
        <v>0</v>
      </c>
      <c r="M1022" s="92">
        <f>'Secondary cum Calculation'!M922</f>
        <v>0</v>
      </c>
      <c r="N1022" s="92">
        <f>'Secondary cum Calculation'!N922</f>
        <v>0</v>
      </c>
      <c r="O1022" s="53">
        <f>'Secondary cum Calculation'!O922</f>
        <v>0</v>
      </c>
      <c r="P1022" s="53">
        <f>'Secondary cum Calculation'!P922</f>
        <v>0</v>
      </c>
      <c r="Q1022" s="53"/>
      <c r="R1022" s="53"/>
      <c r="S1022" s="53"/>
      <c r="T1022" s="53"/>
      <c r="U1022" s="53"/>
      <c r="V1022" s="53"/>
      <c r="W1022" s="102" t="e">
        <f>'Secondary cum Calculation'!W922</f>
        <v>#DIV/0!</v>
      </c>
      <c r="X1022" s="102" t="e">
        <f>'Secondary cum Calculation'!X922</f>
        <v>#DIV/0!</v>
      </c>
      <c r="Z1022" s="11"/>
    </row>
    <row r="1023" spans="1:26">
      <c r="A1023" s="48"/>
      <c r="B1023" s="48"/>
      <c r="C1023" s="52" t="str">
        <f>'Secondary cum Calculation'!C923</f>
        <v>Growth Rate</v>
      </c>
      <c r="D1023" s="52"/>
      <c r="E1023" s="52"/>
      <c r="F1023" s="52">
        <f>'Secondary cum Calculation'!F923</f>
        <v>0</v>
      </c>
      <c r="G1023" s="52">
        <f>'Secondary cum Calculation'!G923</f>
        <v>0</v>
      </c>
      <c r="H1023" s="52">
        <f>'Secondary cum Calculation'!H923</f>
        <v>0</v>
      </c>
      <c r="I1023" s="52">
        <f>'Secondary cum Calculation'!I923</f>
        <v>0</v>
      </c>
      <c r="J1023" s="52" t="str">
        <f>'Secondary cum Calculation'!J923</f>
        <v>%</v>
      </c>
      <c r="K1023" s="49">
        <f>'Secondary cum Calculation'!K923</f>
        <v>0</v>
      </c>
      <c r="L1023" s="53"/>
      <c r="M1023" s="54" t="e">
        <f>'Secondary cum Calculation'!M923</f>
        <v>#DIV/0!</v>
      </c>
      <c r="N1023" s="54" t="e">
        <f>'Secondary cum Calculation'!N923</f>
        <v>#DIV/0!</v>
      </c>
      <c r="O1023" s="54" t="e">
        <f>'Secondary cum Calculation'!O923</f>
        <v>#DIV/0!</v>
      </c>
      <c r="P1023" s="54" t="e">
        <f>'Secondary cum Calculation'!P923</f>
        <v>#DIV/0!</v>
      </c>
      <c r="Q1023" s="54"/>
      <c r="R1023" s="54"/>
      <c r="S1023" s="54"/>
      <c r="T1023" s="54"/>
      <c r="U1023" s="54"/>
      <c r="V1023" s="54"/>
      <c r="W1023" s="258"/>
      <c r="X1023" s="258"/>
    </row>
    <row r="1024" spans="1:26">
      <c r="A1024" s="46" t="str">
        <f>'Secondary cum Calculation'!A924</f>
        <v>Poland</v>
      </c>
      <c r="B1024" s="47" t="str">
        <f>'Secondary cum Calculation'!B924</f>
        <v>Tourism Flows</v>
      </c>
      <c r="C1024" s="47" t="str">
        <f>'Secondary cum Calculation'!C924</f>
        <v>International Departures by Destination</v>
      </c>
      <c r="D1024" s="47" t="str">
        <f>'Secondary cum Calculation'!D924</f>
        <v>Middle East</v>
      </c>
      <c r="E1024" s="46" t="str">
        <f>'Secondary cum Calculation'!E924</f>
        <v>Qatar</v>
      </c>
      <c r="F1024" s="48" t="str">
        <f>'Secondary cum Calculation'!F924</f>
        <v>The number of international departures from a country to Qatar</v>
      </c>
      <c r="G1024" s="48" t="str">
        <f>'Secondary cum Calculation'!G924</f>
        <v>Tourism Demand &amp; Flows Database</v>
      </c>
      <c r="H1024" s="48" t="str">
        <f>'Secondary cum Calculation'!H924</f>
        <v>New</v>
      </c>
      <c r="I1024" s="48">
        <f>'Secondary cum Calculation'!I924</f>
        <v>0</v>
      </c>
      <c r="J1024" s="48" t="str">
        <f>'Secondary cum Calculation'!J924</f>
        <v>Thousand</v>
      </c>
      <c r="K1024" s="49">
        <f>'Secondary cum Calculation'!K924</f>
        <v>0</v>
      </c>
      <c r="L1024" s="92">
        <f>'Secondary cum Calculation'!L924</f>
        <v>0</v>
      </c>
      <c r="M1024" s="92">
        <f>'Secondary cum Calculation'!M924</f>
        <v>0</v>
      </c>
      <c r="N1024" s="92">
        <f>'Secondary cum Calculation'!N924</f>
        <v>0</v>
      </c>
      <c r="O1024" s="53">
        <f>'Secondary cum Calculation'!O924</f>
        <v>0</v>
      </c>
      <c r="P1024" s="53">
        <f>'Secondary cum Calculation'!P924</f>
        <v>0</v>
      </c>
      <c r="Q1024" s="53"/>
      <c r="R1024" s="53"/>
      <c r="S1024" s="53"/>
      <c r="T1024" s="53"/>
      <c r="U1024" s="53"/>
      <c r="V1024" s="53"/>
      <c r="W1024" s="102" t="e">
        <f>'Secondary cum Calculation'!W924</f>
        <v>#DIV/0!</v>
      </c>
      <c r="X1024" s="102" t="e">
        <f>'Secondary cum Calculation'!X924</f>
        <v>#DIV/0!</v>
      </c>
      <c r="Z1024" s="11"/>
    </row>
    <row r="1025" spans="1:26">
      <c r="A1025" s="48"/>
      <c r="B1025" s="48"/>
      <c r="C1025" s="52" t="str">
        <f>'Secondary cum Calculation'!C925</f>
        <v>Growth Rate</v>
      </c>
      <c r="D1025" s="52"/>
      <c r="E1025" s="52"/>
      <c r="F1025" s="52">
        <f>'Secondary cum Calculation'!F925</f>
        <v>0</v>
      </c>
      <c r="G1025" s="52">
        <f>'Secondary cum Calculation'!G925</f>
        <v>0</v>
      </c>
      <c r="H1025" s="52">
        <f>'Secondary cum Calculation'!H925</f>
        <v>0</v>
      </c>
      <c r="I1025" s="52">
        <f>'Secondary cum Calculation'!I925</f>
        <v>0</v>
      </c>
      <c r="J1025" s="52" t="str">
        <f>'Secondary cum Calculation'!J925</f>
        <v>%</v>
      </c>
      <c r="K1025" s="49">
        <f>'Secondary cum Calculation'!K925</f>
        <v>0</v>
      </c>
      <c r="L1025" s="53"/>
      <c r="M1025" s="54" t="e">
        <f>'Secondary cum Calculation'!M925</f>
        <v>#DIV/0!</v>
      </c>
      <c r="N1025" s="54" t="e">
        <f>'Secondary cum Calculation'!N925</f>
        <v>#DIV/0!</v>
      </c>
      <c r="O1025" s="54" t="e">
        <f>'Secondary cum Calculation'!O925</f>
        <v>#DIV/0!</v>
      </c>
      <c r="P1025" s="54" t="e">
        <f>'Secondary cum Calculation'!P925</f>
        <v>#DIV/0!</v>
      </c>
      <c r="Q1025" s="54"/>
      <c r="R1025" s="54"/>
      <c r="S1025" s="54"/>
      <c r="T1025" s="54"/>
      <c r="U1025" s="54"/>
      <c r="V1025" s="54"/>
      <c r="W1025" s="258"/>
      <c r="X1025" s="258"/>
    </row>
    <row r="1026" spans="1:26">
      <c r="A1026" s="46" t="str">
        <f>'Secondary cum Calculation'!A926</f>
        <v>Poland</v>
      </c>
      <c r="B1026" s="47" t="str">
        <f>'Secondary cum Calculation'!B926</f>
        <v>Tourism Flows</v>
      </c>
      <c r="C1026" s="47" t="str">
        <f>'Secondary cum Calculation'!C926</f>
        <v>International Departures by Destination</v>
      </c>
      <c r="D1026" s="47" t="str">
        <f>'Secondary cum Calculation'!D926</f>
        <v>Middle East</v>
      </c>
      <c r="E1026" s="46" t="str">
        <f>'Secondary cum Calculation'!E926</f>
        <v>Saudi Arabia</v>
      </c>
      <c r="F1026" s="48" t="str">
        <f>'Secondary cum Calculation'!F926</f>
        <v>The number of international departures from a country to Saudi Arabia</v>
      </c>
      <c r="G1026" s="48" t="str">
        <f>'Secondary cum Calculation'!G926</f>
        <v>Tourism Demand &amp; Flows Database</v>
      </c>
      <c r="H1026" s="48" t="str">
        <f>'Secondary cum Calculation'!H926</f>
        <v>New</v>
      </c>
      <c r="I1026" s="48">
        <f>'Secondary cum Calculation'!I926</f>
        <v>0</v>
      </c>
      <c r="J1026" s="48" t="str">
        <f>'Secondary cum Calculation'!J926</f>
        <v>Thousand</v>
      </c>
      <c r="K1026" s="49">
        <f>'Secondary cum Calculation'!K926</f>
        <v>0</v>
      </c>
      <c r="L1026" s="92">
        <f>'Secondary cum Calculation'!L926</f>
        <v>0</v>
      </c>
      <c r="M1026" s="92">
        <f>'Secondary cum Calculation'!M926</f>
        <v>0</v>
      </c>
      <c r="N1026" s="92">
        <f>'Secondary cum Calculation'!N926</f>
        <v>0</v>
      </c>
      <c r="O1026" s="53">
        <f>'Secondary cum Calculation'!O926</f>
        <v>0</v>
      </c>
      <c r="P1026" s="53">
        <f>'Secondary cum Calculation'!P926</f>
        <v>0</v>
      </c>
      <c r="Q1026" s="53"/>
      <c r="R1026" s="53"/>
      <c r="S1026" s="53"/>
      <c r="T1026" s="53"/>
      <c r="U1026" s="53"/>
      <c r="V1026" s="53"/>
      <c r="W1026" s="102" t="e">
        <f>'Secondary cum Calculation'!W926</f>
        <v>#DIV/0!</v>
      </c>
      <c r="X1026" s="102" t="e">
        <f>'Secondary cum Calculation'!X926</f>
        <v>#DIV/0!</v>
      </c>
      <c r="Z1026" s="11"/>
    </row>
    <row r="1027" spans="1:26">
      <c r="A1027" s="48"/>
      <c r="B1027" s="48"/>
      <c r="C1027" s="52" t="str">
        <f>'Secondary cum Calculation'!C927</f>
        <v>Growth Rate</v>
      </c>
      <c r="D1027" s="52"/>
      <c r="E1027" s="52"/>
      <c r="F1027" s="52">
        <f>'Secondary cum Calculation'!F927</f>
        <v>0</v>
      </c>
      <c r="G1027" s="52">
        <f>'Secondary cum Calculation'!G927</f>
        <v>0</v>
      </c>
      <c r="H1027" s="52">
        <f>'Secondary cum Calculation'!H927</f>
        <v>0</v>
      </c>
      <c r="I1027" s="52">
        <f>'Secondary cum Calculation'!I927</f>
        <v>0</v>
      </c>
      <c r="J1027" s="52" t="str">
        <f>'Secondary cum Calculation'!J927</f>
        <v>%</v>
      </c>
      <c r="K1027" s="49">
        <f>'Secondary cum Calculation'!K927</f>
        <v>0</v>
      </c>
      <c r="L1027" s="53"/>
      <c r="M1027" s="54" t="e">
        <f>'Secondary cum Calculation'!M927</f>
        <v>#DIV/0!</v>
      </c>
      <c r="N1027" s="54" t="e">
        <f>'Secondary cum Calculation'!N927</f>
        <v>#DIV/0!</v>
      </c>
      <c r="O1027" s="54" t="e">
        <f>'Secondary cum Calculation'!O927</f>
        <v>#DIV/0!</v>
      </c>
      <c r="P1027" s="54" t="e">
        <f>'Secondary cum Calculation'!P927</f>
        <v>#DIV/0!</v>
      </c>
      <c r="Q1027" s="54"/>
      <c r="R1027" s="54"/>
      <c r="S1027" s="54"/>
      <c r="T1027" s="54"/>
      <c r="U1027" s="54"/>
      <c r="V1027" s="54"/>
      <c r="W1027" s="258"/>
      <c r="X1027" s="258"/>
    </row>
    <row r="1028" spans="1:26">
      <c r="A1028" s="46" t="str">
        <f>'Secondary cum Calculation'!A928</f>
        <v>Poland</v>
      </c>
      <c r="B1028" s="47" t="str">
        <f>'Secondary cum Calculation'!B928</f>
        <v>Tourism Flows</v>
      </c>
      <c r="C1028" s="47" t="str">
        <f>'Secondary cum Calculation'!C928</f>
        <v>International Departures by Destination</v>
      </c>
      <c r="D1028" s="47" t="str">
        <f>'Secondary cum Calculation'!D928</f>
        <v>Middle East</v>
      </c>
      <c r="E1028" s="46" t="str">
        <f>'Secondary cum Calculation'!E928</f>
        <v>Syrian Arab Republic</v>
      </c>
      <c r="F1028" s="48" t="str">
        <f>'Secondary cum Calculation'!F928</f>
        <v>The number of international departures from a country to Syrian Arab Republic</v>
      </c>
      <c r="G1028" s="48" t="str">
        <f>'Secondary cum Calculation'!G928</f>
        <v>Tourism Demand &amp; Flows Database</v>
      </c>
      <c r="H1028" s="48" t="str">
        <f>'Secondary cum Calculation'!H928</f>
        <v>New</v>
      </c>
      <c r="I1028" s="48">
        <f>'Secondary cum Calculation'!I928</f>
        <v>0</v>
      </c>
      <c r="J1028" s="48" t="str">
        <f>'Secondary cum Calculation'!J928</f>
        <v>Thousand</v>
      </c>
      <c r="K1028" s="49">
        <f>'Secondary cum Calculation'!K928</f>
        <v>0</v>
      </c>
      <c r="L1028" s="92">
        <f>'Secondary cum Calculation'!L928</f>
        <v>0</v>
      </c>
      <c r="M1028" s="92">
        <f>'Secondary cum Calculation'!M928</f>
        <v>0</v>
      </c>
      <c r="N1028" s="92">
        <f>'Secondary cum Calculation'!N928</f>
        <v>0</v>
      </c>
      <c r="O1028" s="53">
        <f>'Secondary cum Calculation'!O928</f>
        <v>0</v>
      </c>
      <c r="P1028" s="53">
        <f>'Secondary cum Calculation'!P928</f>
        <v>0</v>
      </c>
      <c r="Q1028" s="53"/>
      <c r="R1028" s="53"/>
      <c r="S1028" s="53"/>
      <c r="T1028" s="53"/>
      <c r="U1028" s="53"/>
      <c r="V1028" s="53"/>
      <c r="W1028" s="102" t="e">
        <f>'Secondary cum Calculation'!W928</f>
        <v>#DIV/0!</v>
      </c>
      <c r="X1028" s="102" t="e">
        <f>'Secondary cum Calculation'!X928</f>
        <v>#DIV/0!</v>
      </c>
      <c r="Z1028" s="11"/>
    </row>
    <row r="1029" spans="1:26">
      <c r="A1029" s="48"/>
      <c r="B1029" s="48"/>
      <c r="C1029" s="52" t="str">
        <f>'Secondary cum Calculation'!C929</f>
        <v>Growth Rate</v>
      </c>
      <c r="D1029" s="52"/>
      <c r="E1029" s="52"/>
      <c r="F1029" s="52">
        <f>'Secondary cum Calculation'!F929</f>
        <v>0</v>
      </c>
      <c r="G1029" s="52">
        <f>'Secondary cum Calculation'!G929</f>
        <v>0</v>
      </c>
      <c r="H1029" s="52">
        <f>'Secondary cum Calculation'!H929</f>
        <v>0</v>
      </c>
      <c r="I1029" s="52">
        <f>'Secondary cum Calculation'!I929</f>
        <v>0</v>
      </c>
      <c r="J1029" s="52" t="str">
        <f>'Secondary cum Calculation'!J929</f>
        <v>%</v>
      </c>
      <c r="K1029" s="49">
        <f>'Secondary cum Calculation'!K929</f>
        <v>0</v>
      </c>
      <c r="L1029" s="53"/>
      <c r="M1029" s="54" t="e">
        <f>'Secondary cum Calculation'!M929</f>
        <v>#DIV/0!</v>
      </c>
      <c r="N1029" s="54" t="e">
        <f>'Secondary cum Calculation'!N929</f>
        <v>#DIV/0!</v>
      </c>
      <c r="O1029" s="54" t="e">
        <f>'Secondary cum Calculation'!O929</f>
        <v>#DIV/0!</v>
      </c>
      <c r="P1029" s="54" t="e">
        <f>'Secondary cum Calculation'!P929</f>
        <v>#DIV/0!</v>
      </c>
      <c r="Q1029" s="54"/>
      <c r="R1029" s="54"/>
      <c r="S1029" s="54"/>
      <c r="T1029" s="54"/>
      <c r="U1029" s="54"/>
      <c r="V1029" s="54"/>
      <c r="W1029" s="258"/>
      <c r="X1029" s="258"/>
    </row>
    <row r="1030" spans="1:26">
      <c r="A1030" s="46" t="str">
        <f>'Secondary cum Calculation'!A930</f>
        <v>Poland</v>
      </c>
      <c r="B1030" s="47" t="str">
        <f>'Secondary cum Calculation'!B930</f>
        <v>Tourism Flows</v>
      </c>
      <c r="C1030" s="47" t="str">
        <f>'Secondary cum Calculation'!C930</f>
        <v>International Departures by Destination</v>
      </c>
      <c r="D1030" s="47" t="str">
        <f>'Secondary cum Calculation'!D930</f>
        <v>Middle East</v>
      </c>
      <c r="E1030" s="46" t="str">
        <f>'Secondary cum Calculation'!E930</f>
        <v>United Arab Emirates</v>
      </c>
      <c r="F1030" s="48" t="str">
        <f>'Secondary cum Calculation'!F930</f>
        <v>The number of international departures from a country to United Arab Emirates</v>
      </c>
      <c r="G1030" s="48" t="str">
        <f>'Secondary cum Calculation'!G930</f>
        <v>Tourism Demand &amp; Flows Database</v>
      </c>
      <c r="H1030" s="48" t="str">
        <f>'Secondary cum Calculation'!H930</f>
        <v>New</v>
      </c>
      <c r="I1030" s="48">
        <f>'Secondary cum Calculation'!I930</f>
        <v>0</v>
      </c>
      <c r="J1030" s="48" t="str">
        <f>'Secondary cum Calculation'!J930</f>
        <v>Thousand</v>
      </c>
      <c r="K1030" s="49">
        <f>'Secondary cum Calculation'!K930</f>
        <v>0</v>
      </c>
      <c r="L1030" s="92">
        <f>'Secondary cum Calculation'!L930</f>
        <v>0</v>
      </c>
      <c r="M1030" s="92">
        <f>'Secondary cum Calculation'!M930</f>
        <v>0</v>
      </c>
      <c r="N1030" s="92">
        <f>'Secondary cum Calculation'!N930</f>
        <v>0</v>
      </c>
      <c r="O1030" s="53">
        <f>'Secondary cum Calculation'!O930</f>
        <v>0</v>
      </c>
      <c r="P1030" s="53">
        <f>'Secondary cum Calculation'!P930</f>
        <v>0</v>
      </c>
      <c r="Q1030" s="53"/>
      <c r="R1030" s="53"/>
      <c r="S1030" s="53"/>
      <c r="T1030" s="53"/>
      <c r="U1030" s="53"/>
      <c r="V1030" s="53"/>
      <c r="W1030" s="102" t="e">
        <f>'Secondary cum Calculation'!W930</f>
        <v>#DIV/0!</v>
      </c>
      <c r="X1030" s="102" t="e">
        <f>'Secondary cum Calculation'!X930</f>
        <v>#DIV/0!</v>
      </c>
      <c r="Z1030" s="11"/>
    </row>
    <row r="1031" spans="1:26">
      <c r="A1031" s="48"/>
      <c r="B1031" s="48"/>
      <c r="C1031" s="52" t="str">
        <f>'Secondary cum Calculation'!C931</f>
        <v>Growth Rate</v>
      </c>
      <c r="D1031" s="52"/>
      <c r="E1031" s="52"/>
      <c r="F1031" s="52">
        <f>'Secondary cum Calculation'!F931</f>
        <v>0</v>
      </c>
      <c r="G1031" s="52">
        <f>'Secondary cum Calculation'!G931</f>
        <v>0</v>
      </c>
      <c r="H1031" s="52">
        <f>'Secondary cum Calculation'!H931</f>
        <v>0</v>
      </c>
      <c r="I1031" s="52">
        <f>'Secondary cum Calculation'!I931</f>
        <v>0</v>
      </c>
      <c r="J1031" s="52" t="str">
        <f>'Secondary cum Calculation'!J931</f>
        <v>%</v>
      </c>
      <c r="K1031" s="49">
        <f>'Secondary cum Calculation'!K931</f>
        <v>0</v>
      </c>
      <c r="L1031" s="53"/>
      <c r="M1031" s="54" t="e">
        <f>'Secondary cum Calculation'!M931</f>
        <v>#DIV/0!</v>
      </c>
      <c r="N1031" s="54" t="e">
        <f>'Secondary cum Calculation'!N931</f>
        <v>#DIV/0!</v>
      </c>
      <c r="O1031" s="54" t="e">
        <f>'Secondary cum Calculation'!O931</f>
        <v>#DIV/0!</v>
      </c>
      <c r="P1031" s="54" t="e">
        <f>'Secondary cum Calculation'!P931</f>
        <v>#DIV/0!</v>
      </c>
      <c r="Q1031" s="54"/>
      <c r="R1031" s="54"/>
      <c r="S1031" s="54"/>
      <c r="T1031" s="54"/>
      <c r="U1031" s="54"/>
      <c r="V1031" s="54"/>
      <c r="W1031" s="258"/>
      <c r="X1031" s="258"/>
    </row>
    <row r="1032" spans="1:26">
      <c r="A1032" s="46" t="str">
        <f>'Secondary cum Calculation'!A932</f>
        <v>Poland</v>
      </c>
      <c r="B1032" s="47" t="str">
        <f>'Secondary cum Calculation'!B932</f>
        <v>Tourism Flows</v>
      </c>
      <c r="C1032" s="47" t="str">
        <f>'Secondary cum Calculation'!C932</f>
        <v>International Departures by Destination</v>
      </c>
      <c r="D1032" s="47" t="str">
        <f>'Secondary cum Calculation'!D932</f>
        <v>Middle East</v>
      </c>
      <c r="E1032" s="46" t="str">
        <f>'Secondary cum Calculation'!E932</f>
        <v>Yemen</v>
      </c>
      <c r="F1032" s="48" t="str">
        <f>'Secondary cum Calculation'!F932</f>
        <v>The number of international departures from a country to Yemen</v>
      </c>
      <c r="G1032" s="48" t="str">
        <f>'Secondary cum Calculation'!G932</f>
        <v>Tourism Demand &amp; Flows Database</v>
      </c>
      <c r="H1032" s="48" t="str">
        <f>'Secondary cum Calculation'!H932</f>
        <v>New</v>
      </c>
      <c r="I1032" s="48">
        <f>'Secondary cum Calculation'!I932</f>
        <v>0</v>
      </c>
      <c r="J1032" s="48" t="str">
        <f>'Secondary cum Calculation'!J932</f>
        <v>Thousand</v>
      </c>
      <c r="K1032" s="49">
        <f>'Secondary cum Calculation'!K932</f>
        <v>0</v>
      </c>
      <c r="L1032" s="92">
        <f>'Secondary cum Calculation'!L932</f>
        <v>0</v>
      </c>
      <c r="M1032" s="92">
        <f>'Secondary cum Calculation'!M932</f>
        <v>0</v>
      </c>
      <c r="N1032" s="92">
        <f>'Secondary cum Calculation'!N932</f>
        <v>0</v>
      </c>
      <c r="O1032" s="89">
        <f>'Secondary cum Calculation'!O932</f>
        <v>0</v>
      </c>
      <c r="P1032" s="89">
        <f>'Secondary cum Calculation'!P932</f>
        <v>0</v>
      </c>
      <c r="Q1032" s="89"/>
      <c r="R1032" s="89"/>
      <c r="S1032" s="89"/>
      <c r="T1032" s="89"/>
      <c r="U1032" s="89"/>
      <c r="V1032" s="89"/>
      <c r="W1032" s="102" t="e">
        <f>'Secondary cum Calculation'!W932</f>
        <v>#DIV/0!</v>
      </c>
      <c r="X1032" s="102" t="e">
        <f>'Secondary cum Calculation'!X932</f>
        <v>#DIV/0!</v>
      </c>
      <c r="Z1032" s="11"/>
    </row>
    <row r="1033" spans="1:26">
      <c r="A1033" s="48"/>
      <c r="B1033" s="48"/>
      <c r="C1033" s="52" t="str">
        <f>'Secondary cum Calculation'!C933</f>
        <v>Growth Rate</v>
      </c>
      <c r="D1033" s="52"/>
      <c r="E1033" s="52"/>
      <c r="F1033" s="52">
        <f>'Secondary cum Calculation'!F933</f>
        <v>0</v>
      </c>
      <c r="G1033" s="52">
        <f>'Secondary cum Calculation'!G933</f>
        <v>0</v>
      </c>
      <c r="H1033" s="52">
        <f>'Secondary cum Calculation'!H933</f>
        <v>0</v>
      </c>
      <c r="I1033" s="52">
        <f>'Secondary cum Calculation'!I933</f>
        <v>0</v>
      </c>
      <c r="J1033" s="52" t="str">
        <f>'Secondary cum Calculation'!J933</f>
        <v>%</v>
      </c>
      <c r="K1033" s="49">
        <f>'Secondary cum Calculation'!K933</f>
        <v>0</v>
      </c>
      <c r="L1033" s="53"/>
      <c r="M1033" s="54" t="e">
        <f>'Secondary cum Calculation'!M933</f>
        <v>#DIV/0!</v>
      </c>
      <c r="N1033" s="54" t="e">
        <f>'Secondary cum Calculation'!N933</f>
        <v>#DIV/0!</v>
      </c>
      <c r="O1033" s="54" t="e">
        <f>'Secondary cum Calculation'!O933</f>
        <v>#DIV/0!</v>
      </c>
      <c r="P1033" s="54" t="e">
        <f>'Secondary cum Calculation'!P933</f>
        <v>#DIV/0!</v>
      </c>
      <c r="Q1033" s="54"/>
      <c r="R1033" s="54"/>
      <c r="S1033" s="54"/>
      <c r="T1033" s="54"/>
      <c r="U1033" s="54"/>
      <c r="V1033" s="54"/>
      <c r="W1033" s="258"/>
      <c r="X1033" s="258"/>
    </row>
    <row r="1034" spans="1:26">
      <c r="A1034" s="46" t="str">
        <f>'Secondary cum Calculation'!A934</f>
        <v>Poland</v>
      </c>
      <c r="B1034" s="47" t="str">
        <f>'Secondary cum Calculation'!B934</f>
        <v>Tourism Flows</v>
      </c>
      <c r="C1034" s="47" t="str">
        <f>'Secondary cum Calculation'!C934</f>
        <v>International Departures by Destination</v>
      </c>
      <c r="D1034" s="94" t="str">
        <f>'Secondary cum Calculation'!D934</f>
        <v>Middle East</v>
      </c>
      <c r="E1034" s="95" t="str">
        <f>'Secondary cum Calculation'!E934</f>
        <v>Other Middle Eastern Countries</v>
      </c>
      <c r="F1034" s="94" t="str">
        <f>'Secondary cum Calculation'!F934</f>
        <v>To be defined according to the gaps in the country data above</v>
      </c>
      <c r="G1034" s="48">
        <f>'Secondary cum Calculation'!G934</f>
        <v>0</v>
      </c>
      <c r="H1034" s="48">
        <f>'Secondary cum Calculation'!H934</f>
        <v>0</v>
      </c>
      <c r="I1034" s="48">
        <f>'Secondary cum Calculation'!I934</f>
        <v>0</v>
      </c>
      <c r="J1034" s="48" t="str">
        <f>'Secondary cum Calculation'!J934</f>
        <v>Thousand</v>
      </c>
      <c r="K1034" s="49">
        <f>'Secondary cum Calculation'!K934</f>
        <v>0</v>
      </c>
      <c r="L1034" s="92">
        <f>'Secondary cum Calculation'!L934</f>
        <v>30.684725075329453</v>
      </c>
      <c r="M1034" s="92">
        <f>'Secondary cum Calculation'!M934</f>
        <v>42.164130026086298</v>
      </c>
      <c r="N1034" s="92">
        <f>'Secondary cum Calculation'!N934</f>
        <v>36.156641710798738</v>
      </c>
      <c r="O1034" s="89">
        <f>'Secondary cum Calculation'!O934</f>
        <v>41.070924694601359</v>
      </c>
      <c r="P1034" s="89">
        <f>'Secondary cum Calculation'!P934</f>
        <v>46.363210382450632</v>
      </c>
      <c r="Q1034" s="89"/>
      <c r="R1034" s="89"/>
      <c r="S1034" s="89"/>
      <c r="T1034" s="89"/>
      <c r="U1034" s="89"/>
      <c r="V1034" s="89"/>
      <c r="W1034" s="102">
        <f>'Secondary cum Calculation'!W934</f>
        <v>3.7438516749683126E-2</v>
      </c>
      <c r="X1034" s="102">
        <f>'Secondary cum Calculation'!X934</f>
        <v>-1</v>
      </c>
      <c r="Z1034" s="11"/>
    </row>
    <row r="1035" spans="1:26">
      <c r="A1035" s="48"/>
      <c r="B1035" s="48"/>
      <c r="C1035" s="52" t="str">
        <f>'Secondary cum Calculation'!C935</f>
        <v>Growth Rate</v>
      </c>
      <c r="D1035" s="52"/>
      <c r="E1035" s="52"/>
      <c r="F1035" s="52">
        <f>'Secondary cum Calculation'!F935</f>
        <v>0</v>
      </c>
      <c r="G1035" s="52">
        <f>'Secondary cum Calculation'!G935</f>
        <v>0</v>
      </c>
      <c r="H1035" s="52">
        <f>'Secondary cum Calculation'!H935</f>
        <v>0</v>
      </c>
      <c r="I1035" s="52">
        <f>'Secondary cum Calculation'!I935</f>
        <v>0</v>
      </c>
      <c r="J1035" s="52" t="str">
        <f>'Secondary cum Calculation'!J935</f>
        <v>%</v>
      </c>
      <c r="K1035" s="49">
        <f>'Secondary cum Calculation'!K935</f>
        <v>0</v>
      </c>
      <c r="L1035" s="53"/>
      <c r="M1035" s="54">
        <f>'Secondary cum Calculation'!M935</f>
        <v>0.37410812456606624</v>
      </c>
      <c r="N1035" s="54">
        <f>'Secondary cum Calculation'!N935</f>
        <v>-0.14247864978053193</v>
      </c>
      <c r="O1035" s="54">
        <f>'Secondary cum Calculation'!O935</f>
        <v>0.13591646655432865</v>
      </c>
      <c r="P1035" s="54">
        <f>'Secondary cum Calculation'!P935</f>
        <v>0.12885723239011782</v>
      </c>
      <c r="Q1035" s="54"/>
      <c r="R1035" s="54"/>
      <c r="S1035" s="54"/>
      <c r="T1035" s="54"/>
      <c r="U1035" s="54"/>
      <c r="V1035" s="54"/>
      <c r="W1035" s="258"/>
      <c r="X1035" s="258"/>
    </row>
    <row r="1036" spans="1:26">
      <c r="A1036" s="46" t="str">
        <f>'Secondary cum Calculation'!A936</f>
        <v>Poland</v>
      </c>
      <c r="B1036" s="47" t="str">
        <f>'Secondary cum Calculation'!B936</f>
        <v>Tourism Flows</v>
      </c>
      <c r="C1036" s="47" t="str">
        <f>'Secondary cum Calculation'!C936</f>
        <v>International Departures by Destination</v>
      </c>
      <c r="D1036" s="46" t="str">
        <f>'Secondary cum Calculation'!D936</f>
        <v>North America</v>
      </c>
      <c r="E1036" s="48"/>
      <c r="F1036" s="48" t="str">
        <f>'Secondary cum Calculation'!F936</f>
        <v>The number of international departures from a country to North America</v>
      </c>
      <c r="G1036" s="48" t="str">
        <f>'Secondary cum Calculation'!G936</f>
        <v>Tourism Demand &amp; Flows Database</v>
      </c>
      <c r="H1036" s="48" t="str">
        <f>'Secondary cum Calculation'!H936</f>
        <v>New</v>
      </c>
      <c r="I1036" s="48">
        <f>'Secondary cum Calculation'!I936</f>
        <v>0</v>
      </c>
      <c r="J1036" s="48" t="str">
        <f>'Secondary cum Calculation'!J936</f>
        <v>Thousand</v>
      </c>
      <c r="K1036" s="76">
        <f>'Secondary cum Calculation'!K936</f>
        <v>13855</v>
      </c>
      <c r="L1036" s="91">
        <f>'Secondary cum Calculation'!L936</f>
        <v>56.587033400524213</v>
      </c>
      <c r="M1036" s="91">
        <f>'Secondary cum Calculation'!M936</f>
        <v>59.022271260319201</v>
      </c>
      <c r="N1036" s="91">
        <f>'Secondary cum Calculation'!N936</f>
        <v>45.04</v>
      </c>
      <c r="O1036" s="91">
        <f>'Secondary cum Calculation'!O936</f>
        <v>40</v>
      </c>
      <c r="P1036" s="91">
        <f>'Secondary cum Calculation'!P936</f>
        <v>39.4</v>
      </c>
      <c r="Q1036" s="91">
        <f>'Secondary cum Calculation'!Q936</f>
        <v>39.604539834363905</v>
      </c>
      <c r="R1036" s="91">
        <f t="shared" ref="R1036:V1036" si="698">Q1036*(1+R1037)</f>
        <v>39.885853262982963</v>
      </c>
      <c r="S1036" s="91">
        <f t="shared" si="698"/>
        <v>40.315709744022293</v>
      </c>
      <c r="T1036" s="91">
        <f t="shared" si="698"/>
        <v>40.691271984525287</v>
      </c>
      <c r="U1036" s="91">
        <f t="shared" si="698"/>
        <v>40.920801606198253</v>
      </c>
      <c r="V1036" s="91">
        <f t="shared" si="698"/>
        <v>41.239538929483615</v>
      </c>
      <c r="W1036" s="102">
        <f>'Secondary cum Calculation'!W936</f>
        <v>-9.4929804701033627E-2</v>
      </c>
      <c r="X1036" s="102">
        <f>'Secondary cum Calculation'!X936</f>
        <v>8.1235635137792972E-3</v>
      </c>
      <c r="Z1036" s="11"/>
    </row>
    <row r="1037" spans="1:26">
      <c r="A1037" s="48"/>
      <c r="B1037" s="48"/>
      <c r="C1037" s="52" t="str">
        <f>'Secondary cum Calculation'!C937</f>
        <v>Growth Rate</v>
      </c>
      <c r="D1037" s="52"/>
      <c r="E1037" s="52"/>
      <c r="F1037" s="52">
        <f>'Secondary cum Calculation'!F937</f>
        <v>0</v>
      </c>
      <c r="G1037" s="52">
        <f>'Secondary cum Calculation'!G937</f>
        <v>0</v>
      </c>
      <c r="H1037" s="52">
        <f>'Secondary cum Calculation'!H937</f>
        <v>0</v>
      </c>
      <c r="I1037" s="52">
        <f>'Secondary cum Calculation'!I937</f>
        <v>0</v>
      </c>
      <c r="J1037" s="52" t="str">
        <f>'Secondary cum Calculation'!J937</f>
        <v>%</v>
      </c>
      <c r="K1037" s="49">
        <f>'Secondary cum Calculation'!K937</f>
        <v>0</v>
      </c>
      <c r="L1037" s="53"/>
      <c r="M1037" s="54">
        <f>'Secondary cum Calculation'!M937</f>
        <v>4.3035262911881755E-2</v>
      </c>
      <c r="N1037" s="54">
        <f>'Secondary cum Calculation'!N937</f>
        <v>-0.23689822437788011</v>
      </c>
      <c r="O1037" s="54">
        <f>'Secondary cum Calculation'!O937</f>
        <v>-0.11190053285968027</v>
      </c>
      <c r="P1037" s="54">
        <f>'Secondary cum Calculation'!P937</f>
        <v>-1.5000000000000013E-2</v>
      </c>
      <c r="Q1037" s="54">
        <f>'Secondary cum Calculation'!Q937</f>
        <v>5.1913663544138622E-3</v>
      </c>
      <c r="R1037" s="54">
        <f>0.68*((P1036/O1036)^(1/1)-1)+0.32*($E1039*R1040+$E1041*R1042+$E1043*R1044+$E1045*R1046+$E1047*R1048+$E1049*R1050)</f>
        <v>7.103060149053245E-3</v>
      </c>
      <c r="S1037" s="54">
        <f>0.6*((P1036/O1036)^(1/1)-1)+0.4*($E1039*S1040+$E1041*S1042+$E1043*S1044+$E1045*S1046+$E1047*S1048+$E1049*S1050)</f>
        <v>1.0777166485699066E-2</v>
      </c>
      <c r="T1037" s="54">
        <f>0.6*((P1036/O1036)^(1/1)-1)+0.4*($E1039*T1040+$E1041*T1042+$E1043*T1044+$E1045*T1046+$E1047*T1048+$E1049*T1050)</f>
        <v>9.3155309155553492E-3</v>
      </c>
      <c r="U1037" s="54">
        <f>0.69*((P1036/O1036)^(1/1)-1)+0.31*($E1039*U1040+$E1041*U1042+$E1043*U1044+$E1045*U1046+$E1047*U1048+$E1049*U1050)</f>
        <v>5.6407580908322055E-3</v>
      </c>
      <c r="V1037" s="54">
        <f>0.65*((P1036/O1036)^(1/1)-1)+0.35*($E1039*V1040+$E1041*V1042+$E1043*V1044+$E1045*V1046+$E1047*V1048+$E1049*V1050)</f>
        <v>7.7891270643408381E-3</v>
      </c>
      <c r="W1037" s="258"/>
      <c r="X1037" s="258"/>
    </row>
    <row r="1038" spans="1:26" outlineLevel="1">
      <c r="A1038" s="306"/>
      <c r="B1038" s="306"/>
      <c r="C1038" s="306"/>
      <c r="D1038" s="307" t="s">
        <v>912</v>
      </c>
      <c r="E1038" s="112" t="s">
        <v>914</v>
      </c>
      <c r="F1038" s="112"/>
      <c r="G1038" s="112"/>
      <c r="H1038" s="112"/>
      <c r="I1038" s="112"/>
      <c r="J1038" s="112"/>
      <c r="K1038" s="113"/>
      <c r="L1038" s="114"/>
      <c r="M1038" s="115"/>
      <c r="N1038" s="115"/>
      <c r="O1038" s="115"/>
      <c r="P1038" s="115"/>
      <c r="Q1038" s="115"/>
      <c r="R1038" s="115"/>
      <c r="S1038" s="115"/>
      <c r="T1038" s="115"/>
      <c r="U1038" s="115"/>
      <c r="V1038" s="115"/>
      <c r="W1038" s="303"/>
      <c r="X1038" s="303"/>
    </row>
    <row r="1039" spans="1:26" outlineLevel="1">
      <c r="A1039" s="308"/>
      <c r="B1039" s="308"/>
      <c r="C1039" s="308"/>
      <c r="D1039" s="308" t="s">
        <v>937</v>
      </c>
      <c r="E1039" s="310">
        <f>W1040/W$1051</f>
        <v>0.17612246475197496</v>
      </c>
      <c r="F1039" s="310"/>
      <c r="G1039" s="310"/>
      <c r="H1039" s="310"/>
      <c r="I1039" s="310"/>
      <c r="J1039" s="310"/>
      <c r="K1039" s="310"/>
      <c r="L1039" s="329">
        <f>L1174</f>
        <v>425.32100000000003</v>
      </c>
      <c r="M1039" s="329">
        <f t="shared" ref="M1039:U1039" si="699">M1174</f>
        <v>529.40099999999995</v>
      </c>
      <c r="N1039" s="329">
        <f t="shared" si="699"/>
        <v>430.84699999999998</v>
      </c>
      <c r="O1039" s="329">
        <f t="shared" si="699"/>
        <v>469.75299999999999</v>
      </c>
      <c r="P1039" s="329">
        <f t="shared" si="699"/>
        <v>514.50300000000004</v>
      </c>
      <c r="Q1039" s="329">
        <f t="shared" si="699"/>
        <v>470.35399999999998</v>
      </c>
      <c r="R1039" s="329">
        <f t="shared" si="699"/>
        <v>496.14499999999998</v>
      </c>
      <c r="S1039" s="329">
        <f t="shared" si="699"/>
        <v>522.93799999999999</v>
      </c>
      <c r="T1039" s="329">
        <f t="shared" si="699"/>
        <v>553.78399999999999</v>
      </c>
      <c r="U1039" s="329">
        <f t="shared" si="699"/>
        <v>589.50099999999998</v>
      </c>
      <c r="V1039" s="329">
        <f t="shared" ref="V1039" si="700">V1174</f>
        <v>623.40700000000004</v>
      </c>
      <c r="W1039" s="302" t="s">
        <v>915</v>
      </c>
      <c r="X1039" s="303"/>
    </row>
    <row r="1040" spans="1:26" outlineLevel="1">
      <c r="A1040" s="312"/>
      <c r="B1040" s="312"/>
      <c r="C1040" s="312"/>
      <c r="D1040" s="312" t="s">
        <v>892</v>
      </c>
      <c r="E1040" s="312"/>
      <c r="F1040" s="312"/>
      <c r="G1040" s="312"/>
      <c r="H1040" s="312"/>
      <c r="I1040" s="312"/>
      <c r="J1040" s="312"/>
      <c r="K1040" s="312"/>
      <c r="L1040" s="312"/>
      <c r="M1040" s="313">
        <f>M1039/L1039-1</f>
        <v>0.24470929015966747</v>
      </c>
      <c r="N1040" s="313">
        <f t="shared" ref="N1040" si="701">N1039/M1039-1</f>
        <v>-0.18616134083615254</v>
      </c>
      <c r="O1040" s="313">
        <f t="shared" ref="O1040" si="702">O1039/N1039-1</f>
        <v>9.0301197408825029E-2</v>
      </c>
      <c r="P1040" s="313">
        <f t="shared" ref="P1040" si="703">P1039/O1039-1</f>
        <v>9.5262829614712441E-2</v>
      </c>
      <c r="Q1040" s="313">
        <f t="shared" ref="Q1040" si="704">Q1039/P1039-1</f>
        <v>-8.5809023465363787E-2</v>
      </c>
      <c r="R1040" s="313">
        <f t="shared" ref="R1040" si="705">R1039/Q1039-1</f>
        <v>5.4833168209476257E-2</v>
      </c>
      <c r="S1040" s="313">
        <f t="shared" ref="S1040" si="706">S1039/R1039-1</f>
        <v>5.4002358181580057E-2</v>
      </c>
      <c r="T1040" s="313">
        <f t="shared" ref="T1040" si="707">T1039/S1039-1</f>
        <v>5.8985960094695811E-2</v>
      </c>
      <c r="U1040" s="313">
        <f t="shared" ref="U1040:V1040" si="708">U1039/T1039-1</f>
        <v>6.4496265692038701E-2</v>
      </c>
      <c r="V1040" s="313">
        <f t="shared" si="708"/>
        <v>5.7516441872023982E-2</v>
      </c>
      <c r="W1040" s="304">
        <f>CORREL(M1040:P1040,M$1037:P$1037)</f>
        <v>0.94929473649313878</v>
      </c>
      <c r="X1040" s="314"/>
    </row>
    <row r="1041" spans="1:26" ht="21" customHeight="1" outlineLevel="1">
      <c r="A1041" s="310"/>
      <c r="B1041" s="310"/>
      <c r="C1041" s="310"/>
      <c r="D1041" s="310" t="s">
        <v>936</v>
      </c>
      <c r="E1041" s="310">
        <f>W1042/W$1051</f>
        <v>0.1630202822210835</v>
      </c>
      <c r="F1041" s="310"/>
      <c r="G1041" s="310"/>
      <c r="H1041" s="310"/>
      <c r="I1041" s="310"/>
      <c r="J1041" s="310"/>
      <c r="K1041" s="310"/>
      <c r="L1041" s="329">
        <f>L1176</f>
        <v>268203.56</v>
      </c>
      <c r="M1041" s="329">
        <f t="shared" ref="M1041:U1041" si="709">M1176</f>
        <v>329640.87</v>
      </c>
      <c r="N1041" s="329">
        <f t="shared" si="709"/>
        <v>266283.2</v>
      </c>
      <c r="O1041" s="329">
        <f t="shared" si="709"/>
        <v>295763.96999999997</v>
      </c>
      <c r="P1041" s="329">
        <f t="shared" si="709"/>
        <v>306943.82</v>
      </c>
      <c r="Q1041" s="329">
        <f t="shared" si="709"/>
        <v>332356.61829999997</v>
      </c>
      <c r="R1041" s="329">
        <f t="shared" si="709"/>
        <v>352225.2107</v>
      </c>
      <c r="S1041" s="329">
        <f t="shared" si="709"/>
        <v>371576.09950000001</v>
      </c>
      <c r="T1041" s="329">
        <f t="shared" si="709"/>
        <v>386358.77990000002</v>
      </c>
      <c r="U1041" s="329">
        <f t="shared" si="709"/>
        <v>409235.93204273965</v>
      </c>
      <c r="V1041" s="329">
        <f t="shared" ref="V1041" si="710">V1176</f>
        <v>431088.18074672733</v>
      </c>
      <c r="W1041" s="304"/>
      <c r="X1041" s="315"/>
    </row>
    <row r="1042" spans="1:26" outlineLevel="1">
      <c r="A1042" s="312"/>
      <c r="B1042" s="312"/>
      <c r="C1042" s="312"/>
      <c r="D1042" s="312" t="s">
        <v>892</v>
      </c>
      <c r="E1042" s="312"/>
      <c r="F1042" s="312"/>
      <c r="G1042" s="312"/>
      <c r="H1042" s="312"/>
      <c r="I1042" s="312"/>
      <c r="J1042" s="312"/>
      <c r="K1042" s="312"/>
      <c r="L1042" s="312"/>
      <c r="M1042" s="316">
        <f>M1041/L1041-1</f>
        <v>0.22906970362362089</v>
      </c>
      <c r="N1042" s="316">
        <f t="shared" ref="N1042" si="711">N1041/M1041-1</f>
        <v>-0.19220210770587998</v>
      </c>
      <c r="O1042" s="316">
        <f t="shared" ref="O1042" si="712">O1041/N1041-1</f>
        <v>0.11071209148755901</v>
      </c>
      <c r="P1042" s="316">
        <f t="shared" ref="P1042" si="713">P1041/O1041-1</f>
        <v>3.7799905106764786E-2</v>
      </c>
      <c r="Q1042" s="316">
        <f t="shared" ref="Q1042" si="714">Q1041/P1041-1</f>
        <v>8.2792995473894848E-2</v>
      </c>
      <c r="R1042" s="316">
        <f t="shared" ref="R1042" si="715">R1041/Q1041-1</f>
        <v>5.9780944040253026E-2</v>
      </c>
      <c r="S1042" s="316">
        <f t="shared" ref="S1042" si="716">S1041/R1041-1</f>
        <v>5.4938965787096006E-2</v>
      </c>
      <c r="T1042" s="316">
        <f t="shared" ref="T1042" si="717">T1041/S1041-1</f>
        <v>3.9783722418885059E-2</v>
      </c>
      <c r="U1042" s="316">
        <f t="shared" ref="U1042:V1042" si="718">U1041/T1041-1</f>
        <v>5.9212196882547419E-2</v>
      </c>
      <c r="V1042" s="316">
        <f t="shared" si="718"/>
        <v>5.339767843676424E-2</v>
      </c>
      <c r="W1042" s="304">
        <f>CORREL(M1042:P1042,M$1037:P$1037)</f>
        <v>0.87867437054116759</v>
      </c>
      <c r="X1042" s="317"/>
    </row>
    <row r="1043" spans="1:26" ht="18" customHeight="1" outlineLevel="1">
      <c r="A1043" s="310"/>
      <c r="B1043" s="310"/>
      <c r="C1043" s="310"/>
      <c r="D1043" s="310" t="s">
        <v>916</v>
      </c>
      <c r="E1043" s="310">
        <f>W1044/W$1051</f>
        <v>0.18529945797770922</v>
      </c>
      <c r="F1043" s="310"/>
      <c r="G1043" s="310"/>
      <c r="H1043" s="310"/>
      <c r="I1043" s="310"/>
      <c r="J1043" s="310"/>
      <c r="K1043" s="310"/>
      <c r="L1043" s="329">
        <f>L1184</f>
        <v>105911</v>
      </c>
      <c r="M1043" s="329">
        <f t="shared" ref="M1043:U1043" si="719">M1184</f>
        <v>107942</v>
      </c>
      <c r="N1043" s="329">
        <f t="shared" si="719"/>
        <v>103397</v>
      </c>
      <c r="O1043" s="329">
        <f t="shared" si="719"/>
        <v>102162.46730120073</v>
      </c>
      <c r="P1043" s="329">
        <f t="shared" si="719"/>
        <v>102961.52808660103</v>
      </c>
      <c r="Q1043" s="329">
        <f t="shared" si="719"/>
        <v>104281.82642289056</v>
      </c>
      <c r="R1043" s="329">
        <f t="shared" si="719"/>
        <v>106092.99932640951</v>
      </c>
      <c r="S1043" s="329">
        <f t="shared" si="719"/>
        <v>107374.74549474263</v>
      </c>
      <c r="T1043" s="329">
        <f t="shared" si="719"/>
        <v>108052.42439100673</v>
      </c>
      <c r="U1043" s="329">
        <f t="shared" si="719"/>
        <v>109801.45941458517</v>
      </c>
      <c r="V1043" s="329">
        <f t="shared" ref="V1043" si="720">V1184</f>
        <v>111226.42626151063</v>
      </c>
      <c r="W1043" s="315"/>
      <c r="X1043" s="315"/>
    </row>
    <row r="1044" spans="1:26" outlineLevel="1">
      <c r="A1044" s="312"/>
      <c r="B1044" s="312"/>
      <c r="C1044" s="312"/>
      <c r="D1044" s="312" t="s">
        <v>892</v>
      </c>
      <c r="E1044" s="312"/>
      <c r="F1044" s="312"/>
      <c r="G1044" s="312"/>
      <c r="H1044" s="312"/>
      <c r="I1044" s="312"/>
      <c r="J1044" s="312"/>
      <c r="K1044" s="312"/>
      <c r="L1044" s="312"/>
      <c r="M1044" s="316">
        <f>M1043/L1043-1</f>
        <v>1.9176478363909233E-2</v>
      </c>
      <c r="N1044" s="316">
        <f t="shared" ref="N1044" si="721">N1043/M1043-1</f>
        <v>-4.2105945785699705E-2</v>
      </c>
      <c r="O1044" s="316">
        <f t="shared" ref="O1044" si="722">O1043/N1043-1</f>
        <v>-1.1939734216653064E-2</v>
      </c>
      <c r="P1044" s="316">
        <f t="shared" ref="P1044" si="723">P1043/O1043-1</f>
        <v>7.8214710990138769E-3</v>
      </c>
      <c r="Q1044" s="316">
        <f t="shared" ref="Q1044" si="724">Q1043/P1043-1</f>
        <v>1.2823220098083787E-2</v>
      </c>
      <c r="R1044" s="316">
        <f t="shared" ref="R1044" si="725">R1043/Q1043-1</f>
        <v>1.7368058900063321E-2</v>
      </c>
      <c r="S1044" s="316">
        <f t="shared" ref="S1044" si="726">S1043/R1043-1</f>
        <v>1.2081345390091647E-2</v>
      </c>
      <c r="T1044" s="316">
        <f t="shared" ref="T1044" si="727">T1043/S1043-1</f>
        <v>6.3113434461856688E-3</v>
      </c>
      <c r="U1044" s="316">
        <f t="shared" ref="U1044:V1044" si="728">U1043/T1043-1</f>
        <v>1.6186911431521844E-2</v>
      </c>
      <c r="V1044" s="316">
        <f t="shared" si="728"/>
        <v>1.2977667642331658E-2</v>
      </c>
      <c r="W1044" s="304">
        <f>CORREL(M1044:P1044,M$1037:P$1037)</f>
        <v>0.99875845129119678</v>
      </c>
      <c r="X1044" s="317"/>
    </row>
    <row r="1045" spans="1:26" ht="18.75" customHeight="1" outlineLevel="1">
      <c r="A1045" s="310"/>
      <c r="B1045" s="310"/>
      <c r="C1045" s="310"/>
      <c r="D1045" s="310" t="s">
        <v>971</v>
      </c>
      <c r="E1045" s="310">
        <f>W1046/W$1051</f>
        <v>0.14141874033703694</v>
      </c>
      <c r="F1045" s="310"/>
      <c r="G1045" s="310"/>
      <c r="H1045" s="310"/>
      <c r="I1045" s="310"/>
      <c r="J1045" s="310"/>
      <c r="K1045" s="310"/>
      <c r="L1045" s="311">
        <f>L1218</f>
        <v>16.332000000000001</v>
      </c>
      <c r="M1045" s="311">
        <f t="shared" ref="M1045:U1045" si="729">M1218</f>
        <v>17.646000000000001</v>
      </c>
      <c r="N1045" s="311">
        <f t="shared" si="729"/>
        <v>17.838999999999999</v>
      </c>
      <c r="O1045" s="311">
        <f t="shared" si="729"/>
        <v>18.809000000000001</v>
      </c>
      <c r="P1045" s="311">
        <f t="shared" si="729"/>
        <v>19.375</v>
      </c>
      <c r="Q1045" s="311">
        <f t="shared" si="729"/>
        <v>20.125</v>
      </c>
      <c r="R1045" s="311">
        <f t="shared" si="729"/>
        <v>21.068000000000001</v>
      </c>
      <c r="S1045" s="311">
        <f t="shared" si="729"/>
        <v>22.097000000000001</v>
      </c>
      <c r="T1045" s="311">
        <f t="shared" si="729"/>
        <v>23.105</v>
      </c>
      <c r="U1045" s="311">
        <f t="shared" si="729"/>
        <v>24.16</v>
      </c>
      <c r="V1045" s="311">
        <f t="shared" ref="V1045" si="730">V1218</f>
        <v>25.289322232662432</v>
      </c>
      <c r="W1045" s="304"/>
      <c r="X1045" s="315"/>
    </row>
    <row r="1046" spans="1:26" outlineLevel="1">
      <c r="A1046" s="312"/>
      <c r="B1046" s="312"/>
      <c r="C1046" s="312"/>
      <c r="D1046" s="312" t="s">
        <v>892</v>
      </c>
      <c r="E1046" s="312"/>
      <c r="F1046" s="312"/>
      <c r="G1046" s="312"/>
      <c r="H1046" s="312"/>
      <c r="I1046" s="312"/>
      <c r="J1046" s="312"/>
      <c r="K1046" s="312"/>
      <c r="L1046" s="312"/>
      <c r="M1046" s="316">
        <f>M1045/L1045-1</f>
        <v>8.045554739162375E-2</v>
      </c>
      <c r="N1046" s="316">
        <f t="shared" ref="N1046" si="731">N1045/M1045-1</f>
        <v>1.0937322906040992E-2</v>
      </c>
      <c r="O1046" s="316">
        <f t="shared" ref="O1046" si="732">O1045/N1045-1</f>
        <v>5.4375245249173254E-2</v>
      </c>
      <c r="P1046" s="316">
        <f t="shared" ref="P1046" si="733">P1045/O1045-1</f>
        <v>3.0091977244935952E-2</v>
      </c>
      <c r="Q1046" s="316">
        <f t="shared" ref="Q1046" si="734">Q1045/P1045-1</f>
        <v>3.8709677419354938E-2</v>
      </c>
      <c r="R1046" s="316">
        <f t="shared" ref="R1046" si="735">R1045/Q1045-1</f>
        <v>4.685714285714293E-2</v>
      </c>
      <c r="S1046" s="316">
        <f t="shared" ref="S1046" si="736">S1045/R1045-1</f>
        <v>4.8841845452819443E-2</v>
      </c>
      <c r="T1046" s="316">
        <f t="shared" ref="T1046" si="737">T1045/S1045-1</f>
        <v>4.561705208851885E-2</v>
      </c>
      <c r="U1046" s="316">
        <f t="shared" ref="U1046:V1046" si="738">U1045/T1045-1</f>
        <v>4.5661112313352126E-2</v>
      </c>
      <c r="V1046" s="316">
        <f t="shared" si="738"/>
        <v>4.6743469894968248E-2</v>
      </c>
      <c r="W1046" s="304">
        <f>CORREL(M1046:P1046,M$1037:P$1037)</f>
        <v>0.7622427157858277</v>
      </c>
      <c r="X1046" s="317"/>
    </row>
    <row r="1047" spans="1:26" ht="18" customHeight="1" outlineLevel="1">
      <c r="A1047" s="310"/>
      <c r="B1047" s="310"/>
      <c r="C1047" s="310"/>
      <c r="D1047" s="310" t="s">
        <v>972</v>
      </c>
      <c r="E1047" s="310">
        <f>W1048/W$1051</f>
        <v>0.15041170961639086</v>
      </c>
      <c r="F1047" s="310"/>
      <c r="G1047" s="310"/>
      <c r="H1047" s="310"/>
      <c r="I1047" s="310"/>
      <c r="J1047" s="310"/>
      <c r="K1047" s="310"/>
      <c r="L1047" s="329">
        <f>L1222</f>
        <v>1512.11</v>
      </c>
      <c r="M1047" s="329">
        <f t="shared" ref="M1047:U1047" si="739">M1222</f>
        <v>1557.44</v>
      </c>
      <c r="N1047" s="329">
        <f t="shared" si="739"/>
        <v>1441.63</v>
      </c>
      <c r="O1047" s="329">
        <f t="shared" si="739"/>
        <v>1501.48</v>
      </c>
      <c r="P1047" s="329">
        <f t="shared" si="739"/>
        <v>1569.68</v>
      </c>
      <c r="Q1047" s="329">
        <f t="shared" si="739"/>
        <v>1662.71</v>
      </c>
      <c r="R1047" s="329">
        <f t="shared" si="739"/>
        <v>1773.77</v>
      </c>
      <c r="S1047" s="329">
        <f t="shared" si="739"/>
        <v>1880.25</v>
      </c>
      <c r="T1047" s="329">
        <f t="shared" si="739"/>
        <v>1981.69</v>
      </c>
      <c r="U1047" s="329">
        <f t="shared" si="739"/>
        <v>2084.2800000000002</v>
      </c>
      <c r="V1047" s="329">
        <f t="shared" ref="V1047" si="740">V1222</f>
        <v>2205.4181751230803</v>
      </c>
      <c r="W1047" s="304"/>
      <c r="X1047" s="315"/>
    </row>
    <row r="1048" spans="1:26" outlineLevel="1">
      <c r="A1048" s="312"/>
      <c r="B1048" s="312"/>
      <c r="C1048" s="312"/>
      <c r="D1048" s="312" t="s">
        <v>892</v>
      </c>
      <c r="E1048" s="312"/>
      <c r="F1048" s="312"/>
      <c r="G1048" s="312"/>
      <c r="H1048" s="312"/>
      <c r="I1048" s="312"/>
      <c r="J1048" s="312"/>
      <c r="K1048" s="312"/>
      <c r="L1048" s="312"/>
      <c r="M1048" s="316">
        <f t="shared" ref="M1048" si="741">M1047/L1047-1</f>
        <v>2.9977977792621013E-2</v>
      </c>
      <c r="N1048" s="316">
        <f t="shared" ref="N1048" si="742">N1047/M1047-1</f>
        <v>-7.4359204848982952E-2</v>
      </c>
      <c r="O1048" s="316">
        <f t="shared" ref="O1048" si="743">O1047/N1047-1</f>
        <v>4.1515506752772824E-2</v>
      </c>
      <c r="P1048" s="316">
        <f t="shared" ref="P1048" si="744">P1047/O1047-1</f>
        <v>4.5421850440898304E-2</v>
      </c>
      <c r="Q1048" s="316">
        <f t="shared" ref="Q1048" si="745">Q1047/P1047-1</f>
        <v>5.9266856938993806E-2</v>
      </c>
      <c r="R1048" s="316">
        <f t="shared" ref="R1048" si="746">R1047/Q1047-1</f>
        <v>6.6794570309915757E-2</v>
      </c>
      <c r="S1048" s="316">
        <f t="shared" ref="S1048" si="747">S1047/R1047-1</f>
        <v>6.0030330877171245E-2</v>
      </c>
      <c r="T1048" s="316">
        <f t="shared" ref="T1048" si="748">T1047/S1047-1</f>
        <v>5.395027257013707E-2</v>
      </c>
      <c r="U1048" s="316">
        <f t="shared" ref="U1048:V1048" si="749">U1047/T1047-1</f>
        <v>5.1768944688624474E-2</v>
      </c>
      <c r="V1048" s="316">
        <f t="shared" si="749"/>
        <v>5.8119914369988646E-2</v>
      </c>
      <c r="W1048" s="304">
        <f>CORREL(M1048:P1048,M$1037:P$1037)</f>
        <v>0.81071454710136936</v>
      </c>
      <c r="X1048" s="317"/>
    </row>
    <row r="1049" spans="1:26" ht="18" customHeight="1" outlineLevel="1">
      <c r="A1049" s="310"/>
      <c r="B1049" s="310"/>
      <c r="C1049" s="310"/>
      <c r="D1049" s="310" t="s">
        <v>960</v>
      </c>
      <c r="E1049" s="310">
        <f>W1050/W$1051</f>
        <v>0.18372734509580446</v>
      </c>
      <c r="F1049" s="310"/>
      <c r="G1049" s="310"/>
      <c r="H1049" s="310"/>
      <c r="I1049" s="310"/>
      <c r="J1049" s="310"/>
      <c r="K1049" s="310"/>
      <c r="L1049" s="311">
        <f>L1220</f>
        <v>183.33600000000001</v>
      </c>
      <c r="M1049" s="311">
        <f t="shared" ref="M1049:U1049" si="750">M1220</f>
        <v>192.364</v>
      </c>
      <c r="N1049" s="311">
        <f t="shared" si="750"/>
        <v>159.28299999999999</v>
      </c>
      <c r="O1049" s="311">
        <f t="shared" si="750"/>
        <v>151.321</v>
      </c>
      <c r="P1049" s="311">
        <f t="shared" si="750"/>
        <v>155.73699999999999</v>
      </c>
      <c r="Q1049" s="311">
        <f t="shared" si="750"/>
        <v>168.11500000000001</v>
      </c>
      <c r="R1049" s="311">
        <f t="shared" si="750"/>
        <v>181.637</v>
      </c>
      <c r="S1049" s="311">
        <f t="shared" si="750"/>
        <v>194.292</v>
      </c>
      <c r="T1049" s="311">
        <f t="shared" si="750"/>
        <v>208.22900000000001</v>
      </c>
      <c r="U1049" s="311">
        <f t="shared" si="750"/>
        <v>223.334</v>
      </c>
      <c r="V1049" s="311">
        <f t="shared" ref="V1049" si="751">V1220</f>
        <v>239.76839671416744</v>
      </c>
      <c r="W1049" s="304"/>
      <c r="X1049" s="315"/>
    </row>
    <row r="1050" spans="1:26" outlineLevel="1">
      <c r="A1050" s="312"/>
      <c r="B1050" s="312"/>
      <c r="C1050" s="312"/>
      <c r="D1050" s="312" t="s">
        <v>892</v>
      </c>
      <c r="E1050" s="312"/>
      <c r="F1050" s="312"/>
      <c r="G1050" s="312"/>
      <c r="H1050" s="312"/>
      <c r="I1050" s="312"/>
      <c r="J1050" s="312"/>
      <c r="K1050" s="312"/>
      <c r="L1050" s="312"/>
      <c r="M1050" s="316">
        <f t="shared" ref="M1050" si="752">M1049/L1049-1</f>
        <v>4.9242920102980259E-2</v>
      </c>
      <c r="N1050" s="316">
        <f t="shared" ref="N1050" si="753">N1049/M1049-1</f>
        <v>-0.17197084693601727</v>
      </c>
      <c r="O1050" s="316">
        <f t="shared" ref="O1050" si="754">O1049/N1049-1</f>
        <v>-4.9986502012141831E-2</v>
      </c>
      <c r="P1050" s="316">
        <f t="shared" ref="P1050" si="755">P1049/O1049-1</f>
        <v>2.9182995089908292E-2</v>
      </c>
      <c r="Q1050" s="316">
        <f t="shared" ref="Q1050" si="756">Q1049/P1049-1</f>
        <v>7.9480149225938712E-2</v>
      </c>
      <c r="R1050" s="316">
        <f t="shared" ref="R1050" si="757">R1049/Q1049-1</f>
        <v>8.0433036909258515E-2</v>
      </c>
      <c r="S1050" s="316">
        <f t="shared" ref="S1050" si="758">S1049/R1049-1</f>
        <v>6.9671928076328049E-2</v>
      </c>
      <c r="T1050" s="316">
        <f t="shared" ref="T1050" si="759">T1049/S1049-1</f>
        <v>7.1732238074650567E-2</v>
      </c>
      <c r="U1050" s="316">
        <f t="shared" ref="U1050:V1050" si="760">U1049/T1049-1</f>
        <v>7.2540328196360582E-2</v>
      </c>
      <c r="V1050" s="316">
        <f t="shared" si="760"/>
        <v>7.3586631297372751E-2</v>
      </c>
      <c r="W1050" s="304">
        <f>CORREL(M1050:P1050,M$1037:P$1037)</f>
        <v>0.99028481059994866</v>
      </c>
      <c r="X1050" s="317"/>
    </row>
    <row r="1051" spans="1:26" outlineLevel="1">
      <c r="A1051" s="116"/>
      <c r="B1051" s="318"/>
      <c r="C1051" s="310"/>
      <c r="D1051" s="319" t="s">
        <v>919</v>
      </c>
      <c r="E1051" s="319">
        <f>E1039+E1041+E1043+E1045+E1047+E1049</f>
        <v>0.99999999999999989</v>
      </c>
      <c r="F1051" s="310"/>
      <c r="G1051" s="310"/>
      <c r="H1051" s="310"/>
      <c r="I1051" s="310"/>
      <c r="J1051" s="310"/>
      <c r="K1051" s="310"/>
      <c r="L1051" s="310"/>
      <c r="M1051" s="310"/>
      <c r="N1051" s="310"/>
      <c r="O1051" s="310"/>
      <c r="P1051" s="310"/>
      <c r="Q1051" s="310"/>
      <c r="R1051" s="310"/>
      <c r="S1051" s="310"/>
      <c r="T1051" s="310"/>
      <c r="U1051" s="310"/>
      <c r="V1051" s="310"/>
      <c r="W1051" s="320">
        <f>SUM(W1040:W1050)</f>
        <v>5.3899696318126491</v>
      </c>
      <c r="X1051" s="315"/>
    </row>
    <row r="1052" spans="1:26">
      <c r="A1052" s="46" t="str">
        <f>'Secondary cum Calculation'!A938</f>
        <v>Poland</v>
      </c>
      <c r="B1052" s="47" t="str">
        <f>'Secondary cum Calculation'!B938</f>
        <v>Tourism Flows</v>
      </c>
      <c r="C1052" s="47" t="str">
        <f>'Secondary cum Calculation'!C938</f>
        <v>International Departures by Destination</v>
      </c>
      <c r="D1052" s="47" t="str">
        <f>'Secondary cum Calculation'!D938</f>
        <v>North America</v>
      </c>
      <c r="E1052" s="46" t="str">
        <f>'Secondary cum Calculation'!E938</f>
        <v>Canada</v>
      </c>
      <c r="F1052" s="48" t="str">
        <f>'Secondary cum Calculation'!F938</f>
        <v>The number of international departures from a country to Canada</v>
      </c>
      <c r="G1052" s="48" t="str">
        <f>'Secondary cum Calculation'!G938</f>
        <v>Tourism Demand &amp; Flows Database</v>
      </c>
      <c r="H1052" s="48" t="str">
        <f>'Secondary cum Calculation'!H938</f>
        <v>New</v>
      </c>
      <c r="I1052" s="48">
        <f>'Secondary cum Calculation'!I938</f>
        <v>0</v>
      </c>
      <c r="J1052" s="48" t="str">
        <f>'Secondary cum Calculation'!J938</f>
        <v>Thousand</v>
      </c>
      <c r="K1052" s="49">
        <f>'Secondary cum Calculation'!K938</f>
        <v>13855</v>
      </c>
      <c r="L1052" s="53">
        <f>'Secondary cum Calculation'!L938</f>
        <v>8.7513124384669929</v>
      </c>
      <c r="M1052" s="53">
        <f>'Secondary cum Calculation'!M938</f>
        <v>8.3530592966432398</v>
      </c>
      <c r="N1052" s="53">
        <f>'Secondary cum Calculation'!N938</f>
        <v>6.5904557353732818</v>
      </c>
      <c r="O1052" s="53">
        <f>'Secondary cum Calculation'!O938</f>
        <v>5.8582572588574857</v>
      </c>
      <c r="P1052" s="53">
        <f>'Secondary cum Calculation'!P938</f>
        <v>5.5844095041901021</v>
      </c>
      <c r="Q1052" s="53"/>
      <c r="R1052" s="53"/>
      <c r="S1052" s="53"/>
      <c r="T1052" s="53"/>
      <c r="U1052" s="53"/>
      <c r="V1052" s="53"/>
      <c r="W1052" s="102">
        <f>'Secondary cum Calculation'!W938</f>
        <v>-0.10164900729992665</v>
      </c>
      <c r="X1052" s="102">
        <f>'Secondary cum Calculation'!X938</f>
        <v>-1</v>
      </c>
      <c r="Z1052" s="11"/>
    </row>
    <row r="1053" spans="1:26">
      <c r="A1053" s="48"/>
      <c r="B1053" s="48"/>
      <c r="C1053" s="52" t="str">
        <f>'Secondary cum Calculation'!C939</f>
        <v>Growth Rate</v>
      </c>
      <c r="D1053" s="52"/>
      <c r="E1053" s="52"/>
      <c r="F1053" s="52">
        <f>'Secondary cum Calculation'!F939</f>
        <v>0</v>
      </c>
      <c r="G1053" s="52">
        <f>'Secondary cum Calculation'!G939</f>
        <v>0</v>
      </c>
      <c r="H1053" s="52">
        <f>'Secondary cum Calculation'!H939</f>
        <v>0</v>
      </c>
      <c r="I1053" s="52">
        <f>'Secondary cum Calculation'!I939</f>
        <v>0</v>
      </c>
      <c r="J1053" s="52" t="str">
        <f>'Secondary cum Calculation'!J939</f>
        <v>%</v>
      </c>
      <c r="K1053" s="49">
        <f>'Secondary cum Calculation'!K939</f>
        <v>0</v>
      </c>
      <c r="L1053" s="53"/>
      <c r="M1053" s="54">
        <f>'Secondary cum Calculation'!M939</f>
        <v>-4.550781892704503E-2</v>
      </c>
      <c r="N1053" s="54">
        <f>'Secondary cum Calculation'!N939</f>
        <v>-0.21101293534193843</v>
      </c>
      <c r="O1053" s="54">
        <f>'Secondary cum Calculation'!O939</f>
        <v>-0.11109982464275281</v>
      </c>
      <c r="P1053" s="54">
        <f>'Secondary cum Calculation'!P939</f>
        <v>-4.6745600708015145E-2</v>
      </c>
      <c r="Q1053" s="54"/>
      <c r="R1053" s="54"/>
      <c r="S1053" s="54"/>
      <c r="T1053" s="54"/>
      <c r="U1053" s="54"/>
      <c r="V1053" s="54"/>
      <c r="W1053" s="258"/>
      <c r="X1053" s="258"/>
    </row>
    <row r="1054" spans="1:26">
      <c r="A1054" s="46" t="str">
        <f>'Secondary cum Calculation'!A940</f>
        <v>Poland</v>
      </c>
      <c r="B1054" s="47" t="str">
        <f>'Secondary cum Calculation'!B940</f>
        <v>Tourism Flows</v>
      </c>
      <c r="C1054" s="47" t="str">
        <f>'Secondary cum Calculation'!C940</f>
        <v>International Departures by Destination</v>
      </c>
      <c r="D1054" s="47" t="str">
        <f>'Secondary cum Calculation'!D940</f>
        <v>North America</v>
      </c>
      <c r="E1054" s="46" t="str">
        <f>'Secondary cum Calculation'!E940</f>
        <v>Mexico</v>
      </c>
      <c r="F1054" s="48" t="str">
        <f>'Secondary cum Calculation'!F940</f>
        <v>The number of international departures from a country to Mexico</v>
      </c>
      <c r="G1054" s="48" t="str">
        <f>'Secondary cum Calculation'!G940</f>
        <v>Tourism Demand &amp; Flows Database</v>
      </c>
      <c r="H1054" s="48" t="str">
        <f>'Secondary cum Calculation'!H940</f>
        <v>New</v>
      </c>
      <c r="I1054" s="48">
        <f>'Secondary cum Calculation'!I940</f>
        <v>0</v>
      </c>
      <c r="J1054" s="48" t="str">
        <f>'Secondary cum Calculation'!J940</f>
        <v>Thousand</v>
      </c>
      <c r="K1054" s="49">
        <f>'Secondary cum Calculation'!K940</f>
        <v>19659</v>
      </c>
      <c r="L1054" s="53">
        <f>'Secondary cum Calculation'!L940</f>
        <v>4.3371278183440767</v>
      </c>
      <c r="M1054" s="53">
        <f>'Secondary cum Calculation'!M940</f>
        <v>4.1300374490760143</v>
      </c>
      <c r="N1054" s="53">
        <f>'Secondary cum Calculation'!N940</f>
        <v>2.9623616395422023</v>
      </c>
      <c r="O1054" s="53">
        <f>'Secondary cum Calculation'!O940</f>
        <v>2.725927234876417</v>
      </c>
      <c r="P1054" s="53">
        <f>'Secondary cum Calculation'!P940</f>
        <v>2.6643220250942408</v>
      </c>
      <c r="Q1054" s="53"/>
      <c r="R1054" s="53"/>
      <c r="S1054" s="53"/>
      <c r="T1054" s="53"/>
      <c r="U1054" s="53"/>
      <c r="V1054" s="53"/>
      <c r="W1054" s="102">
        <f>'Secondary cum Calculation'!W940</f>
        <v>-0.10569281932438956</v>
      </c>
      <c r="X1054" s="102">
        <f>'Secondary cum Calculation'!X940</f>
        <v>-1</v>
      </c>
      <c r="Z1054" s="11"/>
    </row>
    <row r="1055" spans="1:26">
      <c r="A1055" s="48"/>
      <c r="B1055" s="48"/>
      <c r="C1055" s="52" t="str">
        <f>'Secondary cum Calculation'!C941</f>
        <v>Growth Rate</v>
      </c>
      <c r="D1055" s="52"/>
      <c r="E1055" s="52"/>
      <c r="F1055" s="52">
        <f>'Secondary cum Calculation'!F941</f>
        <v>0</v>
      </c>
      <c r="G1055" s="52">
        <f>'Secondary cum Calculation'!G941</f>
        <v>0</v>
      </c>
      <c r="H1055" s="52">
        <f>'Secondary cum Calculation'!H941</f>
        <v>0</v>
      </c>
      <c r="I1055" s="52">
        <f>'Secondary cum Calculation'!I941</f>
        <v>0</v>
      </c>
      <c r="J1055" s="52" t="str">
        <f>'Secondary cum Calculation'!J941</f>
        <v>%</v>
      </c>
      <c r="K1055" s="49">
        <f>'Secondary cum Calculation'!K941</f>
        <v>0</v>
      </c>
      <c r="L1055" s="53"/>
      <c r="M1055" s="54">
        <f>'Secondary cum Calculation'!M941</f>
        <v>-4.7748274420727044E-2</v>
      </c>
      <c r="N1055" s="54">
        <f>'Secondary cum Calculation'!N941</f>
        <v>-0.28272765657247212</v>
      </c>
      <c r="O1055" s="54">
        <f>'Secondary cum Calculation'!O941</f>
        <v>-7.981280931734025E-2</v>
      </c>
      <c r="P1055" s="54">
        <f>'Secondary cum Calculation'!P941</f>
        <v>-2.2599726432158129E-2</v>
      </c>
      <c r="Q1055" s="54"/>
      <c r="R1055" s="54"/>
      <c r="S1055" s="54"/>
      <c r="T1055" s="54"/>
      <c r="U1055" s="54"/>
      <c r="V1055" s="54"/>
      <c r="W1055" s="258"/>
      <c r="X1055" s="258"/>
    </row>
    <row r="1056" spans="1:26">
      <c r="A1056" s="46" t="str">
        <f>'Secondary cum Calculation'!A942</f>
        <v>Poland</v>
      </c>
      <c r="B1056" s="47" t="str">
        <f>'Secondary cum Calculation'!B942</f>
        <v>Tourism Flows</v>
      </c>
      <c r="C1056" s="47" t="str">
        <f>'Secondary cum Calculation'!C942</f>
        <v>International Departures by Destination</v>
      </c>
      <c r="D1056" s="47" t="str">
        <f>'Secondary cum Calculation'!D942</f>
        <v>North America</v>
      </c>
      <c r="E1056" s="46" t="str">
        <f>'Secondary cum Calculation'!E942</f>
        <v>United States of America</v>
      </c>
      <c r="F1056" s="48" t="str">
        <f>'Secondary cum Calculation'!F942</f>
        <v>The number of international departures from a country to United States of America</v>
      </c>
      <c r="G1056" s="48" t="str">
        <f>'Secondary cum Calculation'!G942</f>
        <v>Tourism Demand &amp; Flows Database</v>
      </c>
      <c r="H1056" s="48" t="str">
        <f>'Secondary cum Calculation'!H942</f>
        <v>New</v>
      </c>
      <c r="I1056" s="48">
        <f>'Secondary cum Calculation'!I942</f>
        <v>0</v>
      </c>
      <c r="J1056" s="48" t="str">
        <f>'Secondary cum Calculation'!J942</f>
        <v>Thousand</v>
      </c>
      <c r="K1056" s="49">
        <f>'Secondary cum Calculation'!K942</f>
        <v>0</v>
      </c>
      <c r="L1056" s="89">
        <f>'Secondary cum Calculation'!L942</f>
        <v>43.498593143713144</v>
      </c>
      <c r="M1056" s="89">
        <f>'Secondary cum Calculation'!M942</f>
        <v>46.539174514599949</v>
      </c>
      <c r="N1056" s="89">
        <f>'Secondary cum Calculation'!N942</f>
        <v>35.487182625084515</v>
      </c>
      <c r="O1056" s="89">
        <f>'Secondary cum Calculation'!O942</f>
        <v>31.415815506266096</v>
      </c>
      <c r="P1056" s="89">
        <f>'Secondary cum Calculation'!P942</f>
        <v>31.151268470715657</v>
      </c>
      <c r="Q1056" s="89"/>
      <c r="R1056" s="89"/>
      <c r="S1056" s="89"/>
      <c r="T1056" s="89"/>
      <c r="U1056" s="89"/>
      <c r="V1056" s="89"/>
      <c r="W1056" s="102">
        <f>'Secondary cum Calculation'!W942</f>
        <v>-9.280641808930723E-2</v>
      </c>
      <c r="X1056" s="102">
        <f>'Secondary cum Calculation'!X942</f>
        <v>-1</v>
      </c>
      <c r="Z1056" s="11"/>
    </row>
    <row r="1057" spans="1:26">
      <c r="A1057" s="48"/>
      <c r="B1057" s="48"/>
      <c r="C1057" s="52" t="str">
        <f>'Secondary cum Calculation'!C943</f>
        <v>Growth Rate</v>
      </c>
      <c r="D1057" s="52"/>
      <c r="E1057" s="52"/>
      <c r="F1057" s="52">
        <f>'Secondary cum Calculation'!F943</f>
        <v>0</v>
      </c>
      <c r="G1057" s="52">
        <f>'Secondary cum Calculation'!G943</f>
        <v>0</v>
      </c>
      <c r="H1057" s="52">
        <f>'Secondary cum Calculation'!H943</f>
        <v>0</v>
      </c>
      <c r="I1057" s="52">
        <f>'Secondary cum Calculation'!I943</f>
        <v>0</v>
      </c>
      <c r="J1057" s="52" t="str">
        <f>'Secondary cum Calculation'!J943</f>
        <v>%</v>
      </c>
      <c r="K1057" s="49">
        <f>'Secondary cum Calculation'!K943</f>
        <v>0</v>
      </c>
      <c r="L1057" s="53"/>
      <c r="M1057" s="54">
        <f>'Secondary cum Calculation'!M943</f>
        <v>6.9900683013842668E-2</v>
      </c>
      <c r="N1057" s="54">
        <f>'Secondary cum Calculation'!N943</f>
        <v>-0.23747717927502732</v>
      </c>
      <c r="O1057" s="54">
        <f>'Secondary cum Calculation'!O943</f>
        <v>-0.11472782051569586</v>
      </c>
      <c r="P1057" s="54">
        <f>'Secondary cum Calculation'!P943</f>
        <v>-8.4208234383625902E-3</v>
      </c>
      <c r="Q1057" s="54"/>
      <c r="R1057" s="54"/>
      <c r="S1057" s="54"/>
      <c r="T1057" s="54"/>
      <c r="U1057" s="54"/>
      <c r="V1057" s="54"/>
      <c r="W1057" s="258"/>
      <c r="X1057" s="258"/>
    </row>
    <row r="1058" spans="1:26">
      <c r="A1058" s="46" t="str">
        <f>'Secondary cum Calculation'!A944</f>
        <v>Poland</v>
      </c>
      <c r="B1058" s="47" t="str">
        <f>'Secondary cum Calculation'!B944</f>
        <v>Tourism Flows</v>
      </c>
      <c r="C1058" s="47" t="str">
        <f>'Secondary cum Calculation'!C944</f>
        <v>International Departures by Destination</v>
      </c>
      <c r="D1058" s="46" t="str">
        <f>'Secondary cum Calculation'!D944</f>
        <v>South &amp; Central America</v>
      </c>
      <c r="E1058" s="48"/>
      <c r="F1058" s="48" t="str">
        <f>'Secondary cum Calculation'!F944</f>
        <v>The number of international departures from a country to South &amp; Central America</v>
      </c>
      <c r="G1058" s="48" t="str">
        <f>'Secondary cum Calculation'!G944</f>
        <v>Tourism Demand &amp; Flows Database</v>
      </c>
      <c r="H1058" s="48" t="str">
        <f>'Secondary cum Calculation'!H944</f>
        <v>New</v>
      </c>
      <c r="I1058" s="48">
        <f>'Secondary cum Calculation'!I944</f>
        <v>0</v>
      </c>
      <c r="J1058" s="48" t="str">
        <f>'Secondary cum Calculation'!J944</f>
        <v>Thousand</v>
      </c>
      <c r="K1058" s="76">
        <f>'Secondary cum Calculation'!K944</f>
        <v>0</v>
      </c>
      <c r="L1058" s="91">
        <f>'Secondary cum Calculation'!L944</f>
        <v>11.996385251827457</v>
      </c>
      <c r="M1058" s="91">
        <f>'Secondary cum Calculation'!M944</f>
        <v>12.524138485018877</v>
      </c>
      <c r="N1058" s="91">
        <f>'Secondary cum Calculation'!N944</f>
        <v>11.434894369025624</v>
      </c>
      <c r="O1058" s="91">
        <f>'Secondary cum Calculation'!O944</f>
        <v>12.085000000000001</v>
      </c>
      <c r="P1058" s="91">
        <f>'Secondary cum Calculation'!P944</f>
        <v>11.131</v>
      </c>
      <c r="Q1058" s="91">
        <f>'Secondary cum Calculation'!Q944</f>
        <v>10.924589509669229</v>
      </c>
      <c r="R1058" s="91">
        <f t="shared" ref="R1058:V1058" si="761">Q1058*(1+R1059)</f>
        <v>11.052970151400105</v>
      </c>
      <c r="S1058" s="91">
        <f t="shared" si="761"/>
        <v>11.15136817646154</v>
      </c>
      <c r="T1058" s="91">
        <f t="shared" si="761"/>
        <v>11.368881584437096</v>
      </c>
      <c r="U1058" s="91">
        <f t="shared" si="761"/>
        <v>11.535269797706436</v>
      </c>
      <c r="V1058" s="91">
        <f t="shared" si="761"/>
        <v>11.744023317050152</v>
      </c>
      <c r="W1058" s="102">
        <f>'Secondary cum Calculation'!W944</f>
        <v>-3.3583543753666789E-2</v>
      </c>
      <c r="X1058" s="102">
        <f>'Secondary cum Calculation'!X944</f>
        <v>1.4570792069248606E-2</v>
      </c>
      <c r="Z1058" s="11"/>
    </row>
    <row r="1059" spans="1:26">
      <c r="A1059" s="48"/>
      <c r="B1059" s="48"/>
      <c r="C1059" s="52" t="str">
        <f>'Secondary cum Calculation'!C945</f>
        <v>Growth Rate</v>
      </c>
      <c r="D1059" s="52"/>
      <c r="E1059" s="52"/>
      <c r="F1059" s="52">
        <f>'Secondary cum Calculation'!F945</f>
        <v>0</v>
      </c>
      <c r="G1059" s="52">
        <f>'Secondary cum Calculation'!G945</f>
        <v>0</v>
      </c>
      <c r="H1059" s="52">
        <f>'Secondary cum Calculation'!H945</f>
        <v>0</v>
      </c>
      <c r="I1059" s="52">
        <f>'Secondary cum Calculation'!I945</f>
        <v>0</v>
      </c>
      <c r="J1059" s="52" t="str">
        <f>'Secondary cum Calculation'!J945</f>
        <v>%</v>
      </c>
      <c r="K1059" s="49">
        <f>'Secondary cum Calculation'!K945</f>
        <v>0</v>
      </c>
      <c r="L1059" s="53"/>
      <c r="M1059" s="54">
        <f>'Secondary cum Calculation'!M945</f>
        <v>4.3992687973323008E-2</v>
      </c>
      <c r="N1059" s="54">
        <f>'Secondary cum Calculation'!N945</f>
        <v>-8.6971580304400553E-2</v>
      </c>
      <c r="O1059" s="54">
        <f>'Secondary cum Calculation'!O945</f>
        <v>5.6852788490583395E-2</v>
      </c>
      <c r="P1059" s="54">
        <f>'Secondary cum Calculation'!P945</f>
        <v>-7.8940835746793558E-2</v>
      </c>
      <c r="Q1059" s="54">
        <f>'Secondary cum Calculation'!Q945</f>
        <v>-1.8543750815809168E-2</v>
      </c>
      <c r="R1059" s="54">
        <f>0.6*((Q1058/P1058)^(1/1)-1)+0.4*($E1061*R1062+$E1063*R1064+$E1065*R1066+$E1067*R1068+$E1069*R1070+$E1071*R1072)</f>
        <v>1.1751530033897282E-2</v>
      </c>
      <c r="S1059" s="54">
        <f>0.63*((Q1058/P1058)^(1/1)-1)+0.37*($E1061*S1062+$E1063*S1064+$E1065*S1066+$E1067*S1068+$E1069*S1070+$E1071*S1072)</f>
        <v>8.9024057528075042E-3</v>
      </c>
      <c r="T1059" s="54">
        <f>0.8*((R1058/Q1058)^(1/1)-1)+0.2*($E1061*T1062+$E1063*T1064+$E1065*T1066+$E1067*T1068+$E1069*T1070+$E1071*T1072)</f>
        <v>1.9505535512197102E-2</v>
      </c>
      <c r="U1059" s="54">
        <f>0.88*((S1058/R1058)^(1/1)-1)+0.12*($E1061*U1062+$E1063*U1064+$E1065*U1066+$E1067*U1068+$E1069*U1070+$E1071*U1072)</f>
        <v>1.4635407364705987E-2</v>
      </c>
      <c r="V1059" s="54">
        <f>0.8*((S1058/R1058)^(1/1)-1)+0.2*($E1061*V1062+$E1063*V1064+$E1065*V1066+$E1067*V1068+$E1069*V1070+$E1071*V1072)</f>
        <v>1.8096977617742573E-2</v>
      </c>
      <c r="W1059" s="258"/>
      <c r="X1059" s="258"/>
    </row>
    <row r="1060" spans="1:26" outlineLevel="1">
      <c r="A1060" s="306"/>
      <c r="B1060" s="306"/>
      <c r="C1060" s="306"/>
      <c r="D1060" s="307" t="s">
        <v>912</v>
      </c>
      <c r="E1060" s="112" t="s">
        <v>914</v>
      </c>
      <c r="F1060" s="112"/>
      <c r="G1060" s="112"/>
      <c r="H1060" s="112"/>
      <c r="I1060" s="112"/>
      <c r="J1060" s="112"/>
      <c r="K1060" s="113"/>
      <c r="L1060" s="114"/>
      <c r="M1060" s="115"/>
      <c r="N1060" s="115"/>
      <c r="O1060" s="115"/>
      <c r="P1060" s="115"/>
      <c r="Q1060" s="115"/>
      <c r="R1060" s="115"/>
      <c r="S1060" s="115"/>
      <c r="T1060" s="115"/>
      <c r="U1060" s="115"/>
      <c r="V1060" s="115"/>
      <c r="W1060" s="303"/>
      <c r="X1060" s="303"/>
    </row>
    <row r="1061" spans="1:26" outlineLevel="1">
      <c r="A1061" s="308"/>
      <c r="B1061" s="308"/>
      <c r="C1061" s="308"/>
      <c r="D1061" s="308" t="s">
        <v>937</v>
      </c>
      <c r="E1061" s="310">
        <f>W1062/W$1073</f>
        <v>0.21454922152331901</v>
      </c>
      <c r="F1061" s="310"/>
      <c r="G1061" s="310"/>
      <c r="H1061" s="310"/>
      <c r="I1061" s="310"/>
      <c r="J1061" s="310"/>
      <c r="K1061" s="310"/>
      <c r="L1061" s="311">
        <f>L1174</f>
        <v>425.32100000000003</v>
      </c>
      <c r="M1061" s="311">
        <f t="shared" ref="M1061:U1061" si="762">M1174</f>
        <v>529.40099999999995</v>
      </c>
      <c r="N1061" s="311">
        <f t="shared" si="762"/>
        <v>430.84699999999998</v>
      </c>
      <c r="O1061" s="311">
        <f t="shared" si="762"/>
        <v>469.75299999999999</v>
      </c>
      <c r="P1061" s="311">
        <f t="shared" si="762"/>
        <v>514.50300000000004</v>
      </c>
      <c r="Q1061" s="311">
        <f t="shared" si="762"/>
        <v>470.35399999999998</v>
      </c>
      <c r="R1061" s="311">
        <f t="shared" si="762"/>
        <v>496.14499999999998</v>
      </c>
      <c r="S1061" s="311">
        <f t="shared" si="762"/>
        <v>522.93799999999999</v>
      </c>
      <c r="T1061" s="311">
        <f t="shared" si="762"/>
        <v>553.78399999999999</v>
      </c>
      <c r="U1061" s="311">
        <f t="shared" si="762"/>
        <v>589.50099999999998</v>
      </c>
      <c r="V1061" s="311">
        <f t="shared" ref="V1061" si="763">V1174</f>
        <v>623.40700000000004</v>
      </c>
      <c r="W1061" s="302" t="s">
        <v>915</v>
      </c>
      <c r="X1061" s="303"/>
    </row>
    <row r="1062" spans="1:26" outlineLevel="1">
      <c r="A1062" s="312"/>
      <c r="B1062" s="312"/>
      <c r="C1062" s="312"/>
      <c r="D1062" s="312" t="s">
        <v>892</v>
      </c>
      <c r="E1062" s="312"/>
      <c r="F1062" s="312"/>
      <c r="G1062" s="312"/>
      <c r="H1062" s="312"/>
      <c r="I1062" s="312"/>
      <c r="J1062" s="312"/>
      <c r="K1062" s="312"/>
      <c r="L1062" s="312"/>
      <c r="M1062" s="313">
        <f>M1061/L1061-1</f>
        <v>0.24470929015966747</v>
      </c>
      <c r="N1062" s="313">
        <f t="shared" ref="N1062" si="764">N1061/M1061-1</f>
        <v>-0.18616134083615254</v>
      </c>
      <c r="O1062" s="313">
        <f t="shared" ref="O1062" si="765">O1061/N1061-1</f>
        <v>9.0301197408825029E-2</v>
      </c>
      <c r="P1062" s="313">
        <f t="shared" ref="P1062" si="766">P1061/O1061-1</f>
        <v>9.5262829614712441E-2</v>
      </c>
      <c r="Q1062" s="313">
        <f t="shared" ref="Q1062" si="767">Q1061/P1061-1</f>
        <v>-8.5809023465363787E-2</v>
      </c>
      <c r="R1062" s="313">
        <f t="shared" ref="R1062" si="768">R1061/Q1061-1</f>
        <v>5.4833168209476257E-2</v>
      </c>
      <c r="S1062" s="313">
        <f t="shared" ref="S1062" si="769">S1061/R1061-1</f>
        <v>5.4002358181580057E-2</v>
      </c>
      <c r="T1062" s="313">
        <f t="shared" ref="T1062" si="770">T1061/S1061-1</f>
        <v>5.8985960094695811E-2</v>
      </c>
      <c r="U1062" s="313">
        <f t="shared" ref="U1062:V1062" si="771">U1061/T1061-1</f>
        <v>6.4496265692038701E-2</v>
      </c>
      <c r="V1062" s="313">
        <f t="shared" si="771"/>
        <v>5.7516441872023982E-2</v>
      </c>
      <c r="W1062" s="304">
        <f>CORREL(M1062:P1062,M$1059:P$1059)</f>
        <v>0.68530721604133993</v>
      </c>
      <c r="X1062" s="314"/>
    </row>
    <row r="1063" spans="1:26" ht="15.75" customHeight="1" outlineLevel="1">
      <c r="A1063" s="310"/>
      <c r="B1063" s="310"/>
      <c r="C1063" s="310"/>
      <c r="D1063" s="310" t="s">
        <v>936</v>
      </c>
      <c r="E1063" s="310">
        <f>W1064/W$1073</f>
        <v>0.25205828185885781</v>
      </c>
      <c r="F1063" s="310"/>
      <c r="G1063" s="310"/>
      <c r="H1063" s="310"/>
      <c r="I1063" s="310"/>
      <c r="J1063" s="310"/>
      <c r="K1063" s="310"/>
      <c r="L1063" s="329">
        <f>L1176</f>
        <v>268203.56</v>
      </c>
      <c r="M1063" s="329">
        <f t="shared" ref="M1063:U1063" si="772">M1176</f>
        <v>329640.87</v>
      </c>
      <c r="N1063" s="329">
        <f t="shared" si="772"/>
        <v>266283.2</v>
      </c>
      <c r="O1063" s="329">
        <f t="shared" si="772"/>
        <v>295763.96999999997</v>
      </c>
      <c r="P1063" s="329">
        <f t="shared" si="772"/>
        <v>306943.82</v>
      </c>
      <c r="Q1063" s="329">
        <f t="shared" si="772"/>
        <v>332356.61829999997</v>
      </c>
      <c r="R1063" s="329">
        <f t="shared" si="772"/>
        <v>352225.2107</v>
      </c>
      <c r="S1063" s="329">
        <f t="shared" si="772"/>
        <v>371576.09950000001</v>
      </c>
      <c r="T1063" s="329">
        <f t="shared" si="772"/>
        <v>386358.77990000002</v>
      </c>
      <c r="U1063" s="329">
        <f t="shared" si="772"/>
        <v>409235.93204273965</v>
      </c>
      <c r="V1063" s="329">
        <f t="shared" ref="V1063" si="773">V1176</f>
        <v>431088.18074672733</v>
      </c>
      <c r="W1063" s="304"/>
      <c r="X1063" s="315"/>
    </row>
    <row r="1064" spans="1:26" outlineLevel="1">
      <c r="A1064" s="312"/>
      <c r="B1064" s="312"/>
      <c r="C1064" s="312"/>
      <c r="D1064" s="312" t="s">
        <v>892</v>
      </c>
      <c r="E1064" s="312"/>
      <c r="F1064" s="312"/>
      <c r="G1064" s="312"/>
      <c r="H1064" s="312"/>
      <c r="I1064" s="312"/>
      <c r="J1064" s="312"/>
      <c r="K1064" s="312"/>
      <c r="L1064" s="312"/>
      <c r="M1064" s="316">
        <f>M1063/L1063-1</f>
        <v>0.22906970362362089</v>
      </c>
      <c r="N1064" s="316">
        <f t="shared" ref="N1064" si="774">N1063/M1063-1</f>
        <v>-0.19220210770587998</v>
      </c>
      <c r="O1064" s="316">
        <f t="shared" ref="O1064" si="775">O1063/N1063-1</f>
        <v>0.11071209148755901</v>
      </c>
      <c r="P1064" s="316">
        <f t="shared" ref="P1064" si="776">P1063/O1063-1</f>
        <v>3.7799905106764786E-2</v>
      </c>
      <c r="Q1064" s="316">
        <f t="shared" ref="Q1064" si="777">Q1063/P1063-1</f>
        <v>8.2792995473894848E-2</v>
      </c>
      <c r="R1064" s="316">
        <f t="shared" ref="R1064" si="778">R1063/Q1063-1</f>
        <v>5.9780944040253026E-2</v>
      </c>
      <c r="S1064" s="316">
        <f t="shared" ref="S1064" si="779">S1063/R1063-1</f>
        <v>5.4938965787096006E-2</v>
      </c>
      <c r="T1064" s="316">
        <f t="shared" ref="T1064" si="780">T1063/S1063-1</f>
        <v>3.9783722418885059E-2</v>
      </c>
      <c r="U1064" s="316">
        <f t="shared" ref="U1064:V1064" si="781">U1063/T1063-1</f>
        <v>5.9212196882547419E-2</v>
      </c>
      <c r="V1064" s="316">
        <f t="shared" si="781"/>
        <v>5.339767843676424E-2</v>
      </c>
      <c r="W1064" s="304">
        <f>CORREL(M1064:P1064,M$1059:P$1059)</f>
        <v>0.80511762379936047</v>
      </c>
      <c r="X1064" s="317"/>
    </row>
    <row r="1065" spans="1:26" ht="15.75" customHeight="1" outlineLevel="1">
      <c r="A1065" s="310"/>
      <c r="B1065" s="310"/>
      <c r="C1065" s="310"/>
      <c r="D1065" s="310" t="s">
        <v>916</v>
      </c>
      <c r="E1065" s="310">
        <f>W1066/W$1073</f>
        <v>0.13937009256413813</v>
      </c>
      <c r="F1065" s="310"/>
      <c r="G1065" s="310"/>
      <c r="H1065" s="310"/>
      <c r="I1065" s="310"/>
      <c r="J1065" s="310"/>
      <c r="K1065" s="310"/>
      <c r="L1065" s="329">
        <f>L1184</f>
        <v>105911</v>
      </c>
      <c r="M1065" s="329">
        <f t="shared" ref="M1065:U1065" si="782">M1184</f>
        <v>107942</v>
      </c>
      <c r="N1065" s="329">
        <f t="shared" si="782"/>
        <v>103397</v>
      </c>
      <c r="O1065" s="329">
        <f t="shared" si="782"/>
        <v>102162.46730120073</v>
      </c>
      <c r="P1065" s="329">
        <f t="shared" si="782"/>
        <v>102961.52808660103</v>
      </c>
      <c r="Q1065" s="329">
        <f t="shared" si="782"/>
        <v>104281.82642289056</v>
      </c>
      <c r="R1065" s="329">
        <f t="shared" si="782"/>
        <v>106092.99932640951</v>
      </c>
      <c r="S1065" s="329">
        <f t="shared" si="782"/>
        <v>107374.74549474263</v>
      </c>
      <c r="T1065" s="329">
        <f t="shared" si="782"/>
        <v>108052.42439100673</v>
      </c>
      <c r="U1065" s="329">
        <f t="shared" si="782"/>
        <v>109801.45941458517</v>
      </c>
      <c r="V1065" s="329">
        <f t="shared" ref="V1065" si="783">V1184</f>
        <v>111226.42626151063</v>
      </c>
      <c r="W1065" s="315"/>
      <c r="X1065" s="315"/>
    </row>
    <row r="1066" spans="1:26" outlineLevel="1">
      <c r="A1066" s="312"/>
      <c r="B1066" s="312"/>
      <c r="C1066" s="312"/>
      <c r="D1066" s="312" t="s">
        <v>892</v>
      </c>
      <c r="E1066" s="312"/>
      <c r="F1066" s="312"/>
      <c r="G1066" s="312"/>
      <c r="H1066" s="312"/>
      <c r="I1066" s="312"/>
      <c r="J1066" s="312"/>
      <c r="K1066" s="312"/>
      <c r="L1066" s="312"/>
      <c r="M1066" s="316">
        <f>M1065/L1065-1</f>
        <v>1.9176478363909233E-2</v>
      </c>
      <c r="N1066" s="316">
        <f t="shared" ref="N1066" si="784">N1065/M1065-1</f>
        <v>-4.2105945785699705E-2</v>
      </c>
      <c r="O1066" s="316">
        <f t="shared" ref="O1066" si="785">O1065/N1065-1</f>
        <v>-1.1939734216653064E-2</v>
      </c>
      <c r="P1066" s="316">
        <f t="shared" ref="P1066" si="786">P1065/O1065-1</f>
        <v>7.8214710990138769E-3</v>
      </c>
      <c r="Q1066" s="316">
        <f t="shared" ref="Q1066" si="787">Q1065/P1065-1</f>
        <v>1.2823220098083787E-2</v>
      </c>
      <c r="R1066" s="316">
        <f t="shared" ref="R1066" si="788">R1065/Q1065-1</f>
        <v>1.7368058900063321E-2</v>
      </c>
      <c r="S1066" s="316">
        <f t="shared" ref="S1066" si="789">S1065/R1065-1</f>
        <v>1.2081345390091647E-2</v>
      </c>
      <c r="T1066" s="316">
        <f t="shared" ref="T1066" si="790">T1065/S1065-1</f>
        <v>6.3113434461856688E-3</v>
      </c>
      <c r="U1066" s="316">
        <f t="shared" ref="U1066:V1066" si="791">U1065/T1065-1</f>
        <v>1.6186911431521844E-2</v>
      </c>
      <c r="V1066" s="316">
        <f t="shared" si="791"/>
        <v>1.2977667642331658E-2</v>
      </c>
      <c r="W1066" s="304">
        <f>CORREL(M1066:P1066,M$1059:P$1059)</f>
        <v>0.44517211228460402</v>
      </c>
      <c r="X1066" s="317"/>
    </row>
    <row r="1067" spans="1:26" ht="16.5" customHeight="1" outlineLevel="1">
      <c r="A1067" s="310"/>
      <c r="B1067" s="310"/>
      <c r="C1067" s="310"/>
      <c r="D1067" s="310" t="s">
        <v>973</v>
      </c>
      <c r="E1067" s="310">
        <f>W1068/W$1073</f>
        <v>0.18343947461823498</v>
      </c>
      <c r="F1067" s="310"/>
      <c r="G1067" s="310"/>
      <c r="H1067" s="310"/>
      <c r="I1067" s="310"/>
      <c r="J1067" s="310"/>
      <c r="K1067" s="310"/>
      <c r="L1067" s="311">
        <f>L1226</f>
        <v>0.59</v>
      </c>
      <c r="M1067" s="311">
        <f t="shared" ref="M1067:U1067" si="792">M1226</f>
        <v>0.64500000000000002</v>
      </c>
      <c r="N1067" s="311">
        <f t="shared" si="792"/>
        <v>0.65400000000000003</v>
      </c>
      <c r="O1067" s="311">
        <f t="shared" si="792"/>
        <v>0.68500000000000005</v>
      </c>
      <c r="P1067" s="311">
        <f t="shared" si="792"/>
        <v>0.72499999999999998</v>
      </c>
      <c r="Q1067" s="311">
        <f t="shared" si="792"/>
        <v>0.77400000000000002</v>
      </c>
      <c r="R1067" s="311">
        <f t="shared" si="792"/>
        <v>0.82599999999999996</v>
      </c>
      <c r="S1067" s="311">
        <f t="shared" si="792"/>
        <v>0.88400000000000001</v>
      </c>
      <c r="T1067" s="311">
        <f t="shared" si="792"/>
        <v>0.94199999999999995</v>
      </c>
      <c r="U1067" s="311">
        <f t="shared" si="792"/>
        <v>1.002</v>
      </c>
      <c r="V1067" s="311">
        <f t="shared" ref="V1067" si="793">V1226</f>
        <v>1.0688073008654175</v>
      </c>
      <c r="W1067" s="304"/>
      <c r="X1067" s="315"/>
    </row>
    <row r="1068" spans="1:26" outlineLevel="1">
      <c r="A1068" s="312"/>
      <c r="B1068" s="312"/>
      <c r="C1068" s="312"/>
      <c r="D1068" s="312" t="s">
        <v>892</v>
      </c>
      <c r="E1068" s="312"/>
      <c r="F1068" s="312"/>
      <c r="G1068" s="312"/>
      <c r="H1068" s="312"/>
      <c r="I1068" s="312"/>
      <c r="J1068" s="312"/>
      <c r="K1068" s="312"/>
      <c r="L1068" s="312"/>
      <c r="M1068" s="316">
        <f>M1067/L1067-1</f>
        <v>9.3220338983051043E-2</v>
      </c>
      <c r="N1068" s="316">
        <f t="shared" ref="N1068" si="794">N1067/M1067-1</f>
        <v>1.3953488372093092E-2</v>
      </c>
      <c r="O1068" s="316">
        <f t="shared" ref="O1068" si="795">O1067/N1067-1</f>
        <v>4.740061162079523E-2</v>
      </c>
      <c r="P1068" s="316">
        <f t="shared" ref="P1068" si="796">P1067/O1067-1</f>
        <v>5.8394160583941535E-2</v>
      </c>
      <c r="Q1068" s="316">
        <f t="shared" ref="Q1068" si="797">Q1067/P1067-1</f>
        <v>6.7586206896551815E-2</v>
      </c>
      <c r="R1068" s="316">
        <f t="shared" ref="R1068" si="798">R1067/Q1067-1</f>
        <v>6.7183462532299565E-2</v>
      </c>
      <c r="S1068" s="316">
        <f t="shared" ref="S1068" si="799">S1067/R1067-1</f>
        <v>7.0217917675544861E-2</v>
      </c>
      <c r="T1068" s="316">
        <f t="shared" ref="T1068" si="800">T1067/S1067-1</f>
        <v>6.5610859728506776E-2</v>
      </c>
      <c r="U1068" s="316">
        <f t="shared" ref="U1068:V1068" si="801">U1067/T1067-1</f>
        <v>6.3694267515923553E-2</v>
      </c>
      <c r="V1068" s="316">
        <f t="shared" si="801"/>
        <v>6.6673952959498628E-2</v>
      </c>
      <c r="W1068" s="304">
        <f>CORREL(M1068:P1068,M$1059:P$1059)</f>
        <v>0.58593731904566793</v>
      </c>
      <c r="X1068" s="317"/>
    </row>
    <row r="1069" spans="1:26" ht="14.25" customHeight="1" outlineLevel="1">
      <c r="A1069" s="310"/>
      <c r="B1069" s="310"/>
      <c r="C1069" s="310"/>
      <c r="D1069" s="310" t="s">
        <v>974</v>
      </c>
      <c r="E1069" s="310">
        <f>W1070/W$1073</f>
        <v>6.146905259206735E-2</v>
      </c>
      <c r="F1069" s="310"/>
      <c r="G1069" s="310"/>
      <c r="H1069" s="310"/>
      <c r="I1069" s="310"/>
      <c r="J1069" s="310"/>
      <c r="K1069" s="310"/>
      <c r="L1069" s="311">
        <f>L1230</f>
        <v>42.238999999999997</v>
      </c>
      <c r="M1069" s="311">
        <f t="shared" ref="M1069:U1069" si="802">M1230</f>
        <v>43.555</v>
      </c>
      <c r="N1069" s="311">
        <f t="shared" si="802"/>
        <v>43.173000000000002</v>
      </c>
      <c r="O1069" s="311">
        <f t="shared" si="802"/>
        <v>45.320999999999998</v>
      </c>
      <c r="P1069" s="311">
        <f t="shared" si="802"/>
        <v>48.622</v>
      </c>
      <c r="Q1069" s="311">
        <f t="shared" si="802"/>
        <v>51.83</v>
      </c>
      <c r="R1069" s="311">
        <f t="shared" si="802"/>
        <v>55.347000000000001</v>
      </c>
      <c r="S1069" s="311">
        <f t="shared" si="802"/>
        <v>59.103000000000002</v>
      </c>
      <c r="T1069" s="311">
        <f t="shared" si="802"/>
        <v>63.215000000000003</v>
      </c>
      <c r="U1069" s="311">
        <f t="shared" si="802"/>
        <v>67.447999999999993</v>
      </c>
      <c r="V1069" s="311">
        <f t="shared" ref="V1069" si="803">V1230</f>
        <v>72.038729219651302</v>
      </c>
      <c r="W1069" s="304"/>
      <c r="X1069" s="315"/>
    </row>
    <row r="1070" spans="1:26" outlineLevel="1">
      <c r="A1070" s="312"/>
      <c r="B1070" s="312"/>
      <c r="C1070" s="312"/>
      <c r="D1070" s="312" t="s">
        <v>892</v>
      </c>
      <c r="E1070" s="312"/>
      <c r="F1070" s="312"/>
      <c r="G1070" s="312"/>
      <c r="H1070" s="312"/>
      <c r="I1070" s="312"/>
      <c r="J1070" s="312"/>
      <c r="K1070" s="312"/>
      <c r="L1070" s="312"/>
      <c r="M1070" s="316">
        <f t="shared" ref="M1070" si="804">M1069/L1069-1</f>
        <v>3.1156040625961889E-2</v>
      </c>
      <c r="N1070" s="316">
        <f t="shared" ref="N1070" si="805">N1069/M1069-1</f>
        <v>-8.7705200321431809E-3</v>
      </c>
      <c r="O1070" s="316">
        <f t="shared" ref="O1070" si="806">O1069/N1069-1</f>
        <v>4.9753318046000805E-2</v>
      </c>
      <c r="P1070" s="316">
        <f t="shared" ref="P1070" si="807">P1069/O1069-1</f>
        <v>7.2835992144921757E-2</v>
      </c>
      <c r="Q1070" s="316">
        <f t="shared" ref="Q1070" si="808">Q1069/P1069-1</f>
        <v>6.5978363703673271E-2</v>
      </c>
      <c r="R1070" s="316">
        <f t="shared" ref="R1070" si="809">R1069/Q1069-1</f>
        <v>6.7856453791240723E-2</v>
      </c>
      <c r="S1070" s="316">
        <f t="shared" ref="S1070" si="810">S1069/R1069-1</f>
        <v>6.786275678898579E-2</v>
      </c>
      <c r="T1070" s="316">
        <f t="shared" ref="T1070" si="811">T1069/S1069-1</f>
        <v>6.9573456508129849E-2</v>
      </c>
      <c r="U1070" s="316">
        <f t="shared" ref="U1070:V1070" si="812">U1069/T1069-1</f>
        <v>6.6961955232144099E-2</v>
      </c>
      <c r="V1070" s="316">
        <f t="shared" si="812"/>
        <v>6.8063237155309375E-2</v>
      </c>
      <c r="W1070" s="304">
        <f>CORREL(M1070:P1070,M$1059:P$1059)</f>
        <v>0.19634275531496098</v>
      </c>
      <c r="X1070" s="317"/>
    </row>
    <row r="1071" spans="1:26" ht="12" customHeight="1" outlineLevel="1">
      <c r="A1071" s="310"/>
      <c r="B1071" s="310"/>
      <c r="C1071" s="310"/>
      <c r="D1071" s="310" t="s">
        <v>975</v>
      </c>
      <c r="E1071" s="310">
        <f>W1072/W$1073</f>
        <v>0.14911387684338273</v>
      </c>
      <c r="F1071" s="310"/>
      <c r="G1071" s="310"/>
      <c r="H1071" s="310"/>
      <c r="I1071" s="310"/>
      <c r="J1071" s="310"/>
      <c r="K1071" s="310"/>
      <c r="L1071" s="311">
        <f>L1228</f>
        <v>5.0780000000000003</v>
      </c>
      <c r="M1071" s="311">
        <f t="shared" ref="M1071:U1071" si="813">M1228</f>
        <v>5.8719999999999999</v>
      </c>
      <c r="N1071" s="311">
        <f t="shared" si="813"/>
        <v>5.165</v>
      </c>
      <c r="O1071" s="311">
        <f t="shared" si="813"/>
        <v>5.2240000000000002</v>
      </c>
      <c r="P1071" s="311">
        <f t="shared" si="813"/>
        <v>5.694</v>
      </c>
      <c r="Q1071" s="311">
        <f t="shared" si="813"/>
        <v>6.1360000000000001</v>
      </c>
      <c r="R1071" s="311">
        <f t="shared" si="813"/>
        <v>6.6070000000000002</v>
      </c>
      <c r="S1071" s="311">
        <f t="shared" si="813"/>
        <v>7.1150000000000002</v>
      </c>
      <c r="T1071" s="311">
        <f t="shared" si="813"/>
        <v>7.6230000000000002</v>
      </c>
      <c r="U1071" s="311">
        <f t="shared" si="813"/>
        <v>8.1270000000000007</v>
      </c>
      <c r="V1071" s="311">
        <f t="shared" ref="V1071" si="814">V1228</f>
        <v>8.7184942799874428</v>
      </c>
      <c r="W1071" s="304"/>
      <c r="X1071" s="315"/>
    </row>
    <row r="1072" spans="1:26" outlineLevel="1">
      <c r="A1072" s="312"/>
      <c r="B1072" s="312"/>
      <c r="C1072" s="312"/>
      <c r="D1072" s="312" t="s">
        <v>892</v>
      </c>
      <c r="E1072" s="312"/>
      <c r="F1072" s="312"/>
      <c r="G1072" s="312"/>
      <c r="H1072" s="312"/>
      <c r="I1072" s="312"/>
      <c r="J1072" s="312"/>
      <c r="K1072" s="312"/>
      <c r="L1072" s="312"/>
      <c r="M1072" s="316">
        <f t="shared" ref="M1072" si="815">M1071/L1071-1</f>
        <v>0.15636077195746356</v>
      </c>
      <c r="N1072" s="316">
        <f t="shared" ref="N1072" si="816">N1071/M1071-1</f>
        <v>-0.12040190735694822</v>
      </c>
      <c r="O1072" s="316">
        <f t="shared" ref="O1072" si="817">O1071/N1071-1</f>
        <v>1.1423039690222625E-2</v>
      </c>
      <c r="P1072" s="316">
        <f t="shared" ref="P1072" si="818">P1071/O1071-1</f>
        <v>8.9969372128636982E-2</v>
      </c>
      <c r="Q1072" s="316">
        <f t="shared" ref="Q1072" si="819">Q1071/P1071-1</f>
        <v>7.7625570776255648E-2</v>
      </c>
      <c r="R1072" s="316">
        <f t="shared" ref="R1072" si="820">R1071/Q1071-1</f>
        <v>7.6760104302477261E-2</v>
      </c>
      <c r="S1072" s="316">
        <f t="shared" ref="S1072" si="821">S1071/R1071-1</f>
        <v>7.6888148932949818E-2</v>
      </c>
      <c r="T1072" s="316">
        <f t="shared" ref="T1072" si="822">T1071/S1071-1</f>
        <v>7.1398453970484832E-2</v>
      </c>
      <c r="U1072" s="316">
        <f t="shared" ref="U1072:V1072" si="823">U1071/T1071-1</f>
        <v>6.6115702479338845E-2</v>
      </c>
      <c r="V1072" s="316">
        <f t="shared" si="823"/>
        <v>7.278138058169592E-2</v>
      </c>
      <c r="W1072" s="304">
        <f>CORREL(M1072:P1072,M$1059:P$1059)</f>
        <v>0.47629543974627331</v>
      </c>
      <c r="X1072" s="317"/>
    </row>
    <row r="1073" spans="1:26" outlineLevel="1">
      <c r="A1073" s="116"/>
      <c r="B1073" s="318"/>
      <c r="C1073" s="310"/>
      <c r="D1073" s="319" t="s">
        <v>919</v>
      </c>
      <c r="E1073" s="319">
        <f>E1061+E1063+E1065+E1067+E1069+E1071</f>
        <v>1</v>
      </c>
      <c r="F1073" s="310"/>
      <c r="G1073" s="310"/>
      <c r="H1073" s="310"/>
      <c r="I1073" s="310"/>
      <c r="J1073" s="310"/>
      <c r="K1073" s="310"/>
      <c r="L1073" s="310"/>
      <c r="M1073" s="310"/>
      <c r="N1073" s="310"/>
      <c r="O1073" s="310"/>
      <c r="P1073" s="310"/>
      <c r="Q1073" s="310"/>
      <c r="R1073" s="310"/>
      <c r="S1073" s="310"/>
      <c r="T1073" s="310"/>
      <c r="U1073" s="310"/>
      <c r="V1073" s="310"/>
      <c r="W1073" s="320">
        <f>SUM(W1062:W1072)</f>
        <v>3.1941724662322066</v>
      </c>
      <c r="X1073" s="315"/>
    </row>
    <row r="1074" spans="1:26">
      <c r="A1074" s="46" t="str">
        <f>'Secondary cum Calculation'!A946</f>
        <v>Poland</v>
      </c>
      <c r="B1074" s="47" t="str">
        <f>'Secondary cum Calculation'!B946</f>
        <v>Tourism Flows</v>
      </c>
      <c r="C1074" s="47" t="str">
        <f>'Secondary cum Calculation'!C946</f>
        <v>International Departures by Destination</v>
      </c>
      <c r="D1074" s="47" t="str">
        <f>'Secondary cum Calculation'!D946</f>
        <v>South &amp; Central America</v>
      </c>
      <c r="E1074" s="46" t="str">
        <f>'Secondary cum Calculation'!E946</f>
        <v>Argentina</v>
      </c>
      <c r="F1074" s="48" t="str">
        <f>'Secondary cum Calculation'!F946</f>
        <v>The number of international departures from a country to Argentina</v>
      </c>
      <c r="G1074" s="48" t="str">
        <f>'Secondary cum Calculation'!G946</f>
        <v>Tourism Demand &amp; Flows Database</v>
      </c>
      <c r="H1074" s="48" t="str">
        <f>'Secondary cum Calculation'!H946</f>
        <v>New</v>
      </c>
      <c r="I1074" s="48">
        <f>'Secondary cum Calculation'!I946</f>
        <v>0</v>
      </c>
      <c r="J1074" s="48" t="str">
        <f>'Secondary cum Calculation'!J946</f>
        <v>Thousand</v>
      </c>
      <c r="K1074" s="49">
        <f>'Secondary cum Calculation'!K946</f>
        <v>0</v>
      </c>
      <c r="L1074" s="92">
        <f>'Secondary cum Calculation'!L946</f>
        <v>0</v>
      </c>
      <c r="M1074" s="92">
        <f>'Secondary cum Calculation'!M946</f>
        <v>0</v>
      </c>
      <c r="N1074" s="92">
        <f>'Secondary cum Calculation'!N946</f>
        <v>0</v>
      </c>
      <c r="O1074" s="53">
        <f>'Secondary cum Calculation'!O946</f>
        <v>0</v>
      </c>
      <c r="P1074" s="53">
        <f>'Secondary cum Calculation'!P946</f>
        <v>0</v>
      </c>
      <c r="Q1074" s="53"/>
      <c r="R1074" s="53"/>
      <c r="S1074" s="53"/>
      <c r="T1074" s="53"/>
      <c r="U1074" s="53"/>
      <c r="V1074" s="53"/>
      <c r="W1074" s="102" t="e">
        <f>'Secondary cum Calculation'!W946</f>
        <v>#DIV/0!</v>
      </c>
      <c r="X1074" s="102" t="e">
        <f>'Secondary cum Calculation'!X946</f>
        <v>#DIV/0!</v>
      </c>
      <c r="Z1074" s="11"/>
    </row>
    <row r="1075" spans="1:26">
      <c r="A1075" s="48"/>
      <c r="B1075" s="48"/>
      <c r="C1075" s="52" t="str">
        <f>'Secondary cum Calculation'!C947</f>
        <v>Growth Rate</v>
      </c>
      <c r="D1075" s="52"/>
      <c r="E1075" s="52"/>
      <c r="F1075" s="52">
        <f>'Secondary cum Calculation'!F947</f>
        <v>0</v>
      </c>
      <c r="G1075" s="52">
        <f>'Secondary cum Calculation'!G947</f>
        <v>0</v>
      </c>
      <c r="H1075" s="52">
        <f>'Secondary cum Calculation'!H947</f>
        <v>0</v>
      </c>
      <c r="I1075" s="52">
        <f>'Secondary cum Calculation'!I947</f>
        <v>0</v>
      </c>
      <c r="J1075" s="52" t="str">
        <f>'Secondary cum Calculation'!J947</f>
        <v>%</v>
      </c>
      <c r="K1075" s="49">
        <f>'Secondary cum Calculation'!K947</f>
        <v>0</v>
      </c>
      <c r="L1075" s="53"/>
      <c r="M1075" s="54" t="e">
        <f>'Secondary cum Calculation'!M947</f>
        <v>#DIV/0!</v>
      </c>
      <c r="N1075" s="54" t="e">
        <f>'Secondary cum Calculation'!N947</f>
        <v>#DIV/0!</v>
      </c>
      <c r="O1075" s="54" t="e">
        <f>'Secondary cum Calculation'!O947</f>
        <v>#DIV/0!</v>
      </c>
      <c r="P1075" s="54" t="e">
        <f>'Secondary cum Calculation'!P947</f>
        <v>#DIV/0!</v>
      </c>
      <c r="Q1075" s="54"/>
      <c r="R1075" s="54"/>
      <c r="S1075" s="54"/>
      <c r="T1075" s="54"/>
      <c r="U1075" s="54"/>
      <c r="V1075" s="54"/>
      <c r="W1075" s="258"/>
      <c r="X1075" s="258"/>
    </row>
    <row r="1076" spans="1:26">
      <c r="A1076" s="46" t="str">
        <f>'Secondary cum Calculation'!A948</f>
        <v>Poland</v>
      </c>
      <c r="B1076" s="47" t="str">
        <f>'Secondary cum Calculation'!B948</f>
        <v>Tourism Flows</v>
      </c>
      <c r="C1076" s="47" t="str">
        <f>'Secondary cum Calculation'!C948</f>
        <v>International Departures by Destination</v>
      </c>
      <c r="D1076" s="47" t="str">
        <f>'Secondary cum Calculation'!D948</f>
        <v>South &amp; Central America</v>
      </c>
      <c r="E1076" s="46" t="str">
        <f>'Secondary cum Calculation'!E948</f>
        <v>Aruba</v>
      </c>
      <c r="F1076" s="48" t="str">
        <f>'Secondary cum Calculation'!F948</f>
        <v>The number of international departures from a country to Aruba</v>
      </c>
      <c r="G1076" s="48" t="str">
        <f>'Secondary cum Calculation'!G948</f>
        <v>Tourism Demand &amp; Flows Database</v>
      </c>
      <c r="H1076" s="48" t="str">
        <f>'Secondary cum Calculation'!H948</f>
        <v>New</v>
      </c>
      <c r="I1076" s="48">
        <f>'Secondary cum Calculation'!I948</f>
        <v>0</v>
      </c>
      <c r="J1076" s="48" t="str">
        <f>'Secondary cum Calculation'!J948</f>
        <v>Thousand</v>
      </c>
      <c r="K1076" s="49">
        <f>'Secondary cum Calculation'!K948</f>
        <v>0</v>
      </c>
      <c r="L1076" s="53">
        <f>'Secondary cum Calculation'!L948</f>
        <v>0</v>
      </c>
      <c r="M1076" s="53">
        <f>'Secondary cum Calculation'!M948</f>
        <v>0</v>
      </c>
      <c r="N1076" s="53">
        <f>'Secondary cum Calculation'!N948</f>
        <v>0</v>
      </c>
      <c r="O1076" s="53">
        <f>'Secondary cum Calculation'!O948</f>
        <v>0</v>
      </c>
      <c r="P1076" s="53">
        <f>'Secondary cum Calculation'!P948</f>
        <v>0</v>
      </c>
      <c r="Q1076" s="53"/>
      <c r="R1076" s="53"/>
      <c r="S1076" s="53"/>
      <c r="T1076" s="53"/>
      <c r="U1076" s="53"/>
      <c r="V1076" s="53"/>
      <c r="W1076" s="102" t="e">
        <f>'Secondary cum Calculation'!W948</f>
        <v>#DIV/0!</v>
      </c>
      <c r="X1076" s="102" t="e">
        <f>'Secondary cum Calculation'!X948</f>
        <v>#DIV/0!</v>
      </c>
      <c r="Z1076" s="11"/>
    </row>
    <row r="1077" spans="1:26">
      <c r="A1077" s="48"/>
      <c r="B1077" s="48"/>
      <c r="C1077" s="52" t="str">
        <f>'Secondary cum Calculation'!C949</f>
        <v>Growth Rate</v>
      </c>
      <c r="D1077" s="52"/>
      <c r="E1077" s="52"/>
      <c r="F1077" s="52">
        <f>'Secondary cum Calculation'!F949</f>
        <v>0</v>
      </c>
      <c r="G1077" s="52">
        <f>'Secondary cum Calculation'!G949</f>
        <v>0</v>
      </c>
      <c r="H1077" s="52">
        <f>'Secondary cum Calculation'!H949</f>
        <v>0</v>
      </c>
      <c r="I1077" s="52">
        <f>'Secondary cum Calculation'!I949</f>
        <v>0</v>
      </c>
      <c r="J1077" s="52" t="str">
        <f>'Secondary cum Calculation'!J949</f>
        <v>%</v>
      </c>
      <c r="K1077" s="49">
        <f>'Secondary cum Calculation'!K949</f>
        <v>0</v>
      </c>
      <c r="L1077" s="53"/>
      <c r="M1077" s="54" t="e">
        <f>'Secondary cum Calculation'!M949</f>
        <v>#DIV/0!</v>
      </c>
      <c r="N1077" s="54" t="e">
        <f>'Secondary cum Calculation'!N949</f>
        <v>#DIV/0!</v>
      </c>
      <c r="O1077" s="54" t="e">
        <f>'Secondary cum Calculation'!O949</f>
        <v>#DIV/0!</v>
      </c>
      <c r="P1077" s="54" t="e">
        <f>'Secondary cum Calculation'!P949</f>
        <v>#DIV/0!</v>
      </c>
      <c r="Q1077" s="54"/>
      <c r="R1077" s="54"/>
      <c r="S1077" s="54"/>
      <c r="T1077" s="54"/>
      <c r="U1077" s="54"/>
      <c r="V1077" s="54"/>
      <c r="W1077" s="258"/>
      <c r="X1077" s="258"/>
    </row>
    <row r="1078" spans="1:26">
      <c r="A1078" s="46" t="str">
        <f>'Secondary cum Calculation'!A950</f>
        <v>Poland</v>
      </c>
      <c r="B1078" s="47" t="str">
        <f>'Secondary cum Calculation'!B950</f>
        <v>Tourism Flows</v>
      </c>
      <c r="C1078" s="47" t="str">
        <f>'Secondary cum Calculation'!C950</f>
        <v>International Departures by Destination</v>
      </c>
      <c r="D1078" s="47" t="str">
        <f>'Secondary cum Calculation'!D950</f>
        <v>South &amp; Central America</v>
      </c>
      <c r="E1078" s="46" t="str">
        <f>'Secondary cum Calculation'!E950</f>
        <v>Bahamas</v>
      </c>
      <c r="F1078" s="48" t="str">
        <f>'Secondary cum Calculation'!F950</f>
        <v>The number of international departures from a country to Bahamas</v>
      </c>
      <c r="G1078" s="48" t="str">
        <f>'Secondary cum Calculation'!G950</f>
        <v>Tourism Demand &amp; Flows Database</v>
      </c>
      <c r="H1078" s="48" t="str">
        <f>'Secondary cum Calculation'!H950</f>
        <v>New</v>
      </c>
      <c r="I1078" s="48">
        <f>'Secondary cum Calculation'!I950</f>
        <v>0</v>
      </c>
      <c r="J1078" s="48" t="str">
        <f>'Secondary cum Calculation'!J950</f>
        <v>Thousand</v>
      </c>
      <c r="K1078" s="49">
        <f>'Secondary cum Calculation'!K950</f>
        <v>0</v>
      </c>
      <c r="L1078" s="92">
        <f>'Secondary cum Calculation'!L950</f>
        <v>0</v>
      </c>
      <c r="M1078" s="92">
        <f>'Secondary cum Calculation'!M950</f>
        <v>0</v>
      </c>
      <c r="N1078" s="92">
        <f>'Secondary cum Calculation'!N950</f>
        <v>0</v>
      </c>
      <c r="O1078" s="53">
        <f>'Secondary cum Calculation'!O950</f>
        <v>0</v>
      </c>
      <c r="P1078" s="53">
        <f>'Secondary cum Calculation'!P950</f>
        <v>0</v>
      </c>
      <c r="Q1078" s="53"/>
      <c r="R1078" s="53"/>
      <c r="S1078" s="53"/>
      <c r="T1078" s="53"/>
      <c r="U1078" s="53"/>
      <c r="V1078" s="53"/>
      <c r="W1078" s="102" t="e">
        <f>'Secondary cum Calculation'!W950</f>
        <v>#DIV/0!</v>
      </c>
      <c r="X1078" s="102" t="e">
        <f>'Secondary cum Calculation'!X950</f>
        <v>#DIV/0!</v>
      </c>
      <c r="Z1078" s="11"/>
    </row>
    <row r="1079" spans="1:26">
      <c r="A1079" s="48"/>
      <c r="B1079" s="48"/>
      <c r="C1079" s="52" t="str">
        <f>'Secondary cum Calculation'!C951</f>
        <v>Growth Rate</v>
      </c>
      <c r="D1079" s="52"/>
      <c r="E1079" s="52"/>
      <c r="F1079" s="52">
        <f>'Secondary cum Calculation'!F951</f>
        <v>0</v>
      </c>
      <c r="G1079" s="52">
        <f>'Secondary cum Calculation'!G951</f>
        <v>0</v>
      </c>
      <c r="H1079" s="52">
        <f>'Secondary cum Calculation'!H951</f>
        <v>0</v>
      </c>
      <c r="I1079" s="52">
        <f>'Secondary cum Calculation'!I951</f>
        <v>0</v>
      </c>
      <c r="J1079" s="52" t="str">
        <f>'Secondary cum Calculation'!J951</f>
        <v>%</v>
      </c>
      <c r="K1079" s="49">
        <f>'Secondary cum Calculation'!K951</f>
        <v>0</v>
      </c>
      <c r="L1079" s="53"/>
      <c r="M1079" s="54" t="e">
        <f>'Secondary cum Calculation'!M951</f>
        <v>#DIV/0!</v>
      </c>
      <c r="N1079" s="54" t="e">
        <f>'Secondary cum Calculation'!N951</f>
        <v>#DIV/0!</v>
      </c>
      <c r="O1079" s="54" t="e">
        <f>'Secondary cum Calculation'!O951</f>
        <v>#DIV/0!</v>
      </c>
      <c r="P1079" s="54" t="e">
        <f>'Secondary cum Calculation'!P951</f>
        <v>#DIV/0!</v>
      </c>
      <c r="Q1079" s="54"/>
      <c r="R1079" s="54"/>
      <c r="S1079" s="54"/>
      <c r="T1079" s="54"/>
      <c r="U1079" s="54"/>
      <c r="V1079" s="54"/>
      <c r="W1079" s="258"/>
      <c r="X1079" s="258"/>
    </row>
    <row r="1080" spans="1:26">
      <c r="A1080" s="46" t="str">
        <f>'Secondary cum Calculation'!A952</f>
        <v>Poland</v>
      </c>
      <c r="B1080" s="47" t="str">
        <f>'Secondary cum Calculation'!B952</f>
        <v>Tourism Flows</v>
      </c>
      <c r="C1080" s="47" t="str">
        <f>'Secondary cum Calculation'!C952</f>
        <v>International Departures by Destination</v>
      </c>
      <c r="D1080" s="47" t="str">
        <f>'Secondary cum Calculation'!D952</f>
        <v>South &amp; Central America</v>
      </c>
      <c r="E1080" s="46" t="str">
        <f>'Secondary cum Calculation'!E952</f>
        <v>Barbados</v>
      </c>
      <c r="F1080" s="48" t="str">
        <f>'Secondary cum Calculation'!F952</f>
        <v>The number of international departures from a country to Barbados</v>
      </c>
      <c r="G1080" s="48" t="str">
        <f>'Secondary cum Calculation'!G952</f>
        <v>Tourism Demand &amp; Flows Database</v>
      </c>
      <c r="H1080" s="48" t="str">
        <f>'Secondary cum Calculation'!H952</f>
        <v>New</v>
      </c>
      <c r="I1080" s="48">
        <f>'Secondary cum Calculation'!I952</f>
        <v>0</v>
      </c>
      <c r="J1080" s="48" t="str">
        <f>'Secondary cum Calculation'!J952</f>
        <v>Thousand</v>
      </c>
      <c r="K1080" s="49">
        <f>'Secondary cum Calculation'!K952</f>
        <v>0</v>
      </c>
      <c r="L1080" s="92">
        <f>'Secondary cum Calculation'!L952</f>
        <v>0</v>
      </c>
      <c r="M1080" s="92">
        <f>'Secondary cum Calculation'!M952</f>
        <v>0</v>
      </c>
      <c r="N1080" s="92">
        <f>'Secondary cum Calculation'!N952</f>
        <v>0</v>
      </c>
      <c r="O1080" s="53">
        <f>'Secondary cum Calculation'!O952</f>
        <v>0</v>
      </c>
      <c r="P1080" s="53">
        <f>'Secondary cum Calculation'!P952</f>
        <v>0</v>
      </c>
      <c r="Q1080" s="53"/>
      <c r="R1080" s="53"/>
      <c r="S1080" s="53"/>
      <c r="T1080" s="53"/>
      <c r="U1080" s="53"/>
      <c r="V1080" s="53"/>
      <c r="W1080" s="102" t="e">
        <f>'Secondary cum Calculation'!W952</f>
        <v>#DIV/0!</v>
      </c>
      <c r="X1080" s="102" t="e">
        <f>'Secondary cum Calculation'!X952</f>
        <v>#DIV/0!</v>
      </c>
      <c r="Z1080" s="11"/>
    </row>
    <row r="1081" spans="1:26">
      <c r="A1081" s="48"/>
      <c r="B1081" s="48"/>
      <c r="C1081" s="52" t="str">
        <f>'Secondary cum Calculation'!C953</f>
        <v>Growth Rate</v>
      </c>
      <c r="D1081" s="52"/>
      <c r="E1081" s="52"/>
      <c r="F1081" s="52">
        <f>'Secondary cum Calculation'!F953</f>
        <v>0</v>
      </c>
      <c r="G1081" s="52">
        <f>'Secondary cum Calculation'!G953</f>
        <v>0</v>
      </c>
      <c r="H1081" s="52">
        <f>'Secondary cum Calculation'!H953</f>
        <v>0</v>
      </c>
      <c r="I1081" s="52">
        <f>'Secondary cum Calculation'!I953</f>
        <v>0</v>
      </c>
      <c r="J1081" s="52" t="str">
        <f>'Secondary cum Calculation'!J953</f>
        <v>%</v>
      </c>
      <c r="K1081" s="49">
        <f>'Secondary cum Calculation'!K953</f>
        <v>0</v>
      </c>
      <c r="L1081" s="53"/>
      <c r="M1081" s="54" t="e">
        <f>'Secondary cum Calculation'!M953</f>
        <v>#DIV/0!</v>
      </c>
      <c r="N1081" s="54" t="e">
        <f>'Secondary cum Calculation'!N953</f>
        <v>#DIV/0!</v>
      </c>
      <c r="O1081" s="54" t="e">
        <f>'Secondary cum Calculation'!O953</f>
        <v>#DIV/0!</v>
      </c>
      <c r="P1081" s="54" t="e">
        <f>'Secondary cum Calculation'!P953</f>
        <v>#DIV/0!</v>
      </c>
      <c r="Q1081" s="54"/>
      <c r="R1081" s="54"/>
      <c r="S1081" s="54"/>
      <c r="T1081" s="54"/>
      <c r="U1081" s="54"/>
      <c r="V1081" s="54"/>
      <c r="W1081" s="258"/>
      <c r="X1081" s="258"/>
    </row>
    <row r="1082" spans="1:26">
      <c r="A1082" s="46" t="str">
        <f>'Secondary cum Calculation'!A954</f>
        <v>Poland</v>
      </c>
      <c r="B1082" s="47" t="str">
        <f>'Secondary cum Calculation'!B954</f>
        <v>Tourism Flows</v>
      </c>
      <c r="C1082" s="47" t="str">
        <f>'Secondary cum Calculation'!C954</f>
        <v>International Departures by Destination</v>
      </c>
      <c r="D1082" s="47" t="str">
        <f>'Secondary cum Calculation'!D954</f>
        <v>South &amp; Central America</v>
      </c>
      <c r="E1082" s="46" t="str">
        <f>'Secondary cum Calculation'!E954</f>
        <v>Belize</v>
      </c>
      <c r="F1082" s="48" t="str">
        <f>'Secondary cum Calculation'!F954</f>
        <v>The number of international departures from a country to Belize</v>
      </c>
      <c r="G1082" s="48" t="str">
        <f>'Secondary cum Calculation'!G954</f>
        <v>Tourism Demand &amp; Flows Database</v>
      </c>
      <c r="H1082" s="48" t="str">
        <f>'Secondary cum Calculation'!H954</f>
        <v>New</v>
      </c>
      <c r="I1082" s="48">
        <f>'Secondary cum Calculation'!I954</f>
        <v>0</v>
      </c>
      <c r="J1082" s="48" t="str">
        <f>'Secondary cum Calculation'!J954</f>
        <v>Thousand</v>
      </c>
      <c r="K1082" s="49">
        <f>'Secondary cum Calculation'!K954</f>
        <v>0</v>
      </c>
      <c r="L1082" s="92">
        <f>'Secondary cum Calculation'!L954</f>
        <v>0</v>
      </c>
      <c r="M1082" s="92">
        <f>'Secondary cum Calculation'!M954</f>
        <v>0</v>
      </c>
      <c r="N1082" s="92">
        <f>'Secondary cum Calculation'!N954</f>
        <v>0</v>
      </c>
      <c r="O1082" s="53">
        <f>'Secondary cum Calculation'!O954</f>
        <v>0</v>
      </c>
      <c r="P1082" s="53">
        <f>'Secondary cum Calculation'!P954</f>
        <v>0</v>
      </c>
      <c r="Q1082" s="53"/>
      <c r="R1082" s="53"/>
      <c r="S1082" s="53"/>
      <c r="T1082" s="53"/>
      <c r="U1082" s="53"/>
      <c r="V1082" s="53"/>
      <c r="W1082" s="102" t="e">
        <f>'Secondary cum Calculation'!W954</f>
        <v>#DIV/0!</v>
      </c>
      <c r="X1082" s="102" t="e">
        <f>'Secondary cum Calculation'!X954</f>
        <v>#DIV/0!</v>
      </c>
      <c r="Z1082" s="11"/>
    </row>
    <row r="1083" spans="1:26">
      <c r="A1083" s="48"/>
      <c r="B1083" s="48"/>
      <c r="C1083" s="52" t="str">
        <f>'Secondary cum Calculation'!C955</f>
        <v>Growth Rate</v>
      </c>
      <c r="D1083" s="52"/>
      <c r="E1083" s="52"/>
      <c r="F1083" s="52">
        <f>'Secondary cum Calculation'!F955</f>
        <v>0</v>
      </c>
      <c r="G1083" s="52">
        <f>'Secondary cum Calculation'!G955</f>
        <v>0</v>
      </c>
      <c r="H1083" s="52">
        <f>'Secondary cum Calculation'!H955</f>
        <v>0</v>
      </c>
      <c r="I1083" s="52">
        <f>'Secondary cum Calculation'!I955</f>
        <v>0</v>
      </c>
      <c r="J1083" s="52" t="str">
        <f>'Secondary cum Calculation'!J955</f>
        <v>%</v>
      </c>
      <c r="K1083" s="49">
        <f>'Secondary cum Calculation'!K955</f>
        <v>0</v>
      </c>
      <c r="L1083" s="53"/>
      <c r="M1083" s="54" t="e">
        <f>'Secondary cum Calculation'!M955</f>
        <v>#DIV/0!</v>
      </c>
      <c r="N1083" s="54" t="e">
        <f>'Secondary cum Calculation'!N955</f>
        <v>#DIV/0!</v>
      </c>
      <c r="O1083" s="54" t="e">
        <f>'Secondary cum Calculation'!O955</f>
        <v>#DIV/0!</v>
      </c>
      <c r="P1083" s="54" t="e">
        <f>'Secondary cum Calculation'!P955</f>
        <v>#DIV/0!</v>
      </c>
      <c r="Q1083" s="54"/>
      <c r="R1083" s="54"/>
      <c r="S1083" s="54"/>
      <c r="T1083" s="54"/>
      <c r="U1083" s="54"/>
      <c r="V1083" s="54"/>
      <c r="W1083" s="258"/>
      <c r="X1083" s="258"/>
    </row>
    <row r="1084" spans="1:26">
      <c r="A1084" s="46" t="str">
        <f>'Secondary cum Calculation'!A956</f>
        <v>Poland</v>
      </c>
      <c r="B1084" s="47" t="str">
        <f>'Secondary cum Calculation'!B956</f>
        <v>Tourism Flows</v>
      </c>
      <c r="C1084" s="47" t="str">
        <f>'Secondary cum Calculation'!C956</f>
        <v>International Departures by Destination</v>
      </c>
      <c r="D1084" s="47" t="str">
        <f>'Secondary cum Calculation'!D956</f>
        <v>South &amp; Central America</v>
      </c>
      <c r="E1084" s="46" t="str">
        <f>'Secondary cum Calculation'!E956</f>
        <v>Bolivia (Plurinational State of)</v>
      </c>
      <c r="F1084" s="48" t="str">
        <f>'Secondary cum Calculation'!F956</f>
        <v>The number of international departures from a country to Bolivia (Plurinational State of)</v>
      </c>
      <c r="G1084" s="48" t="str">
        <f>'Secondary cum Calculation'!G956</f>
        <v>Tourism Demand &amp; Flows Database</v>
      </c>
      <c r="H1084" s="48" t="str">
        <f>'Secondary cum Calculation'!H956</f>
        <v>New</v>
      </c>
      <c r="I1084" s="48">
        <f>'Secondary cum Calculation'!I956</f>
        <v>0</v>
      </c>
      <c r="J1084" s="48" t="str">
        <f>'Secondary cum Calculation'!J956</f>
        <v>Thousand</v>
      </c>
      <c r="K1084" s="49">
        <f>'Secondary cum Calculation'!K956</f>
        <v>0</v>
      </c>
      <c r="L1084" s="92">
        <f>'Secondary cum Calculation'!L956</f>
        <v>0</v>
      </c>
      <c r="M1084" s="92">
        <f>'Secondary cum Calculation'!M956</f>
        <v>0</v>
      </c>
      <c r="N1084" s="92">
        <f>'Secondary cum Calculation'!N956</f>
        <v>0</v>
      </c>
      <c r="O1084" s="53">
        <f>'Secondary cum Calculation'!O956</f>
        <v>0</v>
      </c>
      <c r="P1084" s="53">
        <f>'Secondary cum Calculation'!P956</f>
        <v>0</v>
      </c>
      <c r="Q1084" s="53"/>
      <c r="R1084" s="53"/>
      <c r="S1084" s="53"/>
      <c r="T1084" s="53"/>
      <c r="U1084" s="53"/>
      <c r="V1084" s="53"/>
      <c r="W1084" s="102" t="e">
        <f>'Secondary cum Calculation'!W956</f>
        <v>#DIV/0!</v>
      </c>
      <c r="X1084" s="102" t="e">
        <f>'Secondary cum Calculation'!X956</f>
        <v>#DIV/0!</v>
      </c>
      <c r="Z1084" s="11"/>
    </row>
    <row r="1085" spans="1:26">
      <c r="A1085" s="48"/>
      <c r="B1085" s="48"/>
      <c r="C1085" s="52" t="str">
        <f>'Secondary cum Calculation'!C957</f>
        <v>Growth Rate</v>
      </c>
      <c r="D1085" s="52"/>
      <c r="E1085" s="52"/>
      <c r="F1085" s="52">
        <f>'Secondary cum Calculation'!F957</f>
        <v>0</v>
      </c>
      <c r="G1085" s="52">
        <f>'Secondary cum Calculation'!G957</f>
        <v>0</v>
      </c>
      <c r="H1085" s="52">
        <f>'Secondary cum Calculation'!H957</f>
        <v>0</v>
      </c>
      <c r="I1085" s="52">
        <f>'Secondary cum Calculation'!I957</f>
        <v>0</v>
      </c>
      <c r="J1085" s="52" t="str">
        <f>'Secondary cum Calculation'!J957</f>
        <v>%</v>
      </c>
      <c r="K1085" s="49">
        <f>'Secondary cum Calculation'!K957</f>
        <v>0</v>
      </c>
      <c r="L1085" s="53"/>
      <c r="M1085" s="54" t="e">
        <f>'Secondary cum Calculation'!M957</f>
        <v>#DIV/0!</v>
      </c>
      <c r="N1085" s="54" t="e">
        <f>'Secondary cum Calculation'!N957</f>
        <v>#DIV/0!</v>
      </c>
      <c r="O1085" s="54" t="e">
        <f>'Secondary cum Calculation'!O957</f>
        <v>#DIV/0!</v>
      </c>
      <c r="P1085" s="54" t="e">
        <f>'Secondary cum Calculation'!P957</f>
        <v>#DIV/0!</v>
      </c>
      <c r="Q1085" s="54"/>
      <c r="R1085" s="54"/>
      <c r="S1085" s="54"/>
      <c r="T1085" s="54"/>
      <c r="U1085" s="54"/>
      <c r="V1085" s="54"/>
      <c r="W1085" s="258"/>
      <c r="X1085" s="258"/>
    </row>
    <row r="1086" spans="1:26">
      <c r="A1086" s="46" t="str">
        <f>'Secondary cum Calculation'!A958</f>
        <v>Poland</v>
      </c>
      <c r="B1086" s="47" t="str">
        <f>'Secondary cum Calculation'!B958</f>
        <v>Tourism Flows</v>
      </c>
      <c r="C1086" s="47" t="str">
        <f>'Secondary cum Calculation'!C958</f>
        <v>International Departures by Destination</v>
      </c>
      <c r="D1086" s="47" t="str">
        <f>'Secondary cum Calculation'!D958</f>
        <v>South &amp; Central America</v>
      </c>
      <c r="E1086" s="46" t="str">
        <f>'Secondary cum Calculation'!E958</f>
        <v>Brazil</v>
      </c>
      <c r="F1086" s="48" t="str">
        <f>'Secondary cum Calculation'!F958</f>
        <v>The number of international departures from a country to Brazil</v>
      </c>
      <c r="G1086" s="48" t="str">
        <f>'Secondary cum Calculation'!G958</f>
        <v>Tourism Demand &amp; Flows Database</v>
      </c>
      <c r="H1086" s="48" t="str">
        <f>'Secondary cum Calculation'!H958</f>
        <v>New</v>
      </c>
      <c r="I1086" s="48">
        <f>'Secondary cum Calculation'!I958</f>
        <v>0</v>
      </c>
      <c r="J1086" s="48" t="str">
        <f>'Secondary cum Calculation'!J958</f>
        <v>Thousand</v>
      </c>
      <c r="K1086" s="49">
        <f>'Secondary cum Calculation'!K958</f>
        <v>0</v>
      </c>
      <c r="L1086" s="53">
        <f>'Secondary cum Calculation'!L958</f>
        <v>0</v>
      </c>
      <c r="M1086" s="53">
        <f>'Secondary cum Calculation'!M958</f>
        <v>0</v>
      </c>
      <c r="N1086" s="53">
        <f>'Secondary cum Calculation'!N958</f>
        <v>0</v>
      </c>
      <c r="O1086" s="53">
        <f>'Secondary cum Calculation'!O958</f>
        <v>0</v>
      </c>
      <c r="P1086" s="53">
        <f>'Secondary cum Calculation'!P958</f>
        <v>0</v>
      </c>
      <c r="Q1086" s="53"/>
      <c r="R1086" s="53"/>
      <c r="S1086" s="53"/>
      <c r="T1086" s="53"/>
      <c r="U1086" s="53"/>
      <c r="V1086" s="53"/>
      <c r="W1086" s="102" t="e">
        <f>'Secondary cum Calculation'!W958</f>
        <v>#DIV/0!</v>
      </c>
      <c r="X1086" s="102" t="e">
        <f>'Secondary cum Calculation'!X958</f>
        <v>#DIV/0!</v>
      </c>
      <c r="Z1086" s="11"/>
    </row>
    <row r="1087" spans="1:26">
      <c r="A1087" s="48"/>
      <c r="B1087" s="48"/>
      <c r="C1087" s="52" t="str">
        <f>'Secondary cum Calculation'!C959</f>
        <v>Growth Rate</v>
      </c>
      <c r="D1087" s="52"/>
      <c r="E1087" s="52"/>
      <c r="F1087" s="52">
        <f>'Secondary cum Calculation'!F959</f>
        <v>0</v>
      </c>
      <c r="G1087" s="52">
        <f>'Secondary cum Calculation'!G959</f>
        <v>0</v>
      </c>
      <c r="H1087" s="52">
        <f>'Secondary cum Calculation'!H959</f>
        <v>0</v>
      </c>
      <c r="I1087" s="52">
        <f>'Secondary cum Calculation'!I959</f>
        <v>0</v>
      </c>
      <c r="J1087" s="52" t="str">
        <f>'Secondary cum Calculation'!J959</f>
        <v>%</v>
      </c>
      <c r="K1087" s="49">
        <f>'Secondary cum Calculation'!K959</f>
        <v>0</v>
      </c>
      <c r="L1087" s="53"/>
      <c r="M1087" s="54" t="e">
        <f>'Secondary cum Calculation'!M959</f>
        <v>#DIV/0!</v>
      </c>
      <c r="N1087" s="54" t="e">
        <f>'Secondary cum Calculation'!N959</f>
        <v>#DIV/0!</v>
      </c>
      <c r="O1087" s="54" t="e">
        <f>'Secondary cum Calculation'!O959</f>
        <v>#DIV/0!</v>
      </c>
      <c r="P1087" s="54" t="e">
        <f>'Secondary cum Calculation'!P959</f>
        <v>#DIV/0!</v>
      </c>
      <c r="Q1087" s="54"/>
      <c r="R1087" s="54"/>
      <c r="S1087" s="54"/>
      <c r="T1087" s="54"/>
      <c r="U1087" s="54"/>
      <c r="V1087" s="54"/>
      <c r="W1087" s="258"/>
      <c r="X1087" s="258"/>
    </row>
    <row r="1088" spans="1:26">
      <c r="A1088" s="46" t="str">
        <f>'Secondary cum Calculation'!A960</f>
        <v>Poland</v>
      </c>
      <c r="B1088" s="47" t="str">
        <f>'Secondary cum Calculation'!B960</f>
        <v>Tourism Flows</v>
      </c>
      <c r="C1088" s="47" t="str">
        <f>'Secondary cum Calculation'!C960</f>
        <v>International Departures by Destination</v>
      </c>
      <c r="D1088" s="47" t="str">
        <f>'Secondary cum Calculation'!D960</f>
        <v>South &amp; Central America</v>
      </c>
      <c r="E1088" s="46" t="str">
        <f>'Secondary cum Calculation'!E960</f>
        <v>Chile</v>
      </c>
      <c r="F1088" s="48" t="str">
        <f>'Secondary cum Calculation'!F960</f>
        <v>The number of international departures from a country to Chile</v>
      </c>
      <c r="G1088" s="48" t="str">
        <f>'Secondary cum Calculation'!G960</f>
        <v>Tourism Demand &amp; Flows Database</v>
      </c>
      <c r="H1088" s="48" t="str">
        <f>'Secondary cum Calculation'!H960</f>
        <v>New</v>
      </c>
      <c r="I1088" s="48">
        <f>'Secondary cum Calculation'!I960</f>
        <v>0</v>
      </c>
      <c r="J1088" s="48" t="str">
        <f>'Secondary cum Calculation'!J960</f>
        <v>Thousand</v>
      </c>
      <c r="K1088" s="49">
        <f>'Secondary cum Calculation'!K960</f>
        <v>0</v>
      </c>
      <c r="L1088" s="92">
        <f>'Secondary cum Calculation'!L960</f>
        <v>0</v>
      </c>
      <c r="M1088" s="92">
        <f>'Secondary cum Calculation'!M960</f>
        <v>0</v>
      </c>
      <c r="N1088" s="92">
        <f>'Secondary cum Calculation'!N960</f>
        <v>0</v>
      </c>
      <c r="O1088" s="53">
        <f>'Secondary cum Calculation'!O960</f>
        <v>0</v>
      </c>
      <c r="P1088" s="53">
        <f>'Secondary cum Calculation'!P960</f>
        <v>0</v>
      </c>
      <c r="Q1088" s="53"/>
      <c r="R1088" s="53"/>
      <c r="S1088" s="53"/>
      <c r="T1088" s="53"/>
      <c r="U1088" s="53"/>
      <c r="V1088" s="53"/>
      <c r="W1088" s="102" t="e">
        <f>'Secondary cum Calculation'!W960</f>
        <v>#DIV/0!</v>
      </c>
      <c r="X1088" s="102" t="e">
        <f>'Secondary cum Calculation'!X960</f>
        <v>#DIV/0!</v>
      </c>
      <c r="Z1088" s="11"/>
    </row>
    <row r="1089" spans="1:26">
      <c r="A1089" s="48"/>
      <c r="B1089" s="48"/>
      <c r="C1089" s="52" t="str">
        <f>'Secondary cum Calculation'!C961</f>
        <v>Growth Rate</v>
      </c>
      <c r="D1089" s="52"/>
      <c r="E1089" s="52"/>
      <c r="F1089" s="52">
        <f>'Secondary cum Calculation'!F961</f>
        <v>0</v>
      </c>
      <c r="G1089" s="52">
        <f>'Secondary cum Calculation'!G961</f>
        <v>0</v>
      </c>
      <c r="H1089" s="52">
        <f>'Secondary cum Calculation'!H961</f>
        <v>0</v>
      </c>
      <c r="I1089" s="52">
        <f>'Secondary cum Calculation'!I961</f>
        <v>0</v>
      </c>
      <c r="J1089" s="52" t="str">
        <f>'Secondary cum Calculation'!J961</f>
        <v>%</v>
      </c>
      <c r="K1089" s="49">
        <f>'Secondary cum Calculation'!K961</f>
        <v>0</v>
      </c>
      <c r="L1089" s="53"/>
      <c r="M1089" s="54" t="e">
        <f>'Secondary cum Calculation'!M961</f>
        <v>#DIV/0!</v>
      </c>
      <c r="N1089" s="54" t="e">
        <f>'Secondary cum Calculation'!N961</f>
        <v>#DIV/0!</v>
      </c>
      <c r="O1089" s="54" t="e">
        <f>'Secondary cum Calculation'!O961</f>
        <v>#DIV/0!</v>
      </c>
      <c r="P1089" s="54" t="e">
        <f>'Secondary cum Calculation'!P961</f>
        <v>#DIV/0!</v>
      </c>
      <c r="Q1089" s="54"/>
      <c r="R1089" s="54"/>
      <c r="S1089" s="54"/>
      <c r="T1089" s="54"/>
      <c r="U1089" s="54"/>
      <c r="V1089" s="54"/>
      <c r="W1089" s="258"/>
      <c r="X1089" s="258"/>
    </row>
    <row r="1090" spans="1:26">
      <c r="A1090" s="46" t="str">
        <f>'Secondary cum Calculation'!A962</f>
        <v>Poland</v>
      </c>
      <c r="B1090" s="47" t="str">
        <f>'Secondary cum Calculation'!B962</f>
        <v>Tourism Flows</v>
      </c>
      <c r="C1090" s="47" t="str">
        <f>'Secondary cum Calculation'!C962</f>
        <v>International Departures by Destination</v>
      </c>
      <c r="D1090" s="47" t="str">
        <f>'Secondary cum Calculation'!D962</f>
        <v>South &amp; Central America</v>
      </c>
      <c r="E1090" s="46" t="str">
        <f>'Secondary cum Calculation'!E962</f>
        <v>Colombia</v>
      </c>
      <c r="F1090" s="48" t="str">
        <f>'Secondary cum Calculation'!F962</f>
        <v>The number of international departures from a country to Colombia</v>
      </c>
      <c r="G1090" s="48" t="str">
        <f>'Secondary cum Calculation'!G962</f>
        <v>Tourism Demand &amp; Flows Database</v>
      </c>
      <c r="H1090" s="48" t="str">
        <f>'Secondary cum Calculation'!H962</f>
        <v>New</v>
      </c>
      <c r="I1090" s="48">
        <f>'Secondary cum Calculation'!I962</f>
        <v>0</v>
      </c>
      <c r="J1090" s="48" t="str">
        <f>'Secondary cum Calculation'!J962</f>
        <v>Thousand</v>
      </c>
      <c r="K1090" s="49">
        <f>'Secondary cum Calculation'!K962</f>
        <v>0</v>
      </c>
      <c r="L1090" s="53">
        <f>'Secondary cum Calculation'!L962</f>
        <v>0</v>
      </c>
      <c r="M1090" s="53">
        <f>'Secondary cum Calculation'!M962</f>
        <v>0</v>
      </c>
      <c r="N1090" s="53">
        <f>'Secondary cum Calculation'!N962</f>
        <v>0</v>
      </c>
      <c r="O1090" s="53">
        <f>'Secondary cum Calculation'!O962</f>
        <v>0</v>
      </c>
      <c r="P1090" s="53">
        <f>'Secondary cum Calculation'!P962</f>
        <v>0</v>
      </c>
      <c r="Q1090" s="53"/>
      <c r="R1090" s="53"/>
      <c r="S1090" s="53"/>
      <c r="T1090" s="53"/>
      <c r="U1090" s="53"/>
      <c r="V1090" s="53"/>
      <c r="W1090" s="102" t="e">
        <f>'Secondary cum Calculation'!W962</f>
        <v>#DIV/0!</v>
      </c>
      <c r="X1090" s="102" t="e">
        <f>'Secondary cum Calculation'!X962</f>
        <v>#DIV/0!</v>
      </c>
      <c r="Z1090" s="11"/>
    </row>
    <row r="1091" spans="1:26">
      <c r="A1091" s="48"/>
      <c r="B1091" s="48"/>
      <c r="C1091" s="52" t="str">
        <f>'Secondary cum Calculation'!C963</f>
        <v>Growth Rate</v>
      </c>
      <c r="D1091" s="52"/>
      <c r="E1091" s="52"/>
      <c r="F1091" s="52">
        <f>'Secondary cum Calculation'!F963</f>
        <v>0</v>
      </c>
      <c r="G1091" s="52">
        <f>'Secondary cum Calculation'!G963</f>
        <v>0</v>
      </c>
      <c r="H1091" s="52">
        <f>'Secondary cum Calculation'!H963</f>
        <v>0</v>
      </c>
      <c r="I1091" s="52">
        <f>'Secondary cum Calculation'!I963</f>
        <v>0</v>
      </c>
      <c r="J1091" s="52" t="str">
        <f>'Secondary cum Calculation'!J963</f>
        <v>%</v>
      </c>
      <c r="K1091" s="49">
        <f>'Secondary cum Calculation'!K963</f>
        <v>0</v>
      </c>
      <c r="L1091" s="53"/>
      <c r="M1091" s="54" t="e">
        <f>'Secondary cum Calculation'!M963</f>
        <v>#DIV/0!</v>
      </c>
      <c r="N1091" s="54" t="e">
        <f>'Secondary cum Calculation'!N963</f>
        <v>#DIV/0!</v>
      </c>
      <c r="O1091" s="54" t="e">
        <f>'Secondary cum Calculation'!O963</f>
        <v>#DIV/0!</v>
      </c>
      <c r="P1091" s="54" t="e">
        <f>'Secondary cum Calculation'!P963</f>
        <v>#DIV/0!</v>
      </c>
      <c r="Q1091" s="54"/>
      <c r="R1091" s="54"/>
      <c r="S1091" s="54"/>
      <c r="T1091" s="54"/>
      <c r="U1091" s="54"/>
      <c r="V1091" s="54"/>
      <c r="W1091" s="258"/>
      <c r="X1091" s="258"/>
    </row>
    <row r="1092" spans="1:26">
      <c r="A1092" s="46" t="str">
        <f>'Secondary cum Calculation'!A964</f>
        <v>Poland</v>
      </c>
      <c r="B1092" s="47" t="str">
        <f>'Secondary cum Calculation'!B964</f>
        <v>Tourism Flows</v>
      </c>
      <c r="C1092" s="47" t="str">
        <f>'Secondary cum Calculation'!C964</f>
        <v>International Departures by Destination</v>
      </c>
      <c r="D1092" s="47" t="str">
        <f>'Secondary cum Calculation'!D964</f>
        <v>South &amp; Central America</v>
      </c>
      <c r="E1092" s="46" t="str">
        <f>'Secondary cum Calculation'!E964</f>
        <v>Costa Rica</v>
      </c>
      <c r="F1092" s="48" t="str">
        <f>'Secondary cum Calculation'!F964</f>
        <v>The number of international departures from a country to Costa Rica</v>
      </c>
      <c r="G1092" s="48" t="str">
        <f>'Secondary cum Calculation'!G964</f>
        <v>Tourism Demand &amp; Flows Database</v>
      </c>
      <c r="H1092" s="48" t="str">
        <f>'Secondary cum Calculation'!H964</f>
        <v>New</v>
      </c>
      <c r="I1092" s="48">
        <f>'Secondary cum Calculation'!I964</f>
        <v>0</v>
      </c>
      <c r="J1092" s="48" t="str">
        <f>'Secondary cum Calculation'!J964</f>
        <v>Thousand</v>
      </c>
      <c r="K1092" s="49">
        <f>'Secondary cum Calculation'!K964</f>
        <v>0</v>
      </c>
      <c r="L1092" s="92">
        <f>'Secondary cum Calculation'!L964</f>
        <v>0</v>
      </c>
      <c r="M1092" s="92">
        <f>'Secondary cum Calculation'!M964</f>
        <v>0</v>
      </c>
      <c r="N1092" s="92">
        <f>'Secondary cum Calculation'!N964</f>
        <v>0</v>
      </c>
      <c r="O1092" s="89">
        <f>'Secondary cum Calculation'!O964</f>
        <v>0</v>
      </c>
      <c r="P1092" s="89">
        <f>'Secondary cum Calculation'!P964</f>
        <v>0</v>
      </c>
      <c r="Q1092" s="89"/>
      <c r="R1092" s="89"/>
      <c r="S1092" s="89"/>
      <c r="T1092" s="89"/>
      <c r="U1092" s="89"/>
      <c r="V1092" s="89"/>
      <c r="W1092" s="102" t="e">
        <f>'Secondary cum Calculation'!W964</f>
        <v>#DIV/0!</v>
      </c>
      <c r="X1092" s="102" t="e">
        <f>'Secondary cum Calculation'!X964</f>
        <v>#DIV/0!</v>
      </c>
      <c r="Z1092" s="11"/>
    </row>
    <row r="1093" spans="1:26">
      <c r="A1093" s="48"/>
      <c r="B1093" s="48"/>
      <c r="C1093" s="52" t="str">
        <f>'Secondary cum Calculation'!C965</f>
        <v>Growth Rate</v>
      </c>
      <c r="D1093" s="52"/>
      <c r="E1093" s="52"/>
      <c r="F1093" s="52">
        <f>'Secondary cum Calculation'!F965</f>
        <v>0</v>
      </c>
      <c r="G1093" s="52">
        <f>'Secondary cum Calculation'!G965</f>
        <v>0</v>
      </c>
      <c r="H1093" s="52">
        <f>'Secondary cum Calculation'!H965</f>
        <v>0</v>
      </c>
      <c r="I1093" s="52">
        <f>'Secondary cum Calculation'!I965</f>
        <v>0</v>
      </c>
      <c r="J1093" s="52" t="str">
        <f>'Secondary cum Calculation'!J965</f>
        <v>%</v>
      </c>
      <c r="K1093" s="49">
        <f>'Secondary cum Calculation'!K965</f>
        <v>0</v>
      </c>
      <c r="L1093" s="53"/>
      <c r="M1093" s="54" t="e">
        <f>'Secondary cum Calculation'!M965</f>
        <v>#DIV/0!</v>
      </c>
      <c r="N1093" s="54" t="e">
        <f>'Secondary cum Calculation'!N965</f>
        <v>#DIV/0!</v>
      </c>
      <c r="O1093" s="54" t="e">
        <f>'Secondary cum Calculation'!O965</f>
        <v>#DIV/0!</v>
      </c>
      <c r="P1093" s="54" t="e">
        <f>'Secondary cum Calculation'!P965</f>
        <v>#DIV/0!</v>
      </c>
      <c r="Q1093" s="54"/>
      <c r="R1093" s="54"/>
      <c r="S1093" s="54"/>
      <c r="T1093" s="54"/>
      <c r="U1093" s="54"/>
      <c r="V1093" s="54"/>
      <c r="W1093" s="258"/>
      <c r="X1093" s="258"/>
    </row>
    <row r="1094" spans="1:26">
      <c r="A1094" s="46" t="str">
        <f>'Secondary cum Calculation'!A966</f>
        <v>Poland</v>
      </c>
      <c r="B1094" s="47" t="str">
        <f>'Secondary cum Calculation'!B966</f>
        <v>Tourism Flows</v>
      </c>
      <c r="C1094" s="47" t="str">
        <f>'Secondary cum Calculation'!C966</f>
        <v>International Departures by Destination</v>
      </c>
      <c r="D1094" s="47" t="str">
        <f>'Secondary cum Calculation'!D966</f>
        <v>South &amp; Central America</v>
      </c>
      <c r="E1094" s="46" t="str">
        <f>'Secondary cum Calculation'!E966</f>
        <v>Cuba</v>
      </c>
      <c r="F1094" s="48" t="str">
        <f>'Secondary cum Calculation'!F966</f>
        <v>The number of international departures from a country to Cuba</v>
      </c>
      <c r="G1094" s="48" t="str">
        <f>'Secondary cum Calculation'!G966</f>
        <v>Tourism Demand &amp; Flows Database</v>
      </c>
      <c r="H1094" s="48" t="str">
        <f>'Secondary cum Calculation'!H966</f>
        <v>New</v>
      </c>
      <c r="I1094" s="48">
        <f>'Secondary cum Calculation'!I966</f>
        <v>0</v>
      </c>
      <c r="J1094" s="48" t="str">
        <f>'Secondary cum Calculation'!J966</f>
        <v>Thousand</v>
      </c>
      <c r="K1094" s="49">
        <f>'Secondary cum Calculation'!K966</f>
        <v>0</v>
      </c>
      <c r="L1094" s="92">
        <f>'Secondary cum Calculation'!L966</f>
        <v>0</v>
      </c>
      <c r="M1094" s="92">
        <f>'Secondary cum Calculation'!M966</f>
        <v>0</v>
      </c>
      <c r="N1094" s="92">
        <f>'Secondary cum Calculation'!N966</f>
        <v>0</v>
      </c>
      <c r="O1094" s="53">
        <f>'Secondary cum Calculation'!O966</f>
        <v>0</v>
      </c>
      <c r="P1094" s="53">
        <f>'Secondary cum Calculation'!P966</f>
        <v>0</v>
      </c>
      <c r="Q1094" s="53"/>
      <c r="R1094" s="53"/>
      <c r="S1094" s="53"/>
      <c r="T1094" s="53"/>
      <c r="U1094" s="53"/>
      <c r="V1094" s="53"/>
      <c r="W1094" s="102" t="e">
        <f>'Secondary cum Calculation'!W966</f>
        <v>#DIV/0!</v>
      </c>
      <c r="X1094" s="102" t="e">
        <f>'Secondary cum Calculation'!X966</f>
        <v>#DIV/0!</v>
      </c>
      <c r="Z1094" s="11"/>
    </row>
    <row r="1095" spans="1:26">
      <c r="A1095" s="48"/>
      <c r="B1095" s="48"/>
      <c r="C1095" s="52" t="str">
        <f>'Secondary cum Calculation'!C967</f>
        <v>Growth Rate</v>
      </c>
      <c r="D1095" s="52"/>
      <c r="E1095" s="52"/>
      <c r="F1095" s="52">
        <f>'Secondary cum Calculation'!F967</f>
        <v>0</v>
      </c>
      <c r="G1095" s="52">
        <f>'Secondary cum Calculation'!G967</f>
        <v>0</v>
      </c>
      <c r="H1095" s="52">
        <f>'Secondary cum Calculation'!H967</f>
        <v>0</v>
      </c>
      <c r="I1095" s="52">
        <f>'Secondary cum Calculation'!I967</f>
        <v>0</v>
      </c>
      <c r="J1095" s="52" t="str">
        <f>'Secondary cum Calculation'!J967</f>
        <v>%</v>
      </c>
      <c r="K1095" s="49">
        <f>'Secondary cum Calculation'!K967</f>
        <v>0</v>
      </c>
      <c r="L1095" s="53"/>
      <c r="M1095" s="54" t="e">
        <f>'Secondary cum Calculation'!M967</f>
        <v>#DIV/0!</v>
      </c>
      <c r="N1095" s="54" t="e">
        <f>'Secondary cum Calculation'!N967</f>
        <v>#DIV/0!</v>
      </c>
      <c r="O1095" s="54" t="e">
        <f>'Secondary cum Calculation'!O967</f>
        <v>#DIV/0!</v>
      </c>
      <c r="P1095" s="54" t="e">
        <f>'Secondary cum Calculation'!P967</f>
        <v>#DIV/0!</v>
      </c>
      <c r="Q1095" s="54"/>
      <c r="R1095" s="54"/>
      <c r="S1095" s="54"/>
      <c r="T1095" s="54"/>
      <c r="U1095" s="54"/>
      <c r="V1095" s="54"/>
      <c r="W1095" s="258"/>
      <c r="X1095" s="258"/>
    </row>
    <row r="1096" spans="1:26">
      <c r="A1096" s="46" t="str">
        <f>'Secondary cum Calculation'!A968</f>
        <v>Poland</v>
      </c>
      <c r="B1096" s="47" t="str">
        <f>'Secondary cum Calculation'!B968</f>
        <v>Tourism Flows</v>
      </c>
      <c r="C1096" s="47" t="str">
        <f>'Secondary cum Calculation'!C968</f>
        <v>International Departures by Destination</v>
      </c>
      <c r="D1096" s="47" t="str">
        <f>'Secondary cum Calculation'!D968</f>
        <v>South &amp; Central America</v>
      </c>
      <c r="E1096" s="46" t="str">
        <f>'Secondary cum Calculation'!E968</f>
        <v>Dominican Republic</v>
      </c>
      <c r="F1096" s="48" t="str">
        <f>'Secondary cum Calculation'!F968</f>
        <v>The number of international departures from a country to Dominican Republic</v>
      </c>
      <c r="G1096" s="48" t="str">
        <f>'Secondary cum Calculation'!G968</f>
        <v>Tourism Demand &amp; Flows Database</v>
      </c>
      <c r="H1096" s="48" t="str">
        <f>'Secondary cum Calculation'!H968</f>
        <v>New</v>
      </c>
      <c r="I1096" s="48">
        <f>'Secondary cum Calculation'!I968</f>
        <v>0</v>
      </c>
      <c r="J1096" s="48" t="str">
        <f>'Secondary cum Calculation'!J968</f>
        <v>Thousand</v>
      </c>
      <c r="K1096" s="49">
        <f>'Secondary cum Calculation'!K968</f>
        <v>0</v>
      </c>
      <c r="L1096" s="53">
        <f>'Secondary cum Calculation'!L968</f>
        <v>0</v>
      </c>
      <c r="M1096" s="53">
        <f>'Secondary cum Calculation'!M968</f>
        <v>0</v>
      </c>
      <c r="N1096" s="53">
        <f>'Secondary cum Calculation'!N968</f>
        <v>0</v>
      </c>
      <c r="O1096" s="53">
        <f>'Secondary cum Calculation'!O968</f>
        <v>0</v>
      </c>
      <c r="P1096" s="53">
        <f>'Secondary cum Calculation'!P968</f>
        <v>0</v>
      </c>
      <c r="Q1096" s="53"/>
      <c r="R1096" s="53"/>
      <c r="S1096" s="53"/>
      <c r="T1096" s="53"/>
      <c r="U1096" s="53"/>
      <c r="V1096" s="53"/>
      <c r="W1096" s="102" t="e">
        <f>'Secondary cum Calculation'!W968</f>
        <v>#DIV/0!</v>
      </c>
      <c r="X1096" s="102" t="e">
        <f>'Secondary cum Calculation'!X968</f>
        <v>#DIV/0!</v>
      </c>
      <c r="Z1096" s="11"/>
    </row>
    <row r="1097" spans="1:26">
      <c r="A1097" s="48"/>
      <c r="B1097" s="48"/>
      <c r="C1097" s="52" t="str">
        <f>'Secondary cum Calculation'!C969</f>
        <v>Growth Rate</v>
      </c>
      <c r="D1097" s="52"/>
      <c r="E1097" s="52"/>
      <c r="F1097" s="52">
        <f>'Secondary cum Calculation'!F969</f>
        <v>0</v>
      </c>
      <c r="G1097" s="52">
        <f>'Secondary cum Calculation'!G969</f>
        <v>0</v>
      </c>
      <c r="H1097" s="52">
        <f>'Secondary cum Calculation'!H969</f>
        <v>0</v>
      </c>
      <c r="I1097" s="52">
        <f>'Secondary cum Calculation'!I969</f>
        <v>0</v>
      </c>
      <c r="J1097" s="52" t="str">
        <f>'Secondary cum Calculation'!J969</f>
        <v>%</v>
      </c>
      <c r="K1097" s="49">
        <f>'Secondary cum Calculation'!K969</f>
        <v>0</v>
      </c>
      <c r="L1097" s="53"/>
      <c r="M1097" s="54" t="e">
        <f>'Secondary cum Calculation'!M969</f>
        <v>#DIV/0!</v>
      </c>
      <c r="N1097" s="54" t="e">
        <f>'Secondary cum Calculation'!N969</f>
        <v>#DIV/0!</v>
      </c>
      <c r="O1097" s="54" t="e">
        <f>'Secondary cum Calculation'!O969</f>
        <v>#DIV/0!</v>
      </c>
      <c r="P1097" s="54" t="e">
        <f>'Secondary cum Calculation'!P969</f>
        <v>#DIV/0!</v>
      </c>
      <c r="Q1097" s="54"/>
      <c r="R1097" s="54"/>
      <c r="S1097" s="54"/>
      <c r="T1097" s="54"/>
      <c r="U1097" s="54"/>
      <c r="V1097" s="54"/>
      <c r="W1097" s="258"/>
      <c r="X1097" s="258"/>
    </row>
    <row r="1098" spans="1:26">
      <c r="A1098" s="46" t="str">
        <f>'Secondary cum Calculation'!A970</f>
        <v>Poland</v>
      </c>
      <c r="B1098" s="47" t="str">
        <f>'Secondary cum Calculation'!B970</f>
        <v>Tourism Flows</v>
      </c>
      <c r="C1098" s="47" t="str">
        <f>'Secondary cum Calculation'!C970</f>
        <v>International Departures by Destination</v>
      </c>
      <c r="D1098" s="47" t="str">
        <f>'Secondary cum Calculation'!D970</f>
        <v>South &amp; Central America</v>
      </c>
      <c r="E1098" s="46" t="str">
        <f>'Secondary cum Calculation'!E970</f>
        <v>Ecuador</v>
      </c>
      <c r="F1098" s="48" t="str">
        <f>'Secondary cum Calculation'!F970</f>
        <v>The number of international departures from a country to Ecuador</v>
      </c>
      <c r="G1098" s="48" t="str">
        <f>'Secondary cum Calculation'!G970</f>
        <v>Tourism Demand &amp; Flows Database</v>
      </c>
      <c r="H1098" s="48" t="str">
        <f>'Secondary cum Calculation'!H970</f>
        <v>New</v>
      </c>
      <c r="I1098" s="48">
        <f>'Secondary cum Calculation'!I970</f>
        <v>0</v>
      </c>
      <c r="J1098" s="48" t="str">
        <f>'Secondary cum Calculation'!J970</f>
        <v>Thousand</v>
      </c>
      <c r="K1098" s="49">
        <f>'Secondary cum Calculation'!K970</f>
        <v>0</v>
      </c>
      <c r="L1098" s="92">
        <f>'Secondary cum Calculation'!L970</f>
        <v>0</v>
      </c>
      <c r="M1098" s="92">
        <f>'Secondary cum Calculation'!M970</f>
        <v>0</v>
      </c>
      <c r="N1098" s="92">
        <f>'Secondary cum Calculation'!N970</f>
        <v>0</v>
      </c>
      <c r="O1098" s="53">
        <f>'Secondary cum Calculation'!O970</f>
        <v>0</v>
      </c>
      <c r="P1098" s="53">
        <f>'Secondary cum Calculation'!P970</f>
        <v>0</v>
      </c>
      <c r="Q1098" s="53"/>
      <c r="R1098" s="53"/>
      <c r="S1098" s="53"/>
      <c r="T1098" s="53"/>
      <c r="U1098" s="53"/>
      <c r="V1098" s="53"/>
      <c r="W1098" s="102" t="e">
        <f>'Secondary cum Calculation'!W970</f>
        <v>#DIV/0!</v>
      </c>
      <c r="X1098" s="102" t="e">
        <f>'Secondary cum Calculation'!X970</f>
        <v>#DIV/0!</v>
      </c>
      <c r="Z1098" s="11"/>
    </row>
    <row r="1099" spans="1:26">
      <c r="A1099" s="48"/>
      <c r="B1099" s="48"/>
      <c r="C1099" s="52" t="str">
        <f>'Secondary cum Calculation'!C971</f>
        <v>Growth Rate</v>
      </c>
      <c r="D1099" s="52"/>
      <c r="E1099" s="52"/>
      <c r="F1099" s="52">
        <f>'Secondary cum Calculation'!F971</f>
        <v>0</v>
      </c>
      <c r="G1099" s="52">
        <f>'Secondary cum Calculation'!G971</f>
        <v>0</v>
      </c>
      <c r="H1099" s="52">
        <f>'Secondary cum Calculation'!H971</f>
        <v>0</v>
      </c>
      <c r="I1099" s="52">
        <f>'Secondary cum Calculation'!I971</f>
        <v>0</v>
      </c>
      <c r="J1099" s="52" t="str">
        <f>'Secondary cum Calculation'!J971</f>
        <v>%</v>
      </c>
      <c r="K1099" s="49">
        <f>'Secondary cum Calculation'!K971</f>
        <v>0</v>
      </c>
      <c r="L1099" s="53"/>
      <c r="M1099" s="54" t="e">
        <f>'Secondary cum Calculation'!M971</f>
        <v>#DIV/0!</v>
      </c>
      <c r="N1099" s="54" t="e">
        <f>'Secondary cum Calculation'!N971</f>
        <v>#DIV/0!</v>
      </c>
      <c r="O1099" s="54" t="e">
        <f>'Secondary cum Calculation'!O971</f>
        <v>#DIV/0!</v>
      </c>
      <c r="P1099" s="54" t="e">
        <f>'Secondary cum Calculation'!P971</f>
        <v>#DIV/0!</v>
      </c>
      <c r="Q1099" s="54"/>
      <c r="R1099" s="54"/>
      <c r="S1099" s="54"/>
      <c r="T1099" s="54"/>
      <c r="U1099" s="54"/>
      <c r="V1099" s="54"/>
      <c r="W1099" s="258"/>
      <c r="X1099" s="258"/>
    </row>
    <row r="1100" spans="1:26">
      <c r="A1100" s="46" t="str">
        <f>'Secondary cum Calculation'!A972</f>
        <v>Poland</v>
      </c>
      <c r="B1100" s="47" t="str">
        <f>'Secondary cum Calculation'!B972</f>
        <v>Tourism Flows</v>
      </c>
      <c r="C1100" s="47" t="str">
        <f>'Secondary cum Calculation'!C972</f>
        <v>International Departures by Destination</v>
      </c>
      <c r="D1100" s="47" t="str">
        <f>'Secondary cum Calculation'!D972</f>
        <v>South &amp; Central America</v>
      </c>
      <c r="E1100" s="46" t="str">
        <f>'Secondary cum Calculation'!E972</f>
        <v>El Salvador</v>
      </c>
      <c r="F1100" s="48" t="str">
        <f>'Secondary cum Calculation'!F972</f>
        <v>The number of international departures from a country to El Salvador</v>
      </c>
      <c r="G1100" s="48" t="str">
        <f>'Secondary cum Calculation'!G972</f>
        <v>Tourism Demand &amp; Flows Database</v>
      </c>
      <c r="H1100" s="48" t="str">
        <f>'Secondary cum Calculation'!H972</f>
        <v>New</v>
      </c>
      <c r="I1100" s="48">
        <f>'Secondary cum Calculation'!I972</f>
        <v>0</v>
      </c>
      <c r="J1100" s="48" t="str">
        <f>'Secondary cum Calculation'!J972</f>
        <v>Thousand</v>
      </c>
      <c r="K1100" s="49">
        <f>'Secondary cum Calculation'!K972</f>
        <v>0</v>
      </c>
      <c r="L1100" s="92">
        <f>'Secondary cum Calculation'!L972</f>
        <v>0</v>
      </c>
      <c r="M1100" s="92">
        <f>'Secondary cum Calculation'!M972</f>
        <v>0</v>
      </c>
      <c r="N1100" s="92">
        <f>'Secondary cum Calculation'!N972</f>
        <v>0</v>
      </c>
      <c r="O1100" s="53">
        <f>'Secondary cum Calculation'!O972</f>
        <v>0</v>
      </c>
      <c r="P1100" s="53">
        <f>'Secondary cum Calculation'!P972</f>
        <v>0</v>
      </c>
      <c r="Q1100" s="53"/>
      <c r="R1100" s="53"/>
      <c r="S1100" s="53"/>
      <c r="T1100" s="53"/>
      <c r="U1100" s="53"/>
      <c r="V1100" s="53"/>
      <c r="W1100" s="102" t="e">
        <f>'Secondary cum Calculation'!W972</f>
        <v>#DIV/0!</v>
      </c>
      <c r="X1100" s="102" t="e">
        <f>'Secondary cum Calculation'!X972</f>
        <v>#DIV/0!</v>
      </c>
      <c r="Z1100" s="11"/>
    </row>
    <row r="1101" spans="1:26">
      <c r="A1101" s="48"/>
      <c r="B1101" s="48"/>
      <c r="C1101" s="52" t="str">
        <f>'Secondary cum Calculation'!C973</f>
        <v>Growth Rate</v>
      </c>
      <c r="D1101" s="52"/>
      <c r="E1101" s="52"/>
      <c r="F1101" s="52">
        <f>'Secondary cum Calculation'!F973</f>
        <v>0</v>
      </c>
      <c r="G1101" s="52">
        <f>'Secondary cum Calculation'!G973</f>
        <v>0</v>
      </c>
      <c r="H1101" s="52">
        <f>'Secondary cum Calculation'!H973</f>
        <v>0</v>
      </c>
      <c r="I1101" s="52">
        <f>'Secondary cum Calculation'!I973</f>
        <v>0</v>
      </c>
      <c r="J1101" s="52" t="str">
        <f>'Secondary cum Calculation'!J973</f>
        <v>%</v>
      </c>
      <c r="K1101" s="49">
        <f>'Secondary cum Calculation'!K973</f>
        <v>0</v>
      </c>
      <c r="L1101" s="53"/>
      <c r="M1101" s="54" t="e">
        <f>'Secondary cum Calculation'!M973</f>
        <v>#DIV/0!</v>
      </c>
      <c r="N1101" s="54" t="e">
        <f>'Secondary cum Calculation'!N973</f>
        <v>#DIV/0!</v>
      </c>
      <c r="O1101" s="54" t="e">
        <f>'Secondary cum Calculation'!O973</f>
        <v>#DIV/0!</v>
      </c>
      <c r="P1101" s="54" t="e">
        <f>'Secondary cum Calculation'!P973</f>
        <v>#DIV/0!</v>
      </c>
      <c r="Q1101" s="54"/>
      <c r="R1101" s="54"/>
      <c r="S1101" s="54"/>
      <c r="T1101" s="54"/>
      <c r="U1101" s="54"/>
      <c r="V1101" s="54"/>
      <c r="W1101" s="258"/>
      <c r="X1101" s="258"/>
    </row>
    <row r="1102" spans="1:26">
      <c r="A1102" s="46" t="str">
        <f>'Secondary cum Calculation'!A974</f>
        <v>Poland</v>
      </c>
      <c r="B1102" s="47" t="str">
        <f>'Secondary cum Calculation'!B974</f>
        <v>Tourism Flows</v>
      </c>
      <c r="C1102" s="47" t="str">
        <f>'Secondary cum Calculation'!C974</f>
        <v>International Departures by Destination</v>
      </c>
      <c r="D1102" s="47" t="str">
        <f>'Secondary cum Calculation'!D974</f>
        <v>South &amp; Central America</v>
      </c>
      <c r="E1102" s="46" t="str">
        <f>'Secondary cum Calculation'!E974</f>
        <v>French Guiana</v>
      </c>
      <c r="F1102" s="48" t="str">
        <f>'Secondary cum Calculation'!F974</f>
        <v>The number of international departures from a country to French Guiana</v>
      </c>
      <c r="G1102" s="48" t="str">
        <f>'Secondary cum Calculation'!G974</f>
        <v>Tourism Demand &amp; Flows Database</v>
      </c>
      <c r="H1102" s="48" t="str">
        <f>'Secondary cum Calculation'!H974</f>
        <v>New</v>
      </c>
      <c r="I1102" s="48">
        <f>'Secondary cum Calculation'!I974</f>
        <v>0</v>
      </c>
      <c r="J1102" s="48" t="str">
        <f>'Secondary cum Calculation'!J974</f>
        <v>Thousand</v>
      </c>
      <c r="K1102" s="49">
        <f>'Secondary cum Calculation'!K974</f>
        <v>0</v>
      </c>
      <c r="L1102" s="92">
        <f>'Secondary cum Calculation'!L974</f>
        <v>0</v>
      </c>
      <c r="M1102" s="92">
        <f>'Secondary cum Calculation'!M974</f>
        <v>0</v>
      </c>
      <c r="N1102" s="92">
        <f>'Secondary cum Calculation'!N974</f>
        <v>0</v>
      </c>
      <c r="O1102" s="53">
        <f>'Secondary cum Calculation'!O974</f>
        <v>0</v>
      </c>
      <c r="P1102" s="53">
        <f>'Secondary cum Calculation'!P974</f>
        <v>0</v>
      </c>
      <c r="Q1102" s="53"/>
      <c r="R1102" s="53"/>
      <c r="S1102" s="53"/>
      <c r="T1102" s="53"/>
      <c r="U1102" s="53"/>
      <c r="V1102" s="53"/>
      <c r="W1102" s="102" t="e">
        <f>'Secondary cum Calculation'!W974</f>
        <v>#DIV/0!</v>
      </c>
      <c r="X1102" s="102" t="e">
        <f>'Secondary cum Calculation'!X974</f>
        <v>#DIV/0!</v>
      </c>
      <c r="Z1102" s="11"/>
    </row>
    <row r="1103" spans="1:26">
      <c r="A1103" s="48"/>
      <c r="B1103" s="48"/>
      <c r="C1103" s="52" t="str">
        <f>'Secondary cum Calculation'!C975</f>
        <v>Growth Rate</v>
      </c>
      <c r="D1103" s="52"/>
      <c r="E1103" s="52"/>
      <c r="F1103" s="52">
        <f>'Secondary cum Calculation'!F975</f>
        <v>0</v>
      </c>
      <c r="G1103" s="52">
        <f>'Secondary cum Calculation'!G975</f>
        <v>0</v>
      </c>
      <c r="H1103" s="52">
        <f>'Secondary cum Calculation'!H975</f>
        <v>0</v>
      </c>
      <c r="I1103" s="52">
        <f>'Secondary cum Calculation'!I975</f>
        <v>0</v>
      </c>
      <c r="J1103" s="52" t="str">
        <f>'Secondary cum Calculation'!J975</f>
        <v>%</v>
      </c>
      <c r="K1103" s="49">
        <f>'Secondary cum Calculation'!K975</f>
        <v>0</v>
      </c>
      <c r="L1103" s="53"/>
      <c r="M1103" s="54" t="e">
        <f>'Secondary cum Calculation'!M975</f>
        <v>#DIV/0!</v>
      </c>
      <c r="N1103" s="54" t="e">
        <f>'Secondary cum Calculation'!N975</f>
        <v>#DIV/0!</v>
      </c>
      <c r="O1103" s="54" t="e">
        <f>'Secondary cum Calculation'!O975</f>
        <v>#DIV/0!</v>
      </c>
      <c r="P1103" s="54" t="e">
        <f>'Secondary cum Calculation'!P975</f>
        <v>#DIV/0!</v>
      </c>
      <c r="Q1103" s="54"/>
      <c r="R1103" s="54"/>
      <c r="S1103" s="54"/>
      <c r="T1103" s="54"/>
      <c r="U1103" s="54"/>
      <c r="V1103" s="54"/>
      <c r="W1103" s="258"/>
      <c r="X1103" s="258"/>
    </row>
    <row r="1104" spans="1:26">
      <c r="A1104" s="46" t="str">
        <f>'Secondary cum Calculation'!A976</f>
        <v>Poland</v>
      </c>
      <c r="B1104" s="47" t="str">
        <f>'Secondary cum Calculation'!B976</f>
        <v>Tourism Flows</v>
      </c>
      <c r="C1104" s="47" t="str">
        <f>'Secondary cum Calculation'!C976</f>
        <v>International Departures by Destination</v>
      </c>
      <c r="D1104" s="47" t="str">
        <f>'Secondary cum Calculation'!D976</f>
        <v>South &amp; Central America</v>
      </c>
      <c r="E1104" s="46" t="str">
        <f>'Secondary cum Calculation'!E976</f>
        <v>Grenada</v>
      </c>
      <c r="F1104" s="48" t="str">
        <f>'Secondary cum Calculation'!F976</f>
        <v>The number of international departures from a country to Grenada</v>
      </c>
      <c r="G1104" s="48" t="str">
        <f>'Secondary cum Calculation'!G976</f>
        <v>Tourism Demand &amp; Flows Database</v>
      </c>
      <c r="H1104" s="48" t="str">
        <f>'Secondary cum Calculation'!H976</f>
        <v>New</v>
      </c>
      <c r="I1104" s="48">
        <f>'Secondary cum Calculation'!I976</f>
        <v>0</v>
      </c>
      <c r="J1104" s="48" t="str">
        <f>'Secondary cum Calculation'!J976</f>
        <v>Thousand</v>
      </c>
      <c r="K1104" s="49">
        <f>'Secondary cum Calculation'!K976</f>
        <v>0</v>
      </c>
      <c r="L1104" s="92">
        <f>'Secondary cum Calculation'!L976</f>
        <v>0</v>
      </c>
      <c r="M1104" s="92">
        <f>'Secondary cum Calculation'!M976</f>
        <v>0</v>
      </c>
      <c r="N1104" s="92">
        <f>'Secondary cum Calculation'!N976</f>
        <v>0</v>
      </c>
      <c r="O1104" s="53">
        <f>'Secondary cum Calculation'!O976</f>
        <v>0</v>
      </c>
      <c r="P1104" s="53">
        <f>'Secondary cum Calculation'!P976</f>
        <v>0</v>
      </c>
      <c r="Q1104" s="53"/>
      <c r="R1104" s="53"/>
      <c r="S1104" s="53"/>
      <c r="T1104" s="53"/>
      <c r="U1104" s="53"/>
      <c r="V1104" s="53"/>
      <c r="W1104" s="102" t="e">
        <f>'Secondary cum Calculation'!W976</f>
        <v>#DIV/0!</v>
      </c>
      <c r="X1104" s="102" t="e">
        <f>'Secondary cum Calculation'!X976</f>
        <v>#DIV/0!</v>
      </c>
      <c r="Z1104" s="11"/>
    </row>
    <row r="1105" spans="1:26">
      <c r="A1105" s="48"/>
      <c r="B1105" s="48"/>
      <c r="C1105" s="52" t="str">
        <f>'Secondary cum Calculation'!C977</f>
        <v>Growth Rate</v>
      </c>
      <c r="D1105" s="52"/>
      <c r="E1105" s="52"/>
      <c r="F1105" s="52">
        <f>'Secondary cum Calculation'!F977</f>
        <v>0</v>
      </c>
      <c r="G1105" s="52">
        <f>'Secondary cum Calculation'!G977</f>
        <v>0</v>
      </c>
      <c r="H1105" s="52">
        <f>'Secondary cum Calculation'!H977</f>
        <v>0</v>
      </c>
      <c r="I1105" s="52">
        <f>'Secondary cum Calculation'!I977</f>
        <v>0</v>
      </c>
      <c r="J1105" s="52" t="str">
        <f>'Secondary cum Calculation'!J977</f>
        <v>%</v>
      </c>
      <c r="K1105" s="49">
        <f>'Secondary cum Calculation'!K977</f>
        <v>0</v>
      </c>
      <c r="L1105" s="53"/>
      <c r="M1105" s="54" t="e">
        <f>'Secondary cum Calculation'!M977</f>
        <v>#DIV/0!</v>
      </c>
      <c r="N1105" s="54" t="e">
        <f>'Secondary cum Calculation'!N977</f>
        <v>#DIV/0!</v>
      </c>
      <c r="O1105" s="54" t="e">
        <f>'Secondary cum Calculation'!O977</f>
        <v>#DIV/0!</v>
      </c>
      <c r="P1105" s="54" t="e">
        <f>'Secondary cum Calculation'!P977</f>
        <v>#DIV/0!</v>
      </c>
      <c r="Q1105" s="54"/>
      <c r="R1105" s="54"/>
      <c r="S1105" s="54"/>
      <c r="T1105" s="54"/>
      <c r="U1105" s="54"/>
      <c r="V1105" s="54"/>
      <c r="W1105" s="258"/>
      <c r="X1105" s="258"/>
    </row>
    <row r="1106" spans="1:26">
      <c r="A1106" s="46" t="str">
        <f>'Secondary cum Calculation'!A978</f>
        <v>Poland</v>
      </c>
      <c r="B1106" s="47" t="str">
        <f>'Secondary cum Calculation'!B978</f>
        <v>Tourism Flows</v>
      </c>
      <c r="C1106" s="47" t="str">
        <f>'Secondary cum Calculation'!C978</f>
        <v>International Departures by Destination</v>
      </c>
      <c r="D1106" s="47" t="str">
        <f>'Secondary cum Calculation'!D978</f>
        <v>South &amp; Central America</v>
      </c>
      <c r="E1106" s="46" t="str">
        <f>'Secondary cum Calculation'!E978</f>
        <v>Guadeloupe</v>
      </c>
      <c r="F1106" s="48" t="str">
        <f>'Secondary cum Calculation'!F978</f>
        <v>The number of international departures from a country to Guadeloupe</v>
      </c>
      <c r="G1106" s="48" t="str">
        <f>'Secondary cum Calculation'!G978</f>
        <v>Tourism Demand &amp; Flows Database</v>
      </c>
      <c r="H1106" s="48" t="str">
        <f>'Secondary cum Calculation'!H978</f>
        <v>New</v>
      </c>
      <c r="I1106" s="48">
        <f>'Secondary cum Calculation'!I978</f>
        <v>0</v>
      </c>
      <c r="J1106" s="48" t="str">
        <f>'Secondary cum Calculation'!J978</f>
        <v>Thousand</v>
      </c>
      <c r="K1106" s="49">
        <f>'Secondary cum Calculation'!K978</f>
        <v>0</v>
      </c>
      <c r="L1106" s="92">
        <f>'Secondary cum Calculation'!L978</f>
        <v>0</v>
      </c>
      <c r="M1106" s="92">
        <f>'Secondary cum Calculation'!M978</f>
        <v>0</v>
      </c>
      <c r="N1106" s="92">
        <f>'Secondary cum Calculation'!N978</f>
        <v>0</v>
      </c>
      <c r="O1106" s="53">
        <f>'Secondary cum Calculation'!O978</f>
        <v>0</v>
      </c>
      <c r="P1106" s="53">
        <f>'Secondary cum Calculation'!P978</f>
        <v>0</v>
      </c>
      <c r="Q1106" s="53"/>
      <c r="R1106" s="53"/>
      <c r="S1106" s="53"/>
      <c r="T1106" s="53"/>
      <c r="U1106" s="53"/>
      <c r="V1106" s="53"/>
      <c r="W1106" s="102" t="e">
        <f>'Secondary cum Calculation'!W978</f>
        <v>#DIV/0!</v>
      </c>
      <c r="X1106" s="102" t="e">
        <f>'Secondary cum Calculation'!X978</f>
        <v>#DIV/0!</v>
      </c>
      <c r="Z1106" s="11"/>
    </row>
    <row r="1107" spans="1:26">
      <c r="A1107" s="48"/>
      <c r="B1107" s="48"/>
      <c r="C1107" s="52" t="str">
        <f>'Secondary cum Calculation'!C979</f>
        <v>Growth Rate</v>
      </c>
      <c r="D1107" s="52"/>
      <c r="E1107" s="52"/>
      <c r="F1107" s="52">
        <f>'Secondary cum Calculation'!F979</f>
        <v>0</v>
      </c>
      <c r="G1107" s="52">
        <f>'Secondary cum Calculation'!G979</f>
        <v>0</v>
      </c>
      <c r="H1107" s="52">
        <f>'Secondary cum Calculation'!H979</f>
        <v>0</v>
      </c>
      <c r="I1107" s="52">
        <f>'Secondary cum Calculation'!I979</f>
        <v>0</v>
      </c>
      <c r="J1107" s="52" t="str">
        <f>'Secondary cum Calculation'!J979</f>
        <v>%</v>
      </c>
      <c r="K1107" s="49">
        <f>'Secondary cum Calculation'!K979</f>
        <v>0</v>
      </c>
      <c r="L1107" s="53"/>
      <c r="M1107" s="54" t="e">
        <f>'Secondary cum Calculation'!M979</f>
        <v>#DIV/0!</v>
      </c>
      <c r="N1107" s="54" t="e">
        <f>'Secondary cum Calculation'!N979</f>
        <v>#DIV/0!</v>
      </c>
      <c r="O1107" s="54" t="e">
        <f>'Secondary cum Calculation'!O979</f>
        <v>#DIV/0!</v>
      </c>
      <c r="P1107" s="54" t="e">
        <f>'Secondary cum Calculation'!P979</f>
        <v>#DIV/0!</v>
      </c>
      <c r="Q1107" s="54"/>
      <c r="R1107" s="54"/>
      <c r="S1107" s="54"/>
      <c r="T1107" s="54"/>
      <c r="U1107" s="54"/>
      <c r="V1107" s="54"/>
      <c r="W1107" s="258"/>
      <c r="X1107" s="258"/>
    </row>
    <row r="1108" spans="1:26">
      <c r="A1108" s="46" t="str">
        <f>'Secondary cum Calculation'!A980</f>
        <v>Poland</v>
      </c>
      <c r="B1108" s="47" t="str">
        <f>'Secondary cum Calculation'!B980</f>
        <v>Tourism Flows</v>
      </c>
      <c r="C1108" s="47" t="str">
        <f>'Secondary cum Calculation'!C980</f>
        <v>International Departures by Destination</v>
      </c>
      <c r="D1108" s="47" t="str">
        <f>'Secondary cum Calculation'!D980</f>
        <v>South &amp; Central America</v>
      </c>
      <c r="E1108" s="46" t="str">
        <f>'Secondary cum Calculation'!E980</f>
        <v>Guatemala</v>
      </c>
      <c r="F1108" s="48" t="str">
        <f>'Secondary cum Calculation'!F980</f>
        <v>The number of international departures from a country to Guatemala</v>
      </c>
      <c r="G1108" s="48" t="str">
        <f>'Secondary cum Calculation'!G980</f>
        <v>Tourism Demand &amp; Flows Database</v>
      </c>
      <c r="H1108" s="48" t="str">
        <f>'Secondary cum Calculation'!H980</f>
        <v>New</v>
      </c>
      <c r="I1108" s="48">
        <f>'Secondary cum Calculation'!I980</f>
        <v>0</v>
      </c>
      <c r="J1108" s="48" t="str">
        <f>'Secondary cum Calculation'!J980</f>
        <v>Thousand</v>
      </c>
      <c r="K1108" s="49">
        <f>'Secondary cum Calculation'!K980</f>
        <v>0</v>
      </c>
      <c r="L1108" s="92">
        <f>'Secondary cum Calculation'!L980</f>
        <v>0</v>
      </c>
      <c r="M1108" s="92">
        <f>'Secondary cum Calculation'!M980</f>
        <v>0</v>
      </c>
      <c r="N1108" s="92">
        <f>'Secondary cum Calculation'!N980</f>
        <v>0</v>
      </c>
      <c r="O1108" s="53">
        <f>'Secondary cum Calculation'!O980</f>
        <v>0</v>
      </c>
      <c r="P1108" s="53">
        <f>'Secondary cum Calculation'!P980</f>
        <v>0</v>
      </c>
      <c r="Q1108" s="53"/>
      <c r="R1108" s="53"/>
      <c r="S1108" s="53"/>
      <c r="T1108" s="53"/>
      <c r="U1108" s="53"/>
      <c r="V1108" s="53"/>
      <c r="W1108" s="102" t="e">
        <f>'Secondary cum Calculation'!W980</f>
        <v>#DIV/0!</v>
      </c>
      <c r="X1108" s="102" t="e">
        <f>'Secondary cum Calculation'!X980</f>
        <v>#DIV/0!</v>
      </c>
      <c r="Z1108" s="11"/>
    </row>
    <row r="1109" spans="1:26">
      <c r="A1109" s="48"/>
      <c r="B1109" s="48"/>
      <c r="C1109" s="52" t="str">
        <f>'Secondary cum Calculation'!C981</f>
        <v>Growth Rate</v>
      </c>
      <c r="D1109" s="52"/>
      <c r="E1109" s="52"/>
      <c r="F1109" s="52">
        <f>'Secondary cum Calculation'!F981</f>
        <v>0</v>
      </c>
      <c r="G1109" s="52">
        <f>'Secondary cum Calculation'!G981</f>
        <v>0</v>
      </c>
      <c r="H1109" s="52">
        <f>'Secondary cum Calculation'!H981</f>
        <v>0</v>
      </c>
      <c r="I1109" s="52">
        <f>'Secondary cum Calculation'!I981</f>
        <v>0</v>
      </c>
      <c r="J1109" s="52" t="str">
        <f>'Secondary cum Calculation'!J981</f>
        <v>%</v>
      </c>
      <c r="K1109" s="49">
        <f>'Secondary cum Calculation'!K981</f>
        <v>0</v>
      </c>
      <c r="L1109" s="53"/>
      <c r="M1109" s="54" t="e">
        <f>'Secondary cum Calculation'!M981</f>
        <v>#DIV/0!</v>
      </c>
      <c r="N1109" s="54" t="e">
        <f>'Secondary cum Calculation'!N981</f>
        <v>#DIV/0!</v>
      </c>
      <c r="O1109" s="54" t="e">
        <f>'Secondary cum Calculation'!O981</f>
        <v>#DIV/0!</v>
      </c>
      <c r="P1109" s="54" t="e">
        <f>'Secondary cum Calculation'!P981</f>
        <v>#DIV/0!</v>
      </c>
      <c r="Q1109" s="54"/>
      <c r="R1109" s="54"/>
      <c r="S1109" s="54"/>
      <c r="T1109" s="54"/>
      <c r="U1109" s="54"/>
      <c r="V1109" s="54"/>
      <c r="W1109" s="258"/>
      <c r="X1109" s="258"/>
    </row>
    <row r="1110" spans="1:26">
      <c r="A1110" s="46" t="str">
        <f>'Secondary cum Calculation'!A982</f>
        <v>Poland</v>
      </c>
      <c r="B1110" s="47" t="str">
        <f>'Secondary cum Calculation'!B982</f>
        <v>Tourism Flows</v>
      </c>
      <c r="C1110" s="47" t="str">
        <f>'Secondary cum Calculation'!C982</f>
        <v>International Departures by Destination</v>
      </c>
      <c r="D1110" s="47" t="str">
        <f>'Secondary cum Calculation'!D982</f>
        <v>South &amp; Central America</v>
      </c>
      <c r="E1110" s="46" t="str">
        <f>'Secondary cum Calculation'!E982</f>
        <v>Guyana</v>
      </c>
      <c r="F1110" s="48" t="str">
        <f>'Secondary cum Calculation'!F982</f>
        <v>The number of international departures from a country to Guyana</v>
      </c>
      <c r="G1110" s="48" t="str">
        <f>'Secondary cum Calculation'!G982</f>
        <v>Tourism Demand &amp; Flows Database</v>
      </c>
      <c r="H1110" s="48" t="str">
        <f>'Secondary cum Calculation'!H982</f>
        <v>New</v>
      </c>
      <c r="I1110" s="48">
        <f>'Secondary cum Calculation'!I982</f>
        <v>0</v>
      </c>
      <c r="J1110" s="48" t="str">
        <f>'Secondary cum Calculation'!J982</f>
        <v>Thousand</v>
      </c>
      <c r="K1110" s="49">
        <f>'Secondary cum Calculation'!K982</f>
        <v>0</v>
      </c>
      <c r="L1110" s="92">
        <f>'Secondary cum Calculation'!L982</f>
        <v>0</v>
      </c>
      <c r="M1110" s="92">
        <f>'Secondary cum Calculation'!M982</f>
        <v>0</v>
      </c>
      <c r="N1110" s="92">
        <f>'Secondary cum Calculation'!N982</f>
        <v>0</v>
      </c>
      <c r="O1110" s="53">
        <f>'Secondary cum Calculation'!O982</f>
        <v>0</v>
      </c>
      <c r="P1110" s="53">
        <f>'Secondary cum Calculation'!P982</f>
        <v>0</v>
      </c>
      <c r="Q1110" s="53"/>
      <c r="R1110" s="53"/>
      <c r="S1110" s="53"/>
      <c r="T1110" s="53"/>
      <c r="U1110" s="53"/>
      <c r="V1110" s="53"/>
      <c r="W1110" s="102" t="e">
        <f>'Secondary cum Calculation'!W982</f>
        <v>#DIV/0!</v>
      </c>
      <c r="X1110" s="102" t="e">
        <f>'Secondary cum Calculation'!X982</f>
        <v>#DIV/0!</v>
      </c>
      <c r="Z1110" s="11"/>
    </row>
    <row r="1111" spans="1:26">
      <c r="A1111" s="48"/>
      <c r="B1111" s="48"/>
      <c r="C1111" s="52" t="str">
        <f>'Secondary cum Calculation'!C983</f>
        <v>Growth Rate</v>
      </c>
      <c r="D1111" s="52"/>
      <c r="E1111" s="52"/>
      <c r="F1111" s="52">
        <f>'Secondary cum Calculation'!F983</f>
        <v>0</v>
      </c>
      <c r="G1111" s="52">
        <f>'Secondary cum Calculation'!G983</f>
        <v>0</v>
      </c>
      <c r="H1111" s="52">
        <f>'Secondary cum Calculation'!H983</f>
        <v>0</v>
      </c>
      <c r="I1111" s="52">
        <f>'Secondary cum Calculation'!I983</f>
        <v>0</v>
      </c>
      <c r="J1111" s="52" t="str">
        <f>'Secondary cum Calculation'!J983</f>
        <v>%</v>
      </c>
      <c r="K1111" s="49">
        <f>'Secondary cum Calculation'!K983</f>
        <v>0</v>
      </c>
      <c r="L1111" s="53"/>
      <c r="M1111" s="54" t="e">
        <f>'Secondary cum Calculation'!M983</f>
        <v>#DIV/0!</v>
      </c>
      <c r="N1111" s="54" t="e">
        <f>'Secondary cum Calculation'!N983</f>
        <v>#DIV/0!</v>
      </c>
      <c r="O1111" s="54" t="e">
        <f>'Secondary cum Calculation'!O983</f>
        <v>#DIV/0!</v>
      </c>
      <c r="P1111" s="54" t="e">
        <f>'Secondary cum Calculation'!P983</f>
        <v>#DIV/0!</v>
      </c>
      <c r="Q1111" s="54"/>
      <c r="R1111" s="54"/>
      <c r="S1111" s="54"/>
      <c r="T1111" s="54"/>
      <c r="U1111" s="54"/>
      <c r="V1111" s="54"/>
      <c r="W1111" s="258"/>
      <c r="X1111" s="258"/>
    </row>
    <row r="1112" spans="1:26">
      <c r="A1112" s="46" t="str">
        <f>'Secondary cum Calculation'!A984</f>
        <v>Poland</v>
      </c>
      <c r="B1112" s="47" t="str">
        <f>'Secondary cum Calculation'!B984</f>
        <v>Tourism Flows</v>
      </c>
      <c r="C1112" s="47" t="str">
        <f>'Secondary cum Calculation'!C984</f>
        <v>International Departures by Destination</v>
      </c>
      <c r="D1112" s="47" t="str">
        <f>'Secondary cum Calculation'!D984</f>
        <v>South &amp; Central America</v>
      </c>
      <c r="E1112" s="46" t="str">
        <f>'Secondary cum Calculation'!E984</f>
        <v>Haiti</v>
      </c>
      <c r="F1112" s="48" t="str">
        <f>'Secondary cum Calculation'!F984</f>
        <v>The number of international departures from a country to Haiti</v>
      </c>
      <c r="G1112" s="48" t="str">
        <f>'Secondary cum Calculation'!G984</f>
        <v>Tourism Demand &amp; Flows Database</v>
      </c>
      <c r="H1112" s="48" t="str">
        <f>'Secondary cum Calculation'!H984</f>
        <v>New</v>
      </c>
      <c r="I1112" s="48">
        <f>'Secondary cum Calculation'!I984</f>
        <v>0</v>
      </c>
      <c r="J1112" s="48" t="str">
        <f>'Secondary cum Calculation'!J984</f>
        <v>Thousand</v>
      </c>
      <c r="K1112" s="49">
        <f>'Secondary cum Calculation'!K984</f>
        <v>0</v>
      </c>
      <c r="L1112" s="92">
        <f>'Secondary cum Calculation'!L984</f>
        <v>0</v>
      </c>
      <c r="M1112" s="92">
        <f>'Secondary cum Calculation'!M984</f>
        <v>0</v>
      </c>
      <c r="N1112" s="92">
        <f>'Secondary cum Calculation'!N984</f>
        <v>0</v>
      </c>
      <c r="O1112" s="53">
        <f>'Secondary cum Calculation'!O984</f>
        <v>0</v>
      </c>
      <c r="P1112" s="53">
        <f>'Secondary cum Calculation'!P984</f>
        <v>0</v>
      </c>
      <c r="Q1112" s="53"/>
      <c r="R1112" s="53"/>
      <c r="S1112" s="53"/>
      <c r="T1112" s="53"/>
      <c r="U1112" s="53"/>
      <c r="V1112" s="53"/>
      <c r="W1112" s="102" t="e">
        <f>'Secondary cum Calculation'!W984</f>
        <v>#DIV/0!</v>
      </c>
      <c r="X1112" s="102" t="e">
        <f>'Secondary cum Calculation'!X984</f>
        <v>#DIV/0!</v>
      </c>
      <c r="Z1112" s="11"/>
    </row>
    <row r="1113" spans="1:26">
      <c r="A1113" s="48"/>
      <c r="B1113" s="48"/>
      <c r="C1113" s="52" t="str">
        <f>'Secondary cum Calculation'!C985</f>
        <v>Growth Rate</v>
      </c>
      <c r="D1113" s="52"/>
      <c r="E1113" s="52"/>
      <c r="F1113" s="52">
        <f>'Secondary cum Calculation'!F985</f>
        <v>0</v>
      </c>
      <c r="G1113" s="52">
        <f>'Secondary cum Calculation'!G985</f>
        <v>0</v>
      </c>
      <c r="H1113" s="52">
        <f>'Secondary cum Calculation'!H985</f>
        <v>0</v>
      </c>
      <c r="I1113" s="52">
        <f>'Secondary cum Calculation'!I985</f>
        <v>0</v>
      </c>
      <c r="J1113" s="52" t="str">
        <f>'Secondary cum Calculation'!J985</f>
        <v>%</v>
      </c>
      <c r="K1113" s="49">
        <f>'Secondary cum Calculation'!K985</f>
        <v>0</v>
      </c>
      <c r="L1113" s="53"/>
      <c r="M1113" s="54" t="e">
        <f>'Secondary cum Calculation'!M985</f>
        <v>#DIV/0!</v>
      </c>
      <c r="N1113" s="54" t="e">
        <f>'Secondary cum Calculation'!N985</f>
        <v>#DIV/0!</v>
      </c>
      <c r="O1113" s="54" t="e">
        <f>'Secondary cum Calculation'!O985</f>
        <v>#DIV/0!</v>
      </c>
      <c r="P1113" s="54" t="e">
        <f>'Secondary cum Calculation'!P985</f>
        <v>#DIV/0!</v>
      </c>
      <c r="Q1113" s="54"/>
      <c r="R1113" s="54"/>
      <c r="S1113" s="54"/>
      <c r="T1113" s="54"/>
      <c r="U1113" s="54"/>
      <c r="V1113" s="54"/>
      <c r="W1113" s="258"/>
      <c r="X1113" s="258"/>
    </row>
    <row r="1114" spans="1:26">
      <c r="A1114" s="46" t="str">
        <f>'Secondary cum Calculation'!A986</f>
        <v>Poland</v>
      </c>
      <c r="B1114" s="47" t="str">
        <f>'Secondary cum Calculation'!B986</f>
        <v>Tourism Flows</v>
      </c>
      <c r="C1114" s="47" t="str">
        <f>'Secondary cum Calculation'!C986</f>
        <v>International Departures by Destination</v>
      </c>
      <c r="D1114" s="47" t="str">
        <f>'Secondary cum Calculation'!D986</f>
        <v>South &amp; Central America</v>
      </c>
      <c r="E1114" s="46" t="str">
        <f>'Secondary cum Calculation'!E986</f>
        <v>Honduras</v>
      </c>
      <c r="F1114" s="48" t="str">
        <f>'Secondary cum Calculation'!F986</f>
        <v>The number of international departures from a country to Honduras</v>
      </c>
      <c r="G1114" s="48" t="str">
        <f>'Secondary cum Calculation'!G986</f>
        <v>Tourism Demand &amp; Flows Database</v>
      </c>
      <c r="H1114" s="48" t="str">
        <f>'Secondary cum Calculation'!H986</f>
        <v>New</v>
      </c>
      <c r="I1114" s="48">
        <f>'Secondary cum Calculation'!I986</f>
        <v>0</v>
      </c>
      <c r="J1114" s="48" t="str">
        <f>'Secondary cum Calculation'!J986</f>
        <v>Thousand</v>
      </c>
      <c r="K1114" s="49">
        <f>'Secondary cum Calculation'!K986</f>
        <v>0</v>
      </c>
      <c r="L1114" s="92">
        <f>'Secondary cum Calculation'!L986</f>
        <v>0</v>
      </c>
      <c r="M1114" s="92">
        <f>'Secondary cum Calculation'!M986</f>
        <v>0</v>
      </c>
      <c r="N1114" s="92">
        <f>'Secondary cum Calculation'!N986</f>
        <v>0</v>
      </c>
      <c r="O1114" s="53">
        <f>'Secondary cum Calculation'!O986</f>
        <v>0</v>
      </c>
      <c r="P1114" s="53">
        <f>'Secondary cum Calculation'!P986</f>
        <v>0</v>
      </c>
      <c r="Q1114" s="53"/>
      <c r="R1114" s="53"/>
      <c r="S1114" s="53"/>
      <c r="T1114" s="53"/>
      <c r="U1114" s="53"/>
      <c r="V1114" s="53"/>
      <c r="W1114" s="102" t="e">
        <f>'Secondary cum Calculation'!W986</f>
        <v>#DIV/0!</v>
      </c>
      <c r="X1114" s="102" t="e">
        <f>'Secondary cum Calculation'!X986</f>
        <v>#DIV/0!</v>
      </c>
      <c r="Z1114" s="11"/>
    </row>
    <row r="1115" spans="1:26">
      <c r="A1115" s="48"/>
      <c r="B1115" s="48"/>
      <c r="C1115" s="52" t="str">
        <f>'Secondary cum Calculation'!C987</f>
        <v>Growth Rate</v>
      </c>
      <c r="D1115" s="52"/>
      <c r="E1115" s="52"/>
      <c r="F1115" s="52">
        <f>'Secondary cum Calculation'!F987</f>
        <v>0</v>
      </c>
      <c r="G1115" s="52">
        <f>'Secondary cum Calculation'!G987</f>
        <v>0</v>
      </c>
      <c r="H1115" s="52">
        <f>'Secondary cum Calculation'!H987</f>
        <v>0</v>
      </c>
      <c r="I1115" s="52">
        <f>'Secondary cum Calculation'!I987</f>
        <v>0</v>
      </c>
      <c r="J1115" s="52" t="str">
        <f>'Secondary cum Calculation'!J987</f>
        <v>%</v>
      </c>
      <c r="K1115" s="49">
        <f>'Secondary cum Calculation'!K987</f>
        <v>0</v>
      </c>
      <c r="L1115" s="53"/>
      <c r="M1115" s="54" t="e">
        <f>'Secondary cum Calculation'!M987</f>
        <v>#DIV/0!</v>
      </c>
      <c r="N1115" s="54" t="e">
        <f>'Secondary cum Calculation'!N987</f>
        <v>#DIV/0!</v>
      </c>
      <c r="O1115" s="54" t="e">
        <f>'Secondary cum Calculation'!O987</f>
        <v>#DIV/0!</v>
      </c>
      <c r="P1115" s="54" t="e">
        <f>'Secondary cum Calculation'!P987</f>
        <v>#DIV/0!</v>
      </c>
      <c r="Q1115" s="54"/>
      <c r="R1115" s="54"/>
      <c r="S1115" s="54"/>
      <c r="T1115" s="54"/>
      <c r="U1115" s="54"/>
      <c r="V1115" s="54"/>
      <c r="W1115" s="258"/>
      <c r="X1115" s="258"/>
    </row>
    <row r="1116" spans="1:26">
      <c r="A1116" s="46" t="str">
        <f>'Secondary cum Calculation'!A988</f>
        <v>Poland</v>
      </c>
      <c r="B1116" s="47" t="str">
        <f>'Secondary cum Calculation'!B988</f>
        <v>Tourism Flows</v>
      </c>
      <c r="C1116" s="47" t="str">
        <f>'Secondary cum Calculation'!C988</f>
        <v>International Departures by Destination</v>
      </c>
      <c r="D1116" s="47" t="str">
        <f>'Secondary cum Calculation'!D988</f>
        <v>South &amp; Central America</v>
      </c>
      <c r="E1116" s="46" t="str">
        <f>'Secondary cum Calculation'!E988</f>
        <v>Jamaica</v>
      </c>
      <c r="F1116" s="48" t="str">
        <f>'Secondary cum Calculation'!F988</f>
        <v>The number of international departures from a country to Jamaica</v>
      </c>
      <c r="G1116" s="48" t="str">
        <f>'Secondary cum Calculation'!G988</f>
        <v>Tourism Demand &amp; Flows Database</v>
      </c>
      <c r="H1116" s="48" t="str">
        <f>'Secondary cum Calculation'!H988</f>
        <v>New</v>
      </c>
      <c r="I1116" s="48">
        <f>'Secondary cum Calculation'!I988</f>
        <v>0</v>
      </c>
      <c r="J1116" s="48" t="str">
        <f>'Secondary cum Calculation'!J988</f>
        <v>Thousand</v>
      </c>
      <c r="K1116" s="49">
        <f>'Secondary cum Calculation'!K988</f>
        <v>1688</v>
      </c>
      <c r="L1116" s="53">
        <f>'Secondary cum Calculation'!L988</f>
        <v>0</v>
      </c>
      <c r="M1116" s="53">
        <f>'Secondary cum Calculation'!M988</f>
        <v>0</v>
      </c>
      <c r="N1116" s="53">
        <f>'Secondary cum Calculation'!N988</f>
        <v>0</v>
      </c>
      <c r="O1116" s="53">
        <f>'Secondary cum Calculation'!O988</f>
        <v>0</v>
      </c>
      <c r="P1116" s="53">
        <f>'Secondary cum Calculation'!P988</f>
        <v>0</v>
      </c>
      <c r="Q1116" s="53"/>
      <c r="R1116" s="53"/>
      <c r="S1116" s="53"/>
      <c r="T1116" s="53"/>
      <c r="U1116" s="53"/>
      <c r="V1116" s="53"/>
      <c r="W1116" s="102" t="e">
        <f>'Secondary cum Calculation'!W988</f>
        <v>#DIV/0!</v>
      </c>
      <c r="X1116" s="102" t="e">
        <f>'Secondary cum Calculation'!X988</f>
        <v>#DIV/0!</v>
      </c>
      <c r="Z1116" s="11"/>
    </row>
    <row r="1117" spans="1:26">
      <c r="A1117" s="48"/>
      <c r="B1117" s="48"/>
      <c r="C1117" s="52" t="str">
        <f>'Secondary cum Calculation'!C989</f>
        <v>Growth Rate</v>
      </c>
      <c r="D1117" s="52"/>
      <c r="E1117" s="52"/>
      <c r="F1117" s="52">
        <f>'Secondary cum Calculation'!F989</f>
        <v>0</v>
      </c>
      <c r="G1117" s="52">
        <f>'Secondary cum Calculation'!G989</f>
        <v>0</v>
      </c>
      <c r="H1117" s="52">
        <f>'Secondary cum Calculation'!H989</f>
        <v>0</v>
      </c>
      <c r="I1117" s="52">
        <f>'Secondary cum Calculation'!I989</f>
        <v>0</v>
      </c>
      <c r="J1117" s="52" t="str">
        <f>'Secondary cum Calculation'!J989</f>
        <v>%</v>
      </c>
      <c r="K1117" s="49">
        <f>'Secondary cum Calculation'!K989</f>
        <v>0</v>
      </c>
      <c r="L1117" s="53"/>
      <c r="M1117" s="54" t="e">
        <f>'Secondary cum Calculation'!M989</f>
        <v>#DIV/0!</v>
      </c>
      <c r="N1117" s="54" t="e">
        <f>'Secondary cum Calculation'!N989</f>
        <v>#DIV/0!</v>
      </c>
      <c r="O1117" s="54" t="e">
        <f>'Secondary cum Calculation'!O989</f>
        <v>#DIV/0!</v>
      </c>
      <c r="P1117" s="54" t="e">
        <f>'Secondary cum Calculation'!P989</f>
        <v>#DIV/0!</v>
      </c>
      <c r="Q1117" s="54"/>
      <c r="R1117" s="54"/>
      <c r="S1117" s="54"/>
      <c r="T1117" s="54"/>
      <c r="U1117" s="54"/>
      <c r="V1117" s="54"/>
      <c r="W1117" s="258"/>
      <c r="X1117" s="258"/>
    </row>
    <row r="1118" spans="1:26">
      <c r="A1118" s="46" t="str">
        <f>'Secondary cum Calculation'!A990</f>
        <v>Poland</v>
      </c>
      <c r="B1118" s="47" t="str">
        <f>'Secondary cum Calculation'!B990</f>
        <v>Tourism Flows</v>
      </c>
      <c r="C1118" s="47" t="str">
        <f>'Secondary cum Calculation'!C990</f>
        <v>International Departures by Destination</v>
      </c>
      <c r="D1118" s="47" t="str">
        <f>'Secondary cum Calculation'!D990</f>
        <v>South &amp; Central America</v>
      </c>
      <c r="E1118" s="46" t="str">
        <f>'Secondary cum Calculation'!E990</f>
        <v>Martinique</v>
      </c>
      <c r="F1118" s="48" t="str">
        <f>'Secondary cum Calculation'!F990</f>
        <v>The number of international departures from a country to Martinique</v>
      </c>
      <c r="G1118" s="48" t="str">
        <f>'Secondary cum Calculation'!G990</f>
        <v>Tourism Demand &amp; Flows Database</v>
      </c>
      <c r="H1118" s="48" t="str">
        <f>'Secondary cum Calculation'!H990</f>
        <v>New</v>
      </c>
      <c r="I1118" s="48">
        <f>'Secondary cum Calculation'!I990</f>
        <v>0</v>
      </c>
      <c r="J1118" s="48" t="str">
        <f>'Secondary cum Calculation'!J990</f>
        <v>Thousand</v>
      </c>
      <c r="K1118" s="49">
        <f>'Secondary cum Calculation'!K990</f>
        <v>0</v>
      </c>
      <c r="L1118" s="92">
        <f>'Secondary cum Calculation'!L990</f>
        <v>0</v>
      </c>
      <c r="M1118" s="92">
        <f>'Secondary cum Calculation'!M990</f>
        <v>0</v>
      </c>
      <c r="N1118" s="92">
        <f>'Secondary cum Calculation'!N990</f>
        <v>0</v>
      </c>
      <c r="O1118" s="53">
        <f>'Secondary cum Calculation'!O990</f>
        <v>0</v>
      </c>
      <c r="P1118" s="53">
        <f>'Secondary cum Calculation'!P990</f>
        <v>0</v>
      </c>
      <c r="Q1118" s="53"/>
      <c r="R1118" s="53"/>
      <c r="S1118" s="53"/>
      <c r="T1118" s="53"/>
      <c r="U1118" s="53"/>
      <c r="V1118" s="53"/>
      <c r="W1118" s="102" t="e">
        <f>'Secondary cum Calculation'!W990</f>
        <v>#DIV/0!</v>
      </c>
      <c r="X1118" s="102" t="e">
        <f>'Secondary cum Calculation'!X990</f>
        <v>#DIV/0!</v>
      </c>
      <c r="Z1118" s="11"/>
    </row>
    <row r="1119" spans="1:26">
      <c r="A1119" s="48"/>
      <c r="B1119" s="48"/>
      <c r="C1119" s="52" t="str">
        <f>'Secondary cum Calculation'!C991</f>
        <v>Growth Rate</v>
      </c>
      <c r="D1119" s="52"/>
      <c r="E1119" s="52"/>
      <c r="F1119" s="52">
        <f>'Secondary cum Calculation'!F991</f>
        <v>0</v>
      </c>
      <c r="G1119" s="52">
        <f>'Secondary cum Calculation'!G991</f>
        <v>0</v>
      </c>
      <c r="H1119" s="52">
        <f>'Secondary cum Calculation'!H991</f>
        <v>0</v>
      </c>
      <c r="I1119" s="52">
        <f>'Secondary cum Calculation'!I991</f>
        <v>0</v>
      </c>
      <c r="J1119" s="52" t="str">
        <f>'Secondary cum Calculation'!J991</f>
        <v>%</v>
      </c>
      <c r="K1119" s="49">
        <f>'Secondary cum Calculation'!K991</f>
        <v>0</v>
      </c>
      <c r="L1119" s="53"/>
      <c r="M1119" s="54" t="e">
        <f>'Secondary cum Calculation'!M991</f>
        <v>#DIV/0!</v>
      </c>
      <c r="N1119" s="54" t="e">
        <f>'Secondary cum Calculation'!N991</f>
        <v>#DIV/0!</v>
      </c>
      <c r="O1119" s="54" t="e">
        <f>'Secondary cum Calculation'!O991</f>
        <v>#DIV/0!</v>
      </c>
      <c r="P1119" s="54" t="e">
        <f>'Secondary cum Calculation'!P991</f>
        <v>#DIV/0!</v>
      </c>
      <c r="Q1119" s="54"/>
      <c r="R1119" s="54"/>
      <c r="S1119" s="54"/>
      <c r="T1119" s="54"/>
      <c r="U1119" s="54"/>
      <c r="V1119" s="54"/>
      <c r="W1119" s="258"/>
      <c r="X1119" s="258"/>
    </row>
    <row r="1120" spans="1:26">
      <c r="A1120" s="46" t="str">
        <f>'Secondary cum Calculation'!A992</f>
        <v>Poland</v>
      </c>
      <c r="B1120" s="47" t="str">
        <f>'Secondary cum Calculation'!B992</f>
        <v>Tourism Flows</v>
      </c>
      <c r="C1120" s="47" t="str">
        <f>'Secondary cum Calculation'!C992</f>
        <v>International Departures by Destination</v>
      </c>
      <c r="D1120" s="47" t="str">
        <f>'Secondary cum Calculation'!D992</f>
        <v>South &amp; Central America</v>
      </c>
      <c r="E1120" s="46" t="str">
        <f>'Secondary cum Calculation'!E992</f>
        <v>Netherlands Antilles</v>
      </c>
      <c r="F1120" s="48" t="str">
        <f>'Secondary cum Calculation'!F992</f>
        <v>The number of international departures from a country to Netherlands Antilles</v>
      </c>
      <c r="G1120" s="48" t="str">
        <f>'Secondary cum Calculation'!G992</f>
        <v>Tourism Demand &amp; Flows Database</v>
      </c>
      <c r="H1120" s="48" t="str">
        <f>'Secondary cum Calculation'!H992</f>
        <v>New</v>
      </c>
      <c r="I1120" s="48">
        <f>'Secondary cum Calculation'!I992</f>
        <v>0</v>
      </c>
      <c r="J1120" s="48" t="str">
        <f>'Secondary cum Calculation'!J992</f>
        <v>Thousand</v>
      </c>
      <c r="K1120" s="49">
        <f>'Secondary cum Calculation'!K992</f>
        <v>0</v>
      </c>
      <c r="L1120" s="92">
        <f>'Secondary cum Calculation'!L992</f>
        <v>0</v>
      </c>
      <c r="M1120" s="92">
        <f>'Secondary cum Calculation'!M992</f>
        <v>0</v>
      </c>
      <c r="N1120" s="92">
        <f>'Secondary cum Calculation'!N992</f>
        <v>0</v>
      </c>
      <c r="O1120" s="53">
        <f>'Secondary cum Calculation'!O992</f>
        <v>0</v>
      </c>
      <c r="P1120" s="53">
        <f>'Secondary cum Calculation'!P992</f>
        <v>0</v>
      </c>
      <c r="Q1120" s="53"/>
      <c r="R1120" s="53"/>
      <c r="S1120" s="53"/>
      <c r="T1120" s="53"/>
      <c r="U1120" s="53"/>
      <c r="V1120" s="53"/>
      <c r="W1120" s="102" t="e">
        <f>'Secondary cum Calculation'!W992</f>
        <v>#DIV/0!</v>
      </c>
      <c r="X1120" s="102" t="e">
        <f>'Secondary cum Calculation'!X992</f>
        <v>#DIV/0!</v>
      </c>
      <c r="Z1120" s="11"/>
    </row>
    <row r="1121" spans="1:26">
      <c r="A1121" s="48"/>
      <c r="B1121" s="48"/>
      <c r="C1121" s="52" t="str">
        <f>'Secondary cum Calculation'!C993</f>
        <v>Growth Rate</v>
      </c>
      <c r="D1121" s="52"/>
      <c r="E1121" s="52"/>
      <c r="F1121" s="52">
        <f>'Secondary cum Calculation'!F993</f>
        <v>0</v>
      </c>
      <c r="G1121" s="52">
        <f>'Secondary cum Calculation'!G993</f>
        <v>0</v>
      </c>
      <c r="H1121" s="52">
        <f>'Secondary cum Calculation'!H993</f>
        <v>0</v>
      </c>
      <c r="I1121" s="52">
        <f>'Secondary cum Calculation'!I993</f>
        <v>0</v>
      </c>
      <c r="J1121" s="52" t="str">
        <f>'Secondary cum Calculation'!J993</f>
        <v>%</v>
      </c>
      <c r="K1121" s="49">
        <f>'Secondary cum Calculation'!K993</f>
        <v>0</v>
      </c>
      <c r="L1121" s="53"/>
      <c r="M1121" s="54" t="e">
        <f>'Secondary cum Calculation'!M993</f>
        <v>#DIV/0!</v>
      </c>
      <c r="N1121" s="54" t="e">
        <f>'Secondary cum Calculation'!N993</f>
        <v>#DIV/0!</v>
      </c>
      <c r="O1121" s="54" t="e">
        <f>'Secondary cum Calculation'!O993</f>
        <v>#DIV/0!</v>
      </c>
      <c r="P1121" s="54" t="e">
        <f>'Secondary cum Calculation'!P993</f>
        <v>#DIV/0!</v>
      </c>
      <c r="Q1121" s="54"/>
      <c r="R1121" s="54"/>
      <c r="S1121" s="54"/>
      <c r="T1121" s="54"/>
      <c r="U1121" s="54"/>
      <c r="V1121" s="54"/>
      <c r="W1121" s="258"/>
      <c r="X1121" s="258"/>
    </row>
    <row r="1122" spans="1:26">
      <c r="A1122" s="46" t="str">
        <f>'Secondary cum Calculation'!A994</f>
        <v>Poland</v>
      </c>
      <c r="B1122" s="47" t="str">
        <f>'Secondary cum Calculation'!B994</f>
        <v>Tourism Flows</v>
      </c>
      <c r="C1122" s="47" t="str">
        <f>'Secondary cum Calculation'!C994</f>
        <v>International Departures by Destination</v>
      </c>
      <c r="D1122" s="47" t="str">
        <f>'Secondary cum Calculation'!D994</f>
        <v>South &amp; Central America</v>
      </c>
      <c r="E1122" s="46" t="str">
        <f>'Secondary cum Calculation'!E994</f>
        <v>Nicaragua</v>
      </c>
      <c r="F1122" s="48" t="str">
        <f>'Secondary cum Calculation'!F994</f>
        <v>The number of international departures from a country to Nicaragua</v>
      </c>
      <c r="G1122" s="48" t="str">
        <f>'Secondary cum Calculation'!G994</f>
        <v>Tourism Demand &amp; Flows Database</v>
      </c>
      <c r="H1122" s="48" t="str">
        <f>'Secondary cum Calculation'!H994</f>
        <v>New</v>
      </c>
      <c r="I1122" s="48">
        <f>'Secondary cum Calculation'!I994</f>
        <v>0</v>
      </c>
      <c r="J1122" s="48" t="str">
        <f>'Secondary cum Calculation'!J994</f>
        <v>Thousand</v>
      </c>
      <c r="K1122" s="49">
        <f>'Secondary cum Calculation'!K994</f>
        <v>0</v>
      </c>
      <c r="L1122" s="92">
        <f>'Secondary cum Calculation'!L994</f>
        <v>0</v>
      </c>
      <c r="M1122" s="92">
        <f>'Secondary cum Calculation'!M994</f>
        <v>0</v>
      </c>
      <c r="N1122" s="92">
        <f>'Secondary cum Calculation'!N994</f>
        <v>0</v>
      </c>
      <c r="O1122" s="53">
        <f>'Secondary cum Calculation'!O994</f>
        <v>0</v>
      </c>
      <c r="P1122" s="53">
        <f>'Secondary cum Calculation'!P994</f>
        <v>0</v>
      </c>
      <c r="Q1122" s="53"/>
      <c r="R1122" s="53"/>
      <c r="S1122" s="53"/>
      <c r="T1122" s="53"/>
      <c r="U1122" s="53"/>
      <c r="V1122" s="53"/>
      <c r="W1122" s="102" t="e">
        <f>'Secondary cum Calculation'!W994</f>
        <v>#DIV/0!</v>
      </c>
      <c r="X1122" s="102" t="e">
        <f>'Secondary cum Calculation'!X994</f>
        <v>#DIV/0!</v>
      </c>
      <c r="Z1122" s="11"/>
    </row>
    <row r="1123" spans="1:26">
      <c r="A1123" s="48"/>
      <c r="B1123" s="48"/>
      <c r="C1123" s="52" t="str">
        <f>'Secondary cum Calculation'!C995</f>
        <v>Growth Rate</v>
      </c>
      <c r="D1123" s="52"/>
      <c r="E1123" s="52"/>
      <c r="F1123" s="52">
        <f>'Secondary cum Calculation'!F995</f>
        <v>0</v>
      </c>
      <c r="G1123" s="52">
        <f>'Secondary cum Calculation'!G995</f>
        <v>0</v>
      </c>
      <c r="H1123" s="52">
        <f>'Secondary cum Calculation'!H995</f>
        <v>0</v>
      </c>
      <c r="I1123" s="52">
        <f>'Secondary cum Calculation'!I995</f>
        <v>0</v>
      </c>
      <c r="J1123" s="52" t="str">
        <f>'Secondary cum Calculation'!J995</f>
        <v>%</v>
      </c>
      <c r="K1123" s="49">
        <f>'Secondary cum Calculation'!K995</f>
        <v>0</v>
      </c>
      <c r="L1123" s="53"/>
      <c r="M1123" s="54" t="e">
        <f>'Secondary cum Calculation'!M995</f>
        <v>#DIV/0!</v>
      </c>
      <c r="N1123" s="54" t="e">
        <f>'Secondary cum Calculation'!N995</f>
        <v>#DIV/0!</v>
      </c>
      <c r="O1123" s="54" t="e">
        <f>'Secondary cum Calculation'!O995</f>
        <v>#DIV/0!</v>
      </c>
      <c r="P1123" s="54" t="e">
        <f>'Secondary cum Calculation'!P995</f>
        <v>#DIV/0!</v>
      </c>
      <c r="Q1123" s="54"/>
      <c r="R1123" s="54"/>
      <c r="S1123" s="54"/>
      <c r="T1123" s="54"/>
      <c r="U1123" s="54"/>
      <c r="V1123" s="54"/>
      <c r="W1123" s="258"/>
      <c r="X1123" s="258"/>
    </row>
    <row r="1124" spans="1:26">
      <c r="A1124" s="46" t="str">
        <f>'Secondary cum Calculation'!A996</f>
        <v>Poland</v>
      </c>
      <c r="B1124" s="47" t="str">
        <f>'Secondary cum Calculation'!B996</f>
        <v>Tourism Flows</v>
      </c>
      <c r="C1124" s="47" t="str">
        <f>'Secondary cum Calculation'!C996</f>
        <v>International Departures by Destination</v>
      </c>
      <c r="D1124" s="47" t="str">
        <f>'Secondary cum Calculation'!D996</f>
        <v>South &amp; Central America</v>
      </c>
      <c r="E1124" s="46" t="str">
        <f>'Secondary cum Calculation'!E996</f>
        <v>Panama</v>
      </c>
      <c r="F1124" s="48" t="str">
        <f>'Secondary cum Calculation'!F996</f>
        <v>The number of international departures from a country to Panama</v>
      </c>
      <c r="G1124" s="48" t="str">
        <f>'Secondary cum Calculation'!G996</f>
        <v>Tourism Demand &amp; Flows Database</v>
      </c>
      <c r="H1124" s="48" t="str">
        <f>'Secondary cum Calculation'!H996</f>
        <v>New</v>
      </c>
      <c r="I1124" s="48">
        <f>'Secondary cum Calculation'!I996</f>
        <v>0</v>
      </c>
      <c r="J1124" s="48" t="str">
        <f>'Secondary cum Calculation'!J996</f>
        <v>Thousand</v>
      </c>
      <c r="K1124" s="49">
        <f>'Secondary cum Calculation'!K996</f>
        <v>0</v>
      </c>
      <c r="L1124" s="92">
        <f>'Secondary cum Calculation'!L996</f>
        <v>0</v>
      </c>
      <c r="M1124" s="92">
        <f>'Secondary cum Calculation'!M996</f>
        <v>0</v>
      </c>
      <c r="N1124" s="92">
        <f>'Secondary cum Calculation'!N996</f>
        <v>0</v>
      </c>
      <c r="O1124" s="53">
        <f>'Secondary cum Calculation'!O996</f>
        <v>0</v>
      </c>
      <c r="P1124" s="53">
        <f>'Secondary cum Calculation'!P996</f>
        <v>0</v>
      </c>
      <c r="Q1124" s="53"/>
      <c r="R1124" s="53"/>
      <c r="S1124" s="53"/>
      <c r="T1124" s="53"/>
      <c r="U1124" s="53"/>
      <c r="V1124" s="53"/>
      <c r="W1124" s="102" t="e">
        <f>'Secondary cum Calculation'!W996</f>
        <v>#DIV/0!</v>
      </c>
      <c r="X1124" s="102" t="e">
        <f>'Secondary cum Calculation'!X996</f>
        <v>#DIV/0!</v>
      </c>
      <c r="Z1124" s="11"/>
    </row>
    <row r="1125" spans="1:26">
      <c r="A1125" s="48"/>
      <c r="B1125" s="48"/>
      <c r="C1125" s="52" t="str">
        <f>'Secondary cum Calculation'!C997</f>
        <v>Growth Rate</v>
      </c>
      <c r="D1125" s="52"/>
      <c r="E1125" s="52"/>
      <c r="F1125" s="52">
        <f>'Secondary cum Calculation'!F997</f>
        <v>0</v>
      </c>
      <c r="G1125" s="52">
        <f>'Secondary cum Calculation'!G997</f>
        <v>0</v>
      </c>
      <c r="H1125" s="52">
        <f>'Secondary cum Calculation'!H997</f>
        <v>0</v>
      </c>
      <c r="I1125" s="52">
        <f>'Secondary cum Calculation'!I997</f>
        <v>0</v>
      </c>
      <c r="J1125" s="52" t="str">
        <f>'Secondary cum Calculation'!J997</f>
        <v>%</v>
      </c>
      <c r="K1125" s="49">
        <f>'Secondary cum Calculation'!K997</f>
        <v>0</v>
      </c>
      <c r="L1125" s="53"/>
      <c r="M1125" s="54" t="e">
        <f>'Secondary cum Calculation'!M997</f>
        <v>#DIV/0!</v>
      </c>
      <c r="N1125" s="54" t="e">
        <f>'Secondary cum Calculation'!N997</f>
        <v>#DIV/0!</v>
      </c>
      <c r="O1125" s="54" t="e">
        <f>'Secondary cum Calculation'!O997</f>
        <v>#DIV/0!</v>
      </c>
      <c r="P1125" s="54" t="e">
        <f>'Secondary cum Calculation'!P997</f>
        <v>#DIV/0!</v>
      </c>
      <c r="Q1125" s="54"/>
      <c r="R1125" s="54"/>
      <c r="S1125" s="54"/>
      <c r="T1125" s="54"/>
      <c r="U1125" s="54"/>
      <c r="V1125" s="54"/>
      <c r="W1125" s="258"/>
      <c r="X1125" s="258"/>
    </row>
    <row r="1126" spans="1:26">
      <c r="A1126" s="46" t="str">
        <f>'Secondary cum Calculation'!A998</f>
        <v>Poland</v>
      </c>
      <c r="B1126" s="47" t="str">
        <f>'Secondary cum Calculation'!B998</f>
        <v>Tourism Flows</v>
      </c>
      <c r="C1126" s="47" t="str">
        <f>'Secondary cum Calculation'!C998</f>
        <v>International Departures by Destination</v>
      </c>
      <c r="D1126" s="47" t="str">
        <f>'Secondary cum Calculation'!D998</f>
        <v>South &amp; Central America</v>
      </c>
      <c r="E1126" s="46" t="str">
        <f>'Secondary cum Calculation'!E998</f>
        <v>Paraguay</v>
      </c>
      <c r="F1126" s="48" t="str">
        <f>'Secondary cum Calculation'!F998</f>
        <v>The number of international departures from a country to Paraguay</v>
      </c>
      <c r="G1126" s="48" t="str">
        <f>'Secondary cum Calculation'!G998</f>
        <v>Tourism Demand &amp; Flows Database</v>
      </c>
      <c r="H1126" s="48" t="str">
        <f>'Secondary cum Calculation'!H998</f>
        <v>New</v>
      </c>
      <c r="I1126" s="48">
        <f>'Secondary cum Calculation'!I998</f>
        <v>0</v>
      </c>
      <c r="J1126" s="48" t="str">
        <f>'Secondary cum Calculation'!J998</f>
        <v>Thousand</v>
      </c>
      <c r="K1126" s="49">
        <f>'Secondary cum Calculation'!K998</f>
        <v>0</v>
      </c>
      <c r="L1126" s="92">
        <f>'Secondary cum Calculation'!L998</f>
        <v>0</v>
      </c>
      <c r="M1126" s="92">
        <f>'Secondary cum Calculation'!M998</f>
        <v>0</v>
      </c>
      <c r="N1126" s="92">
        <f>'Secondary cum Calculation'!N998</f>
        <v>0</v>
      </c>
      <c r="O1126" s="53">
        <f>'Secondary cum Calculation'!O998</f>
        <v>0</v>
      </c>
      <c r="P1126" s="53">
        <f>'Secondary cum Calculation'!P998</f>
        <v>0</v>
      </c>
      <c r="Q1126" s="53"/>
      <c r="R1126" s="53"/>
      <c r="S1126" s="53"/>
      <c r="T1126" s="53"/>
      <c r="U1126" s="53"/>
      <c r="V1126" s="53"/>
      <c r="W1126" s="102" t="e">
        <f>'Secondary cum Calculation'!W998</f>
        <v>#DIV/0!</v>
      </c>
      <c r="X1126" s="102" t="e">
        <f>'Secondary cum Calculation'!X998</f>
        <v>#DIV/0!</v>
      </c>
      <c r="Z1126" s="11"/>
    </row>
    <row r="1127" spans="1:26">
      <c r="A1127" s="48"/>
      <c r="B1127" s="48"/>
      <c r="C1127" s="52" t="str">
        <f>'Secondary cum Calculation'!C999</f>
        <v>Growth Rate</v>
      </c>
      <c r="D1127" s="52"/>
      <c r="E1127" s="52"/>
      <c r="F1127" s="52">
        <f>'Secondary cum Calculation'!F999</f>
        <v>0</v>
      </c>
      <c r="G1127" s="52">
        <f>'Secondary cum Calculation'!G999</f>
        <v>0</v>
      </c>
      <c r="H1127" s="52">
        <f>'Secondary cum Calculation'!H999</f>
        <v>0</v>
      </c>
      <c r="I1127" s="52">
        <f>'Secondary cum Calculation'!I999</f>
        <v>0</v>
      </c>
      <c r="J1127" s="52" t="str">
        <f>'Secondary cum Calculation'!J999</f>
        <v>%</v>
      </c>
      <c r="K1127" s="49">
        <f>'Secondary cum Calculation'!K999</f>
        <v>0</v>
      </c>
      <c r="L1127" s="53"/>
      <c r="M1127" s="54" t="e">
        <f>'Secondary cum Calculation'!M999</f>
        <v>#DIV/0!</v>
      </c>
      <c r="N1127" s="54" t="e">
        <f>'Secondary cum Calculation'!N999</f>
        <v>#DIV/0!</v>
      </c>
      <c r="O1127" s="54" t="e">
        <f>'Secondary cum Calculation'!O999</f>
        <v>#DIV/0!</v>
      </c>
      <c r="P1127" s="54" t="e">
        <f>'Secondary cum Calculation'!P999</f>
        <v>#DIV/0!</v>
      </c>
      <c r="Q1127" s="54"/>
      <c r="R1127" s="54"/>
      <c r="S1127" s="54"/>
      <c r="T1127" s="54"/>
      <c r="U1127" s="54"/>
      <c r="V1127" s="54"/>
      <c r="W1127" s="258"/>
      <c r="X1127" s="258"/>
    </row>
    <row r="1128" spans="1:26">
      <c r="A1128" s="46" t="str">
        <f>'Secondary cum Calculation'!A1000</f>
        <v>Poland</v>
      </c>
      <c r="B1128" s="47" t="str">
        <f>'Secondary cum Calculation'!B1000</f>
        <v>Tourism Flows</v>
      </c>
      <c r="C1128" s="47" t="str">
        <f>'Secondary cum Calculation'!C1000</f>
        <v>International Departures by Destination</v>
      </c>
      <c r="D1128" s="47" t="str">
        <f>'Secondary cum Calculation'!D1000</f>
        <v>South &amp; Central America</v>
      </c>
      <c r="E1128" s="46" t="str">
        <f>'Secondary cum Calculation'!E1000</f>
        <v>Peru</v>
      </c>
      <c r="F1128" s="48" t="str">
        <f>'Secondary cum Calculation'!F1000</f>
        <v>The number of international departures from a country to Peru</v>
      </c>
      <c r="G1128" s="48" t="str">
        <f>'Secondary cum Calculation'!G1000</f>
        <v>Tourism Demand &amp; Flows Database</v>
      </c>
      <c r="H1128" s="48" t="str">
        <f>'Secondary cum Calculation'!H1000</f>
        <v>New</v>
      </c>
      <c r="I1128" s="48">
        <f>'Secondary cum Calculation'!I1000</f>
        <v>0</v>
      </c>
      <c r="J1128" s="48" t="str">
        <f>'Secondary cum Calculation'!J1000</f>
        <v>Thousand</v>
      </c>
      <c r="K1128" s="49">
        <f>'Secondary cum Calculation'!K1000</f>
        <v>0</v>
      </c>
      <c r="L1128" s="92">
        <f>'Secondary cum Calculation'!L1000</f>
        <v>0</v>
      </c>
      <c r="M1128" s="92">
        <f>'Secondary cum Calculation'!M1000</f>
        <v>0</v>
      </c>
      <c r="N1128" s="92">
        <f>'Secondary cum Calculation'!N1000</f>
        <v>0</v>
      </c>
      <c r="O1128" s="53">
        <f>'Secondary cum Calculation'!O1000</f>
        <v>0</v>
      </c>
      <c r="P1128" s="53">
        <f>'Secondary cum Calculation'!P1000</f>
        <v>0</v>
      </c>
      <c r="Q1128" s="53"/>
      <c r="R1128" s="53"/>
      <c r="S1128" s="53"/>
      <c r="T1128" s="53"/>
      <c r="U1128" s="53"/>
      <c r="V1128" s="53"/>
      <c r="W1128" s="102" t="e">
        <f>'Secondary cum Calculation'!W1000</f>
        <v>#DIV/0!</v>
      </c>
      <c r="X1128" s="102" t="e">
        <f>'Secondary cum Calculation'!X1000</f>
        <v>#DIV/0!</v>
      </c>
      <c r="Z1128" s="11"/>
    </row>
    <row r="1129" spans="1:26">
      <c r="A1129" s="48"/>
      <c r="B1129" s="48"/>
      <c r="C1129" s="52" t="str">
        <f>'Secondary cum Calculation'!C1001</f>
        <v>Growth Rate</v>
      </c>
      <c r="D1129" s="52"/>
      <c r="E1129" s="52"/>
      <c r="F1129" s="52">
        <f>'Secondary cum Calculation'!F1001</f>
        <v>0</v>
      </c>
      <c r="G1129" s="52">
        <f>'Secondary cum Calculation'!G1001</f>
        <v>0</v>
      </c>
      <c r="H1129" s="52">
        <f>'Secondary cum Calculation'!H1001</f>
        <v>0</v>
      </c>
      <c r="I1129" s="52">
        <f>'Secondary cum Calculation'!I1001</f>
        <v>0</v>
      </c>
      <c r="J1129" s="52" t="str">
        <f>'Secondary cum Calculation'!J1001</f>
        <v>%</v>
      </c>
      <c r="K1129" s="49">
        <f>'Secondary cum Calculation'!K1001</f>
        <v>0</v>
      </c>
      <c r="L1129" s="53"/>
      <c r="M1129" s="54" t="e">
        <f>'Secondary cum Calculation'!M1001</f>
        <v>#DIV/0!</v>
      </c>
      <c r="N1129" s="54" t="e">
        <f>'Secondary cum Calculation'!N1001</f>
        <v>#DIV/0!</v>
      </c>
      <c r="O1129" s="54" t="e">
        <f>'Secondary cum Calculation'!O1001</f>
        <v>#DIV/0!</v>
      </c>
      <c r="P1129" s="54" t="e">
        <f>'Secondary cum Calculation'!P1001</f>
        <v>#DIV/0!</v>
      </c>
      <c r="Q1129" s="54"/>
      <c r="R1129" s="54"/>
      <c r="S1129" s="54"/>
      <c r="T1129" s="54"/>
      <c r="U1129" s="54"/>
      <c r="V1129" s="54"/>
      <c r="W1129" s="258"/>
      <c r="X1129" s="258"/>
    </row>
    <row r="1130" spans="1:26">
      <c r="A1130" s="46" t="str">
        <f>'Secondary cum Calculation'!A1002</f>
        <v>Poland</v>
      </c>
      <c r="B1130" s="47" t="str">
        <f>'Secondary cum Calculation'!B1002</f>
        <v>Tourism Flows</v>
      </c>
      <c r="C1130" s="47" t="str">
        <f>'Secondary cum Calculation'!C1002</f>
        <v>International Departures by Destination</v>
      </c>
      <c r="D1130" s="47" t="str">
        <f>'Secondary cum Calculation'!D1002</f>
        <v>South &amp; Central America</v>
      </c>
      <c r="E1130" s="46" t="str">
        <f>'Secondary cum Calculation'!E1002</f>
        <v>Puerto Rico</v>
      </c>
      <c r="F1130" s="48" t="str">
        <f>'Secondary cum Calculation'!F1002</f>
        <v>The number of international departures from a country to Puerto Rico</v>
      </c>
      <c r="G1130" s="48" t="str">
        <f>'Secondary cum Calculation'!G1002</f>
        <v>Tourism Demand &amp; Flows Database</v>
      </c>
      <c r="H1130" s="48" t="str">
        <f>'Secondary cum Calculation'!H1002</f>
        <v>New</v>
      </c>
      <c r="I1130" s="48">
        <f>'Secondary cum Calculation'!I1002</f>
        <v>0</v>
      </c>
      <c r="J1130" s="48" t="str">
        <f>'Secondary cum Calculation'!J1002</f>
        <v>Thousand</v>
      </c>
      <c r="K1130" s="49">
        <f>'Secondary cum Calculation'!K1002</f>
        <v>0</v>
      </c>
      <c r="L1130" s="92">
        <f>'Secondary cum Calculation'!L1002</f>
        <v>0</v>
      </c>
      <c r="M1130" s="92">
        <f>'Secondary cum Calculation'!M1002</f>
        <v>0</v>
      </c>
      <c r="N1130" s="92">
        <f>'Secondary cum Calculation'!N1002</f>
        <v>0</v>
      </c>
      <c r="O1130" s="53">
        <f>'Secondary cum Calculation'!O1002</f>
        <v>0</v>
      </c>
      <c r="P1130" s="53">
        <f>'Secondary cum Calculation'!P1002</f>
        <v>0</v>
      </c>
      <c r="Q1130" s="53"/>
      <c r="R1130" s="53"/>
      <c r="S1130" s="53"/>
      <c r="T1130" s="53"/>
      <c r="U1130" s="53"/>
      <c r="V1130" s="53"/>
      <c r="W1130" s="102" t="e">
        <f>'Secondary cum Calculation'!W1002</f>
        <v>#DIV/0!</v>
      </c>
      <c r="X1130" s="102" t="e">
        <f>'Secondary cum Calculation'!X1002</f>
        <v>#DIV/0!</v>
      </c>
      <c r="Z1130" s="11"/>
    </row>
    <row r="1131" spans="1:26">
      <c r="A1131" s="48"/>
      <c r="B1131" s="48"/>
      <c r="C1131" s="52" t="str">
        <f>'Secondary cum Calculation'!C1003</f>
        <v>Growth Rate</v>
      </c>
      <c r="D1131" s="52"/>
      <c r="E1131" s="52"/>
      <c r="F1131" s="52">
        <f>'Secondary cum Calculation'!F1003</f>
        <v>0</v>
      </c>
      <c r="G1131" s="52">
        <f>'Secondary cum Calculation'!G1003</f>
        <v>0</v>
      </c>
      <c r="H1131" s="52">
        <f>'Secondary cum Calculation'!H1003</f>
        <v>0</v>
      </c>
      <c r="I1131" s="52">
        <f>'Secondary cum Calculation'!I1003</f>
        <v>0</v>
      </c>
      <c r="J1131" s="52" t="str">
        <f>'Secondary cum Calculation'!J1003</f>
        <v>%</v>
      </c>
      <c r="K1131" s="49">
        <f>'Secondary cum Calculation'!K1003</f>
        <v>0</v>
      </c>
      <c r="L1131" s="53"/>
      <c r="M1131" s="54" t="e">
        <f>'Secondary cum Calculation'!M1003</f>
        <v>#DIV/0!</v>
      </c>
      <c r="N1131" s="54" t="e">
        <f>'Secondary cum Calculation'!N1003</f>
        <v>#DIV/0!</v>
      </c>
      <c r="O1131" s="54" t="e">
        <f>'Secondary cum Calculation'!O1003</f>
        <v>#DIV/0!</v>
      </c>
      <c r="P1131" s="54" t="e">
        <f>'Secondary cum Calculation'!P1003</f>
        <v>#DIV/0!</v>
      </c>
      <c r="Q1131" s="54"/>
      <c r="R1131" s="54"/>
      <c r="S1131" s="54"/>
      <c r="T1131" s="54"/>
      <c r="U1131" s="54"/>
      <c r="V1131" s="54"/>
      <c r="W1131" s="258"/>
      <c r="X1131" s="258"/>
    </row>
    <row r="1132" spans="1:26">
      <c r="A1132" s="46" t="str">
        <f>'Secondary cum Calculation'!A1004</f>
        <v>Poland</v>
      </c>
      <c r="B1132" s="47" t="str">
        <f>'Secondary cum Calculation'!B1004</f>
        <v>Tourism Flows</v>
      </c>
      <c r="C1132" s="47" t="str">
        <f>'Secondary cum Calculation'!C1004</f>
        <v>International Departures by Destination</v>
      </c>
      <c r="D1132" s="47" t="str">
        <f>'Secondary cum Calculation'!D1004</f>
        <v>South &amp; Central America</v>
      </c>
      <c r="E1132" s="46" t="str">
        <f>'Secondary cum Calculation'!E1004</f>
        <v>Saint Lucia</v>
      </c>
      <c r="F1132" s="48" t="str">
        <f>'Secondary cum Calculation'!F1004</f>
        <v>The number of international departures from a country to Saint Lucia</v>
      </c>
      <c r="G1132" s="48" t="str">
        <f>'Secondary cum Calculation'!G1004</f>
        <v>Tourism Demand &amp; Flows Database</v>
      </c>
      <c r="H1132" s="48" t="str">
        <f>'Secondary cum Calculation'!H1004</f>
        <v>New</v>
      </c>
      <c r="I1132" s="48">
        <f>'Secondary cum Calculation'!I1004</f>
        <v>0</v>
      </c>
      <c r="J1132" s="48" t="str">
        <f>'Secondary cum Calculation'!J1004</f>
        <v>Thousand</v>
      </c>
      <c r="K1132" s="49">
        <f>'Secondary cum Calculation'!K1004</f>
        <v>0</v>
      </c>
      <c r="L1132" s="92">
        <f>'Secondary cum Calculation'!L1004</f>
        <v>0</v>
      </c>
      <c r="M1132" s="92">
        <f>'Secondary cum Calculation'!M1004</f>
        <v>0</v>
      </c>
      <c r="N1132" s="92">
        <f>'Secondary cum Calculation'!N1004</f>
        <v>0</v>
      </c>
      <c r="O1132" s="53">
        <f>'Secondary cum Calculation'!O1004</f>
        <v>0</v>
      </c>
      <c r="P1132" s="53">
        <f>'Secondary cum Calculation'!P1004</f>
        <v>0</v>
      </c>
      <c r="Q1132" s="53"/>
      <c r="R1132" s="53"/>
      <c r="S1132" s="53"/>
      <c r="T1132" s="53"/>
      <c r="U1132" s="53"/>
      <c r="V1132" s="53"/>
      <c r="W1132" s="102" t="e">
        <f>'Secondary cum Calculation'!W1004</f>
        <v>#DIV/0!</v>
      </c>
      <c r="X1132" s="102" t="e">
        <f>'Secondary cum Calculation'!X1004</f>
        <v>#DIV/0!</v>
      </c>
      <c r="Z1132" s="11"/>
    </row>
    <row r="1133" spans="1:26">
      <c r="A1133" s="48"/>
      <c r="B1133" s="48"/>
      <c r="C1133" s="52" t="str">
        <f>'Secondary cum Calculation'!C1005</f>
        <v>Growth Rate</v>
      </c>
      <c r="D1133" s="52"/>
      <c r="E1133" s="52"/>
      <c r="F1133" s="52">
        <f>'Secondary cum Calculation'!F1005</f>
        <v>0</v>
      </c>
      <c r="G1133" s="52">
        <f>'Secondary cum Calculation'!G1005</f>
        <v>0</v>
      </c>
      <c r="H1133" s="52">
        <f>'Secondary cum Calculation'!H1005</f>
        <v>0</v>
      </c>
      <c r="I1133" s="52">
        <f>'Secondary cum Calculation'!I1005</f>
        <v>0</v>
      </c>
      <c r="J1133" s="52" t="str">
        <f>'Secondary cum Calculation'!J1005</f>
        <v>%</v>
      </c>
      <c r="K1133" s="49">
        <f>'Secondary cum Calculation'!K1005</f>
        <v>0</v>
      </c>
      <c r="L1133" s="53"/>
      <c r="M1133" s="54" t="e">
        <f>'Secondary cum Calculation'!M1005</f>
        <v>#DIV/0!</v>
      </c>
      <c r="N1133" s="54" t="e">
        <f>'Secondary cum Calculation'!N1005</f>
        <v>#DIV/0!</v>
      </c>
      <c r="O1133" s="54" t="e">
        <f>'Secondary cum Calculation'!O1005</f>
        <v>#DIV/0!</v>
      </c>
      <c r="P1133" s="54" t="e">
        <f>'Secondary cum Calculation'!P1005</f>
        <v>#DIV/0!</v>
      </c>
      <c r="Q1133" s="54"/>
      <c r="R1133" s="54"/>
      <c r="S1133" s="54"/>
      <c r="T1133" s="54"/>
      <c r="U1133" s="54"/>
      <c r="V1133" s="54"/>
      <c r="W1133" s="258"/>
      <c r="X1133" s="258"/>
    </row>
    <row r="1134" spans="1:26">
      <c r="A1134" s="46" t="str">
        <f>'Secondary cum Calculation'!A1006</f>
        <v>Poland</v>
      </c>
      <c r="B1134" s="47" t="str">
        <f>'Secondary cum Calculation'!B1006</f>
        <v>Tourism Flows</v>
      </c>
      <c r="C1134" s="47" t="str">
        <f>'Secondary cum Calculation'!C1006</f>
        <v>International Departures by Destination</v>
      </c>
      <c r="D1134" s="47" t="str">
        <f>'Secondary cum Calculation'!D1006</f>
        <v>South &amp; Central America</v>
      </c>
      <c r="E1134" s="46" t="str">
        <f>'Secondary cum Calculation'!E1006</f>
        <v>Sao Tome and Principe</v>
      </c>
      <c r="F1134" s="48" t="str">
        <f>'Secondary cum Calculation'!F1006</f>
        <v>The number of international departures from a country to Sao Tome and Principe</v>
      </c>
      <c r="G1134" s="48" t="str">
        <f>'Secondary cum Calculation'!G1006</f>
        <v>Tourism Demand &amp; Flows Database</v>
      </c>
      <c r="H1134" s="48" t="str">
        <f>'Secondary cum Calculation'!H1006</f>
        <v>New</v>
      </c>
      <c r="I1134" s="48">
        <f>'Secondary cum Calculation'!I1006</f>
        <v>0</v>
      </c>
      <c r="J1134" s="48" t="str">
        <f>'Secondary cum Calculation'!J1006</f>
        <v>Thousand</v>
      </c>
      <c r="K1134" s="49">
        <f>'Secondary cum Calculation'!K1006</f>
        <v>0</v>
      </c>
      <c r="L1134" s="92">
        <f>'Secondary cum Calculation'!L1006</f>
        <v>0</v>
      </c>
      <c r="M1134" s="92">
        <f>'Secondary cum Calculation'!M1006</f>
        <v>0</v>
      </c>
      <c r="N1134" s="92">
        <f>'Secondary cum Calculation'!N1006</f>
        <v>0</v>
      </c>
      <c r="O1134" s="53">
        <f>'Secondary cum Calculation'!O1006</f>
        <v>0</v>
      </c>
      <c r="P1134" s="53">
        <f>'Secondary cum Calculation'!P1006</f>
        <v>0</v>
      </c>
      <c r="Q1134" s="53"/>
      <c r="R1134" s="53"/>
      <c r="S1134" s="53"/>
      <c r="T1134" s="53"/>
      <c r="U1134" s="53"/>
      <c r="V1134" s="53"/>
      <c r="W1134" s="102" t="e">
        <f>'Secondary cum Calculation'!W1006</f>
        <v>#DIV/0!</v>
      </c>
      <c r="X1134" s="102" t="e">
        <f>'Secondary cum Calculation'!X1006</f>
        <v>#DIV/0!</v>
      </c>
      <c r="Z1134" s="11"/>
    </row>
    <row r="1135" spans="1:26">
      <c r="A1135" s="48"/>
      <c r="B1135" s="48"/>
      <c r="C1135" s="52" t="str">
        <f>'Secondary cum Calculation'!C1007</f>
        <v>Growth Rate</v>
      </c>
      <c r="D1135" s="52"/>
      <c r="E1135" s="52"/>
      <c r="F1135" s="52">
        <f>'Secondary cum Calculation'!F1007</f>
        <v>0</v>
      </c>
      <c r="G1135" s="52">
        <f>'Secondary cum Calculation'!G1007</f>
        <v>0</v>
      </c>
      <c r="H1135" s="52">
        <f>'Secondary cum Calculation'!H1007</f>
        <v>0</v>
      </c>
      <c r="I1135" s="52">
        <f>'Secondary cum Calculation'!I1007</f>
        <v>0</v>
      </c>
      <c r="J1135" s="52" t="str">
        <f>'Secondary cum Calculation'!J1007</f>
        <v>%</v>
      </c>
      <c r="K1135" s="49">
        <f>'Secondary cum Calculation'!K1007</f>
        <v>0</v>
      </c>
      <c r="L1135" s="53"/>
      <c r="M1135" s="54" t="e">
        <f>'Secondary cum Calculation'!M1007</f>
        <v>#DIV/0!</v>
      </c>
      <c r="N1135" s="54" t="e">
        <f>'Secondary cum Calculation'!N1007</f>
        <v>#DIV/0!</v>
      </c>
      <c r="O1135" s="54" t="e">
        <f>'Secondary cum Calculation'!O1007</f>
        <v>#DIV/0!</v>
      </c>
      <c r="P1135" s="54" t="e">
        <f>'Secondary cum Calculation'!P1007</f>
        <v>#DIV/0!</v>
      </c>
      <c r="Q1135" s="54"/>
      <c r="R1135" s="54"/>
      <c r="S1135" s="54"/>
      <c r="T1135" s="54"/>
      <c r="U1135" s="54"/>
      <c r="V1135" s="54"/>
      <c r="W1135" s="258"/>
      <c r="X1135" s="258"/>
    </row>
    <row r="1136" spans="1:26">
      <c r="A1136" s="46" t="str">
        <f>'Secondary cum Calculation'!A1008</f>
        <v>Poland</v>
      </c>
      <c r="B1136" s="47" t="str">
        <f>'Secondary cum Calculation'!B1008</f>
        <v>Tourism Flows</v>
      </c>
      <c r="C1136" s="47" t="str">
        <f>'Secondary cum Calculation'!C1008</f>
        <v>International Departures by Destination</v>
      </c>
      <c r="D1136" s="47" t="str">
        <f>'Secondary cum Calculation'!D1008</f>
        <v>South &amp; Central America</v>
      </c>
      <c r="E1136" s="46" t="str">
        <f>'Secondary cum Calculation'!E1008</f>
        <v>St. Vincent and the Grenadines</v>
      </c>
      <c r="F1136" s="48" t="str">
        <f>'Secondary cum Calculation'!F1008</f>
        <v>The number of international departures from a country to St. Vincent and the Grenadines</v>
      </c>
      <c r="G1136" s="48" t="str">
        <f>'Secondary cum Calculation'!G1008</f>
        <v>Tourism Demand &amp; Flows Database</v>
      </c>
      <c r="H1136" s="48" t="str">
        <f>'Secondary cum Calculation'!H1008</f>
        <v>New</v>
      </c>
      <c r="I1136" s="48">
        <f>'Secondary cum Calculation'!I1008</f>
        <v>0</v>
      </c>
      <c r="J1136" s="48" t="str">
        <f>'Secondary cum Calculation'!J1008</f>
        <v>Thousand</v>
      </c>
      <c r="K1136" s="49">
        <f>'Secondary cum Calculation'!K1008</f>
        <v>0</v>
      </c>
      <c r="L1136" s="92">
        <f>'Secondary cum Calculation'!L1008</f>
        <v>0</v>
      </c>
      <c r="M1136" s="92">
        <f>'Secondary cum Calculation'!M1008</f>
        <v>0</v>
      </c>
      <c r="N1136" s="92">
        <f>'Secondary cum Calculation'!N1008</f>
        <v>0</v>
      </c>
      <c r="O1136" s="53">
        <f>'Secondary cum Calculation'!O1008</f>
        <v>0</v>
      </c>
      <c r="P1136" s="53">
        <f>'Secondary cum Calculation'!P1008</f>
        <v>0</v>
      </c>
      <c r="Q1136" s="53"/>
      <c r="R1136" s="53"/>
      <c r="S1136" s="53"/>
      <c r="T1136" s="53"/>
      <c r="U1136" s="53"/>
      <c r="V1136" s="53"/>
      <c r="W1136" s="102" t="e">
        <f>'Secondary cum Calculation'!W1008</f>
        <v>#DIV/0!</v>
      </c>
      <c r="X1136" s="102" t="e">
        <f>'Secondary cum Calculation'!X1008</f>
        <v>#DIV/0!</v>
      </c>
      <c r="Z1136" s="11"/>
    </row>
    <row r="1137" spans="1:26">
      <c r="A1137" s="48"/>
      <c r="B1137" s="48"/>
      <c r="C1137" s="52" t="str">
        <f>'Secondary cum Calculation'!C1009</f>
        <v>Growth Rate</v>
      </c>
      <c r="D1137" s="52"/>
      <c r="E1137" s="52"/>
      <c r="F1137" s="52">
        <f>'Secondary cum Calculation'!F1009</f>
        <v>0</v>
      </c>
      <c r="G1137" s="52">
        <f>'Secondary cum Calculation'!G1009</f>
        <v>0</v>
      </c>
      <c r="H1137" s="52">
        <f>'Secondary cum Calculation'!H1009</f>
        <v>0</v>
      </c>
      <c r="I1137" s="52">
        <f>'Secondary cum Calculation'!I1009</f>
        <v>0</v>
      </c>
      <c r="J1137" s="52" t="str">
        <f>'Secondary cum Calculation'!J1009</f>
        <v>%</v>
      </c>
      <c r="K1137" s="49">
        <f>'Secondary cum Calculation'!K1009</f>
        <v>0</v>
      </c>
      <c r="L1137" s="53"/>
      <c r="M1137" s="54" t="e">
        <f>'Secondary cum Calculation'!M1009</f>
        <v>#DIV/0!</v>
      </c>
      <c r="N1137" s="54" t="e">
        <f>'Secondary cum Calculation'!N1009</f>
        <v>#DIV/0!</v>
      </c>
      <c r="O1137" s="54" t="e">
        <f>'Secondary cum Calculation'!O1009</f>
        <v>#DIV/0!</v>
      </c>
      <c r="P1137" s="54" t="e">
        <f>'Secondary cum Calculation'!P1009</f>
        <v>#DIV/0!</v>
      </c>
      <c r="Q1137" s="54"/>
      <c r="R1137" s="54"/>
      <c r="S1137" s="54"/>
      <c r="T1137" s="54"/>
      <c r="U1137" s="54"/>
      <c r="V1137" s="54"/>
      <c r="W1137" s="258"/>
      <c r="X1137" s="258"/>
    </row>
    <row r="1138" spans="1:26">
      <c r="A1138" s="46" t="str">
        <f>'Secondary cum Calculation'!A1010</f>
        <v>Poland</v>
      </c>
      <c r="B1138" s="47" t="str">
        <f>'Secondary cum Calculation'!B1010</f>
        <v>Tourism Flows</v>
      </c>
      <c r="C1138" s="47" t="str">
        <f>'Secondary cum Calculation'!C1010</f>
        <v>International Departures by Destination</v>
      </c>
      <c r="D1138" s="47" t="str">
        <f>'Secondary cum Calculation'!D1010</f>
        <v>South &amp; Central America</v>
      </c>
      <c r="E1138" s="46" t="str">
        <f>'Secondary cum Calculation'!E1010</f>
        <v>Suriname</v>
      </c>
      <c r="F1138" s="48" t="str">
        <f>'Secondary cum Calculation'!F1010</f>
        <v>The number of international departures from a country to Suriname</v>
      </c>
      <c r="G1138" s="48" t="str">
        <f>'Secondary cum Calculation'!G1010</f>
        <v>Tourism Demand &amp; Flows Database</v>
      </c>
      <c r="H1138" s="48" t="str">
        <f>'Secondary cum Calculation'!H1010</f>
        <v>New</v>
      </c>
      <c r="I1138" s="48">
        <f>'Secondary cum Calculation'!I1010</f>
        <v>0</v>
      </c>
      <c r="J1138" s="48" t="str">
        <f>'Secondary cum Calculation'!J1010</f>
        <v>Thousand</v>
      </c>
      <c r="K1138" s="49">
        <f>'Secondary cum Calculation'!K1010</f>
        <v>0</v>
      </c>
      <c r="L1138" s="92">
        <f>'Secondary cum Calculation'!L1010</f>
        <v>0</v>
      </c>
      <c r="M1138" s="92">
        <f>'Secondary cum Calculation'!M1010</f>
        <v>0</v>
      </c>
      <c r="N1138" s="92">
        <f>'Secondary cum Calculation'!N1010</f>
        <v>0</v>
      </c>
      <c r="O1138" s="53">
        <f>'Secondary cum Calculation'!O1010</f>
        <v>0</v>
      </c>
      <c r="P1138" s="53">
        <f>'Secondary cum Calculation'!P1010</f>
        <v>0</v>
      </c>
      <c r="Q1138" s="53"/>
      <c r="R1138" s="53"/>
      <c r="S1138" s="53"/>
      <c r="T1138" s="53"/>
      <c r="U1138" s="53"/>
      <c r="V1138" s="53"/>
      <c r="W1138" s="102" t="e">
        <f>'Secondary cum Calculation'!W1010</f>
        <v>#DIV/0!</v>
      </c>
      <c r="X1138" s="102" t="e">
        <f>'Secondary cum Calculation'!X1010</f>
        <v>#DIV/0!</v>
      </c>
      <c r="Z1138" s="11"/>
    </row>
    <row r="1139" spans="1:26">
      <c r="A1139" s="48"/>
      <c r="B1139" s="48"/>
      <c r="C1139" s="52" t="str">
        <f>'Secondary cum Calculation'!C1011</f>
        <v>Growth Rate</v>
      </c>
      <c r="D1139" s="52"/>
      <c r="E1139" s="52"/>
      <c r="F1139" s="52">
        <f>'Secondary cum Calculation'!F1011</f>
        <v>0</v>
      </c>
      <c r="G1139" s="52">
        <f>'Secondary cum Calculation'!G1011</f>
        <v>0</v>
      </c>
      <c r="H1139" s="52">
        <f>'Secondary cum Calculation'!H1011</f>
        <v>0</v>
      </c>
      <c r="I1139" s="52">
        <f>'Secondary cum Calculation'!I1011</f>
        <v>0</v>
      </c>
      <c r="J1139" s="52" t="str">
        <f>'Secondary cum Calculation'!J1011</f>
        <v>%</v>
      </c>
      <c r="K1139" s="49">
        <f>'Secondary cum Calculation'!K1011</f>
        <v>0</v>
      </c>
      <c r="L1139" s="53"/>
      <c r="M1139" s="54" t="e">
        <f>'Secondary cum Calculation'!M1011</f>
        <v>#DIV/0!</v>
      </c>
      <c r="N1139" s="54" t="e">
        <f>'Secondary cum Calculation'!N1011</f>
        <v>#DIV/0!</v>
      </c>
      <c r="O1139" s="54" t="e">
        <f>'Secondary cum Calculation'!O1011</f>
        <v>#DIV/0!</v>
      </c>
      <c r="P1139" s="54" t="e">
        <f>'Secondary cum Calculation'!P1011</f>
        <v>#DIV/0!</v>
      </c>
      <c r="Q1139" s="54"/>
      <c r="R1139" s="54"/>
      <c r="S1139" s="54"/>
      <c r="T1139" s="54"/>
      <c r="U1139" s="54"/>
      <c r="V1139" s="54"/>
      <c r="W1139" s="258"/>
      <c r="X1139" s="258"/>
    </row>
    <row r="1140" spans="1:26">
      <c r="A1140" s="46" t="str">
        <f>'Secondary cum Calculation'!A1012</f>
        <v>Poland</v>
      </c>
      <c r="B1140" s="47" t="str">
        <f>'Secondary cum Calculation'!B1012</f>
        <v>Tourism Flows</v>
      </c>
      <c r="C1140" s="47" t="str">
        <f>'Secondary cum Calculation'!C1012</f>
        <v>International Departures by Destination</v>
      </c>
      <c r="D1140" s="47" t="str">
        <f>'Secondary cum Calculation'!D1012</f>
        <v>South &amp; Central America</v>
      </c>
      <c r="E1140" s="46" t="str">
        <f>'Secondary cum Calculation'!E1012</f>
        <v>Trinidad and Tobago</v>
      </c>
      <c r="F1140" s="48" t="str">
        <f>'Secondary cum Calculation'!F1012</f>
        <v>The number of international departures from a country to Trinidad and Tobago</v>
      </c>
      <c r="G1140" s="48" t="str">
        <f>'Secondary cum Calculation'!G1012</f>
        <v>Tourism Demand &amp; Flows Database</v>
      </c>
      <c r="H1140" s="48" t="str">
        <f>'Secondary cum Calculation'!H1012</f>
        <v>New</v>
      </c>
      <c r="I1140" s="48">
        <f>'Secondary cum Calculation'!I1012</f>
        <v>0</v>
      </c>
      <c r="J1140" s="48" t="str">
        <f>'Secondary cum Calculation'!J1012</f>
        <v>Thousand</v>
      </c>
      <c r="K1140" s="49">
        <f>'Secondary cum Calculation'!K1012</f>
        <v>0</v>
      </c>
      <c r="L1140" s="92">
        <f>'Secondary cum Calculation'!L1012</f>
        <v>0</v>
      </c>
      <c r="M1140" s="92">
        <f>'Secondary cum Calculation'!M1012</f>
        <v>0</v>
      </c>
      <c r="N1140" s="92">
        <f>'Secondary cum Calculation'!N1012</f>
        <v>0</v>
      </c>
      <c r="O1140" s="53">
        <f>'Secondary cum Calculation'!O1012</f>
        <v>0</v>
      </c>
      <c r="P1140" s="53">
        <f>'Secondary cum Calculation'!P1012</f>
        <v>0</v>
      </c>
      <c r="Q1140" s="53"/>
      <c r="R1140" s="53"/>
      <c r="S1140" s="53"/>
      <c r="T1140" s="53"/>
      <c r="U1140" s="53"/>
      <c r="V1140" s="53"/>
      <c r="W1140" s="102" t="e">
        <f>'Secondary cum Calculation'!W1012</f>
        <v>#DIV/0!</v>
      </c>
      <c r="X1140" s="102" t="e">
        <f>'Secondary cum Calculation'!X1012</f>
        <v>#DIV/0!</v>
      </c>
      <c r="Z1140" s="11"/>
    </row>
    <row r="1141" spans="1:26">
      <c r="A1141" s="48"/>
      <c r="B1141" s="48"/>
      <c r="C1141" s="52" t="str">
        <f>'Secondary cum Calculation'!C1013</f>
        <v>Growth Rate</v>
      </c>
      <c r="D1141" s="52"/>
      <c r="E1141" s="52"/>
      <c r="F1141" s="52">
        <f>'Secondary cum Calculation'!F1013</f>
        <v>0</v>
      </c>
      <c r="G1141" s="52">
        <f>'Secondary cum Calculation'!G1013</f>
        <v>0</v>
      </c>
      <c r="H1141" s="52">
        <f>'Secondary cum Calculation'!H1013</f>
        <v>0</v>
      </c>
      <c r="I1141" s="52">
        <f>'Secondary cum Calculation'!I1013</f>
        <v>0</v>
      </c>
      <c r="J1141" s="52" t="str">
        <f>'Secondary cum Calculation'!J1013</f>
        <v>%</v>
      </c>
      <c r="K1141" s="49">
        <f>'Secondary cum Calculation'!K1013</f>
        <v>0</v>
      </c>
      <c r="L1141" s="53"/>
      <c r="M1141" s="54" t="e">
        <f>'Secondary cum Calculation'!M1013</f>
        <v>#DIV/0!</v>
      </c>
      <c r="N1141" s="54" t="e">
        <f>'Secondary cum Calculation'!N1013</f>
        <v>#DIV/0!</v>
      </c>
      <c r="O1141" s="54" t="e">
        <f>'Secondary cum Calculation'!O1013</f>
        <v>#DIV/0!</v>
      </c>
      <c r="P1141" s="54" t="e">
        <f>'Secondary cum Calculation'!P1013</f>
        <v>#DIV/0!</v>
      </c>
      <c r="Q1141" s="54"/>
      <c r="R1141" s="54"/>
      <c r="S1141" s="54"/>
      <c r="T1141" s="54"/>
      <c r="U1141" s="54"/>
      <c r="V1141" s="54"/>
      <c r="W1141" s="258"/>
      <c r="X1141" s="258"/>
    </row>
    <row r="1142" spans="1:26">
      <c r="A1142" s="46" t="str">
        <f>'Secondary cum Calculation'!A1014</f>
        <v>Poland</v>
      </c>
      <c r="B1142" s="47" t="str">
        <f>'Secondary cum Calculation'!B1014</f>
        <v>Tourism Flows</v>
      </c>
      <c r="C1142" s="47" t="str">
        <f>'Secondary cum Calculation'!C1014</f>
        <v>International Departures by Destination</v>
      </c>
      <c r="D1142" s="47" t="str">
        <f>'Secondary cum Calculation'!D1014</f>
        <v>South &amp; Central America</v>
      </c>
      <c r="E1142" s="46" t="str">
        <f>'Secondary cum Calculation'!E1014</f>
        <v>United States Virgin Islands</v>
      </c>
      <c r="F1142" s="48" t="str">
        <f>'Secondary cum Calculation'!F1014</f>
        <v>The number of international departures from a country to United States Virgin Islands</v>
      </c>
      <c r="G1142" s="48" t="str">
        <f>'Secondary cum Calculation'!G1014</f>
        <v>Tourism Demand &amp; Flows Database</v>
      </c>
      <c r="H1142" s="48" t="str">
        <f>'Secondary cum Calculation'!H1014</f>
        <v>New</v>
      </c>
      <c r="I1142" s="48">
        <f>'Secondary cum Calculation'!I1014</f>
        <v>0</v>
      </c>
      <c r="J1142" s="48" t="str">
        <f>'Secondary cum Calculation'!J1014</f>
        <v>Thousand</v>
      </c>
      <c r="K1142" s="49">
        <f>'Secondary cum Calculation'!K1014</f>
        <v>0</v>
      </c>
      <c r="L1142" s="92">
        <f>'Secondary cum Calculation'!L1014</f>
        <v>0</v>
      </c>
      <c r="M1142" s="92">
        <f>'Secondary cum Calculation'!M1014</f>
        <v>0</v>
      </c>
      <c r="N1142" s="92">
        <f>'Secondary cum Calculation'!N1014</f>
        <v>0</v>
      </c>
      <c r="O1142" s="53">
        <f>'Secondary cum Calculation'!O1014</f>
        <v>0</v>
      </c>
      <c r="P1142" s="53">
        <f>'Secondary cum Calculation'!P1014</f>
        <v>0</v>
      </c>
      <c r="Q1142" s="53"/>
      <c r="R1142" s="53"/>
      <c r="S1142" s="53"/>
      <c r="T1142" s="53"/>
      <c r="U1142" s="53"/>
      <c r="V1142" s="53"/>
      <c r="W1142" s="102" t="e">
        <f>'Secondary cum Calculation'!W1014</f>
        <v>#DIV/0!</v>
      </c>
      <c r="X1142" s="102" t="e">
        <f>'Secondary cum Calculation'!X1014</f>
        <v>#DIV/0!</v>
      </c>
      <c r="Z1142" s="11"/>
    </row>
    <row r="1143" spans="1:26">
      <c r="A1143" s="48"/>
      <c r="B1143" s="48"/>
      <c r="C1143" s="52" t="str">
        <f>'Secondary cum Calculation'!C1015</f>
        <v>Growth Rate</v>
      </c>
      <c r="D1143" s="52"/>
      <c r="E1143" s="52"/>
      <c r="F1143" s="52">
        <f>'Secondary cum Calculation'!F1015</f>
        <v>0</v>
      </c>
      <c r="G1143" s="52">
        <f>'Secondary cum Calculation'!G1015</f>
        <v>0</v>
      </c>
      <c r="H1143" s="52">
        <f>'Secondary cum Calculation'!H1015</f>
        <v>0</v>
      </c>
      <c r="I1143" s="52">
        <f>'Secondary cum Calculation'!I1015</f>
        <v>0</v>
      </c>
      <c r="J1143" s="52" t="str">
        <f>'Secondary cum Calculation'!J1015</f>
        <v>%</v>
      </c>
      <c r="K1143" s="49">
        <f>'Secondary cum Calculation'!K1015</f>
        <v>0</v>
      </c>
      <c r="L1143" s="53"/>
      <c r="M1143" s="54" t="e">
        <f>'Secondary cum Calculation'!M1015</f>
        <v>#DIV/0!</v>
      </c>
      <c r="N1143" s="54" t="e">
        <f>'Secondary cum Calculation'!N1015</f>
        <v>#DIV/0!</v>
      </c>
      <c r="O1143" s="54" t="e">
        <f>'Secondary cum Calculation'!O1015</f>
        <v>#DIV/0!</v>
      </c>
      <c r="P1143" s="54" t="e">
        <f>'Secondary cum Calculation'!P1015</f>
        <v>#DIV/0!</v>
      </c>
      <c r="Q1143" s="54"/>
      <c r="R1143" s="54"/>
      <c r="S1143" s="54"/>
      <c r="T1143" s="54"/>
      <c r="U1143" s="54"/>
      <c r="V1143" s="54"/>
      <c r="W1143" s="258"/>
      <c r="X1143" s="258"/>
    </row>
    <row r="1144" spans="1:26">
      <c r="A1144" s="46" t="str">
        <f>'Secondary cum Calculation'!A1016</f>
        <v>Poland</v>
      </c>
      <c r="B1144" s="47" t="str">
        <f>'Secondary cum Calculation'!B1016</f>
        <v>Tourism Flows</v>
      </c>
      <c r="C1144" s="47" t="str">
        <f>'Secondary cum Calculation'!C1016</f>
        <v>International Departures by Destination</v>
      </c>
      <c r="D1144" s="47" t="str">
        <f>'Secondary cum Calculation'!D1016</f>
        <v>South &amp; Central America</v>
      </c>
      <c r="E1144" s="46" t="str">
        <f>'Secondary cum Calculation'!E1016</f>
        <v>Uruguay</v>
      </c>
      <c r="F1144" s="48" t="str">
        <f>'Secondary cum Calculation'!F1016</f>
        <v>The number of international departures from a country to Uruguay</v>
      </c>
      <c r="G1144" s="48" t="str">
        <f>'Secondary cum Calculation'!G1016</f>
        <v>Tourism Demand &amp; Flows Database</v>
      </c>
      <c r="H1144" s="48" t="str">
        <f>'Secondary cum Calculation'!H1016</f>
        <v>New</v>
      </c>
      <c r="I1144" s="48">
        <f>'Secondary cum Calculation'!I1016</f>
        <v>0</v>
      </c>
      <c r="J1144" s="48" t="str">
        <f>'Secondary cum Calculation'!J1016</f>
        <v>Thousand</v>
      </c>
      <c r="K1144" s="49">
        <f>'Secondary cum Calculation'!K1016</f>
        <v>0</v>
      </c>
      <c r="L1144" s="92">
        <f>'Secondary cum Calculation'!L1016</f>
        <v>0</v>
      </c>
      <c r="M1144" s="92">
        <f>'Secondary cum Calculation'!M1016</f>
        <v>0</v>
      </c>
      <c r="N1144" s="92">
        <f>'Secondary cum Calculation'!N1016</f>
        <v>0</v>
      </c>
      <c r="O1144" s="53">
        <f>'Secondary cum Calculation'!O1016</f>
        <v>0</v>
      </c>
      <c r="P1144" s="53">
        <f>'Secondary cum Calculation'!P1016</f>
        <v>0</v>
      </c>
      <c r="Q1144" s="53"/>
      <c r="R1144" s="53"/>
      <c r="S1144" s="53"/>
      <c r="T1144" s="53"/>
      <c r="U1144" s="53"/>
      <c r="V1144" s="53"/>
      <c r="W1144" s="102" t="e">
        <f>'Secondary cum Calculation'!W1016</f>
        <v>#DIV/0!</v>
      </c>
      <c r="X1144" s="102" t="e">
        <f>'Secondary cum Calculation'!X1016</f>
        <v>#DIV/0!</v>
      </c>
      <c r="Z1144" s="11"/>
    </row>
    <row r="1145" spans="1:26">
      <c r="A1145" s="48"/>
      <c r="B1145" s="48"/>
      <c r="C1145" s="52" t="str">
        <f>'Secondary cum Calculation'!C1017</f>
        <v>Growth Rate</v>
      </c>
      <c r="D1145" s="52"/>
      <c r="E1145" s="52"/>
      <c r="F1145" s="52">
        <f>'Secondary cum Calculation'!F1017</f>
        <v>0</v>
      </c>
      <c r="G1145" s="52">
        <f>'Secondary cum Calculation'!G1017</f>
        <v>0</v>
      </c>
      <c r="H1145" s="52">
        <f>'Secondary cum Calculation'!H1017</f>
        <v>0</v>
      </c>
      <c r="I1145" s="52">
        <f>'Secondary cum Calculation'!I1017</f>
        <v>0</v>
      </c>
      <c r="J1145" s="52" t="str">
        <f>'Secondary cum Calculation'!J1017</f>
        <v>%</v>
      </c>
      <c r="K1145" s="49">
        <f>'Secondary cum Calculation'!K1017</f>
        <v>0</v>
      </c>
      <c r="L1145" s="53"/>
      <c r="M1145" s="54" t="e">
        <f>'Secondary cum Calculation'!M1017</f>
        <v>#DIV/0!</v>
      </c>
      <c r="N1145" s="54" t="e">
        <f>'Secondary cum Calculation'!N1017</f>
        <v>#DIV/0!</v>
      </c>
      <c r="O1145" s="54" t="e">
        <f>'Secondary cum Calculation'!O1017</f>
        <v>#DIV/0!</v>
      </c>
      <c r="P1145" s="54" t="e">
        <f>'Secondary cum Calculation'!P1017</f>
        <v>#DIV/0!</v>
      </c>
      <c r="Q1145" s="54"/>
      <c r="R1145" s="54"/>
      <c r="S1145" s="54"/>
      <c r="T1145" s="54"/>
      <c r="U1145" s="54"/>
      <c r="V1145" s="54"/>
      <c r="W1145" s="258"/>
      <c r="X1145" s="258"/>
    </row>
    <row r="1146" spans="1:26">
      <c r="A1146" s="46" t="str">
        <f>'Secondary cum Calculation'!A1018</f>
        <v>Poland</v>
      </c>
      <c r="B1146" s="47" t="str">
        <f>'Secondary cum Calculation'!B1018</f>
        <v>Tourism Flows</v>
      </c>
      <c r="C1146" s="47" t="str">
        <f>'Secondary cum Calculation'!C1018</f>
        <v>International Departures by Destination</v>
      </c>
      <c r="D1146" s="47" t="str">
        <f>'Secondary cum Calculation'!D1018</f>
        <v>South &amp; Central America</v>
      </c>
      <c r="E1146" s="46" t="str">
        <f>'Secondary cum Calculation'!E1018</f>
        <v>Venezuela</v>
      </c>
      <c r="F1146" s="48" t="str">
        <f>'Secondary cum Calculation'!F1018</f>
        <v>The number of international departures from a country to Venezuela</v>
      </c>
      <c r="G1146" s="48" t="str">
        <f>'Secondary cum Calculation'!G1018</f>
        <v>Tourism Demand &amp; Flows Database</v>
      </c>
      <c r="H1146" s="48" t="str">
        <f>'Secondary cum Calculation'!H1018</f>
        <v>New</v>
      </c>
      <c r="I1146" s="48">
        <f>'Secondary cum Calculation'!I1018</f>
        <v>0</v>
      </c>
      <c r="J1146" s="48" t="str">
        <f>'Secondary cum Calculation'!J1018</f>
        <v>Thousand</v>
      </c>
      <c r="K1146" s="49">
        <f>'Secondary cum Calculation'!K1018</f>
        <v>0</v>
      </c>
      <c r="L1146" s="92">
        <f>'Secondary cum Calculation'!L1018</f>
        <v>0</v>
      </c>
      <c r="M1146" s="92">
        <f>'Secondary cum Calculation'!M1018</f>
        <v>0</v>
      </c>
      <c r="N1146" s="92">
        <f>'Secondary cum Calculation'!N1018</f>
        <v>0</v>
      </c>
      <c r="O1146" s="53">
        <f>'Secondary cum Calculation'!O1018</f>
        <v>0</v>
      </c>
      <c r="P1146" s="53">
        <f>'Secondary cum Calculation'!P1018</f>
        <v>0</v>
      </c>
      <c r="Q1146" s="53"/>
      <c r="R1146" s="53"/>
      <c r="S1146" s="53"/>
      <c r="T1146" s="53"/>
      <c r="U1146" s="53"/>
      <c r="V1146" s="53"/>
      <c r="W1146" s="102" t="e">
        <f>'Secondary cum Calculation'!W1018</f>
        <v>#DIV/0!</v>
      </c>
      <c r="X1146" s="102" t="e">
        <f>'Secondary cum Calculation'!X1018</f>
        <v>#DIV/0!</v>
      </c>
      <c r="Z1146" s="11"/>
    </row>
    <row r="1147" spans="1:26">
      <c r="A1147" s="48"/>
      <c r="B1147" s="48"/>
      <c r="C1147" s="52" t="str">
        <f>'Secondary cum Calculation'!C1019</f>
        <v>Growth Rate</v>
      </c>
      <c r="D1147" s="52"/>
      <c r="E1147" s="52"/>
      <c r="F1147" s="52">
        <f>'Secondary cum Calculation'!F1019</f>
        <v>0</v>
      </c>
      <c r="G1147" s="52">
        <f>'Secondary cum Calculation'!G1019</f>
        <v>0</v>
      </c>
      <c r="H1147" s="52">
        <f>'Secondary cum Calculation'!H1019</f>
        <v>0</v>
      </c>
      <c r="I1147" s="52">
        <f>'Secondary cum Calculation'!I1019</f>
        <v>0</v>
      </c>
      <c r="J1147" s="52" t="str">
        <f>'Secondary cum Calculation'!J1019</f>
        <v>%</v>
      </c>
      <c r="K1147" s="49">
        <f>'Secondary cum Calculation'!K1019</f>
        <v>0</v>
      </c>
      <c r="L1147" s="53"/>
      <c r="M1147" s="54" t="e">
        <f>'Secondary cum Calculation'!M1019</f>
        <v>#DIV/0!</v>
      </c>
      <c r="N1147" s="54" t="e">
        <f>'Secondary cum Calculation'!N1019</f>
        <v>#DIV/0!</v>
      </c>
      <c r="O1147" s="54" t="e">
        <f>'Secondary cum Calculation'!O1019</f>
        <v>#DIV/0!</v>
      </c>
      <c r="P1147" s="54" t="e">
        <f>'Secondary cum Calculation'!P1019</f>
        <v>#DIV/0!</v>
      </c>
      <c r="Q1147" s="54"/>
      <c r="R1147" s="54"/>
      <c r="S1147" s="54"/>
      <c r="T1147" s="54"/>
      <c r="U1147" s="54"/>
      <c r="V1147" s="54"/>
      <c r="W1147" s="258"/>
      <c r="X1147" s="258"/>
    </row>
    <row r="1148" spans="1:26">
      <c r="A1148" s="46" t="str">
        <f>'Secondary cum Calculation'!A1020</f>
        <v>Poland</v>
      </c>
      <c r="B1148" s="47" t="str">
        <f>'Secondary cum Calculation'!B1020</f>
        <v>Tourism Flows</v>
      </c>
      <c r="C1148" s="47" t="str">
        <f>'Secondary cum Calculation'!C1020</f>
        <v>International Departures by Destination</v>
      </c>
      <c r="D1148" s="94" t="str">
        <f>'Secondary cum Calculation'!D1020</f>
        <v>South &amp; Central America</v>
      </c>
      <c r="E1148" s="95" t="str">
        <f>'Secondary cum Calculation'!E1020</f>
        <v>Other South American Countries</v>
      </c>
      <c r="F1148" s="94" t="str">
        <f>'Secondary cum Calculation'!F1020</f>
        <v>To be defined according to the gaps in the country data above</v>
      </c>
      <c r="G1148" s="48" t="str">
        <f>'Secondary cum Calculation'!G1020</f>
        <v>Tourism Demand &amp; Flows Database</v>
      </c>
      <c r="H1148" s="48" t="str">
        <f>'Secondary cum Calculation'!H1020</f>
        <v>New</v>
      </c>
      <c r="I1148" s="48">
        <f>'Secondary cum Calculation'!I1020</f>
        <v>0</v>
      </c>
      <c r="J1148" s="48" t="str">
        <f>'Secondary cum Calculation'!J1020</f>
        <v>Thousand</v>
      </c>
      <c r="K1148" s="76">
        <f>'Secondary cum Calculation'!K1020</f>
        <v>63662</v>
      </c>
      <c r="L1148" s="91">
        <f>'Secondary cum Calculation'!L1020</f>
        <v>11.996385251827457</v>
      </c>
      <c r="M1148" s="91">
        <f>'Secondary cum Calculation'!M1020</f>
        <v>12.524138485018877</v>
      </c>
      <c r="N1148" s="91">
        <f>'Secondary cum Calculation'!N1020</f>
        <v>11.434894369025624</v>
      </c>
      <c r="O1148" s="91">
        <f>'Secondary cum Calculation'!O1020</f>
        <v>12.085000000000001</v>
      </c>
      <c r="P1148" s="91">
        <f>'Secondary cum Calculation'!P1020</f>
        <v>11.131</v>
      </c>
      <c r="Q1148" s="91"/>
      <c r="R1148" s="91"/>
      <c r="S1148" s="91"/>
      <c r="T1148" s="91"/>
      <c r="U1148" s="91"/>
      <c r="V1148" s="91"/>
      <c r="W1148" s="102">
        <f>'Secondary cum Calculation'!W1020</f>
        <v>-3.3583543753666789E-2</v>
      </c>
      <c r="X1148" s="102">
        <f>'Secondary cum Calculation'!X1020</f>
        <v>-1</v>
      </c>
      <c r="Z1148" s="11"/>
    </row>
    <row r="1149" spans="1:26">
      <c r="A1149" s="48"/>
      <c r="B1149" s="48"/>
      <c r="C1149" s="52" t="str">
        <f>'Secondary cum Calculation'!C1021</f>
        <v>Growth Rate</v>
      </c>
      <c r="D1149" s="52"/>
      <c r="E1149" s="52"/>
      <c r="F1149" s="52">
        <f>'Secondary cum Calculation'!F1021</f>
        <v>0</v>
      </c>
      <c r="G1149" s="52">
        <f>'Secondary cum Calculation'!G1021</f>
        <v>0</v>
      </c>
      <c r="H1149" s="52">
        <f>'Secondary cum Calculation'!H1021</f>
        <v>0</v>
      </c>
      <c r="I1149" s="52">
        <f>'Secondary cum Calculation'!I1021</f>
        <v>0</v>
      </c>
      <c r="J1149" s="52" t="str">
        <f>'Secondary cum Calculation'!J1021</f>
        <v>%</v>
      </c>
      <c r="K1149" s="49">
        <f>'Secondary cum Calculation'!K1021</f>
        <v>0</v>
      </c>
      <c r="L1149" s="53"/>
      <c r="M1149" s="54">
        <f>'Secondary cum Calculation'!M1021</f>
        <v>4.3992687973323008E-2</v>
      </c>
      <c r="N1149" s="54">
        <f>'Secondary cum Calculation'!N1021</f>
        <v>-8.6971580304400553E-2</v>
      </c>
      <c r="O1149" s="54">
        <f>'Secondary cum Calculation'!O1021</f>
        <v>5.6852788490583395E-2</v>
      </c>
      <c r="P1149" s="54">
        <f>'Secondary cum Calculation'!P1021</f>
        <v>-7.8940835746793558E-2</v>
      </c>
      <c r="Q1149" s="54"/>
      <c r="R1149" s="54"/>
      <c r="S1149" s="54"/>
      <c r="T1149" s="54"/>
      <c r="U1149" s="54"/>
      <c r="V1149" s="54"/>
      <c r="W1149" s="258"/>
      <c r="X1149" s="258"/>
    </row>
    <row r="1150" spans="1:26">
      <c r="A1150" s="48"/>
      <c r="B1150" s="48"/>
      <c r="C1150" s="52" t="str">
        <f>'Secondary cum Calculation'!C1026</f>
        <v>International Departures by Purpose of Visit</v>
      </c>
      <c r="D1150" s="52"/>
      <c r="E1150" s="52"/>
      <c r="F1150" s="52" t="str">
        <f>'Secondary cum Calculation'!F1026</f>
        <v>The number of international departures from a country who are engaging in travel &amp; tourism activities on behalf of their business or employer.</v>
      </c>
      <c r="G1150" s="52" t="str">
        <f>'Secondary cum Calculation'!G1026</f>
        <v>Tourism Demand &amp; Flows Database</v>
      </c>
      <c r="H1150" s="52" t="str">
        <f>'Secondary cum Calculation'!H1026</f>
        <v>Exists</v>
      </c>
      <c r="I1150" s="52">
        <f>'Secondary cum Calculation'!I1026</f>
        <v>0</v>
      </c>
      <c r="J1150" s="52" t="str">
        <f>'Secondary cum Calculation'!J1026</f>
        <v>Thousand</v>
      </c>
      <c r="K1150" s="49"/>
      <c r="L1150" s="53"/>
      <c r="M1150" s="54"/>
      <c r="N1150" s="54"/>
      <c r="O1150" s="54"/>
      <c r="P1150" s="54"/>
      <c r="Q1150" s="54"/>
      <c r="R1150" s="54"/>
      <c r="S1150" s="54"/>
      <c r="T1150" s="54"/>
      <c r="U1150" s="54"/>
      <c r="V1150" s="54"/>
      <c r="W1150" s="258"/>
      <c r="X1150" s="258"/>
    </row>
    <row r="1151" spans="1:26">
      <c r="A1151" s="48"/>
      <c r="B1151" s="48"/>
      <c r="C1151" s="52"/>
      <c r="D1151" s="52"/>
      <c r="E1151" s="52"/>
      <c r="F1151" s="52"/>
      <c r="G1151" s="52"/>
      <c r="H1151" s="52"/>
      <c r="I1151" s="52"/>
      <c r="J1151" s="52"/>
      <c r="K1151" s="49"/>
      <c r="L1151" s="53"/>
      <c r="M1151" s="54"/>
      <c r="N1151" s="54"/>
      <c r="O1151" s="54"/>
      <c r="P1151" s="54"/>
      <c r="Q1151" s="54"/>
      <c r="R1151" s="54"/>
      <c r="S1151" s="54"/>
      <c r="T1151" s="54"/>
      <c r="U1151" s="54"/>
      <c r="V1151" s="54"/>
      <c r="W1151" s="258"/>
      <c r="X1151" s="258"/>
    </row>
    <row r="1152" spans="1:26">
      <c r="A1152" s="55" t="str">
        <f>'Secondary cum Calculation'!A1024</f>
        <v>Poland</v>
      </c>
      <c r="B1152" s="56" t="str">
        <f>'Secondary cum Calculation'!B1024</f>
        <v>Tourism Flows</v>
      </c>
      <c r="C1152" s="55" t="str">
        <f>'Secondary cum Calculation'!C1024</f>
        <v>International Departures by Purpose of Visit</v>
      </c>
      <c r="D1152" s="57"/>
      <c r="E1152" s="57"/>
      <c r="F1152" s="57" t="str">
        <f>'Secondary cum Calculation'!F1024</f>
        <v>The total number of international departures from a country, segmented by the purpose of the visit and the mode of transport used to get to and from the destination.</v>
      </c>
      <c r="G1152" s="57" t="str">
        <f>'Secondary cum Calculation'!G1024</f>
        <v>Tourism Demand &amp; Flows Database</v>
      </c>
      <c r="H1152" s="57" t="str">
        <f>'Secondary cum Calculation'!H1024</f>
        <v>Exists</v>
      </c>
      <c r="I1152" s="57">
        <f>'Secondary cum Calculation'!I1024</f>
        <v>0</v>
      </c>
      <c r="J1152" s="55" t="str">
        <f>'Secondary cum Calculation'!J1024</f>
        <v>Thousand</v>
      </c>
      <c r="K1152" s="86">
        <f>'Secondary cum Calculation'!K1024</f>
        <v>0</v>
      </c>
      <c r="L1152" s="267">
        <f>'Secondary cum Calculation'!L1024</f>
        <v>6917.0000000000009</v>
      </c>
      <c r="M1152" s="267">
        <f>'Secondary cum Calculation'!M1024</f>
        <v>7574</v>
      </c>
      <c r="N1152" s="267">
        <f>'Secondary cum Calculation'!N1024</f>
        <v>6318</v>
      </c>
      <c r="O1152" s="267">
        <f>'Secondary cum Calculation'!O1024</f>
        <v>7121.5</v>
      </c>
      <c r="P1152" s="267">
        <f>'Secondary cum Calculation'!P1024</f>
        <v>6326.5999999999995</v>
      </c>
      <c r="Q1152" s="267">
        <f>'Secondary cum Calculation'!Q1024</f>
        <v>6195.141275822938</v>
      </c>
      <c r="R1152" s="267">
        <f t="shared" ref="R1152:U1152" si="824">R652</f>
        <v>6270.8569376655214</v>
      </c>
      <c r="S1152" s="267">
        <f t="shared" si="824"/>
        <v>6371.8975225233071</v>
      </c>
      <c r="T1152" s="267">
        <f t="shared" si="824"/>
        <v>6422.7908983747702</v>
      </c>
      <c r="U1152" s="267">
        <f t="shared" si="824"/>
        <v>6503.3045829005732</v>
      </c>
      <c r="V1152" s="267">
        <f t="shared" ref="V1152" si="825">V652</f>
        <v>6579.1028306528524</v>
      </c>
      <c r="W1152" s="260">
        <f>'Secondary cum Calculation'!W1024</f>
        <v>-4.8997894506850437E-2</v>
      </c>
      <c r="X1152" s="260">
        <f>'Secondary cum Calculation'!X1024</f>
        <v>1.209922420888665E-2</v>
      </c>
    </row>
    <row r="1153" spans="1:27">
      <c r="A1153" s="57"/>
      <c r="B1153" s="57"/>
      <c r="C1153" s="61" t="str">
        <f>'Secondary cum Calculation'!C1025</f>
        <v>Growth Rate</v>
      </c>
      <c r="D1153" s="61"/>
      <c r="E1153" s="61"/>
      <c r="F1153" s="61">
        <f>'Secondary cum Calculation'!F1025</f>
        <v>0</v>
      </c>
      <c r="G1153" s="61">
        <f>'Secondary cum Calculation'!G1025</f>
        <v>0</v>
      </c>
      <c r="H1153" s="61">
        <f>'Secondary cum Calculation'!H1025</f>
        <v>0</v>
      </c>
      <c r="I1153" s="61">
        <f>'Secondary cum Calculation'!I1025</f>
        <v>0</v>
      </c>
      <c r="J1153" s="61" t="str">
        <f>'Secondary cum Calculation'!J1025</f>
        <v>%</v>
      </c>
      <c r="K1153" s="58">
        <f>'Secondary cum Calculation'!K1025</f>
        <v>0</v>
      </c>
      <c r="L1153" s="59"/>
      <c r="M1153" s="62">
        <f>'Secondary cum Calculation'!M1025</f>
        <v>9.498337429521464E-2</v>
      </c>
      <c r="N1153" s="62">
        <f>'Secondary cum Calculation'!N1025</f>
        <v>-0.16583047266965933</v>
      </c>
      <c r="O1153" s="62">
        <f>'Secondary cum Calculation'!O1025</f>
        <v>0.12717632162076598</v>
      </c>
      <c r="P1153" s="62">
        <f>'Secondary cum Calculation'!P1025</f>
        <v>-0.11161974303166478</v>
      </c>
      <c r="Q1153" s="62">
        <f>'Secondary cum Calculation'!Q1025</f>
        <v>-2.077873173221978E-2</v>
      </c>
      <c r="R1153" s="62">
        <f t="shared" ref="R1153:V1153" si="826">R1152/Q1152-1</f>
        <v>1.2221781307566015E-2</v>
      </c>
      <c r="S1153" s="62">
        <f t="shared" si="826"/>
        <v>1.6112723645614002E-2</v>
      </c>
      <c r="T1153" s="62">
        <f t="shared" si="826"/>
        <v>7.9871617005085049E-3</v>
      </c>
      <c r="U1153" s="62">
        <f t="shared" si="826"/>
        <v>1.2535622877926311E-2</v>
      </c>
      <c r="V1153" s="62">
        <f t="shared" si="826"/>
        <v>1.1655343339074031E-2</v>
      </c>
      <c r="W1153" s="259"/>
      <c r="X1153" s="259"/>
    </row>
    <row r="1154" spans="1:27">
      <c r="A1154" s="55" t="str">
        <f>'Secondary cum Calculation'!A1026</f>
        <v>Poland</v>
      </c>
      <c r="B1154" s="56" t="str">
        <f>'Secondary cum Calculation'!B1026</f>
        <v>Tourism Flows</v>
      </c>
      <c r="C1154" s="56" t="str">
        <f>'Secondary cum Calculation'!C1026</f>
        <v>International Departures by Purpose of Visit</v>
      </c>
      <c r="D1154" s="55" t="str">
        <f>'Secondary cum Calculation'!D1026</f>
        <v>Business</v>
      </c>
      <c r="E1154" s="57"/>
      <c r="F1154" s="57" t="str">
        <f>'Secondary cum Calculation'!F1026</f>
        <v>The number of international departures from a country who are engaging in travel &amp; tourism activities on behalf of their business or employer.</v>
      </c>
      <c r="G1154" s="57" t="str">
        <f>'Secondary cum Calculation'!G1026</f>
        <v>Tourism Demand &amp; Flows Database</v>
      </c>
      <c r="H1154" s="57" t="str">
        <f>'Secondary cum Calculation'!H1026</f>
        <v>Exists</v>
      </c>
      <c r="I1154" s="57">
        <f>'Secondary cum Calculation'!I1026</f>
        <v>0</v>
      </c>
      <c r="J1154" s="57" t="str">
        <f>'Secondary cum Calculation'!J1026</f>
        <v>Thousand</v>
      </c>
      <c r="K1154" s="58">
        <f>'Secondary cum Calculation'!K1026</f>
        <v>0</v>
      </c>
      <c r="L1154" s="265">
        <f>'Secondary cum Calculation'!L1026</f>
        <v>1798.4200000000003</v>
      </c>
      <c r="M1154" s="265">
        <f>'Secondary cum Calculation'!M1026</f>
        <v>1363.32</v>
      </c>
      <c r="N1154" s="265">
        <f>'Secondary cum Calculation'!N1026</f>
        <v>1074.0600000000002</v>
      </c>
      <c r="O1154" s="265">
        <f>'Secondary cum Calculation'!O1026</f>
        <v>1353.085</v>
      </c>
      <c r="P1154" s="265">
        <f>'Secondary cum Calculation'!P1026</f>
        <v>1190.9953908883681</v>
      </c>
      <c r="Q1154" s="265">
        <f>'Secondary cum Calculation'!Q1026</f>
        <v>1183.8044947515698</v>
      </c>
      <c r="R1154" s="265">
        <f t="shared" ref="R1154:U1154" si="827">R1152*R1160</f>
        <v>1200.4992189796444</v>
      </c>
      <c r="S1154" s="265">
        <f t="shared" si="827"/>
        <v>1222.6809017225944</v>
      </c>
      <c r="T1154" s="265">
        <f t="shared" si="827"/>
        <v>1239.2009811026405</v>
      </c>
      <c r="U1154" s="265">
        <f t="shared" si="827"/>
        <v>1259.9466806300964</v>
      </c>
      <c r="V1154" s="265">
        <f t="shared" ref="V1154" si="828">V1152*V1160</f>
        <v>1269.8249044184349</v>
      </c>
      <c r="W1154" s="106">
        <f>'Secondary cum Calculation'!W1026</f>
        <v>-3.4681688260488563E-2</v>
      </c>
      <c r="X1154" s="106">
        <f>'Secondary cum Calculation'!X1026</f>
        <v>1.4127994028339863E-2</v>
      </c>
    </row>
    <row r="1155" spans="1:27">
      <c r="A1155" s="57"/>
      <c r="B1155" s="57"/>
      <c r="C1155" s="61" t="str">
        <f>'Secondary cum Calculation'!C1027</f>
        <v>Growth Rate</v>
      </c>
      <c r="D1155" s="61"/>
      <c r="E1155" s="61"/>
      <c r="F1155" s="61">
        <f>'Secondary cum Calculation'!F1027</f>
        <v>0</v>
      </c>
      <c r="G1155" s="61">
        <f>'Secondary cum Calculation'!G1027</f>
        <v>0</v>
      </c>
      <c r="H1155" s="61">
        <f>'Secondary cum Calculation'!H1027</f>
        <v>0</v>
      </c>
      <c r="I1155" s="61">
        <f>'Secondary cum Calculation'!I1027</f>
        <v>0</v>
      </c>
      <c r="J1155" s="61" t="str">
        <f>'Secondary cum Calculation'!J1027</f>
        <v>%</v>
      </c>
      <c r="K1155" s="58">
        <f>'Secondary cum Calculation'!K1027</f>
        <v>0</v>
      </c>
      <c r="L1155" s="59"/>
      <c r="M1155" s="62">
        <f>'Secondary cum Calculation'!M1027</f>
        <v>-0.24193458702639004</v>
      </c>
      <c r="N1155" s="62">
        <f>'Secondary cum Calculation'!N1027</f>
        <v>-0.21217322418801143</v>
      </c>
      <c r="O1155" s="62">
        <f>'Secondary cum Calculation'!O1027</f>
        <v>0.25978530063497374</v>
      </c>
      <c r="P1155" s="62">
        <f>'Secondary cum Calculation'!P1027</f>
        <v>-0.11979262877914687</v>
      </c>
      <c r="Q1155" s="62">
        <f>'Secondary cum Calculation'!Q1027</f>
        <v>-6.0377195342751211E-3</v>
      </c>
      <c r="R1155" s="62">
        <f t="shared" ref="R1155" si="829">R1154/Q1154-1</f>
        <v>1.4102602500743355E-2</v>
      </c>
      <c r="S1155" s="62">
        <f t="shared" ref="S1155" si="830">S1154/R1154-1</f>
        <v>1.847704887455337E-2</v>
      </c>
      <c r="T1155" s="62">
        <f t="shared" ref="T1155" si="831">T1154/S1154-1</f>
        <v>1.3511357997635809E-2</v>
      </c>
      <c r="U1155" s="62">
        <f t="shared" ref="U1155:V1155" si="832">U1154/T1154-1</f>
        <v>1.6741190366873493E-2</v>
      </c>
      <c r="V1155" s="62">
        <f t="shared" si="832"/>
        <v>7.8401919225650207E-3</v>
      </c>
      <c r="W1155" s="259"/>
      <c r="X1155" s="259"/>
    </row>
    <row r="1156" spans="1:27">
      <c r="A1156" s="55" t="str">
        <f>'Secondary cum Calculation'!A1028</f>
        <v>Poland</v>
      </c>
      <c r="B1156" s="56" t="str">
        <f>'Secondary cum Calculation'!B1028</f>
        <v>Tourism Flows</v>
      </c>
      <c r="C1156" s="56" t="str">
        <f>'Secondary cum Calculation'!C1028</f>
        <v>International Departures by Purpose of Visit</v>
      </c>
      <c r="D1156" s="55" t="str">
        <f>'Secondary cum Calculation'!D1028</f>
        <v>Leisure</v>
      </c>
      <c r="E1156" s="57"/>
      <c r="F1156" s="57" t="str">
        <f>'Secondary cum Calculation'!F1028</f>
        <v>The number of international departures from a country who are engaging in travel &amp; tourism activities for personal reasons related to leisure.</v>
      </c>
      <c r="G1156" s="57" t="str">
        <f>'Secondary cum Calculation'!G1028</f>
        <v>Tourism Demand &amp; Flows Database</v>
      </c>
      <c r="H1156" s="57" t="str">
        <f>'Secondary cum Calculation'!H1028</f>
        <v>Exists</v>
      </c>
      <c r="I1156" s="57">
        <f>'Secondary cum Calculation'!I1028</f>
        <v>0</v>
      </c>
      <c r="J1156" s="57" t="str">
        <f>'Secondary cum Calculation'!J1028</f>
        <v>Thousand</v>
      </c>
      <c r="K1156" s="58">
        <f>'Secondary cum Calculation'!K1028</f>
        <v>0</v>
      </c>
      <c r="L1156" s="265">
        <f>'Secondary cum Calculation'!L1028</f>
        <v>4634.3900000000003</v>
      </c>
      <c r="M1156" s="265">
        <f>'Secondary cum Calculation'!M1028</f>
        <v>5831.9800000000005</v>
      </c>
      <c r="N1156" s="265">
        <f>'Secondary cum Calculation'!N1028</f>
        <v>4675.32</v>
      </c>
      <c r="O1156" s="265">
        <f>'Secondary cum Calculation'!O1028</f>
        <v>5412.34</v>
      </c>
      <c r="P1156" s="265">
        <f>'Secondary cum Calculation'!P1028</f>
        <v>4839.0214345240338</v>
      </c>
      <c r="Q1156" s="265">
        <f>'Secondary cum Calculation'!Q1028</f>
        <v>4727.9244847914324</v>
      </c>
      <c r="R1156" s="265">
        <f t="shared" ref="R1156:U1156" si="833">R1152*R1162</f>
        <v>4784.6048820454635</v>
      </c>
      <c r="S1156" s="265">
        <f t="shared" si="833"/>
        <v>4859.8348093481682</v>
      </c>
      <c r="T1156" s="265">
        <f t="shared" si="833"/>
        <v>4893.1872176172265</v>
      </c>
      <c r="U1156" s="265">
        <f t="shared" si="833"/>
        <v>4950.1207322426417</v>
      </c>
      <c r="V1156" s="265">
        <f t="shared" ref="V1156" si="834">V1152*V1162</f>
        <v>5014.546785847725</v>
      </c>
      <c r="W1156" s="106">
        <f>'Secondary cum Calculation'!W1028</f>
        <v>-5.1114901710595406E-2</v>
      </c>
      <c r="X1156" s="106">
        <f>'Secondary cum Calculation'!X1028</f>
        <v>1.1840902472200154E-2</v>
      </c>
    </row>
    <row r="1157" spans="1:27">
      <c r="A1157" s="57"/>
      <c r="B1157" s="57"/>
      <c r="C1157" s="61" t="str">
        <f>'Secondary cum Calculation'!C1029</f>
        <v>Growth Rate</v>
      </c>
      <c r="D1157" s="61"/>
      <c r="E1157" s="61"/>
      <c r="F1157" s="61">
        <f>'Secondary cum Calculation'!F1029</f>
        <v>0</v>
      </c>
      <c r="G1157" s="61">
        <f>'Secondary cum Calculation'!G1029</f>
        <v>0</v>
      </c>
      <c r="H1157" s="61">
        <f>'Secondary cum Calculation'!H1029</f>
        <v>0</v>
      </c>
      <c r="I1157" s="61">
        <f>'Secondary cum Calculation'!I1029</f>
        <v>0</v>
      </c>
      <c r="J1157" s="61" t="str">
        <f>'Secondary cum Calculation'!J1029</f>
        <v>%</v>
      </c>
      <c r="K1157" s="58">
        <f>'Secondary cum Calculation'!K1029</f>
        <v>0</v>
      </c>
      <c r="L1157" s="59"/>
      <c r="M1157" s="62">
        <f>'Secondary cum Calculation'!M1029</f>
        <v>0.2584137286676349</v>
      </c>
      <c r="N1157" s="62">
        <f>'Secondary cum Calculation'!N1029</f>
        <v>-0.19833058412408833</v>
      </c>
      <c r="O1157" s="62">
        <f>'Secondary cum Calculation'!O1029</f>
        <v>0.15764054652943549</v>
      </c>
      <c r="P1157" s="62">
        <f>'Secondary cum Calculation'!P1029</f>
        <v>-0.10592803953113927</v>
      </c>
      <c r="Q1157" s="62">
        <f>'Secondary cum Calculation'!Q1029</f>
        <v>-2.2958557062793594E-2</v>
      </c>
      <c r="R1157" s="62">
        <f t="shared" ref="R1157" si="835">R1156/Q1156-1</f>
        <v>1.1988431168128422E-2</v>
      </c>
      <c r="S1157" s="62">
        <f t="shared" ref="S1157" si="836">S1156/R1156-1</f>
        <v>1.5723331216964231E-2</v>
      </c>
      <c r="T1157" s="62">
        <f t="shared" ref="T1157" si="837">T1156/S1156-1</f>
        <v>6.8628687141594202E-3</v>
      </c>
      <c r="U1157" s="62">
        <f t="shared" ref="U1157:V1157" si="838">U1156/T1156-1</f>
        <v>1.1635261863767177E-2</v>
      </c>
      <c r="V1157" s="62">
        <f t="shared" si="838"/>
        <v>1.301504692308697E-2</v>
      </c>
      <c r="W1157" s="259"/>
      <c r="X1157" s="259"/>
    </row>
    <row r="1158" spans="1:27">
      <c r="A1158" s="55" t="str">
        <f>'Secondary cum Calculation'!A1030</f>
        <v>Poland</v>
      </c>
      <c r="B1158" s="56" t="str">
        <f>'Secondary cum Calculation'!B1030</f>
        <v>Tourism Flows</v>
      </c>
      <c r="C1158" s="56" t="str">
        <f>'Secondary cum Calculation'!C1030</f>
        <v>International Departures by Purpose of Visit</v>
      </c>
      <c r="D1158" s="55" t="str">
        <f>'Secondary cum Calculation'!D1030</f>
        <v>Other Personal</v>
      </c>
      <c r="E1158" s="55"/>
      <c r="F1158" s="57" t="str">
        <f>'Secondary cum Calculation'!F1030</f>
        <v>The number of international departures from a country who are engaging in travel &amp; tourism activities for non-business or non-leisure related personal reasons, including for the purpose of pilgrimage, health and medical, education and training, transit, volunteer work (not included elsewhere), investigative work and migration possibilities, and the undertaking any other temporary non-remunerated activities not included elsewhere.</v>
      </c>
      <c r="G1158" s="57" t="str">
        <f>'Secondary cum Calculation'!G1030</f>
        <v>Tourism Demand &amp; Flows Database</v>
      </c>
      <c r="H1158" s="57" t="str">
        <f>'Secondary cum Calculation'!H1030</f>
        <v>Exists</v>
      </c>
      <c r="I1158" s="57">
        <f>'Secondary cum Calculation'!I1030</f>
        <v>0</v>
      </c>
      <c r="J1158" s="57" t="str">
        <f>'Secondary cum Calculation'!J1030</f>
        <v>Thousand</v>
      </c>
      <c r="K1158" s="58">
        <f>'Secondary cum Calculation'!K1030</f>
        <v>0</v>
      </c>
      <c r="L1158" s="59">
        <f>'Secondary cum Calculation'!L1030</f>
        <v>484.19000000000051</v>
      </c>
      <c r="M1158" s="59">
        <f>'Secondary cum Calculation'!M1030</f>
        <v>378.70000000000033</v>
      </c>
      <c r="N1158" s="59">
        <f>'Secondary cum Calculation'!N1030</f>
        <v>568.61999999999978</v>
      </c>
      <c r="O1158" s="59">
        <f>'Secondary cum Calculation'!O1030</f>
        <v>356.07500000000033</v>
      </c>
      <c r="P1158" s="59">
        <f>'Secondary cum Calculation'!P1030</f>
        <v>296.58317458759774</v>
      </c>
      <c r="Q1158" s="59">
        <f>'Secondary cum Calculation'!Q1030</f>
        <v>283.41229627993596</v>
      </c>
      <c r="R1158" s="59">
        <f t="shared" ref="R1158:U1158" si="839">R1152*R1164</f>
        <v>285.75283664041285</v>
      </c>
      <c r="S1158" s="59">
        <f t="shared" si="839"/>
        <v>289.38181145254481</v>
      </c>
      <c r="T1158" s="59">
        <f t="shared" si="839"/>
        <v>290.40269965490273</v>
      </c>
      <c r="U1158" s="59">
        <f t="shared" si="839"/>
        <v>293.23717002783513</v>
      </c>
      <c r="V1158" s="59">
        <f t="shared" ref="V1158" si="840">V1152*V1164</f>
        <v>294.73114038669274</v>
      </c>
      <c r="W1158" s="106">
        <f>'Secondary cum Calculation'!W1030</f>
        <v>-6.9897426696101883E-2</v>
      </c>
      <c r="X1158" s="106">
        <f>'Secondary cum Calculation'!X1030</f>
        <v>7.8629191578536428E-3</v>
      </c>
    </row>
    <row r="1159" spans="1:27">
      <c r="A1159" s="57"/>
      <c r="B1159" s="57"/>
      <c r="C1159" s="61" t="str">
        <f>'Secondary cum Calculation'!C1031</f>
        <v>Growth Rate</v>
      </c>
      <c r="D1159" s="61"/>
      <c r="E1159" s="61"/>
      <c r="F1159" s="61">
        <f>'Secondary cum Calculation'!F1031</f>
        <v>0</v>
      </c>
      <c r="G1159" s="61">
        <f>'Secondary cum Calculation'!G1031</f>
        <v>0</v>
      </c>
      <c r="H1159" s="61">
        <f>'Secondary cum Calculation'!H1031</f>
        <v>0</v>
      </c>
      <c r="I1159" s="61">
        <f>'Secondary cum Calculation'!I1031</f>
        <v>0</v>
      </c>
      <c r="J1159" s="61" t="str">
        <f>'Secondary cum Calculation'!J1031</f>
        <v>%</v>
      </c>
      <c r="K1159" s="58">
        <f>'Secondary cum Calculation'!K1031</f>
        <v>0</v>
      </c>
      <c r="L1159" s="59"/>
      <c r="M1159" s="62">
        <f>'Secondary cum Calculation'!M1031</f>
        <v>-0.21786901836056105</v>
      </c>
      <c r="N1159" s="62">
        <f>'Secondary cum Calculation'!N1031</f>
        <v>0.5015051491946112</v>
      </c>
      <c r="O1159" s="62">
        <f>'Secondary cum Calculation'!O1031</f>
        <v>-0.37379093243290695</v>
      </c>
      <c r="P1159" s="62">
        <f>'Secondary cum Calculation'!P1031</f>
        <v>-0.16707667039922081</v>
      </c>
      <c r="Q1159" s="62">
        <f>'Secondary cum Calculation'!Q1031</f>
        <v>-4.4408717136351528E-2</v>
      </c>
      <c r="R1159" s="62">
        <f t="shared" ref="R1159" si="841">R1158/Q1158-1</f>
        <v>8.258429119691657E-3</v>
      </c>
      <c r="S1159" s="62">
        <f t="shared" ref="S1159" si="842">S1158/R1158-1</f>
        <v>1.2699698294504014E-2</v>
      </c>
      <c r="T1159" s="62">
        <f t="shared" ref="T1159" si="843">T1158/S1158-1</f>
        <v>3.5278243550747046E-3</v>
      </c>
      <c r="U1159" s="62">
        <f t="shared" ref="U1159:V1159" si="844">U1158/T1158-1</f>
        <v>9.7604821728609625E-3</v>
      </c>
      <c r="V1159" s="62">
        <f t="shared" si="844"/>
        <v>5.0947509782466316E-3</v>
      </c>
      <c r="W1159" s="259"/>
      <c r="X1159" s="259"/>
    </row>
    <row r="1160" spans="1:27" s="67" customFormat="1" outlineLevel="1">
      <c r="C1160" s="68"/>
      <c r="D1160" s="69" t="str">
        <f>'Secondary cum Calculation'!D1032</f>
        <v>Business</v>
      </c>
      <c r="E1160" s="68"/>
      <c r="F1160" s="68">
        <f>'Secondary cum Calculation'!F1032</f>
        <v>0</v>
      </c>
      <c r="G1160" s="68">
        <f>'Secondary cum Calculation'!G1032</f>
        <v>0</v>
      </c>
      <c r="H1160" s="68">
        <f>'Secondary cum Calculation'!H1032</f>
        <v>0</v>
      </c>
      <c r="I1160" s="68">
        <f>'Secondary cum Calculation'!I1032</f>
        <v>0</v>
      </c>
      <c r="J1160" s="68"/>
      <c r="K1160" s="74">
        <f>'Secondary cum Calculation'!K1032</f>
        <v>0</v>
      </c>
      <c r="L1160" s="71">
        <f>'Secondary cum Calculation'!L1032</f>
        <v>0.26</v>
      </c>
      <c r="M1160" s="71">
        <f>'Secondary cum Calculation'!M1032</f>
        <v>0.18</v>
      </c>
      <c r="N1160" s="71">
        <f>'Secondary cum Calculation'!N1032</f>
        <v>0.17</v>
      </c>
      <c r="O1160" s="71">
        <f>'Secondary cum Calculation'!O1032</f>
        <v>0.19</v>
      </c>
      <c r="P1160" s="71">
        <f>'Secondary cum Calculation'!P1032</f>
        <v>0.18825204547282398</v>
      </c>
      <c r="Q1160" s="71">
        <f>'Secondary cum Calculation'!Q1032</f>
        <v>0.19108595624307501</v>
      </c>
      <c r="R1160" s="71">
        <f>Q1160*(1+((Q1160/M1160)^(1/4))-1)*0.987</f>
        <v>0.19144101530508834</v>
      </c>
      <c r="S1160" s="71">
        <f>R1160*(1+((R1160/N1160)^(1/4))-1)*0.973</f>
        <v>0.19188646669232778</v>
      </c>
      <c r="T1160" s="71">
        <f>S1160*(1+((S1160/O1160)^(1/4))-1)*1.003</f>
        <v>0.19293808574964028</v>
      </c>
      <c r="U1160" s="71">
        <f>T1160*(1+((T1160/P1160)^(1/4))-1)*0.998</f>
        <v>0.19373945423730113</v>
      </c>
      <c r="V1160" s="71">
        <f>U1160*(1+((U1160/Q1160)^(1/4))-1)*0.9928</f>
        <v>0.19300882462304189</v>
      </c>
      <c r="W1160" s="75"/>
      <c r="X1160" s="75"/>
    </row>
    <row r="1161" spans="1:27" s="67" customFormat="1" outlineLevel="1">
      <c r="C1161" s="68"/>
      <c r="D1161" s="68"/>
      <c r="E1161" s="68"/>
      <c r="F1161" s="68">
        <f>'Secondary cum Calculation'!F1033</f>
        <v>0</v>
      </c>
      <c r="G1161" s="68">
        <f>'Secondary cum Calculation'!G1033</f>
        <v>0</v>
      </c>
      <c r="H1161" s="68">
        <f>'Secondary cum Calculation'!H1033</f>
        <v>0</v>
      </c>
      <c r="I1161" s="68">
        <f>'Secondary cum Calculation'!I1033</f>
        <v>0</v>
      </c>
      <c r="J1161" s="68"/>
      <c r="K1161" s="74">
        <f>'Secondary cum Calculation'!K1033</f>
        <v>0</v>
      </c>
      <c r="L1161" s="71"/>
      <c r="M1161" s="71"/>
      <c r="N1161" s="71"/>
      <c r="O1161" s="71"/>
      <c r="P1161" s="71"/>
      <c r="Q1161" s="71"/>
      <c r="R1161" s="71"/>
      <c r="S1161" s="71"/>
      <c r="T1161" s="71"/>
      <c r="U1161" s="71"/>
      <c r="V1161" s="71"/>
      <c r="W1161" s="75"/>
      <c r="X1161" s="75"/>
    </row>
    <row r="1162" spans="1:27" s="67" customFormat="1" outlineLevel="1">
      <c r="C1162" s="68"/>
      <c r="D1162" s="69" t="str">
        <f>'Secondary cum Calculation'!D1034</f>
        <v>Leisure</v>
      </c>
      <c r="E1162" s="68"/>
      <c r="F1162" s="68">
        <f>'Secondary cum Calculation'!F1034</f>
        <v>0</v>
      </c>
      <c r="G1162" s="68">
        <f>'Secondary cum Calculation'!G1034</f>
        <v>0</v>
      </c>
      <c r="H1162" s="68">
        <f>'Secondary cum Calculation'!H1034</f>
        <v>0</v>
      </c>
      <c r="I1162" s="68">
        <f>'Secondary cum Calculation'!I1034</f>
        <v>0</v>
      </c>
      <c r="J1162" s="68"/>
      <c r="K1162" s="74">
        <f>'Secondary cum Calculation'!K1034</f>
        <v>0</v>
      </c>
      <c r="L1162" s="71">
        <f>'Secondary cum Calculation'!L1034</f>
        <v>0.66999999999999993</v>
      </c>
      <c r="M1162" s="71">
        <f>'Secondary cum Calculation'!M1034</f>
        <v>0.77</v>
      </c>
      <c r="N1162" s="71">
        <f>'Secondary cum Calculation'!N1034</f>
        <v>0.74</v>
      </c>
      <c r="O1162" s="71">
        <f>'Secondary cum Calculation'!O1034</f>
        <v>0.76</v>
      </c>
      <c r="P1162" s="71">
        <f>'Secondary cum Calculation'!P1034</f>
        <v>0.76486919269813713</v>
      </c>
      <c r="Q1162" s="71">
        <f>'Secondary cum Calculation'!Q1034</f>
        <v>0.76316653233438869</v>
      </c>
      <c r="R1162" s="71">
        <f>Q1162*(1+((Q1162/M1162)^(1/4))-1)*1.002</f>
        <v>0.76299059755406395</v>
      </c>
      <c r="S1162" s="71">
        <f>R1162*(1+((R1162/N1162)^(1/4))-1)*0.992</f>
        <v>0.76269820601628979</v>
      </c>
      <c r="T1162" s="71">
        <f>S1162*(1+((S1162/O1162)^(1/4))-1)*0.998</f>
        <v>0.76184750446342631</v>
      </c>
      <c r="U1162" s="71">
        <f>T1162*(1+((T1162/P1162)^(1/4))-1)*1.0001</f>
        <v>0.76117005887410127</v>
      </c>
      <c r="V1162" s="71">
        <f>U1162*(1+((U1162/Q1162)^(1/4))-1)*1.002</f>
        <v>0.76219310062830026</v>
      </c>
      <c r="W1162" s="75"/>
      <c r="X1162" s="75"/>
    </row>
    <row r="1163" spans="1:27" s="67" customFormat="1" outlineLevel="1">
      <c r="C1163" s="68"/>
      <c r="D1163" s="68"/>
      <c r="E1163" s="68"/>
      <c r="F1163" s="68">
        <f>'Secondary cum Calculation'!F1035</f>
        <v>0</v>
      </c>
      <c r="G1163" s="68">
        <f>'Secondary cum Calculation'!G1035</f>
        <v>0</v>
      </c>
      <c r="H1163" s="68">
        <f>'Secondary cum Calculation'!H1035</f>
        <v>0</v>
      </c>
      <c r="I1163" s="68">
        <f>'Secondary cum Calculation'!I1035</f>
        <v>0</v>
      </c>
      <c r="J1163" s="68"/>
      <c r="K1163" s="74">
        <f>'Secondary cum Calculation'!K1035</f>
        <v>0</v>
      </c>
      <c r="L1163" s="71"/>
      <c r="M1163" s="71"/>
      <c r="N1163" s="71"/>
      <c r="O1163" s="71"/>
      <c r="P1163" s="71"/>
      <c r="Q1163" s="71"/>
      <c r="R1163" s="71"/>
      <c r="S1163" s="71"/>
      <c r="T1163" s="71"/>
      <c r="U1163" s="71"/>
      <c r="V1163" s="71"/>
      <c r="W1163" s="75"/>
      <c r="X1163" s="75"/>
    </row>
    <row r="1164" spans="1:27" s="67" customFormat="1" outlineLevel="1">
      <c r="C1164" s="68"/>
      <c r="D1164" s="69" t="str">
        <f>'Secondary cum Calculation'!D1036</f>
        <v>Other Personal</v>
      </c>
      <c r="E1164" s="68"/>
      <c r="F1164" s="68">
        <f>'Secondary cum Calculation'!F1036</f>
        <v>0</v>
      </c>
      <c r="G1164" s="68">
        <f>'Secondary cum Calculation'!G1036</f>
        <v>0</v>
      </c>
      <c r="H1164" s="68">
        <f>'Secondary cum Calculation'!H1036</f>
        <v>0</v>
      </c>
      <c r="I1164" s="68">
        <f>'Secondary cum Calculation'!I1036</f>
        <v>0</v>
      </c>
      <c r="J1164" s="68"/>
      <c r="K1164" s="74">
        <f>'Secondary cum Calculation'!K1036</f>
        <v>0</v>
      </c>
      <c r="L1164" s="71">
        <f>'Secondary cum Calculation'!L1036</f>
        <v>7.0000000000000062E-2</v>
      </c>
      <c r="M1164" s="71">
        <f>'Secondary cum Calculation'!M1036</f>
        <v>5.0000000000000044E-2</v>
      </c>
      <c r="N1164" s="71">
        <f>'Secondary cum Calculation'!N1036</f>
        <v>8.9999999999999969E-2</v>
      </c>
      <c r="O1164" s="71">
        <f>'Secondary cum Calculation'!O1036</f>
        <v>5.0000000000000044E-2</v>
      </c>
      <c r="P1164" s="71">
        <f>'Secondary cum Calculation'!P1036</f>
        <v>4.687876182903894E-2</v>
      </c>
      <c r="Q1164" s="71">
        <f>'Secondary cum Calculation'!Q1036</f>
        <v>4.5747511422536302E-2</v>
      </c>
      <c r="R1164" s="71">
        <f t="shared" ref="R1164:U1164" si="845">1-SUM(R1162,R1160)</f>
        <v>4.5568387140847655E-2</v>
      </c>
      <c r="S1164" s="71">
        <f t="shared" si="845"/>
        <v>4.5415327291382424E-2</v>
      </c>
      <c r="T1164" s="71">
        <f t="shared" si="845"/>
        <v>4.5214409786933363E-2</v>
      </c>
      <c r="U1164" s="71">
        <f t="shared" si="845"/>
        <v>4.5090486888597625E-2</v>
      </c>
      <c r="V1164" s="71">
        <f>1-SUM(V1162,V1160)</f>
        <v>4.4798074748657823E-2</v>
      </c>
      <c r="W1164" s="75"/>
      <c r="X1164" s="75"/>
    </row>
    <row r="1165" spans="1:27">
      <c r="A1165" s="55" t="str">
        <f>'Secondary cum Calculation'!A1037</f>
        <v>Poland</v>
      </c>
      <c r="B1165" s="56" t="str">
        <f>'Secondary cum Calculation'!B1037</f>
        <v>Tourism Flows</v>
      </c>
      <c r="C1165" s="55" t="str">
        <f>'Secondary cum Calculation'!C1037</f>
        <v>Number of Overnight stays</v>
      </c>
      <c r="D1165" s="57"/>
      <c r="E1165" s="57"/>
      <c r="F1165" s="57">
        <f>'Secondary cum Calculation'!F1037</f>
        <v>0</v>
      </c>
      <c r="G1165" s="57">
        <f>'Secondary cum Calculation'!G1037</f>
        <v>0</v>
      </c>
      <c r="H1165" s="57">
        <f>'Secondary cum Calculation'!H1037</f>
        <v>0</v>
      </c>
      <c r="I1165" s="57">
        <f>'Secondary cum Calculation'!I1037</f>
        <v>0</v>
      </c>
      <c r="J1165" s="55" t="str">
        <f>'Secondary cum Calculation'!J1037</f>
        <v>Thousand</v>
      </c>
      <c r="K1165" s="86">
        <f>'Secondary cum Calculation'!K1037</f>
        <v>0</v>
      </c>
      <c r="L1165" s="267">
        <f>'Secondary cum Calculation'!L1037</f>
        <v>253682.6176224128</v>
      </c>
      <c r="M1165" s="267">
        <f>'Secondary cum Calculation'!M1037</f>
        <v>258273.84164376973</v>
      </c>
      <c r="N1165" s="267">
        <f>'Secondary cum Calculation'!N1037</f>
        <v>213188.15949334978</v>
      </c>
      <c r="O1165" s="267">
        <f>'Secondary cum Calculation'!O1037</f>
        <v>232269.82198112822</v>
      </c>
      <c r="P1165" s="267">
        <f>'Secondary cum Calculation'!P1037</f>
        <v>197630.55993098539</v>
      </c>
      <c r="Q1165" s="267">
        <f>'Secondary cum Calculation'!Q1037</f>
        <v>192558.33931506044</v>
      </c>
      <c r="R1165" s="267">
        <f>'Secondary cum Calculation'!R1037</f>
        <v>197479.7294030503</v>
      </c>
      <c r="S1165" s="267">
        <f>'Secondary cum Calculation'!S1037</f>
        <v>201791.17783071101</v>
      </c>
      <c r="T1165" s="267">
        <f>'Secondary cum Calculation'!T1037</f>
        <v>206835.63936220884</v>
      </c>
      <c r="U1165" s="267">
        <f>'Secondary cum Calculation'!U1037</f>
        <v>212293.28918591619</v>
      </c>
      <c r="V1165" s="267">
        <f>'Secondary cum Calculation'!V1037</f>
        <v>217741.59111601295</v>
      </c>
      <c r="W1165" s="260">
        <f>'Secondary cum Calculation'!W1037</f>
        <v>-7.0775873524173694E-2</v>
      </c>
      <c r="X1165" s="260">
        <f>'Secondary cum Calculation'!X1037</f>
        <v>2.4886593241865818E-2</v>
      </c>
      <c r="Y1165" s="55"/>
      <c r="Z1165" s="56"/>
      <c r="AA1165" s="55"/>
    </row>
    <row r="1166" spans="1:27">
      <c r="A1166" s="57"/>
      <c r="B1166" s="57"/>
      <c r="C1166" s="61" t="str">
        <f>'Secondary cum Calculation'!C1038</f>
        <v>Growth Rate</v>
      </c>
      <c r="D1166" s="61"/>
      <c r="E1166" s="61"/>
      <c r="F1166" s="61">
        <f>'Secondary cum Calculation'!F1038</f>
        <v>0</v>
      </c>
      <c r="G1166" s="61">
        <f>'Secondary cum Calculation'!G1038</f>
        <v>0</v>
      </c>
      <c r="H1166" s="61">
        <f>'Secondary cum Calculation'!H1038</f>
        <v>0</v>
      </c>
      <c r="I1166" s="61">
        <f>'Secondary cum Calculation'!I1038</f>
        <v>0</v>
      </c>
      <c r="J1166" s="61"/>
      <c r="K1166" s="58">
        <f>'Secondary cum Calculation'!K1038</f>
        <v>0</v>
      </c>
      <c r="L1166" s="59"/>
      <c r="M1166" s="117">
        <f>'Secondary cum Calculation'!M1038</f>
        <v>1.8098299617006486E-2</v>
      </c>
      <c r="N1166" s="117">
        <f>'Secondary cum Calculation'!N1038</f>
        <v>-0.17456542197024127</v>
      </c>
      <c r="O1166" s="117">
        <f>'Secondary cum Calculation'!O1038</f>
        <v>8.9506202094557175E-2</v>
      </c>
      <c r="P1166" s="117">
        <f>'Secondary cum Calculation'!P1038</f>
        <v>-0.14913371765083305</v>
      </c>
      <c r="Q1166" s="117">
        <f>'Secondary cum Calculation'!Q1038</f>
        <v>-2.5665163412461167E-2</v>
      </c>
      <c r="R1166" s="117">
        <f>'Secondary cum Calculation'!R1038</f>
        <v>2.5557917177181144E-2</v>
      </c>
      <c r="S1166" s="117">
        <f>'Secondary cum Calculation'!S1038</f>
        <v>2.1832359405664192E-2</v>
      </c>
      <c r="T1166" s="117">
        <f>'Secondary cum Calculation'!T1038</f>
        <v>2.4998424538310582E-2</v>
      </c>
      <c r="U1166" s="117">
        <f>'Secondary cum Calculation'!U1038</f>
        <v>2.6386409230712671E-2</v>
      </c>
      <c r="V1166" s="117">
        <f>'Secondary cum Calculation'!V1038</f>
        <v>2.5664032768013767E-2</v>
      </c>
      <c r="W1166" s="259"/>
      <c r="X1166" s="259"/>
      <c r="Y1166" s="57"/>
      <c r="Z1166" s="57"/>
      <c r="AA1166" s="61"/>
    </row>
    <row r="1167" spans="1:27">
      <c r="A1167" s="55"/>
      <c r="B1167" s="56"/>
      <c r="C1167" s="56"/>
      <c r="D1167" s="55" t="str">
        <f>'Secondary cum Calculation'!D1039</f>
        <v>International trips</v>
      </c>
      <c r="E1167" s="57"/>
      <c r="F1167" s="57">
        <f>'Secondary cum Calculation'!F1039</f>
        <v>0</v>
      </c>
      <c r="G1167" s="57">
        <f>'Secondary cum Calculation'!G1039</f>
        <v>0</v>
      </c>
      <c r="H1167" s="57">
        <f>'Secondary cum Calculation'!H1039</f>
        <v>0</v>
      </c>
      <c r="I1167" s="57">
        <f>'Secondary cum Calculation'!I1039</f>
        <v>0</v>
      </c>
      <c r="J1167" s="57" t="str">
        <f>'Secondary cum Calculation'!J1039</f>
        <v>Thousand</v>
      </c>
      <c r="K1167" s="58">
        <f>'Secondary cum Calculation'!K1039</f>
        <v>0</v>
      </c>
      <c r="L1167" s="265">
        <f>'Secondary cum Calculation'!L1039</f>
        <v>79043.432039636667</v>
      </c>
      <c r="M1167" s="265">
        <f>'Secondary cum Calculation'!M1039</f>
        <v>89235.634655532369</v>
      </c>
      <c r="N1167" s="265">
        <f>'Secondary cum Calculation'!N1039</f>
        <v>58455.234782608692</v>
      </c>
      <c r="O1167" s="265">
        <f>'Secondary cum Calculation'!O1039</f>
        <v>66987.061493983434</v>
      </c>
      <c r="P1167" s="265">
        <f>'Secondary cum Calculation'!P1039</f>
        <v>58667.585635797441</v>
      </c>
      <c r="Q1167" s="265">
        <f>'Secondary cum Calculation'!Q1039</f>
        <v>57796.943921808852</v>
      </c>
      <c r="R1167" s="265">
        <f>'Secondary cum Calculation'!R1039</f>
        <v>59160.999158130842</v>
      </c>
      <c r="S1167" s="265">
        <f>'Secondary cum Calculation'!S1039</f>
        <v>60649.511523852168</v>
      </c>
      <c r="T1167" s="265">
        <f>'Secondary cum Calculation'!T1039</f>
        <v>61376.363697727116</v>
      </c>
      <c r="U1167" s="265">
        <f>'Secondary cum Calculation'!U1039</f>
        <v>62620.607496878729</v>
      </c>
      <c r="V1167" s="265">
        <f>'Secondary cum Calculation'!V1039</f>
        <v>64108.549282357963</v>
      </c>
      <c r="W1167" s="106">
        <f>'Secondary cum Calculation'!W1039</f>
        <v>-0.10289838271594498</v>
      </c>
      <c r="X1167" s="106">
        <f>'Secondary cum Calculation'!X1039</f>
        <v>2.0944690314816494E-2</v>
      </c>
      <c r="Y1167" s="55"/>
      <c r="Z1167" s="56"/>
      <c r="AA1167" s="56"/>
    </row>
    <row r="1168" spans="1:27">
      <c r="A1168" s="55"/>
      <c r="B1168" s="56"/>
      <c r="C1168" s="61" t="str">
        <f>'Secondary cum Calculation'!C1040</f>
        <v>Growth Rate</v>
      </c>
      <c r="D1168" s="57"/>
      <c r="E1168" s="57"/>
      <c r="F1168" s="57">
        <f>'Secondary cum Calculation'!F1040</f>
        <v>0</v>
      </c>
      <c r="G1168" s="57">
        <f>'Secondary cum Calculation'!G1040</f>
        <v>0</v>
      </c>
      <c r="H1168" s="57">
        <f>'Secondary cum Calculation'!H1040</f>
        <v>0</v>
      </c>
      <c r="I1168" s="57">
        <f>'Secondary cum Calculation'!I1040</f>
        <v>0</v>
      </c>
      <c r="J1168" s="55"/>
      <c r="K1168" s="86">
        <f>'Secondary cum Calculation'!K1040</f>
        <v>0</v>
      </c>
      <c r="L1168" s="80"/>
      <c r="M1168" s="117">
        <f>'Secondary cum Calculation'!M1040</f>
        <v>0.12894433291794294</v>
      </c>
      <c r="N1168" s="117">
        <f>'Secondary cum Calculation'!N1040</f>
        <v>-0.34493394922042364</v>
      </c>
      <c r="O1168" s="117">
        <f>'Secondary cum Calculation'!O1040</f>
        <v>0.14595487885908009</v>
      </c>
      <c r="P1168" s="117">
        <f>'Secondary cum Calculation'!P1040</f>
        <v>-0.12419526506522793</v>
      </c>
      <c r="Q1168" s="117">
        <f>'Secondary cum Calculation'!Q1040</f>
        <v>-1.4840251299813922E-2</v>
      </c>
      <c r="R1168" s="117">
        <f>'Secondary cum Calculation'!R1040</f>
        <v>2.3600819416462082E-2</v>
      </c>
      <c r="S1168" s="117">
        <f>'Secondary cum Calculation'!S1040</f>
        <v>2.5160365560133569E-2</v>
      </c>
      <c r="T1168" s="117">
        <f>'Secondary cum Calculation'!T1040</f>
        <v>1.1984468722210373E-2</v>
      </c>
      <c r="U1168" s="117">
        <f>'Secondary cum Calculation'!U1040</f>
        <v>2.0272360957703572E-2</v>
      </c>
      <c r="V1168" s="117">
        <f>'Secondary cum Calculation'!V1040</f>
        <v>2.3761216074970282E-2</v>
      </c>
      <c r="W1168" s="260"/>
      <c r="X1168" s="260"/>
      <c r="Y1168" s="55"/>
      <c r="Z1168" s="56"/>
      <c r="AA1168" s="55"/>
    </row>
    <row r="1169" spans="1:27">
      <c r="A1169" s="57"/>
      <c r="B1169" s="57"/>
      <c r="C1169" s="61"/>
      <c r="D1169" s="55" t="str">
        <f>'Secondary cum Calculation'!D1041</f>
        <v>Domestic Trips</v>
      </c>
      <c r="E1169" s="61"/>
      <c r="F1169" s="61">
        <f>'Secondary cum Calculation'!F1041</f>
        <v>0</v>
      </c>
      <c r="G1169" s="61">
        <f>'Secondary cum Calculation'!G1041</f>
        <v>0</v>
      </c>
      <c r="H1169" s="61">
        <f>'Secondary cum Calculation'!H1041</f>
        <v>0</v>
      </c>
      <c r="I1169" s="61">
        <f>'Secondary cum Calculation'!I1041</f>
        <v>0</v>
      </c>
      <c r="J1169" s="57" t="str">
        <f>'Secondary cum Calculation'!J1041</f>
        <v>Thousand</v>
      </c>
      <c r="K1169" s="58">
        <f>'Secondary cum Calculation'!K1041</f>
        <v>0</v>
      </c>
      <c r="L1169" s="265">
        <f>'Secondary cum Calculation'!L1041</f>
        <v>174639.18558277615</v>
      </c>
      <c r="M1169" s="265">
        <f>'Secondary cum Calculation'!M1041</f>
        <v>169038.20698823736</v>
      </c>
      <c r="N1169" s="265">
        <f>'Secondary cum Calculation'!N1041</f>
        <v>154732.92471074109</v>
      </c>
      <c r="O1169" s="265">
        <f>'Secondary cum Calculation'!O1041</f>
        <v>165282.76048714478</v>
      </c>
      <c r="P1169" s="265">
        <f>'Secondary cum Calculation'!P1041</f>
        <v>138962.97429518795</v>
      </c>
      <c r="Q1169" s="265">
        <f>'Secondary cum Calculation'!Q1041</f>
        <v>134761.39539325159</v>
      </c>
      <c r="R1169" s="265">
        <f>'Secondary cum Calculation'!R1041</f>
        <v>138318.73024491945</v>
      </c>
      <c r="S1169" s="265">
        <f>'Secondary cum Calculation'!S1041</f>
        <v>141141.66630685885</v>
      </c>
      <c r="T1169" s="265">
        <f>'Secondary cum Calculation'!T1041</f>
        <v>145459.27566448171</v>
      </c>
      <c r="U1169" s="265">
        <f>'Secondary cum Calculation'!U1041</f>
        <v>149672.68168903748</v>
      </c>
      <c r="V1169" s="265">
        <f>'Secondary cum Calculation'!V1041</f>
        <v>153633.04183365498</v>
      </c>
      <c r="W1169" s="106">
        <f>'Secondary cum Calculation'!W1041</f>
        <v>-5.5079751594528159E-2</v>
      </c>
      <c r="X1169" s="106">
        <f>'Secondary cum Calculation'!X1041</f>
        <v>2.6558789987276343E-2</v>
      </c>
      <c r="Y1169" s="57"/>
      <c r="Z1169" s="57"/>
      <c r="AA1169" s="61"/>
    </row>
    <row r="1170" spans="1:27">
      <c r="A1170" s="55"/>
      <c r="B1170" s="56"/>
      <c r="C1170" s="56"/>
      <c r="D1170" s="55"/>
      <c r="E1170" s="57"/>
      <c r="F1170" s="57">
        <f>'Secondary cum Calculation'!F1042</f>
        <v>0</v>
      </c>
      <c r="G1170" s="57">
        <f>'Secondary cum Calculation'!G1042</f>
        <v>0</v>
      </c>
      <c r="H1170" s="57">
        <f>'Secondary cum Calculation'!H1042</f>
        <v>0</v>
      </c>
      <c r="I1170" s="57">
        <f>'Secondary cum Calculation'!I1042</f>
        <v>0</v>
      </c>
      <c r="J1170" s="57"/>
      <c r="K1170" s="58">
        <f>'Secondary cum Calculation'!K1042</f>
        <v>0</v>
      </c>
      <c r="L1170" s="59"/>
      <c r="M1170" s="117">
        <f>'Secondary cum Calculation'!M1042</f>
        <v>-3.2071717328777893E-2</v>
      </c>
      <c r="N1170" s="117">
        <f>'Secondary cum Calculation'!N1042</f>
        <v>-8.4627508374433447E-2</v>
      </c>
      <c r="O1170" s="117">
        <f>'Secondary cum Calculation'!O1042</f>
        <v>6.8180936902250355E-2</v>
      </c>
      <c r="P1170" s="117">
        <f>'Secondary cum Calculation'!P1042</f>
        <v>-0.15924096448040581</v>
      </c>
      <c r="Q1170" s="117">
        <f>'Secondary cum Calculation'!Q1042</f>
        <v>-3.023524016556578E-2</v>
      </c>
      <c r="R1170" s="117">
        <f>'Secondary cum Calculation'!R1042</f>
        <v>2.6397284187263725E-2</v>
      </c>
      <c r="S1170" s="117">
        <f>'Secondary cum Calculation'!S1042</f>
        <v>2.0408921170262717E-2</v>
      </c>
      <c r="T1170" s="117">
        <f>'Secondary cum Calculation'!T1042</f>
        <v>3.0590607795687008E-2</v>
      </c>
      <c r="U1170" s="117">
        <f>'Secondary cum Calculation'!U1042</f>
        <v>2.8966224431602905E-2</v>
      </c>
      <c r="V1170" s="117">
        <f>'Secondary cum Calculation'!V1042</f>
        <v>2.6460140220147865E-2</v>
      </c>
      <c r="W1170" s="106"/>
      <c r="X1170" s="106"/>
      <c r="Y1170" s="55"/>
      <c r="Z1170" s="56"/>
      <c r="AA1170" s="56"/>
    </row>
    <row r="1171" spans="1:27">
      <c r="A1171" s="55"/>
      <c r="B1171" s="56"/>
      <c r="C1171" s="55"/>
      <c r="D1171" s="57"/>
      <c r="E1171" s="57"/>
      <c r="F1171" s="57"/>
      <c r="G1171" s="57"/>
      <c r="H1171" s="57"/>
      <c r="I1171" s="57"/>
      <c r="J1171" s="55"/>
      <c r="K1171" s="86"/>
      <c r="L1171" s="80"/>
      <c r="M1171" s="80"/>
      <c r="N1171" s="80"/>
      <c r="O1171" s="80"/>
      <c r="P1171" s="80"/>
      <c r="Q1171" s="80"/>
      <c r="R1171" s="80"/>
      <c r="S1171" s="80"/>
      <c r="T1171" s="80"/>
      <c r="U1171" s="80"/>
      <c r="V1171" s="80"/>
      <c r="W1171" s="260"/>
      <c r="X1171" s="260"/>
      <c r="Y1171" s="55"/>
      <c r="Z1171" s="56"/>
      <c r="AA1171" s="55"/>
    </row>
    <row r="1172" spans="1:27">
      <c r="W1172" s="263"/>
      <c r="X1172" s="263"/>
    </row>
    <row r="1173" spans="1:27">
      <c r="C1173" s="308"/>
      <c r="D1173" s="6" t="s">
        <v>945</v>
      </c>
      <c r="W1173" s="263"/>
      <c r="X1173" s="263"/>
    </row>
    <row r="1174" spans="1:27">
      <c r="E1174" s="308" t="str">
        <f>"GDP at current price "&amp;Home!B1</f>
        <v>GDP at current price Poland</v>
      </c>
      <c r="J1174" s="6" t="s">
        <v>946</v>
      </c>
      <c r="L1174" s="323">
        <v>425.32100000000003</v>
      </c>
      <c r="M1174" s="323">
        <v>529.40099999999995</v>
      </c>
      <c r="N1174" s="323">
        <v>430.84699999999998</v>
      </c>
      <c r="O1174" s="323">
        <v>469.75299999999999</v>
      </c>
      <c r="P1174" s="323">
        <v>514.50300000000004</v>
      </c>
      <c r="Q1174" s="323">
        <v>470.35399999999998</v>
      </c>
      <c r="R1174" s="323">
        <v>496.14499999999998</v>
      </c>
      <c r="S1174" s="323">
        <v>522.93799999999999</v>
      </c>
      <c r="T1174" s="323">
        <v>553.78399999999999</v>
      </c>
      <c r="U1174" s="323">
        <v>589.50099999999998</v>
      </c>
      <c r="V1174" s="323">
        <v>623.40700000000004</v>
      </c>
      <c r="W1174" s="263"/>
      <c r="X1174" s="263"/>
    </row>
    <row r="1175" spans="1:27">
      <c r="E1175" s="312" t="s">
        <v>892</v>
      </c>
      <c r="J1175" s="312"/>
      <c r="K1175" s="312"/>
      <c r="L1175" s="312"/>
      <c r="M1175" s="316">
        <f>M1174/L1174-1</f>
        <v>0.24470929015966747</v>
      </c>
      <c r="N1175" s="316">
        <f t="shared" ref="N1175:V1175" si="846">N1174/M1174-1</f>
        <v>-0.18616134083615254</v>
      </c>
      <c r="O1175" s="316">
        <f t="shared" si="846"/>
        <v>9.0301197408825029E-2</v>
      </c>
      <c r="P1175" s="316">
        <f t="shared" si="846"/>
        <v>9.5262829614712441E-2</v>
      </c>
      <c r="Q1175" s="316">
        <f t="shared" si="846"/>
        <v>-8.5809023465363787E-2</v>
      </c>
      <c r="R1175" s="316">
        <f t="shared" si="846"/>
        <v>5.4833168209476257E-2</v>
      </c>
      <c r="S1175" s="316">
        <f t="shared" si="846"/>
        <v>5.4002358181580057E-2</v>
      </c>
      <c r="T1175" s="316">
        <f t="shared" si="846"/>
        <v>5.8985960094695811E-2</v>
      </c>
      <c r="U1175" s="316">
        <f t="shared" si="846"/>
        <v>6.4496265692038701E-2</v>
      </c>
      <c r="V1175" s="316">
        <f t="shared" si="846"/>
        <v>5.7516441872023982E-2</v>
      </c>
      <c r="W1175" s="263"/>
      <c r="X1175" s="263"/>
    </row>
    <row r="1176" spans="1:27" ht="18" customHeight="1">
      <c r="E1176" s="310" t="str">
        <f>"Annual Disposable Income "&amp;Home!B1</f>
        <v>Annual Disposable Income Poland</v>
      </c>
      <c r="J1176" s="6" t="s">
        <v>946</v>
      </c>
      <c r="L1176" s="323">
        <v>268203.56</v>
      </c>
      <c r="M1176" s="323">
        <v>329640.87</v>
      </c>
      <c r="N1176" s="323">
        <v>266283.2</v>
      </c>
      <c r="O1176" s="323">
        <v>295763.96999999997</v>
      </c>
      <c r="P1176" s="323">
        <v>306943.82</v>
      </c>
      <c r="Q1176" s="323">
        <v>332356.61829999997</v>
      </c>
      <c r="R1176" s="323">
        <v>352225.2107</v>
      </c>
      <c r="S1176" s="323">
        <v>371576.09950000001</v>
      </c>
      <c r="T1176" s="323">
        <v>386358.77990000002</v>
      </c>
      <c r="U1176" s="323">
        <f>T1176*(1+(((T1176/P1176)^(1/4))-1))</f>
        <v>409235.93204273965</v>
      </c>
      <c r="V1176" s="323">
        <f>U1176*(1+(((U1176/Q1176)^(1/4))-1))</f>
        <v>431088.18074672733</v>
      </c>
      <c r="W1176" s="263"/>
      <c r="X1176" s="263"/>
    </row>
    <row r="1177" spans="1:27">
      <c r="E1177" s="312" t="s">
        <v>892</v>
      </c>
      <c r="J1177" s="312"/>
      <c r="K1177" s="312"/>
      <c r="L1177" s="312"/>
      <c r="M1177" s="316">
        <f>M1176/L1176-1</f>
        <v>0.22906970362362089</v>
      </c>
      <c r="N1177" s="316">
        <f t="shared" ref="N1177" si="847">N1176/M1176-1</f>
        <v>-0.19220210770587998</v>
      </c>
      <c r="O1177" s="316">
        <f t="shared" ref="O1177" si="848">O1176/N1176-1</f>
        <v>0.11071209148755901</v>
      </c>
      <c r="P1177" s="316">
        <f t="shared" ref="P1177" si="849">P1176/O1176-1</f>
        <v>3.7799905106764786E-2</v>
      </c>
      <c r="Q1177" s="316">
        <f t="shared" ref="Q1177" si="850">Q1176/P1176-1</f>
        <v>8.2792995473894848E-2</v>
      </c>
      <c r="R1177" s="316">
        <f t="shared" ref="R1177" si="851">R1176/Q1176-1</f>
        <v>5.9780944040253026E-2</v>
      </c>
      <c r="S1177" s="316">
        <f t="shared" ref="S1177" si="852">S1176/R1176-1</f>
        <v>5.4938965787096006E-2</v>
      </c>
      <c r="T1177" s="316">
        <f t="shared" ref="T1177" si="853">T1176/S1176-1</f>
        <v>3.9783722418885059E-2</v>
      </c>
      <c r="U1177" s="316">
        <f t="shared" ref="U1177:V1177" si="854">U1176/T1176-1</f>
        <v>5.9212196882547419E-2</v>
      </c>
      <c r="V1177" s="316">
        <f t="shared" si="854"/>
        <v>5.339767843676424E-2</v>
      </c>
      <c r="W1177" s="263"/>
      <c r="X1177" s="263"/>
    </row>
    <row r="1178" spans="1:27" ht="19.5" customHeight="1">
      <c r="E1178" s="310" t="str">
        <f>"Government Travel and Tourism Spending of "&amp;Home!B1</f>
        <v>Government Travel and Tourism Spending of Poland</v>
      </c>
      <c r="J1178" s="6" t="s">
        <v>946</v>
      </c>
      <c r="L1178" s="9">
        <v>0.25700000000000001</v>
      </c>
      <c r="M1178" s="9">
        <v>0.33200000000000002</v>
      </c>
      <c r="N1178" s="9">
        <v>0.27100000000000002</v>
      </c>
      <c r="O1178" s="9">
        <v>0.30199999999999999</v>
      </c>
      <c r="P1178" s="9">
        <v>0.317</v>
      </c>
      <c r="Q1178" s="9">
        <v>0.3</v>
      </c>
      <c r="R1178" s="9">
        <v>0.315</v>
      </c>
      <c r="S1178" s="9">
        <v>0.33100000000000002</v>
      </c>
      <c r="T1178" s="9">
        <v>0.34</v>
      </c>
      <c r="U1178" s="9">
        <v>0.35599999999999998</v>
      </c>
      <c r="V1178" s="9">
        <v>0.373</v>
      </c>
      <c r="W1178" s="263"/>
      <c r="X1178" s="263"/>
    </row>
    <row r="1179" spans="1:27">
      <c r="E1179" s="312" t="s">
        <v>892</v>
      </c>
      <c r="J1179" s="312"/>
      <c r="K1179" s="312"/>
      <c r="L1179" s="312"/>
      <c r="M1179" s="316">
        <f>M1178/L1178-1</f>
        <v>0.29182879377431914</v>
      </c>
      <c r="N1179" s="316">
        <f t="shared" ref="N1179" si="855">N1178/M1178-1</f>
        <v>-0.1837349397590361</v>
      </c>
      <c r="O1179" s="316">
        <f t="shared" ref="O1179" si="856">O1178/N1178-1</f>
        <v>0.1143911439114389</v>
      </c>
      <c r="P1179" s="316">
        <f t="shared" ref="P1179" si="857">P1178/O1178-1</f>
        <v>4.9668874172185573E-2</v>
      </c>
      <c r="Q1179" s="316">
        <f t="shared" ref="Q1179" si="858">Q1178/P1178-1</f>
        <v>-5.362776025236593E-2</v>
      </c>
      <c r="R1179" s="316">
        <f t="shared" ref="R1179" si="859">R1178/Q1178-1</f>
        <v>5.0000000000000044E-2</v>
      </c>
      <c r="S1179" s="316">
        <f t="shared" ref="S1179" si="860">S1178/R1178-1</f>
        <v>5.0793650793650835E-2</v>
      </c>
      <c r="T1179" s="316">
        <f t="shared" ref="T1179" si="861">T1178/S1178-1</f>
        <v>2.7190332326284095E-2</v>
      </c>
      <c r="U1179" s="316">
        <f t="shared" ref="U1179:V1179" si="862">U1178/T1178-1</f>
        <v>4.7058823529411598E-2</v>
      </c>
      <c r="V1179" s="316">
        <f t="shared" si="862"/>
        <v>4.7752808988763995E-2</v>
      </c>
      <c r="W1179" s="263"/>
      <c r="X1179" s="263"/>
    </row>
    <row r="1180" spans="1:27" ht="19.5" customHeight="1">
      <c r="E1180" s="310" t="str">
        <f>"Travel and tourism contribution to GDP of "&amp;Home!B1</f>
        <v>Travel and tourism contribution to GDP of Poland</v>
      </c>
      <c r="J1180" s="6" t="s">
        <v>946</v>
      </c>
      <c r="L1180" s="9">
        <v>24.585000000000001</v>
      </c>
      <c r="M1180" s="9">
        <v>28.137</v>
      </c>
      <c r="N1180" s="9">
        <v>21.861999999999998</v>
      </c>
      <c r="O1180" s="9">
        <v>22.283999999999999</v>
      </c>
      <c r="P1180" s="9">
        <v>24.861000000000001</v>
      </c>
      <c r="Q1180" s="9">
        <v>24.689</v>
      </c>
      <c r="R1180" s="9">
        <v>25.759</v>
      </c>
      <c r="S1180" s="9">
        <v>27.472000000000001</v>
      </c>
      <c r="T1180" s="9">
        <v>29.088999999999999</v>
      </c>
      <c r="U1180" s="9">
        <v>31.286000000000001</v>
      </c>
      <c r="V1180" s="9">
        <v>33.866</v>
      </c>
      <c r="W1180" s="263"/>
      <c r="X1180" s="263"/>
    </row>
    <row r="1181" spans="1:27">
      <c r="E1181" s="312" t="s">
        <v>892</v>
      </c>
      <c r="J1181" s="312"/>
      <c r="K1181" s="312"/>
      <c r="L1181" s="312"/>
      <c r="M1181" s="316">
        <f>M1180/L1180-1</f>
        <v>0.14447834045149488</v>
      </c>
      <c r="N1181" s="316">
        <f t="shared" ref="N1181" si="863">N1180/M1180-1</f>
        <v>-0.22301595763585325</v>
      </c>
      <c r="O1181" s="316">
        <f t="shared" ref="O1181" si="864">O1180/N1180-1</f>
        <v>1.9302900009148249E-2</v>
      </c>
      <c r="P1181" s="316">
        <f t="shared" ref="P1181" si="865">P1180/O1180-1</f>
        <v>0.11564351103931081</v>
      </c>
      <c r="Q1181" s="316">
        <f t="shared" ref="Q1181" si="866">Q1180/P1180-1</f>
        <v>-6.9184666747114099E-3</v>
      </c>
      <c r="R1181" s="316">
        <f t="shared" ref="R1181" si="867">R1180/Q1180-1</f>
        <v>4.3339138887763751E-2</v>
      </c>
      <c r="S1181" s="316">
        <f t="shared" ref="S1181" si="868">S1180/R1180-1</f>
        <v>6.6501028766644765E-2</v>
      </c>
      <c r="T1181" s="316">
        <f t="shared" ref="T1181" si="869">T1180/S1180-1</f>
        <v>5.8859930110658043E-2</v>
      </c>
      <c r="U1181" s="316">
        <f t="shared" ref="U1181:V1181" si="870">U1180/T1180-1</f>
        <v>7.5526831448313958E-2</v>
      </c>
      <c r="V1181" s="316">
        <f t="shared" si="870"/>
        <v>8.2465000319631665E-2</v>
      </c>
      <c r="W1181" s="263"/>
      <c r="X1181" s="263"/>
    </row>
    <row r="1182" spans="1:27" ht="21.75" customHeight="1">
      <c r="E1182" s="310" t="str">
        <f>"Capital Investments in tourism "&amp;Home!B1</f>
        <v>Capital Investments in tourism Poland</v>
      </c>
      <c r="J1182" s="6" t="s">
        <v>946</v>
      </c>
      <c r="L1182" s="9">
        <v>3.43</v>
      </c>
      <c r="M1182" s="9">
        <v>4.0599999999999996</v>
      </c>
      <c r="N1182" s="9">
        <v>3.06</v>
      </c>
      <c r="O1182" s="9">
        <v>3.0670000000000002</v>
      </c>
      <c r="P1182" s="9">
        <v>3.4830000000000001</v>
      </c>
      <c r="Q1182" s="9">
        <v>3.2440000000000002</v>
      </c>
      <c r="R1182" s="9">
        <v>3.391</v>
      </c>
      <c r="S1182" s="9">
        <v>3.633</v>
      </c>
      <c r="T1182" s="9">
        <v>3.9670000000000001</v>
      </c>
      <c r="U1182" s="9">
        <v>4.3570000000000002</v>
      </c>
      <c r="V1182" s="9">
        <v>4.7709999999999999</v>
      </c>
      <c r="W1182" s="263"/>
      <c r="X1182" s="263"/>
    </row>
    <row r="1183" spans="1:27">
      <c r="C1183" s="310"/>
      <c r="E1183" s="312" t="s">
        <v>892</v>
      </c>
      <c r="J1183" s="312"/>
      <c r="K1183" s="312"/>
      <c r="L1183" s="312"/>
      <c r="M1183" s="316">
        <f>M1182/L1182-1</f>
        <v>0.18367346938775486</v>
      </c>
      <c r="N1183" s="316">
        <f t="shared" ref="N1183" si="871">N1182/M1182-1</f>
        <v>-0.24630541871921174</v>
      </c>
      <c r="O1183" s="316">
        <f t="shared" ref="O1183" si="872">O1182/N1182-1</f>
        <v>2.2875816993463971E-3</v>
      </c>
      <c r="P1183" s="316">
        <f t="shared" ref="P1183" si="873">P1182/O1182-1</f>
        <v>0.13563743071405288</v>
      </c>
      <c r="Q1183" s="316">
        <f t="shared" ref="Q1183" si="874">Q1182/P1182-1</f>
        <v>-6.861900660350273E-2</v>
      </c>
      <c r="R1183" s="316">
        <f t="shared" ref="R1183" si="875">R1182/Q1182-1</f>
        <v>4.5314426633785487E-2</v>
      </c>
      <c r="S1183" s="316">
        <f t="shared" ref="S1183" si="876">S1182/R1182-1</f>
        <v>7.1365378944264313E-2</v>
      </c>
      <c r="T1183" s="316">
        <f t="shared" ref="T1183" si="877">T1182/S1182-1</f>
        <v>9.1935039911918537E-2</v>
      </c>
      <c r="U1183" s="316">
        <f t="shared" ref="U1183:V1183" si="878">U1182/T1182-1</f>
        <v>9.8311066296949967E-2</v>
      </c>
      <c r="V1183" s="316">
        <f t="shared" si="878"/>
        <v>9.5019508836355238E-2</v>
      </c>
      <c r="W1183" s="263"/>
      <c r="X1183" s="263"/>
    </row>
    <row r="1184" spans="1:27" ht="18.75" customHeight="1">
      <c r="E1184" s="310" t="s">
        <v>913</v>
      </c>
      <c r="J1184" s="6" t="s">
        <v>951</v>
      </c>
      <c r="L1184" s="323">
        <f>'WTTC Export'!B16</f>
        <v>105911</v>
      </c>
      <c r="M1184" s="323">
        <f>'WTTC Export'!C16</f>
        <v>107942</v>
      </c>
      <c r="N1184" s="323">
        <f>'WTTC Export'!D16</f>
        <v>103397</v>
      </c>
      <c r="O1184" s="323">
        <f>N1184*(1+(((N1184/L1184)^(1/2))-1))</f>
        <v>102162.46730120073</v>
      </c>
      <c r="P1184" s="323">
        <f>O1184*(1+(((O1184/L1184)^(1/3))-1))*1.02</f>
        <v>102961.52808660103</v>
      </c>
      <c r="Q1184" s="323">
        <f>P1184*(1+(((P1184/L1184)^(1/4))-1))*1.02</f>
        <v>104281.82642289056</v>
      </c>
      <c r="R1184" s="323">
        <f>Q1184*(1+(((Q1184/L1184)^(1/6))-1))*1.02</f>
        <v>106092.99932640951</v>
      </c>
      <c r="S1184" s="323">
        <f>R1184*(1+(((R1184/M1184)^(1/6))-1))*1.015</f>
        <v>107374.74549474263</v>
      </c>
      <c r="T1184" s="323">
        <f>S1184*(1+(((S1184/N1184)^(1/6))-1))</f>
        <v>108052.42439100673</v>
      </c>
      <c r="U1184" s="323">
        <f>T1184*(1+(((T1184/P1184)^(1/4))-1))*1.004</f>
        <v>109801.45941458517</v>
      </c>
      <c r="V1184" s="323">
        <f>U1184*(1+(((U1184/Q1184)^(1/4))-1))</f>
        <v>111226.42626151063</v>
      </c>
      <c r="W1184" s="263"/>
      <c r="X1184" s="263"/>
    </row>
    <row r="1185" spans="5:24">
      <c r="E1185" s="312" t="s">
        <v>892</v>
      </c>
      <c r="J1185" s="312"/>
      <c r="K1185" s="312"/>
      <c r="L1185" s="312"/>
      <c r="M1185" s="316">
        <f>M1184/L1184-1</f>
        <v>1.9176478363909233E-2</v>
      </c>
      <c r="N1185" s="316">
        <f t="shared" ref="N1185" si="879">N1184/M1184-1</f>
        <v>-4.2105945785699705E-2</v>
      </c>
      <c r="O1185" s="316">
        <f t="shared" ref="O1185" si="880">O1184/N1184-1</f>
        <v>-1.1939734216653064E-2</v>
      </c>
      <c r="P1185" s="316">
        <f t="shared" ref="P1185" si="881">P1184/O1184-1</f>
        <v>7.8214710990138769E-3</v>
      </c>
      <c r="Q1185" s="316">
        <f t="shared" ref="Q1185" si="882">Q1184/P1184-1</f>
        <v>1.2823220098083787E-2</v>
      </c>
      <c r="R1185" s="316">
        <f t="shared" ref="R1185" si="883">R1184/Q1184-1</f>
        <v>1.7368058900063321E-2</v>
      </c>
      <c r="S1185" s="316">
        <f t="shared" ref="S1185" si="884">S1184/R1184-1</f>
        <v>1.2081345390091647E-2</v>
      </c>
      <c r="T1185" s="316">
        <f t="shared" ref="T1185" si="885">T1184/S1184-1</f>
        <v>6.3113434461856688E-3</v>
      </c>
      <c r="U1185" s="316">
        <f t="shared" ref="U1185:V1185" si="886">U1184/T1184-1</f>
        <v>1.6186911431521844E-2</v>
      </c>
      <c r="V1185" s="316">
        <f t="shared" si="886"/>
        <v>1.2977667642331658E-2</v>
      </c>
      <c r="W1185" s="263"/>
      <c r="X1185" s="263"/>
    </row>
    <row r="1186" spans="5:24" ht="18.75" customHeight="1">
      <c r="E1186" s="324" t="s">
        <v>926</v>
      </c>
      <c r="J1186" s="6" t="s">
        <v>946</v>
      </c>
      <c r="L1186" s="9">
        <f>africa!B12</f>
        <v>23.539000000000001</v>
      </c>
      <c r="M1186" s="9">
        <f>africa!C12</f>
        <v>26.902999999999999</v>
      </c>
      <c r="N1186" s="9">
        <f>africa!D12</f>
        <v>24.872</v>
      </c>
      <c r="O1186" s="9">
        <f>africa!E12</f>
        <v>26.065000000000001</v>
      </c>
      <c r="P1186" s="9">
        <f>africa!F12</f>
        <v>25.431000000000001</v>
      </c>
      <c r="Q1186" s="9">
        <f>africa!G12</f>
        <v>26.670999999999999</v>
      </c>
      <c r="R1186" s="9">
        <f>africa!H12</f>
        <v>28.353000000000002</v>
      </c>
      <c r="S1186" s="9">
        <f>africa!I12</f>
        <v>30.544</v>
      </c>
      <c r="T1186" s="9">
        <f>africa!J12</f>
        <v>33.360999999999997</v>
      </c>
      <c r="U1186" s="9">
        <f>africa!K12</f>
        <v>36.417000000000002</v>
      </c>
      <c r="V1186" s="323">
        <f>U1186*(1+(((U1186/Q1186)^(1/4))-1))</f>
        <v>39.365917939214128</v>
      </c>
      <c r="W1186" s="263"/>
      <c r="X1186" s="263"/>
    </row>
    <row r="1187" spans="5:24">
      <c r="E1187" s="312" t="s">
        <v>892</v>
      </c>
      <c r="J1187" s="312"/>
      <c r="K1187" s="312"/>
      <c r="L1187" s="312"/>
      <c r="M1187" s="316">
        <f>M1186/L1186-1</f>
        <v>0.14291176345639145</v>
      </c>
      <c r="N1187" s="316">
        <f t="shared" ref="N1187" si="887">N1186/M1186-1</f>
        <v>-7.549343939337616E-2</v>
      </c>
      <c r="O1187" s="316">
        <f t="shared" ref="O1187" si="888">O1186/N1186-1</f>
        <v>4.7965583788999844E-2</v>
      </c>
      <c r="P1187" s="316">
        <f t="shared" ref="P1187" si="889">P1186/O1186-1</f>
        <v>-2.432380586994054E-2</v>
      </c>
      <c r="Q1187" s="316">
        <f t="shared" ref="Q1187" si="890">Q1186/P1186-1</f>
        <v>4.8759388148322813E-2</v>
      </c>
      <c r="R1187" s="316">
        <f t="shared" ref="R1187" si="891">R1186/Q1186-1</f>
        <v>6.306475197780359E-2</v>
      </c>
      <c r="S1187" s="316">
        <f t="shared" ref="S1187" si="892">S1186/R1186-1</f>
        <v>7.7275773286777483E-2</v>
      </c>
      <c r="T1187" s="316">
        <f t="shared" ref="T1187" si="893">T1186/S1186-1</f>
        <v>9.2227606076479729E-2</v>
      </c>
      <c r="U1187" s="316">
        <f t="shared" ref="U1187:V1187" si="894">U1186/T1186-1</f>
        <v>9.1603968705974204E-2</v>
      </c>
      <c r="V1187" s="316">
        <f t="shared" si="894"/>
        <v>8.0976410446058855E-2</v>
      </c>
      <c r="W1187" s="263"/>
      <c r="X1187" s="263"/>
    </row>
    <row r="1188" spans="5:24" ht="15.75" customHeight="1">
      <c r="E1188" s="324" t="s">
        <v>950</v>
      </c>
      <c r="J1188" s="6" t="s">
        <v>946</v>
      </c>
      <c r="L1188" s="9">
        <f>africa!B14</f>
        <v>0.29499999999999998</v>
      </c>
      <c r="M1188" s="9">
        <f>africa!C14</f>
        <v>0.35299999999999998</v>
      </c>
      <c r="N1188" s="9">
        <f>africa!D14</f>
        <v>0.38900000000000001</v>
      </c>
      <c r="O1188" s="9">
        <f>africa!E14</f>
        <v>0.42699999999999999</v>
      </c>
      <c r="P1188" s="9">
        <f>africa!F14</f>
        <v>0.45300000000000001</v>
      </c>
      <c r="Q1188" s="9">
        <f>africa!G14</f>
        <v>0.48199999999999998</v>
      </c>
      <c r="R1188" s="9">
        <f>africa!H14</f>
        <v>0.50900000000000001</v>
      </c>
      <c r="S1188" s="9">
        <f>africa!I14</f>
        <v>0.54700000000000004</v>
      </c>
      <c r="T1188" s="9">
        <f>africa!J14</f>
        <v>0.59</v>
      </c>
      <c r="U1188" s="9">
        <f>africa!K14</f>
        <v>0.63600000000000001</v>
      </c>
      <c r="V1188" s="323">
        <f>U1188*(1+(((U1188/Q1188)^(1/4))-1))</f>
        <v>0.68164716845247864</v>
      </c>
      <c r="W1188" s="263"/>
      <c r="X1188" s="263"/>
    </row>
    <row r="1189" spans="5:24">
      <c r="E1189" s="312" t="s">
        <v>892</v>
      </c>
      <c r="J1189" s="312"/>
      <c r="K1189" s="312"/>
      <c r="L1189" s="312"/>
      <c r="M1189" s="316">
        <f>M1188/L1188-1</f>
        <v>0.19661016949152543</v>
      </c>
      <c r="N1189" s="316">
        <f t="shared" ref="N1189" si="895">N1188/M1188-1</f>
        <v>0.10198300283286121</v>
      </c>
      <c r="O1189" s="316">
        <f t="shared" ref="O1189" si="896">O1188/N1188-1</f>
        <v>9.7686375321336616E-2</v>
      </c>
      <c r="P1189" s="316">
        <f t="shared" ref="P1189" si="897">P1188/O1188-1</f>
        <v>6.0889929742388826E-2</v>
      </c>
      <c r="Q1189" s="316">
        <f t="shared" ref="Q1189" si="898">Q1188/P1188-1</f>
        <v>6.4017660044149993E-2</v>
      </c>
      <c r="R1189" s="316">
        <f t="shared" ref="R1189" si="899">R1188/Q1188-1</f>
        <v>5.6016597510373467E-2</v>
      </c>
      <c r="S1189" s="316">
        <f t="shared" ref="S1189" si="900">S1188/R1188-1</f>
        <v>7.4656188605108031E-2</v>
      </c>
      <c r="T1189" s="316">
        <f t="shared" ref="T1189" si="901">T1188/S1188-1</f>
        <v>7.8610603290676373E-2</v>
      </c>
      <c r="U1189" s="316">
        <f t="shared" ref="U1189:V1189" si="902">U1188/T1188-1</f>
        <v>7.7966101694915357E-2</v>
      </c>
      <c r="V1189" s="316">
        <f t="shared" si="902"/>
        <v>7.1772277441004118E-2</v>
      </c>
      <c r="W1189" s="263"/>
      <c r="X1189" s="263"/>
    </row>
    <row r="1190" spans="5:24" ht="16.5" customHeight="1">
      <c r="E1190" s="324" t="s">
        <v>938</v>
      </c>
      <c r="J1190" s="6" t="s">
        <v>946</v>
      </c>
      <c r="L1190" s="9">
        <f>africa!B16</f>
        <v>10.311999999999999</v>
      </c>
      <c r="M1190" s="9">
        <f>africa!C16</f>
        <v>12.093999999999999</v>
      </c>
      <c r="N1190" s="9">
        <f>africa!D16</f>
        <v>10.928000000000001</v>
      </c>
      <c r="O1190" s="9">
        <f>africa!E16</f>
        <v>10.923</v>
      </c>
      <c r="P1190" s="9">
        <f>africa!F16</f>
        <v>10.894</v>
      </c>
      <c r="Q1190" s="9">
        <f>africa!G16</f>
        <v>11.885999999999999</v>
      </c>
      <c r="R1190" s="9">
        <f>africa!H16</f>
        <v>13.013999999999999</v>
      </c>
      <c r="S1190" s="9">
        <f>africa!I16</f>
        <v>14.301</v>
      </c>
      <c r="T1190" s="9">
        <f>africa!J16</f>
        <v>15.637</v>
      </c>
      <c r="U1190" s="9">
        <f>africa!K16</f>
        <v>16.975000000000001</v>
      </c>
      <c r="V1190" s="323">
        <f>U1190*(1+(((U1190/Q1190)^(1/4))-1))</f>
        <v>18.556808979078173</v>
      </c>
      <c r="W1190" s="263"/>
      <c r="X1190" s="263"/>
    </row>
    <row r="1191" spans="5:24">
      <c r="E1191" s="312" t="s">
        <v>892</v>
      </c>
      <c r="J1191" s="312"/>
      <c r="K1191" s="312"/>
      <c r="L1191" s="312"/>
      <c r="M1191" s="316">
        <f>M1190/L1190-1</f>
        <v>0.17280837858805276</v>
      </c>
      <c r="N1191" s="316">
        <f t="shared" ref="N1191" si="903">N1190/M1190-1</f>
        <v>-9.641144369108634E-2</v>
      </c>
      <c r="O1191" s="316">
        <f t="shared" ref="O1191" si="904">O1190/N1190-1</f>
        <v>-4.5754026354327682E-4</v>
      </c>
      <c r="P1191" s="316">
        <f t="shared" ref="P1191" si="905">P1190/O1190-1</f>
        <v>-2.6549482742835862E-3</v>
      </c>
      <c r="Q1191" s="316">
        <f t="shared" ref="Q1191" si="906">Q1190/P1190-1</f>
        <v>9.1059298696530178E-2</v>
      </c>
      <c r="R1191" s="316">
        <f t="shared" ref="R1191" si="907">R1190/Q1190-1</f>
        <v>9.4901564866229249E-2</v>
      </c>
      <c r="S1191" s="316">
        <f t="shared" ref="S1191" si="908">S1190/R1190-1</f>
        <v>9.8893499308437161E-2</v>
      </c>
      <c r="T1191" s="316">
        <f t="shared" ref="T1191" si="909">T1190/S1190-1</f>
        <v>9.3420040556604356E-2</v>
      </c>
      <c r="U1191" s="316">
        <f t="shared" ref="U1191:V1191" si="910">U1190/T1190-1</f>
        <v>8.5566285093048533E-2</v>
      </c>
      <c r="V1191" s="316">
        <f t="shared" si="910"/>
        <v>9.3184623215208928E-2</v>
      </c>
      <c r="W1191" s="263"/>
      <c r="X1191" s="263"/>
    </row>
    <row r="1192" spans="5:24" ht="17.25" customHeight="1">
      <c r="E1192" s="325" t="s">
        <v>928</v>
      </c>
      <c r="J1192" s="6" t="s">
        <v>946</v>
      </c>
      <c r="L1192" s="9">
        <f>asia!B11</f>
        <v>101.30500000000001</v>
      </c>
      <c r="M1192" s="9">
        <f>asia!C11</f>
        <v>116.438</v>
      </c>
      <c r="N1192" s="9">
        <f>asia!D11</f>
        <v>115.34699999999999</v>
      </c>
      <c r="O1192" s="9">
        <f>asia!E11</f>
        <v>126.679</v>
      </c>
      <c r="P1192" s="9">
        <f>asia!F11</f>
        <v>142.62200000000001</v>
      </c>
      <c r="Q1192" s="9">
        <f>asia!G11</f>
        <v>157.61099999999999</v>
      </c>
      <c r="R1192" s="9">
        <f>asia!H11</f>
        <v>173.69</v>
      </c>
      <c r="S1192" s="9">
        <f>asia!I11</f>
        <v>189.37299999999999</v>
      </c>
      <c r="T1192" s="9">
        <f>asia!J11</f>
        <v>206.46299999999999</v>
      </c>
      <c r="U1192" s="9">
        <f>asia!K11</f>
        <v>225.43299999999999</v>
      </c>
      <c r="V1192" s="323">
        <f>U1192*(1+(((U1192/Q1192)^(1/4))-1))</f>
        <v>246.53309734359814</v>
      </c>
      <c r="W1192" s="263"/>
      <c r="X1192" s="263"/>
    </row>
    <row r="1193" spans="5:24">
      <c r="E1193" s="312" t="s">
        <v>892</v>
      </c>
      <c r="J1193" s="312"/>
      <c r="K1193" s="312"/>
      <c r="L1193" s="312"/>
      <c r="M1193" s="316">
        <f>M1192/L1192-1</f>
        <v>0.14938058338680227</v>
      </c>
      <c r="N1193" s="316">
        <f t="shared" ref="N1193" si="911">N1192/M1192-1</f>
        <v>-9.3697933664268485E-3</v>
      </c>
      <c r="O1193" s="316">
        <f t="shared" ref="O1193" si="912">O1192/N1192-1</f>
        <v>9.8242693784840629E-2</v>
      </c>
      <c r="P1193" s="316">
        <f t="shared" ref="P1193" si="913">P1192/O1192-1</f>
        <v>0.12585353531366694</v>
      </c>
      <c r="Q1193" s="316">
        <f t="shared" ref="Q1193" si="914">Q1192/P1192-1</f>
        <v>0.10509598799624165</v>
      </c>
      <c r="R1193" s="316">
        <f t="shared" ref="R1193" si="915">R1192/Q1192-1</f>
        <v>0.10201699119985275</v>
      </c>
      <c r="S1193" s="316">
        <f t="shared" ref="S1193" si="916">S1192/R1192-1</f>
        <v>9.029305083769934E-2</v>
      </c>
      <c r="T1193" s="316">
        <f t="shared" ref="T1193" si="917">T1192/S1192-1</f>
        <v>9.0245177506825147E-2</v>
      </c>
      <c r="U1193" s="316">
        <f t="shared" ref="U1193:V1193" si="918">U1192/T1192-1</f>
        <v>9.1880869695780909E-2</v>
      </c>
      <c r="V1193" s="316">
        <f t="shared" si="918"/>
        <v>9.3598086099187627E-2</v>
      </c>
      <c r="W1193" s="263"/>
      <c r="X1193" s="263"/>
    </row>
    <row r="1194" spans="5:24" ht="21" customHeight="1">
      <c r="E1194" s="325" t="s">
        <v>952</v>
      </c>
      <c r="J1194" s="6" t="s">
        <v>946</v>
      </c>
      <c r="L1194" s="9">
        <f>asia!B13</f>
        <v>7.1269999999999998</v>
      </c>
      <c r="M1194" s="9">
        <f>asia!C13</f>
        <v>8.4009999999999998</v>
      </c>
      <c r="N1194" s="9">
        <f>asia!D13</f>
        <v>9.2219999999999995</v>
      </c>
      <c r="O1194" s="9">
        <f>asia!E13</f>
        <v>10.276999999999999</v>
      </c>
      <c r="P1194" s="9">
        <f>asia!F13</f>
        <v>11.22</v>
      </c>
      <c r="Q1194" s="9">
        <f>asia!G13</f>
        <v>11.561999999999999</v>
      </c>
      <c r="R1194" s="9">
        <f>asia!H13</f>
        <v>12.515000000000001</v>
      </c>
      <c r="S1194" s="9">
        <f>asia!I13</f>
        <v>13.757999999999999</v>
      </c>
      <c r="T1194" s="9">
        <f>asia!J13</f>
        <v>15.117000000000001</v>
      </c>
      <c r="U1194" s="9">
        <f>asia!K13</f>
        <v>16.620999999999999</v>
      </c>
      <c r="V1194" s="323">
        <f>U1194*(1+(((U1194/Q1194)^(1/4))-1))</f>
        <v>18.199656685051892</v>
      </c>
      <c r="W1194" s="263"/>
      <c r="X1194" s="263"/>
    </row>
    <row r="1195" spans="5:24">
      <c r="E1195" s="312" t="s">
        <v>892</v>
      </c>
      <c r="J1195" s="312"/>
      <c r="K1195" s="312"/>
      <c r="L1195" s="312"/>
      <c r="M1195" s="316">
        <f>M1194/L1194-1</f>
        <v>0.1787568401852111</v>
      </c>
      <c r="N1195" s="316">
        <f t="shared" ref="N1195" si="919">N1194/M1194-1</f>
        <v>9.7726461135579035E-2</v>
      </c>
      <c r="O1195" s="316">
        <f t="shared" ref="O1195" si="920">O1194/N1194-1</f>
        <v>0.11440034699631307</v>
      </c>
      <c r="P1195" s="316">
        <f t="shared" ref="P1195" si="921">P1194/O1194-1</f>
        <v>9.1758295222341246E-2</v>
      </c>
      <c r="Q1195" s="316">
        <f t="shared" ref="Q1195" si="922">Q1194/P1194-1</f>
        <v>3.0481283422459704E-2</v>
      </c>
      <c r="R1195" s="316">
        <f t="shared" ref="R1195" si="923">R1194/Q1194-1</f>
        <v>8.242518595398729E-2</v>
      </c>
      <c r="S1195" s="316">
        <f t="shared" ref="S1195" si="924">S1194/R1194-1</f>
        <v>9.9320815021973541E-2</v>
      </c>
      <c r="T1195" s="316">
        <f t="shared" ref="T1195" si="925">T1194/S1194-1</f>
        <v>9.8778892280855013E-2</v>
      </c>
      <c r="U1195" s="316">
        <f t="shared" ref="U1195:V1195" si="926">U1194/T1194-1</f>
        <v>9.9490639677184411E-2</v>
      </c>
      <c r="V1195" s="316">
        <f t="shared" si="926"/>
        <v>9.4979645331321416E-2</v>
      </c>
      <c r="W1195" s="263"/>
      <c r="X1195" s="263"/>
    </row>
    <row r="1196" spans="5:24" ht="21" customHeight="1">
      <c r="E1196" s="325" t="s">
        <v>944</v>
      </c>
      <c r="J1196" s="6" t="s">
        <v>946</v>
      </c>
      <c r="L1196" s="9">
        <f>asia!B15</f>
        <v>132.80099999999999</v>
      </c>
      <c r="M1196" s="9">
        <f>asia!C15</f>
        <v>142.96199999999999</v>
      </c>
      <c r="N1196" s="9">
        <f>asia!D15</f>
        <v>140.684</v>
      </c>
      <c r="O1196" s="9">
        <f>asia!E15</f>
        <v>132.44900000000001</v>
      </c>
      <c r="P1196" s="9">
        <f>asia!F15</f>
        <v>149.751</v>
      </c>
      <c r="Q1196" s="9">
        <f>asia!G15</f>
        <v>162.655</v>
      </c>
      <c r="R1196" s="9">
        <f>asia!H15</f>
        <v>183.536</v>
      </c>
      <c r="S1196" s="9">
        <f>asia!I15</f>
        <v>207.78800000000001</v>
      </c>
      <c r="T1196" s="9">
        <f>asia!J15</f>
        <v>233.256</v>
      </c>
      <c r="U1196" s="9">
        <f>asia!K15</f>
        <v>261.50700000000001</v>
      </c>
      <c r="V1196" s="323">
        <f>U1196*(1+(((U1196/Q1196)^(1/4))-1))</f>
        <v>294.46744874665939</v>
      </c>
      <c r="W1196" s="263"/>
      <c r="X1196" s="263"/>
    </row>
    <row r="1197" spans="5:24">
      <c r="E1197" s="312" t="s">
        <v>892</v>
      </c>
      <c r="J1197" s="312"/>
      <c r="K1197" s="312"/>
      <c r="L1197" s="312"/>
      <c r="M1197" s="316">
        <f>M1196/L1196-1</f>
        <v>7.6512978064924297E-2</v>
      </c>
      <c r="N1197" s="316">
        <f t="shared" ref="N1197" si="927">N1196/M1196-1</f>
        <v>-1.5934304220701967E-2</v>
      </c>
      <c r="O1197" s="316">
        <f t="shared" ref="O1197" si="928">O1196/N1196-1</f>
        <v>-5.8535441130476706E-2</v>
      </c>
      <c r="P1197" s="316">
        <f t="shared" ref="P1197" si="929">P1196/O1196-1</f>
        <v>0.13063141284569912</v>
      </c>
      <c r="Q1197" s="316">
        <f t="shared" ref="Q1197" si="930">Q1196/P1196-1</f>
        <v>8.6169708382581645E-2</v>
      </c>
      <c r="R1197" s="316">
        <f t="shared" ref="R1197" si="931">R1196/Q1196-1</f>
        <v>0.12837601057452885</v>
      </c>
      <c r="S1197" s="316">
        <f t="shared" ref="S1197" si="932">S1196/R1196-1</f>
        <v>0.13213756429256396</v>
      </c>
      <c r="T1197" s="316">
        <f t="shared" ref="T1197" si="933">T1196/S1196-1</f>
        <v>0.1225672319864477</v>
      </c>
      <c r="U1197" s="316">
        <f t="shared" ref="U1197:V1197" si="934">U1196/T1196-1</f>
        <v>0.12111585554069348</v>
      </c>
      <c r="V1197" s="316">
        <f t="shared" si="934"/>
        <v>0.12604040712737863</v>
      </c>
      <c r="W1197" s="263"/>
      <c r="X1197" s="263"/>
    </row>
    <row r="1198" spans="5:24" ht="18" customHeight="1">
      <c r="E1198" s="325" t="s">
        <v>953</v>
      </c>
      <c r="J1198" s="6" t="s">
        <v>946</v>
      </c>
      <c r="L1198" s="323">
        <v>777.23</v>
      </c>
      <c r="M1198" s="323">
        <v>870.32100000000003</v>
      </c>
      <c r="N1198" s="323">
        <v>911.51900000000001</v>
      </c>
      <c r="O1198" s="323">
        <v>965.827</v>
      </c>
      <c r="P1198" s="323">
        <v>1071.52</v>
      </c>
      <c r="Q1198" s="323">
        <v>1148.97</v>
      </c>
      <c r="R1198" s="323">
        <v>1272.44</v>
      </c>
      <c r="S1198" s="323">
        <v>1424.1</v>
      </c>
      <c r="T1198" s="323">
        <v>1589.96</v>
      </c>
      <c r="U1198" s="323">
        <v>1770.47</v>
      </c>
      <c r="V1198" s="323">
        <f>U1198*(1+(((U1198/Q1198)^(1/4))-1))</f>
        <v>1972.5750829079311</v>
      </c>
      <c r="W1198" s="263"/>
      <c r="X1198" s="263"/>
    </row>
    <row r="1199" spans="5:24">
      <c r="E1199" s="312" t="s">
        <v>892</v>
      </c>
      <c r="J1199" s="312"/>
      <c r="K1199" s="312"/>
      <c r="L1199" s="312"/>
      <c r="M1199" s="316">
        <f>M1198/L1198-1</f>
        <v>0.11977278283133685</v>
      </c>
      <c r="N1199" s="316">
        <f t="shared" ref="N1199" si="935">N1198/M1198-1</f>
        <v>4.733655743110865E-2</v>
      </c>
      <c r="O1199" s="316">
        <f t="shared" ref="O1199" si="936">O1198/N1198-1</f>
        <v>5.9579668662968155E-2</v>
      </c>
      <c r="P1199" s="316">
        <f t="shared" ref="P1199" si="937">P1198/O1198-1</f>
        <v>0.10943264166356914</v>
      </c>
      <c r="Q1199" s="316">
        <f t="shared" ref="Q1199" si="938">Q1198/P1198-1</f>
        <v>7.2280498730775022E-2</v>
      </c>
      <c r="R1199" s="316">
        <f t="shared" ref="R1199" si="939">R1198/Q1198-1</f>
        <v>0.10746146548647917</v>
      </c>
      <c r="S1199" s="316">
        <f t="shared" ref="S1199" si="940">S1198/R1198-1</f>
        <v>0.1191883310804438</v>
      </c>
      <c r="T1199" s="316">
        <f t="shared" ref="T1199" si="941">T1198/S1198-1</f>
        <v>0.11646654027104852</v>
      </c>
      <c r="U1199" s="316">
        <f t="shared" ref="U1199:V1199" si="942">U1198/T1198-1</f>
        <v>0.11353115801655389</v>
      </c>
      <c r="V1199" s="316">
        <f t="shared" si="942"/>
        <v>0.11415335075315092</v>
      </c>
      <c r="W1199" s="263"/>
      <c r="X1199" s="263"/>
    </row>
    <row r="1200" spans="5:24" ht="17.25" customHeight="1">
      <c r="E1200" s="326" t="s">
        <v>947</v>
      </c>
      <c r="J1200" s="6" t="s">
        <v>946</v>
      </c>
      <c r="L1200" s="9">
        <v>507.74700000000001</v>
      </c>
      <c r="M1200" s="9">
        <v>554.154</v>
      </c>
      <c r="N1200" s="9">
        <v>473.45</v>
      </c>
      <c r="O1200" s="9">
        <v>478.67200000000003</v>
      </c>
      <c r="P1200" s="9">
        <v>490.68200000000002</v>
      </c>
      <c r="Q1200" s="9">
        <v>500.95299999999997</v>
      </c>
      <c r="R1200" s="9">
        <v>517.31700000000001</v>
      </c>
      <c r="S1200" s="9">
        <v>549.88199999999995</v>
      </c>
      <c r="T1200" s="9">
        <v>586.21400000000006</v>
      </c>
      <c r="U1200" s="9">
        <v>623.971</v>
      </c>
      <c r="V1200" s="323">
        <f>U1200*(1+(((U1200/Q1200)^(1/4))-1))</f>
        <v>659.18339923964163</v>
      </c>
      <c r="W1200" s="263"/>
      <c r="X1200" s="263"/>
    </row>
    <row r="1201" spans="5:24">
      <c r="E1201" s="312" t="s">
        <v>892</v>
      </c>
      <c r="J1201" s="312"/>
      <c r="K1201" s="312"/>
      <c r="L1201" s="312"/>
      <c r="M1201" s="316">
        <f>M1200/L1200-1</f>
        <v>9.1397881228249434E-2</v>
      </c>
      <c r="N1201" s="316">
        <f t="shared" ref="N1201" si="943">N1200/M1200-1</f>
        <v>-0.14563460698650554</v>
      </c>
      <c r="O1201" s="316">
        <f t="shared" ref="O1201" si="944">O1200/N1200-1</f>
        <v>1.1029675784137716E-2</v>
      </c>
      <c r="P1201" s="316">
        <f t="shared" ref="P1201" si="945">P1200/O1200-1</f>
        <v>2.5090249690811195E-2</v>
      </c>
      <c r="Q1201" s="316">
        <f t="shared" ref="Q1201" si="946">Q1200/P1200-1</f>
        <v>2.0932090437391082E-2</v>
      </c>
      <c r="R1201" s="316">
        <f t="shared" ref="R1201" si="947">R1200/Q1200-1</f>
        <v>3.2665739101273017E-2</v>
      </c>
      <c r="S1201" s="316">
        <f t="shared" ref="S1201" si="948">S1200/R1200-1</f>
        <v>6.2949796739716568E-2</v>
      </c>
      <c r="T1201" s="316">
        <f t="shared" ref="T1201" si="949">T1200/S1200-1</f>
        <v>6.6072357342120913E-2</v>
      </c>
      <c r="U1201" s="316">
        <f t="shared" ref="U1201:V1201" si="950">U1200/T1200-1</f>
        <v>6.4408219523927945E-2</v>
      </c>
      <c r="V1201" s="316">
        <f t="shared" si="950"/>
        <v>5.6432749662470805E-2</v>
      </c>
      <c r="W1201" s="263"/>
      <c r="X1201" s="263"/>
    </row>
    <row r="1202" spans="5:24" ht="17.25" customHeight="1">
      <c r="E1202" s="326" t="s">
        <v>954</v>
      </c>
      <c r="J1202" s="6" t="s">
        <v>946</v>
      </c>
      <c r="L1202" s="9">
        <v>16.033000000000001</v>
      </c>
      <c r="M1202" s="9">
        <v>17.960999999999999</v>
      </c>
      <c r="N1202" s="9">
        <v>17.234000000000002</v>
      </c>
      <c r="O1202" s="9">
        <v>17.117000000000001</v>
      </c>
      <c r="P1202" s="9">
        <v>16.678999999999998</v>
      </c>
      <c r="Q1202" s="9">
        <v>16.346</v>
      </c>
      <c r="R1202" s="9">
        <v>16.545000000000002</v>
      </c>
      <c r="S1202" s="9">
        <v>17.265000000000001</v>
      </c>
      <c r="T1202" s="9">
        <v>18.077000000000002</v>
      </c>
      <c r="U1202" s="9">
        <v>18.934000000000001</v>
      </c>
      <c r="V1202" s="323">
        <f>U1202*(1+(((U1202/Q1202)^(1/4))-1))</f>
        <v>19.64265063482544</v>
      </c>
      <c r="W1202" s="263"/>
      <c r="X1202" s="263"/>
    </row>
    <row r="1203" spans="5:24">
      <c r="E1203" s="312" t="s">
        <v>892</v>
      </c>
      <c r="J1203" s="312"/>
      <c r="K1203" s="312"/>
      <c r="L1203" s="312"/>
      <c r="M1203" s="316">
        <f>M1202/L1202-1</f>
        <v>0.12025198029065032</v>
      </c>
      <c r="N1203" s="316">
        <f t="shared" ref="N1203" si="951">N1202/M1202-1</f>
        <v>-4.04765881632424E-2</v>
      </c>
      <c r="O1203" s="316">
        <f t="shared" ref="O1203" si="952">O1202/N1202-1</f>
        <v>-6.7889056516189372E-3</v>
      </c>
      <c r="P1203" s="316">
        <f t="shared" ref="P1203" si="953">P1202/O1202-1</f>
        <v>-2.5588596132499974E-2</v>
      </c>
      <c r="Q1203" s="316">
        <f t="shared" ref="Q1203" si="954">Q1202/P1202-1</f>
        <v>-1.9965225732957559E-2</v>
      </c>
      <c r="R1203" s="316">
        <f t="shared" ref="R1203" si="955">R1202/Q1202-1</f>
        <v>1.2174232228068238E-2</v>
      </c>
      <c r="S1203" s="316">
        <f t="shared" ref="S1203" si="956">S1202/R1202-1</f>
        <v>4.3517679057116787E-2</v>
      </c>
      <c r="T1203" s="316">
        <f t="shared" ref="T1203" si="957">T1202/S1202-1</f>
        <v>4.7031566753547693E-2</v>
      </c>
      <c r="U1203" s="316">
        <f t="shared" ref="U1203:V1203" si="958">U1202/T1202-1</f>
        <v>4.7408308900813045E-2</v>
      </c>
      <c r="V1203" s="316">
        <f t="shared" si="958"/>
        <v>3.7427412845961738E-2</v>
      </c>
      <c r="W1203" s="263"/>
      <c r="X1203" s="263"/>
    </row>
    <row r="1204" spans="5:24" ht="15.75" customHeight="1">
      <c r="E1204" s="326" t="s">
        <v>941</v>
      </c>
      <c r="J1204" s="6" t="s">
        <v>946</v>
      </c>
      <c r="L1204" s="9">
        <v>158.36699999999999</v>
      </c>
      <c r="M1204" s="9">
        <v>192.11099999999999</v>
      </c>
      <c r="N1204" s="9">
        <v>152.917</v>
      </c>
      <c r="O1204" s="9">
        <v>143.53800000000001</v>
      </c>
      <c r="P1204" s="9">
        <v>145.78100000000001</v>
      </c>
      <c r="Q1204" s="9">
        <v>150.74600000000001</v>
      </c>
      <c r="R1204" s="9">
        <v>158.99199999999999</v>
      </c>
      <c r="S1204" s="9">
        <v>170.608</v>
      </c>
      <c r="T1204" s="9">
        <v>184.04900000000001</v>
      </c>
      <c r="U1204" s="9">
        <v>197.54300000000001</v>
      </c>
      <c r="V1204" s="323">
        <f>U1204*(1+(((U1204/Q1204)^(1/4))-1))</f>
        <v>211.35649919176623</v>
      </c>
      <c r="W1204" s="263"/>
      <c r="X1204" s="263"/>
    </row>
    <row r="1205" spans="5:24">
      <c r="E1205" s="312" t="s">
        <v>892</v>
      </c>
      <c r="J1205" s="312"/>
      <c r="K1205" s="312"/>
      <c r="L1205" s="312"/>
      <c r="M1205" s="316">
        <f>M1204/L1204-1</f>
        <v>0.21307469359146802</v>
      </c>
      <c r="N1205" s="316">
        <f t="shared" ref="N1205" si="959">N1204/M1204-1</f>
        <v>-0.20401746906736207</v>
      </c>
      <c r="O1205" s="316">
        <f t="shared" ref="O1205" si="960">O1204/N1204-1</f>
        <v>-6.1333926247572168E-2</v>
      </c>
      <c r="P1205" s="316">
        <f t="shared" ref="P1205" si="961">P1204/O1204-1</f>
        <v>1.5626523986679519E-2</v>
      </c>
      <c r="Q1205" s="316">
        <f t="shared" ref="Q1205" si="962">Q1204/P1204-1</f>
        <v>3.4057936219397567E-2</v>
      </c>
      <c r="R1205" s="316">
        <f t="shared" ref="R1205" si="963">R1204/Q1204-1</f>
        <v>5.4701285606251426E-2</v>
      </c>
      <c r="S1205" s="316">
        <f t="shared" ref="S1205" si="964">S1204/R1204-1</f>
        <v>7.3060279762503955E-2</v>
      </c>
      <c r="T1205" s="316">
        <f t="shared" ref="T1205" si="965">T1204/S1204-1</f>
        <v>7.8782941010972607E-2</v>
      </c>
      <c r="U1205" s="316">
        <f t="shared" ref="U1205:V1205" si="966">U1204/T1204-1</f>
        <v>7.331743177088712E-2</v>
      </c>
      <c r="V1205" s="316">
        <f t="shared" si="966"/>
        <v>6.9926543546297459E-2</v>
      </c>
      <c r="W1205" s="263"/>
      <c r="X1205" s="263"/>
    </row>
    <row r="1206" spans="5:24" ht="19.5" customHeight="1">
      <c r="E1206" s="326" t="s">
        <v>955</v>
      </c>
      <c r="J1206" s="6" t="s">
        <v>946</v>
      </c>
      <c r="L1206" s="323">
        <v>1656.43</v>
      </c>
      <c r="M1206" s="323">
        <v>1785.66</v>
      </c>
      <c r="N1206" s="323">
        <v>1582.38</v>
      </c>
      <c r="O1206" s="323">
        <v>1549.01</v>
      </c>
      <c r="P1206" s="323">
        <v>1535.31</v>
      </c>
      <c r="Q1206" s="323">
        <v>1546.62</v>
      </c>
      <c r="R1206" s="323">
        <v>1595.52</v>
      </c>
      <c r="S1206" s="323">
        <v>1693.52</v>
      </c>
      <c r="T1206" s="323">
        <v>1799.38</v>
      </c>
      <c r="U1206" s="323">
        <v>1906.48</v>
      </c>
      <c r="V1206" s="323">
        <f>U1206*(1+(((U1206/Q1206)^(1/4))-1))</f>
        <v>2008.8356710899707</v>
      </c>
      <c r="W1206" s="263"/>
      <c r="X1206" s="263"/>
    </row>
    <row r="1207" spans="5:24">
      <c r="E1207" s="312" t="s">
        <v>892</v>
      </c>
      <c r="J1207" s="312"/>
      <c r="K1207" s="312"/>
      <c r="L1207" s="312"/>
      <c r="M1207" s="316">
        <f>M1206/L1206-1</f>
        <v>7.8017181528950763E-2</v>
      </c>
      <c r="N1207" s="316">
        <f t="shared" ref="N1207" si="967">N1206/M1206-1</f>
        <v>-0.11384026074392661</v>
      </c>
      <c r="O1207" s="316">
        <f t="shared" ref="O1207" si="968">O1206/N1206-1</f>
        <v>-2.1088486962676511E-2</v>
      </c>
      <c r="P1207" s="316">
        <f t="shared" ref="P1207" si="969">P1206/O1206-1</f>
        <v>-8.8443586548828668E-3</v>
      </c>
      <c r="Q1207" s="316">
        <f t="shared" ref="Q1207" si="970">Q1206/P1206-1</f>
        <v>7.3665904605584309E-3</v>
      </c>
      <c r="R1207" s="316">
        <f t="shared" ref="R1207" si="971">R1206/Q1206-1</f>
        <v>3.1617333281607651E-2</v>
      </c>
      <c r="S1207" s="316">
        <f t="shared" ref="S1207" si="972">S1206/R1206-1</f>
        <v>6.1421981548335447E-2</v>
      </c>
      <c r="T1207" s="316">
        <f t="shared" ref="T1207" si="973">T1206/S1206-1</f>
        <v>6.2508857291322384E-2</v>
      </c>
      <c r="U1207" s="316">
        <f t="shared" ref="U1207:V1207" si="974">U1206/T1206-1</f>
        <v>5.9520501506074242E-2</v>
      </c>
      <c r="V1207" s="316">
        <f t="shared" si="974"/>
        <v>5.3688300475206008E-2</v>
      </c>
      <c r="W1207" s="263"/>
      <c r="X1207" s="263"/>
    </row>
    <row r="1208" spans="5:24" ht="18.75" customHeight="1">
      <c r="E1208" s="327" t="s">
        <v>948</v>
      </c>
      <c r="J1208" s="6" t="s">
        <v>946</v>
      </c>
      <c r="L1208" s="9">
        <v>47.731999999999999</v>
      </c>
      <c r="M1208" s="9">
        <v>58.506999999999998</v>
      </c>
      <c r="N1208" s="9">
        <v>56.529000000000003</v>
      </c>
      <c r="O1208" s="9">
        <v>61.491999999999997</v>
      </c>
      <c r="P1208" s="9">
        <v>65.891999999999996</v>
      </c>
      <c r="Q1208" s="9">
        <v>70.275999999999996</v>
      </c>
      <c r="R1208" s="9">
        <v>74.525999999999996</v>
      </c>
      <c r="S1208" s="9">
        <v>79.552000000000007</v>
      </c>
      <c r="T1208" s="9">
        <v>85.7</v>
      </c>
      <c r="U1208" s="9">
        <v>92.444000000000003</v>
      </c>
      <c r="V1208" s="323">
        <f>U1208*(1+(((U1208/Q1208)^(1/4))-1))</f>
        <v>99.002611948100594</v>
      </c>
      <c r="W1208" s="263"/>
      <c r="X1208" s="263"/>
    </row>
    <row r="1209" spans="5:24">
      <c r="E1209" s="312" t="s">
        <v>892</v>
      </c>
      <c r="J1209" s="312"/>
      <c r="K1209" s="312"/>
      <c r="L1209" s="312"/>
      <c r="M1209" s="316">
        <f>M1208/L1208-1</f>
        <v>0.22573954579736855</v>
      </c>
      <c r="N1209" s="316">
        <f t="shared" ref="N1209" si="975">N1208/M1208-1</f>
        <v>-3.3807920419778759E-2</v>
      </c>
      <c r="O1209" s="316">
        <f t="shared" ref="O1209" si="976">O1208/N1208-1</f>
        <v>8.7795644713332788E-2</v>
      </c>
      <c r="P1209" s="316">
        <f t="shared" ref="P1209" si="977">P1208/O1208-1</f>
        <v>7.1554023287582202E-2</v>
      </c>
      <c r="Q1209" s="316">
        <f t="shared" ref="Q1209" si="978">Q1208/P1208-1</f>
        <v>6.6533114793905224E-2</v>
      </c>
      <c r="R1209" s="316">
        <f t="shared" ref="R1209" si="979">R1208/Q1208-1</f>
        <v>6.0475838123968284E-2</v>
      </c>
      <c r="S1209" s="316">
        <f t="shared" ref="S1209" si="980">S1208/R1208-1</f>
        <v>6.7439551297533873E-2</v>
      </c>
      <c r="T1209" s="316">
        <f t="shared" ref="T1209" si="981">T1208/S1208-1</f>
        <v>7.7282783588093373E-2</v>
      </c>
      <c r="U1209" s="316">
        <f t="shared" ref="U1209:V1209" si="982">U1208/T1208-1</f>
        <v>7.8693115519253176E-2</v>
      </c>
      <c r="V1209" s="316">
        <f t="shared" si="982"/>
        <v>7.0946864567744683E-2</v>
      </c>
      <c r="W1209" s="263"/>
      <c r="X1209" s="263"/>
    </row>
    <row r="1210" spans="5:24" ht="21.75" customHeight="1">
      <c r="E1210" s="327" t="s">
        <v>956</v>
      </c>
      <c r="J1210" s="6" t="s">
        <v>946</v>
      </c>
      <c r="L1210" s="9">
        <v>0.92</v>
      </c>
      <c r="M1210" s="9">
        <v>1.0920000000000001</v>
      </c>
      <c r="N1210" s="9">
        <v>1.212</v>
      </c>
      <c r="O1210" s="9">
        <v>1.282</v>
      </c>
      <c r="P1210" s="9">
        <v>1.3879999999999999</v>
      </c>
      <c r="Q1210" s="9">
        <v>1.508</v>
      </c>
      <c r="R1210" s="9">
        <v>1.621</v>
      </c>
      <c r="S1210" s="9">
        <v>1.738</v>
      </c>
      <c r="T1210" s="9">
        <v>1.865</v>
      </c>
      <c r="U1210" s="9">
        <v>2.0009999999999999</v>
      </c>
      <c r="V1210" s="323">
        <f>U1210*(1+(((U1210/Q1210)^(1/4))-1))</f>
        <v>2.1476253687591855</v>
      </c>
      <c r="W1210" s="263"/>
      <c r="X1210" s="263"/>
    </row>
    <row r="1211" spans="5:24">
      <c r="E1211" s="312" t="s">
        <v>892</v>
      </c>
      <c r="J1211" s="312"/>
      <c r="K1211" s="312"/>
      <c r="L1211" s="312"/>
      <c r="M1211" s="316">
        <f>M1210/L1210-1</f>
        <v>0.18695652173913047</v>
      </c>
      <c r="N1211" s="316">
        <f t="shared" ref="N1211" si="983">N1210/M1210-1</f>
        <v>0.10989010989010972</v>
      </c>
      <c r="O1211" s="316">
        <f t="shared" ref="O1211" si="984">O1210/N1210-1</f>
        <v>5.7755775577557733E-2</v>
      </c>
      <c r="P1211" s="316">
        <f t="shared" ref="P1211" si="985">P1210/O1210-1</f>
        <v>8.2683307332293232E-2</v>
      </c>
      <c r="Q1211" s="316">
        <f t="shared" ref="Q1211" si="986">Q1210/P1210-1</f>
        <v>8.6455331412103931E-2</v>
      </c>
      <c r="R1211" s="316">
        <f t="shared" ref="R1211" si="987">R1210/Q1210-1</f>
        <v>7.493368700265246E-2</v>
      </c>
      <c r="S1211" s="316">
        <f t="shared" ref="S1211" si="988">S1210/R1210-1</f>
        <v>7.2177668106107262E-2</v>
      </c>
      <c r="T1211" s="316">
        <f t="shared" ref="T1211" si="989">T1210/S1210-1</f>
        <v>7.307249712313002E-2</v>
      </c>
      <c r="U1211" s="316">
        <f t="shared" ref="U1211:V1211" si="990">U1210/T1210-1</f>
        <v>7.2922252010723776E-2</v>
      </c>
      <c r="V1211" s="316">
        <f t="shared" si="990"/>
        <v>7.3276046356414604E-2</v>
      </c>
      <c r="W1211" s="263"/>
      <c r="X1211" s="263"/>
    </row>
    <row r="1212" spans="5:24" ht="22.5" customHeight="1">
      <c r="E1212" s="327" t="s">
        <v>957</v>
      </c>
      <c r="J1212" s="6" t="s">
        <v>946</v>
      </c>
      <c r="L1212" s="9">
        <v>26.361999999999998</v>
      </c>
      <c r="M1212" s="9">
        <v>32.143000000000001</v>
      </c>
      <c r="N1212" s="9">
        <v>28.364999999999998</v>
      </c>
      <c r="O1212" s="9">
        <v>26.722000000000001</v>
      </c>
      <c r="P1212" s="9">
        <v>27.324000000000002</v>
      </c>
      <c r="Q1212" s="9">
        <v>29.896000000000001</v>
      </c>
      <c r="R1212" s="9">
        <v>32.814</v>
      </c>
      <c r="S1212" s="9">
        <v>35.905000000000001</v>
      </c>
      <c r="T1212" s="9">
        <v>38.942</v>
      </c>
      <c r="U1212" s="9">
        <v>41.999000000000002</v>
      </c>
      <c r="V1212" s="323">
        <f>U1212*(1+(((U1212/Q1212)^(1/4))-1))</f>
        <v>45.724126353227213</v>
      </c>
      <c r="W1212" s="263"/>
      <c r="X1212" s="263"/>
    </row>
    <row r="1213" spans="5:24">
      <c r="E1213" s="312" t="s">
        <v>892</v>
      </c>
      <c r="J1213" s="312"/>
      <c r="K1213" s="312"/>
      <c r="L1213" s="312"/>
      <c r="M1213" s="316">
        <f>M1212/L1212-1</f>
        <v>0.21929292162961844</v>
      </c>
      <c r="N1213" s="316">
        <f t="shared" ref="N1213" si="991">N1212/M1212-1</f>
        <v>-0.11753725538997606</v>
      </c>
      <c r="O1213" s="316">
        <f t="shared" ref="O1213" si="992">O1212/N1212-1</f>
        <v>-5.7923497267759472E-2</v>
      </c>
      <c r="P1213" s="316">
        <f t="shared" ref="P1213" si="993">P1212/O1212-1</f>
        <v>2.2528253873213E-2</v>
      </c>
      <c r="Q1213" s="316">
        <f t="shared" ref="Q1213" si="994">Q1212/P1212-1</f>
        <v>9.4129702825354933E-2</v>
      </c>
      <c r="R1213" s="316">
        <f t="shared" ref="R1213" si="995">R1212/Q1212-1</f>
        <v>9.760503077334759E-2</v>
      </c>
      <c r="S1213" s="316">
        <f t="shared" ref="S1213" si="996">S1212/R1212-1</f>
        <v>9.4197598585969544E-2</v>
      </c>
      <c r="T1213" s="316">
        <f t="shared" ref="T1213" si="997">T1212/S1212-1</f>
        <v>8.45843197326277E-2</v>
      </c>
      <c r="U1213" s="316">
        <f t="shared" ref="U1213:V1213" si="998">U1212/T1212-1</f>
        <v>7.8501360998407987E-2</v>
      </c>
      <c r="V1213" s="316">
        <f t="shared" si="998"/>
        <v>8.8695596400562238E-2</v>
      </c>
      <c r="W1213" s="263"/>
      <c r="X1213" s="263"/>
    </row>
    <row r="1214" spans="5:24" ht="20.25" customHeight="1">
      <c r="E1214" s="327" t="s">
        <v>958</v>
      </c>
      <c r="J1214" s="6" t="s">
        <v>946</v>
      </c>
      <c r="L1214" s="9">
        <v>119.536</v>
      </c>
      <c r="M1214" s="9">
        <v>145.45099999999999</v>
      </c>
      <c r="N1214" s="9">
        <v>141.131</v>
      </c>
      <c r="O1214" s="9">
        <v>149.291</v>
      </c>
      <c r="P1214" s="9">
        <v>159.482</v>
      </c>
      <c r="Q1214" s="9">
        <v>172.02799999999999</v>
      </c>
      <c r="R1214" s="9">
        <v>185.661</v>
      </c>
      <c r="S1214" s="9">
        <v>200.26900000000001</v>
      </c>
      <c r="T1214" s="9">
        <v>216.12899999999999</v>
      </c>
      <c r="U1214" s="9">
        <v>232.881</v>
      </c>
      <c r="V1214" s="323">
        <f>U1214*(1+(((U1214/Q1214)^(1/4))-1))</f>
        <v>251.19893081893244</v>
      </c>
      <c r="W1214" s="263"/>
      <c r="X1214" s="263"/>
    </row>
    <row r="1215" spans="5:24">
      <c r="E1215" s="312" t="s">
        <v>892</v>
      </c>
      <c r="J1215" s="312"/>
      <c r="K1215" s="312"/>
      <c r="L1215" s="312"/>
      <c r="M1215" s="316">
        <f>M1214/L1214-1</f>
        <v>0.21679661357248015</v>
      </c>
      <c r="N1215" s="316">
        <f t="shared" ref="N1215" si="999">N1214/M1214-1</f>
        <v>-2.9700723955146335E-2</v>
      </c>
      <c r="O1215" s="316">
        <f t="shared" ref="O1215" si="1000">O1214/N1214-1</f>
        <v>5.7818622414635978E-2</v>
      </c>
      <c r="P1215" s="316">
        <f t="shared" ref="P1215" si="1001">P1214/O1214-1</f>
        <v>6.8262654815092638E-2</v>
      </c>
      <c r="Q1215" s="316">
        <f t="shared" ref="Q1215" si="1002">Q1214/P1214-1</f>
        <v>7.8667185011474627E-2</v>
      </c>
      <c r="R1215" s="316">
        <f t="shared" ref="R1215" si="1003">R1214/Q1214-1</f>
        <v>7.9248726951426596E-2</v>
      </c>
      <c r="S1215" s="316">
        <f t="shared" ref="S1215" si="1004">S1214/R1214-1</f>
        <v>7.8681036943677007E-2</v>
      </c>
      <c r="T1215" s="316">
        <f t="shared" ref="T1215" si="1005">T1214/S1214-1</f>
        <v>7.9193484762993593E-2</v>
      </c>
      <c r="U1215" s="316">
        <f t="shared" ref="U1215:V1215" si="1006">U1214/T1214-1</f>
        <v>7.7509265299890329E-2</v>
      </c>
      <c r="V1215" s="316">
        <f t="shared" si="1006"/>
        <v>7.8657901756401083E-2</v>
      </c>
      <c r="W1215" s="263"/>
      <c r="X1215" s="263"/>
    </row>
    <row r="1216" spans="5:24" ht="18.75" customHeight="1">
      <c r="E1216" s="328" t="s">
        <v>932</v>
      </c>
      <c r="J1216" s="6" t="s">
        <v>946</v>
      </c>
      <c r="L1216" s="9">
        <v>177.17699999999999</v>
      </c>
      <c r="M1216" s="9">
        <v>199.245</v>
      </c>
      <c r="N1216" s="9">
        <v>175.41399999999999</v>
      </c>
      <c r="O1216" s="9">
        <v>193.86500000000001</v>
      </c>
      <c r="P1216" s="9">
        <v>207.83699999999999</v>
      </c>
      <c r="Q1216" s="9">
        <v>219.655</v>
      </c>
      <c r="R1216" s="9">
        <v>238.172</v>
      </c>
      <c r="S1216" s="9">
        <v>254.70699999999999</v>
      </c>
      <c r="T1216" s="9">
        <v>268.18700000000001</v>
      </c>
      <c r="U1216" s="9">
        <v>280.97800000000001</v>
      </c>
      <c r="V1216" s="323">
        <f>U1216*(1+(((U1216/Q1216)^(1/4))-1))</f>
        <v>298.81687711777596</v>
      </c>
      <c r="W1216" s="263"/>
      <c r="X1216" s="263"/>
    </row>
    <row r="1217" spans="5:24">
      <c r="E1217" s="312" t="s">
        <v>892</v>
      </c>
      <c r="J1217" s="312"/>
      <c r="K1217" s="312"/>
      <c r="L1217" s="312"/>
      <c r="M1217" s="316">
        <f>M1216/L1216-1</f>
        <v>0.12455341268900599</v>
      </c>
      <c r="N1217" s="316">
        <f t="shared" ref="N1217" si="1007">N1216/M1216-1</f>
        <v>-0.11960651459258709</v>
      </c>
      <c r="O1217" s="316">
        <f t="shared" ref="O1217" si="1008">O1216/N1216-1</f>
        <v>0.10518544699966959</v>
      </c>
      <c r="P1217" s="316">
        <f t="shared" ref="P1217" si="1009">P1216/O1216-1</f>
        <v>7.2070770897273873E-2</v>
      </c>
      <c r="Q1217" s="316">
        <f t="shared" ref="Q1217" si="1010">Q1216/P1216-1</f>
        <v>5.686186771364099E-2</v>
      </c>
      <c r="R1217" s="316">
        <f t="shared" ref="R1217" si="1011">R1216/Q1216-1</f>
        <v>8.4300380141585585E-2</v>
      </c>
      <c r="S1217" s="316">
        <f t="shared" ref="S1217" si="1012">S1216/R1216-1</f>
        <v>6.9424617503316854E-2</v>
      </c>
      <c r="T1217" s="316">
        <f t="shared" ref="T1217" si="1013">T1216/S1216-1</f>
        <v>5.2923555300796732E-2</v>
      </c>
      <c r="U1217" s="316">
        <f t="shared" ref="U1217:V1217" si="1014">U1216/T1216-1</f>
        <v>4.7694332685775276E-2</v>
      </c>
      <c r="V1217" s="316">
        <f t="shared" si="1014"/>
        <v>6.3488519093224172E-2</v>
      </c>
      <c r="W1217" s="263"/>
      <c r="X1217" s="263"/>
    </row>
    <row r="1218" spans="5:24" ht="19.5" customHeight="1">
      <c r="E1218" s="328" t="s">
        <v>959</v>
      </c>
      <c r="J1218" s="6" t="s">
        <v>946</v>
      </c>
      <c r="L1218" s="9">
        <v>16.332000000000001</v>
      </c>
      <c r="M1218" s="9">
        <v>17.646000000000001</v>
      </c>
      <c r="N1218" s="9">
        <v>17.838999999999999</v>
      </c>
      <c r="O1218" s="9">
        <v>18.809000000000001</v>
      </c>
      <c r="P1218" s="9">
        <v>19.375</v>
      </c>
      <c r="Q1218" s="9">
        <v>20.125</v>
      </c>
      <c r="R1218" s="9">
        <v>21.068000000000001</v>
      </c>
      <c r="S1218" s="9">
        <v>22.097000000000001</v>
      </c>
      <c r="T1218" s="9">
        <v>23.105</v>
      </c>
      <c r="U1218" s="9">
        <v>24.16</v>
      </c>
      <c r="V1218" s="323">
        <f>U1218*(1+(((U1218/Q1218)^(1/4))-1))</f>
        <v>25.289322232662432</v>
      </c>
      <c r="W1218" s="263"/>
      <c r="X1218" s="263"/>
    </row>
    <row r="1219" spans="5:24">
      <c r="E1219" s="312" t="s">
        <v>892</v>
      </c>
      <c r="J1219" s="312"/>
      <c r="K1219" s="312"/>
      <c r="L1219" s="312"/>
      <c r="M1219" s="316">
        <f>M1218/L1218-1</f>
        <v>8.045554739162375E-2</v>
      </c>
      <c r="N1219" s="316">
        <f t="shared" ref="N1219" si="1015">N1218/M1218-1</f>
        <v>1.0937322906040992E-2</v>
      </c>
      <c r="O1219" s="316">
        <f t="shared" ref="O1219" si="1016">O1218/N1218-1</f>
        <v>5.4375245249173254E-2</v>
      </c>
      <c r="P1219" s="316">
        <f t="shared" ref="P1219" si="1017">P1218/O1218-1</f>
        <v>3.0091977244935952E-2</v>
      </c>
      <c r="Q1219" s="316">
        <f t="shared" ref="Q1219" si="1018">Q1218/P1218-1</f>
        <v>3.8709677419354938E-2</v>
      </c>
      <c r="R1219" s="316">
        <f t="shared" ref="R1219" si="1019">R1218/Q1218-1</f>
        <v>4.685714285714293E-2</v>
      </c>
      <c r="S1219" s="316">
        <f t="shared" ref="S1219" si="1020">S1218/R1218-1</f>
        <v>4.8841845452819443E-2</v>
      </c>
      <c r="T1219" s="316">
        <f t="shared" ref="T1219" si="1021">T1218/S1218-1</f>
        <v>4.561705208851885E-2</v>
      </c>
      <c r="U1219" s="316">
        <f t="shared" ref="U1219:V1219" si="1022">U1218/T1218-1</f>
        <v>4.5661112313352126E-2</v>
      </c>
      <c r="V1219" s="316">
        <f t="shared" si="1022"/>
        <v>4.6743469894968248E-2</v>
      </c>
      <c r="W1219" s="263"/>
      <c r="X1219" s="263"/>
    </row>
    <row r="1220" spans="5:24" ht="18" customHeight="1">
      <c r="E1220" s="328" t="s">
        <v>960</v>
      </c>
      <c r="J1220" s="6" t="s">
        <v>946</v>
      </c>
      <c r="L1220" s="9">
        <v>183.33600000000001</v>
      </c>
      <c r="M1220" s="9">
        <v>192.364</v>
      </c>
      <c r="N1220" s="9">
        <v>159.28299999999999</v>
      </c>
      <c r="O1220" s="9">
        <v>151.321</v>
      </c>
      <c r="P1220" s="9">
        <v>155.73699999999999</v>
      </c>
      <c r="Q1220" s="9">
        <v>168.11500000000001</v>
      </c>
      <c r="R1220" s="9">
        <v>181.637</v>
      </c>
      <c r="S1220" s="9">
        <v>194.292</v>
      </c>
      <c r="T1220" s="9">
        <v>208.22900000000001</v>
      </c>
      <c r="U1220" s="9">
        <v>223.334</v>
      </c>
      <c r="V1220" s="323">
        <f>U1220*(1+(((U1220/Q1220)^(1/4))-1))</f>
        <v>239.76839671416744</v>
      </c>
      <c r="W1220" s="263"/>
      <c r="X1220" s="263"/>
    </row>
    <row r="1221" spans="5:24">
      <c r="E1221" s="312" t="s">
        <v>892</v>
      </c>
      <c r="J1221" s="312"/>
      <c r="K1221" s="312"/>
      <c r="L1221" s="312"/>
      <c r="M1221" s="316">
        <f>M1220/L1220-1</f>
        <v>4.9242920102980259E-2</v>
      </c>
      <c r="N1221" s="316">
        <f t="shared" ref="N1221" si="1023">N1220/M1220-1</f>
        <v>-0.17197084693601727</v>
      </c>
      <c r="O1221" s="316">
        <f t="shared" ref="O1221" si="1024">O1220/N1220-1</f>
        <v>-4.9986502012141831E-2</v>
      </c>
      <c r="P1221" s="316">
        <f t="shared" ref="P1221" si="1025">P1220/O1220-1</f>
        <v>2.9182995089908292E-2</v>
      </c>
      <c r="Q1221" s="316">
        <f t="shared" ref="Q1221" si="1026">Q1220/P1220-1</f>
        <v>7.9480149225938712E-2</v>
      </c>
      <c r="R1221" s="316">
        <f t="shared" ref="R1221" si="1027">R1220/Q1220-1</f>
        <v>8.0433036909258515E-2</v>
      </c>
      <c r="S1221" s="316">
        <f t="shared" ref="S1221" si="1028">S1220/R1220-1</f>
        <v>6.9671928076328049E-2</v>
      </c>
      <c r="T1221" s="316">
        <f t="shared" ref="T1221" si="1029">T1220/S1220-1</f>
        <v>7.1732238074650567E-2</v>
      </c>
      <c r="U1221" s="316">
        <f t="shared" ref="U1221:V1221" si="1030">U1220/T1220-1</f>
        <v>7.2540328196360582E-2</v>
      </c>
      <c r="V1221" s="316">
        <f t="shared" si="1030"/>
        <v>7.3586631297372751E-2</v>
      </c>
      <c r="W1221" s="263"/>
      <c r="X1221" s="263"/>
    </row>
    <row r="1222" spans="5:24" ht="14.25" customHeight="1">
      <c r="E1222" s="328" t="s">
        <v>961</v>
      </c>
      <c r="J1222" s="6" t="s">
        <v>946</v>
      </c>
      <c r="L1222" s="323">
        <v>1512.11</v>
      </c>
      <c r="M1222" s="323">
        <v>1557.44</v>
      </c>
      <c r="N1222" s="323">
        <v>1441.63</v>
      </c>
      <c r="O1222" s="323">
        <v>1501.48</v>
      </c>
      <c r="P1222" s="323">
        <v>1569.68</v>
      </c>
      <c r="Q1222" s="323">
        <v>1662.71</v>
      </c>
      <c r="R1222" s="323">
        <v>1773.77</v>
      </c>
      <c r="S1222" s="323">
        <v>1880.25</v>
      </c>
      <c r="T1222" s="323">
        <v>1981.69</v>
      </c>
      <c r="U1222" s="323">
        <v>2084.2800000000002</v>
      </c>
      <c r="V1222" s="323">
        <f>U1222*(1+(((U1222/Q1222)^(1/4))-1))</f>
        <v>2205.4181751230803</v>
      </c>
      <c r="W1222" s="263"/>
      <c r="X1222" s="263"/>
    </row>
    <row r="1223" spans="5:24">
      <c r="E1223" s="312" t="s">
        <v>892</v>
      </c>
      <c r="J1223" s="312"/>
      <c r="K1223" s="312"/>
      <c r="L1223" s="312"/>
      <c r="M1223" s="316">
        <f>M1222/L1222-1</f>
        <v>2.9977977792621013E-2</v>
      </c>
      <c r="N1223" s="316">
        <f t="shared" ref="N1223" si="1031">N1222/M1222-1</f>
        <v>-7.4359204848982952E-2</v>
      </c>
      <c r="O1223" s="316">
        <f t="shared" ref="O1223" si="1032">O1222/N1222-1</f>
        <v>4.1515506752772824E-2</v>
      </c>
      <c r="P1223" s="316">
        <f t="shared" ref="P1223" si="1033">P1222/O1222-1</f>
        <v>4.5421850440898304E-2</v>
      </c>
      <c r="Q1223" s="316">
        <f t="shared" ref="Q1223" si="1034">Q1222/P1222-1</f>
        <v>5.9266856938993806E-2</v>
      </c>
      <c r="R1223" s="316">
        <f t="shared" ref="R1223" si="1035">R1222/Q1222-1</f>
        <v>6.6794570309915757E-2</v>
      </c>
      <c r="S1223" s="316">
        <f t="shared" ref="S1223" si="1036">S1222/R1222-1</f>
        <v>6.0030330877171245E-2</v>
      </c>
      <c r="T1223" s="316">
        <f t="shared" ref="T1223" si="1037">T1222/S1222-1</f>
        <v>5.395027257013707E-2</v>
      </c>
      <c r="U1223" s="316">
        <f t="shared" ref="U1223:V1223" si="1038">U1222/T1222-1</f>
        <v>5.1768944688624474E-2</v>
      </c>
      <c r="V1223" s="316">
        <f t="shared" si="1038"/>
        <v>5.8119914369988646E-2</v>
      </c>
      <c r="W1223" s="263"/>
      <c r="X1223" s="263"/>
    </row>
    <row r="1224" spans="5:24" ht="20.25" customHeight="1">
      <c r="E1224" s="327" t="s">
        <v>949</v>
      </c>
      <c r="J1224" s="6" t="s">
        <v>946</v>
      </c>
      <c r="L1224" s="9">
        <v>23.765999999999998</v>
      </c>
      <c r="M1224" s="9">
        <v>24.672999999999998</v>
      </c>
      <c r="N1224" s="9">
        <v>22.920999999999999</v>
      </c>
      <c r="O1224" s="9">
        <v>24.291</v>
      </c>
      <c r="P1224" s="9">
        <v>26.23</v>
      </c>
      <c r="Q1224" s="9">
        <v>27.891999999999999</v>
      </c>
      <c r="R1224" s="9">
        <v>29.631</v>
      </c>
      <c r="S1224" s="9">
        <v>31.498999999999999</v>
      </c>
      <c r="T1224" s="9">
        <v>33.725000000000001</v>
      </c>
      <c r="U1224" s="9">
        <v>36.039000000000001</v>
      </c>
      <c r="V1224" s="323">
        <f>U1224*(1+(((U1224/Q1224)^(1/4))-1))</f>
        <v>38.42341845934984</v>
      </c>
      <c r="W1224" s="263"/>
      <c r="X1224" s="263"/>
    </row>
    <row r="1225" spans="5:24">
      <c r="E1225" s="312" t="s">
        <v>892</v>
      </c>
      <c r="J1225" s="312"/>
      <c r="K1225" s="312"/>
      <c r="L1225" s="312"/>
      <c r="M1225" s="316">
        <f>M1224/L1224-1</f>
        <v>3.8163763359420955E-2</v>
      </c>
      <c r="N1225" s="316">
        <f t="shared" ref="N1225" si="1039">N1224/M1224-1</f>
        <v>-7.1008795039111505E-2</v>
      </c>
      <c r="O1225" s="316">
        <f t="shared" ref="O1225" si="1040">O1224/N1224-1</f>
        <v>5.9770516120588146E-2</v>
      </c>
      <c r="P1225" s="316">
        <f t="shared" ref="P1225" si="1041">P1224/O1224-1</f>
        <v>7.9823803054629217E-2</v>
      </c>
      <c r="Q1225" s="316">
        <f t="shared" ref="Q1225" si="1042">Q1224/P1224-1</f>
        <v>6.3362561951963325E-2</v>
      </c>
      <c r="R1225" s="316">
        <f t="shared" ref="R1225" si="1043">R1224/Q1224-1</f>
        <v>6.2347626559587033E-2</v>
      </c>
      <c r="S1225" s="316">
        <f t="shared" ref="S1225" si="1044">S1224/R1224-1</f>
        <v>6.3042084303600809E-2</v>
      </c>
      <c r="T1225" s="316">
        <f t="shared" ref="T1225" si="1045">T1224/S1224-1</f>
        <v>7.0668910124130901E-2</v>
      </c>
      <c r="U1225" s="316">
        <f t="shared" ref="U1225:V1225" si="1046">U1224/T1224-1</f>
        <v>6.8613787991104624E-2</v>
      </c>
      <c r="V1225" s="316">
        <f t="shared" si="1046"/>
        <v>6.6162170408441856E-2</v>
      </c>
      <c r="W1225" s="263"/>
      <c r="X1225" s="263"/>
    </row>
    <row r="1226" spans="5:24" ht="18" customHeight="1">
      <c r="E1226" s="327" t="s">
        <v>962</v>
      </c>
      <c r="J1226" s="6" t="s">
        <v>946</v>
      </c>
      <c r="L1226" s="9">
        <v>0.59</v>
      </c>
      <c r="M1226" s="9">
        <v>0.64500000000000002</v>
      </c>
      <c r="N1226" s="9">
        <v>0.65400000000000003</v>
      </c>
      <c r="O1226" s="9">
        <v>0.68500000000000005</v>
      </c>
      <c r="P1226" s="9">
        <v>0.72499999999999998</v>
      </c>
      <c r="Q1226" s="9">
        <v>0.77400000000000002</v>
      </c>
      <c r="R1226" s="9">
        <v>0.82599999999999996</v>
      </c>
      <c r="S1226" s="9">
        <v>0.88400000000000001</v>
      </c>
      <c r="T1226" s="9">
        <v>0.94199999999999995</v>
      </c>
      <c r="U1226" s="9">
        <v>1.002</v>
      </c>
      <c r="V1226" s="323">
        <f>U1226*(1+(((U1226/Q1226)^(1/4))-1))</f>
        <v>1.0688073008654175</v>
      </c>
      <c r="W1226" s="263"/>
      <c r="X1226" s="263"/>
    </row>
    <row r="1227" spans="5:24">
      <c r="E1227" s="312" t="s">
        <v>892</v>
      </c>
      <c r="J1227" s="312"/>
      <c r="K1227" s="312"/>
      <c r="L1227" s="312"/>
      <c r="M1227" s="316">
        <f>M1226/L1226-1</f>
        <v>9.3220338983051043E-2</v>
      </c>
      <c r="N1227" s="316">
        <f t="shared" ref="N1227" si="1047">N1226/M1226-1</f>
        <v>1.3953488372093092E-2</v>
      </c>
      <c r="O1227" s="316">
        <f t="shared" ref="O1227" si="1048">O1226/N1226-1</f>
        <v>4.740061162079523E-2</v>
      </c>
      <c r="P1227" s="316">
        <f t="shared" ref="P1227" si="1049">P1226/O1226-1</f>
        <v>5.8394160583941535E-2</v>
      </c>
      <c r="Q1227" s="316">
        <f t="shared" ref="Q1227" si="1050">Q1226/P1226-1</f>
        <v>6.7586206896551815E-2</v>
      </c>
      <c r="R1227" s="316">
        <f t="shared" ref="R1227" si="1051">R1226/Q1226-1</f>
        <v>6.7183462532299565E-2</v>
      </c>
      <c r="S1227" s="316">
        <f t="shared" ref="S1227" si="1052">S1226/R1226-1</f>
        <v>7.0217917675544861E-2</v>
      </c>
      <c r="T1227" s="316">
        <f t="shared" ref="T1227" si="1053">T1226/S1226-1</f>
        <v>6.5610859728506776E-2</v>
      </c>
      <c r="U1227" s="316">
        <f t="shared" ref="U1227:V1227" si="1054">U1226/T1226-1</f>
        <v>6.3694267515923553E-2</v>
      </c>
      <c r="V1227" s="316">
        <f t="shared" si="1054"/>
        <v>6.6673952959498628E-2</v>
      </c>
      <c r="W1227" s="263"/>
      <c r="X1227" s="263"/>
    </row>
    <row r="1228" spans="5:24" ht="17.25" customHeight="1">
      <c r="E1228" s="327" t="s">
        <v>963</v>
      </c>
      <c r="J1228" s="6" t="s">
        <v>946</v>
      </c>
      <c r="L1228" s="9">
        <v>5.0780000000000003</v>
      </c>
      <c r="M1228" s="9">
        <v>5.8719999999999999</v>
      </c>
      <c r="N1228" s="9">
        <v>5.165</v>
      </c>
      <c r="O1228" s="9">
        <v>5.2240000000000002</v>
      </c>
      <c r="P1228" s="9">
        <v>5.694</v>
      </c>
      <c r="Q1228" s="9">
        <v>6.1360000000000001</v>
      </c>
      <c r="R1228" s="9">
        <v>6.6070000000000002</v>
      </c>
      <c r="S1228" s="9">
        <v>7.1150000000000002</v>
      </c>
      <c r="T1228" s="9">
        <v>7.6230000000000002</v>
      </c>
      <c r="U1228" s="9">
        <v>8.1270000000000007</v>
      </c>
      <c r="V1228" s="323">
        <f>U1228*(1+(((U1228/Q1228)^(1/4))-1))</f>
        <v>8.7184942799874428</v>
      </c>
      <c r="W1228" s="263"/>
      <c r="X1228" s="263"/>
    </row>
    <row r="1229" spans="5:24">
      <c r="E1229" s="312" t="s">
        <v>892</v>
      </c>
      <c r="J1229" s="312"/>
      <c r="K1229" s="312"/>
      <c r="L1229" s="312"/>
      <c r="M1229" s="316">
        <f>M1228/L1228-1</f>
        <v>0.15636077195746356</v>
      </c>
      <c r="N1229" s="316">
        <f t="shared" ref="N1229" si="1055">N1228/M1228-1</f>
        <v>-0.12040190735694822</v>
      </c>
      <c r="O1229" s="316">
        <f t="shared" ref="O1229" si="1056">O1228/N1228-1</f>
        <v>1.1423039690222625E-2</v>
      </c>
      <c r="P1229" s="316">
        <f t="shared" ref="P1229" si="1057">P1228/O1228-1</f>
        <v>8.9969372128636982E-2</v>
      </c>
      <c r="Q1229" s="316">
        <f t="shared" ref="Q1229" si="1058">Q1228/P1228-1</f>
        <v>7.7625570776255648E-2</v>
      </c>
      <c r="R1229" s="316">
        <f t="shared" ref="R1229" si="1059">R1228/Q1228-1</f>
        <v>7.6760104302477261E-2</v>
      </c>
      <c r="S1229" s="316">
        <f t="shared" ref="S1229" si="1060">S1228/R1228-1</f>
        <v>7.6888148932949818E-2</v>
      </c>
      <c r="T1229" s="316">
        <f t="shared" ref="T1229" si="1061">T1228/S1228-1</f>
        <v>7.1398453970484832E-2</v>
      </c>
      <c r="U1229" s="316">
        <f t="shared" ref="U1229:V1229" si="1062">U1228/T1228-1</f>
        <v>6.6115702479338845E-2</v>
      </c>
      <c r="V1229" s="316">
        <f t="shared" si="1062"/>
        <v>7.278138058169592E-2</v>
      </c>
      <c r="W1229" s="263"/>
      <c r="X1229" s="263"/>
    </row>
    <row r="1230" spans="5:24" ht="17.25" customHeight="1">
      <c r="E1230" s="327" t="s">
        <v>964</v>
      </c>
      <c r="J1230" s="6" t="s">
        <v>946</v>
      </c>
      <c r="L1230" s="9">
        <v>42.238999999999997</v>
      </c>
      <c r="M1230" s="9">
        <v>43.555</v>
      </c>
      <c r="N1230" s="9">
        <v>43.173000000000002</v>
      </c>
      <c r="O1230" s="9">
        <v>45.320999999999998</v>
      </c>
      <c r="P1230" s="9">
        <v>48.622</v>
      </c>
      <c r="Q1230" s="9">
        <v>51.83</v>
      </c>
      <c r="R1230" s="9">
        <v>55.347000000000001</v>
      </c>
      <c r="S1230" s="9">
        <v>59.103000000000002</v>
      </c>
      <c r="T1230" s="9">
        <v>63.215000000000003</v>
      </c>
      <c r="U1230" s="9">
        <v>67.447999999999993</v>
      </c>
      <c r="V1230" s="323">
        <f>U1230*(1+(((U1230/Q1230)^(1/4))-1))</f>
        <v>72.038729219651302</v>
      </c>
      <c r="W1230" s="263"/>
      <c r="X1230" s="263"/>
    </row>
    <row r="1231" spans="5:24">
      <c r="E1231" s="312" t="s">
        <v>892</v>
      </c>
      <c r="J1231" s="312"/>
      <c r="K1231" s="312"/>
      <c r="L1231" s="312"/>
      <c r="M1231" s="316">
        <f>M1230/L1230-1</f>
        <v>3.1156040625961889E-2</v>
      </c>
      <c r="N1231" s="316">
        <f t="shared" ref="N1231" si="1063">N1230/M1230-1</f>
        <v>-8.7705200321431809E-3</v>
      </c>
      <c r="O1231" s="316">
        <f t="shared" ref="O1231" si="1064">O1230/N1230-1</f>
        <v>4.9753318046000805E-2</v>
      </c>
      <c r="P1231" s="316">
        <f t="shared" ref="P1231" si="1065">P1230/O1230-1</f>
        <v>7.2835992144921757E-2</v>
      </c>
      <c r="Q1231" s="316">
        <f t="shared" ref="Q1231" si="1066">Q1230/P1230-1</f>
        <v>6.5978363703673271E-2</v>
      </c>
      <c r="R1231" s="316">
        <f t="shared" ref="R1231" si="1067">R1230/Q1230-1</f>
        <v>6.7856453791240723E-2</v>
      </c>
      <c r="S1231" s="316">
        <f t="shared" ref="S1231" si="1068">S1230/R1230-1</f>
        <v>6.786275678898579E-2</v>
      </c>
      <c r="T1231" s="316">
        <f t="shared" ref="T1231" si="1069">T1230/S1230-1</f>
        <v>6.9573456508129849E-2</v>
      </c>
      <c r="U1231" s="316">
        <f t="shared" ref="U1231:V1231" si="1070">U1230/T1230-1</f>
        <v>6.6961955232144099E-2</v>
      </c>
      <c r="V1231" s="316">
        <f t="shared" si="1070"/>
        <v>6.8063237155309375E-2</v>
      </c>
      <c r="W1231" s="263"/>
      <c r="X1231" s="263"/>
    </row>
    <row r="1232" spans="5:24">
      <c r="W1232" s="263"/>
      <c r="X1232" s="263"/>
    </row>
    <row r="1233" spans="23:24">
      <c r="W1233" s="263"/>
      <c r="X1233" s="263"/>
    </row>
    <row r="1234" spans="23:24">
      <c r="W1234" s="263"/>
      <c r="X1234" s="263"/>
    </row>
    <row r="1235" spans="23:24">
      <c r="W1235" s="263"/>
      <c r="X1235" s="263"/>
    </row>
    <row r="1236" spans="23:24">
      <c r="W1236" s="263"/>
      <c r="X1236" s="263"/>
    </row>
    <row r="1237" spans="23:24">
      <c r="W1237" s="263"/>
      <c r="X1237" s="263"/>
    </row>
    <row r="1238" spans="23:24">
      <c r="W1238" s="263"/>
      <c r="X1238" s="263"/>
    </row>
    <row r="1239" spans="23:24">
      <c r="W1239" s="263"/>
      <c r="X1239" s="263"/>
    </row>
    <row r="1240" spans="23:24">
      <c r="W1240" s="263"/>
      <c r="X1240" s="263"/>
    </row>
    <row r="1241" spans="23:24">
      <c r="W1241" s="263"/>
      <c r="X1241" s="263"/>
    </row>
    <row r="1242" spans="23:24">
      <c r="W1242" s="263"/>
      <c r="X1242" s="263"/>
    </row>
    <row r="1243" spans="23:24">
      <c r="W1243" s="263"/>
      <c r="X1243" s="263"/>
    </row>
    <row r="1244" spans="23:24">
      <c r="W1244" s="263"/>
      <c r="X1244" s="263"/>
    </row>
    <row r="1245" spans="23:24">
      <c r="W1245" s="263"/>
      <c r="X1245" s="263"/>
    </row>
    <row r="1246" spans="23:24">
      <c r="W1246" s="263"/>
      <c r="X1246" s="263"/>
    </row>
    <row r="1247" spans="23:24">
      <c r="W1247" s="263"/>
      <c r="X1247" s="263"/>
    </row>
  </sheetData>
  <pageMargins left="0.7" right="0.7" top="0.75" bottom="0.75" header="0.3" footer="0.3"/>
  <pageSetup orientation="portrait" r:id="rId1"/>
  <ignoredErrors>
    <ignoredError sqref="M1197:U1197" evalError="1"/>
    <ignoredError sqref="M1192:U1196" evalError="1" formula="1"/>
    <ignoredError sqref="R1154:U1158" formula="1"/>
  </ignoredErrors>
</worksheet>
</file>

<file path=xl/worksheets/sheet6.xml><?xml version="1.0" encoding="utf-8"?>
<worksheet xmlns="http://schemas.openxmlformats.org/spreadsheetml/2006/main" xmlns:r="http://schemas.openxmlformats.org/officeDocument/2006/relationships">
  <dimension ref="A1:AE1045"/>
  <sheetViews>
    <sheetView showGridLines="0" topLeftCell="D1" workbookViewId="0">
      <pane ySplit="1" topLeftCell="A606" activePane="bottomLeft" state="frozen"/>
      <selection activeCell="C1" sqref="C1"/>
      <selection pane="bottomLeft" activeCell="Q608" sqref="Q608"/>
    </sheetView>
  </sheetViews>
  <sheetFormatPr defaultRowHeight="15" outlineLevelRow="1"/>
  <cols>
    <col min="1" max="1" width="9.140625" style="7" customWidth="1"/>
    <col min="2" max="2" width="8" style="7" customWidth="1"/>
    <col min="3" max="3" width="16.42578125" style="7" customWidth="1"/>
    <col min="4" max="4" width="7.28515625" style="7" customWidth="1"/>
    <col min="5" max="5" width="7.7109375" style="7" customWidth="1"/>
    <col min="6" max="6" width="15.85546875" style="7" hidden="1" customWidth="1"/>
    <col min="7" max="9" width="9.140625" style="7" hidden="1" customWidth="1"/>
    <col min="10" max="10" width="9.140625" style="7" customWidth="1"/>
    <col min="11" max="11" width="10.140625" style="8" hidden="1" customWidth="1"/>
    <col min="12" max="13" width="10.140625" style="9" customWidth="1"/>
    <col min="14" max="14" width="10.28515625" style="9" customWidth="1"/>
    <col min="15" max="16" width="11.140625" style="9" customWidth="1"/>
    <col min="17" max="22" width="9.5703125" style="9" customWidth="1"/>
    <col min="23" max="24" width="11" style="14" customWidth="1"/>
    <col min="25" max="27" width="9.140625" style="7"/>
    <col min="28" max="28" width="9.140625" style="15"/>
  </cols>
  <sheetData>
    <row r="1" spans="1:28">
      <c r="A1" s="1" t="s">
        <v>0</v>
      </c>
      <c r="B1" s="1" t="s">
        <v>1</v>
      </c>
      <c r="C1" s="1" t="s">
        <v>2</v>
      </c>
      <c r="D1" s="1" t="s">
        <v>3</v>
      </c>
      <c r="E1" s="1" t="s">
        <v>4</v>
      </c>
      <c r="F1" s="1" t="s">
        <v>5</v>
      </c>
      <c r="G1" s="2" t="s">
        <v>6</v>
      </c>
      <c r="H1" s="2" t="s">
        <v>7</v>
      </c>
      <c r="I1" s="2" t="s">
        <v>8</v>
      </c>
      <c r="J1" s="1" t="s">
        <v>9</v>
      </c>
      <c r="K1" s="3">
        <v>2006</v>
      </c>
      <c r="L1" s="4">
        <v>2007</v>
      </c>
      <c r="M1" s="4">
        <v>2008</v>
      </c>
      <c r="N1" s="4">
        <v>2009</v>
      </c>
      <c r="O1" s="4">
        <v>2010</v>
      </c>
      <c r="P1" s="4">
        <v>2011</v>
      </c>
      <c r="Q1" s="4">
        <v>2012</v>
      </c>
      <c r="R1" s="4">
        <v>2013</v>
      </c>
      <c r="S1" s="4">
        <v>2014</v>
      </c>
      <c r="T1" s="4">
        <v>2015</v>
      </c>
      <c r="U1" s="4">
        <v>2016</v>
      </c>
      <c r="V1" s="4">
        <v>2017</v>
      </c>
      <c r="W1" s="5" t="s">
        <v>1300</v>
      </c>
      <c r="X1" s="5" t="s">
        <v>1299</v>
      </c>
      <c r="Y1" s="1" t="s">
        <v>8</v>
      </c>
      <c r="Z1" s="1" t="s">
        <v>11</v>
      </c>
      <c r="AA1" s="1" t="s">
        <v>12</v>
      </c>
    </row>
    <row r="2" spans="1:28">
      <c r="A2" s="6" t="str">
        <f>Home!$B$1</f>
        <v>Poland</v>
      </c>
      <c r="B2" s="6" t="s">
        <v>13</v>
      </c>
      <c r="F2" s="7" t="s">
        <v>14</v>
      </c>
      <c r="G2" s="7" t="s">
        <v>15</v>
      </c>
      <c r="H2" s="7" t="s">
        <v>16</v>
      </c>
      <c r="L2" s="40"/>
      <c r="M2" s="40"/>
      <c r="N2" s="40"/>
      <c r="O2" s="40"/>
      <c r="P2" s="40"/>
      <c r="Q2" s="40"/>
      <c r="R2" s="40"/>
      <c r="S2" s="40"/>
      <c r="T2" s="40"/>
      <c r="U2" s="40"/>
      <c r="V2" s="40"/>
      <c r="W2" s="10"/>
      <c r="X2" s="10"/>
    </row>
    <row r="3" spans="1:28">
      <c r="A3" s="45"/>
      <c r="B3" s="45"/>
      <c r="C3" s="45"/>
      <c r="D3" s="45"/>
      <c r="E3" s="45"/>
      <c r="F3" s="45"/>
      <c r="G3" s="45"/>
      <c r="H3" s="45"/>
      <c r="I3" s="45"/>
      <c r="J3" s="45"/>
    </row>
    <row r="4" spans="1:28">
      <c r="A4" s="46" t="str">
        <f>Home!$B$1</f>
        <v>Poland</v>
      </c>
      <c r="B4" s="47" t="s">
        <v>13</v>
      </c>
      <c r="C4" s="46" t="s">
        <v>765</v>
      </c>
      <c r="D4" s="46"/>
      <c r="E4" s="48"/>
      <c r="F4" s="48" t="s">
        <v>17</v>
      </c>
      <c r="G4" s="48" t="s">
        <v>15</v>
      </c>
      <c r="H4" s="48" t="s">
        <v>16</v>
      </c>
      <c r="I4" s="48"/>
      <c r="J4" s="46" t="s">
        <v>18</v>
      </c>
      <c r="K4" s="49"/>
      <c r="L4" s="50">
        <f t="shared" ref="L4:Q4" si="0">L8+L6</f>
        <v>36</v>
      </c>
      <c r="M4" s="50">
        <f t="shared" si="0"/>
        <v>36</v>
      </c>
      <c r="N4" s="50">
        <f t="shared" si="0"/>
        <v>36</v>
      </c>
      <c r="O4" s="50">
        <f t="shared" si="0"/>
        <v>36</v>
      </c>
      <c r="P4" s="50">
        <f t="shared" si="0"/>
        <v>37</v>
      </c>
      <c r="Q4" s="363">
        <f t="shared" si="0"/>
        <v>37</v>
      </c>
      <c r="R4" s="50"/>
      <c r="S4" s="50"/>
      <c r="T4" s="50"/>
      <c r="U4" s="50"/>
      <c r="V4" s="50"/>
      <c r="W4" s="102">
        <f>+(Q4/M4)^(1/4)-1</f>
        <v>6.87325669604677E-3</v>
      </c>
      <c r="X4" s="102">
        <f>+(V4/Q4)^(1/5)-1</f>
        <v>-1</v>
      </c>
    </row>
    <row r="5" spans="1:28">
      <c r="A5" s="48"/>
      <c r="B5" s="48"/>
      <c r="C5" s="52" t="s">
        <v>892</v>
      </c>
      <c r="D5" s="52"/>
      <c r="E5" s="52"/>
      <c r="F5" s="52"/>
      <c r="G5" s="52"/>
      <c r="H5" s="52"/>
      <c r="I5" s="52"/>
      <c r="J5" s="52" t="s">
        <v>58</v>
      </c>
      <c r="K5" s="49"/>
      <c r="L5" s="53"/>
      <c r="M5" s="54">
        <f>M4/L4-1</f>
        <v>0</v>
      </c>
      <c r="N5" s="54">
        <f>N4/M4-1</f>
        <v>0</v>
      </c>
      <c r="O5" s="54">
        <f>O4/N4-1</f>
        <v>0</v>
      </c>
      <c r="P5" s="54">
        <f>P4/O4-1</f>
        <v>2.7777777777777679E-2</v>
      </c>
      <c r="Q5" s="54">
        <f>Q4/P4-1</f>
        <v>0</v>
      </c>
      <c r="R5" s="54"/>
      <c r="S5" s="54"/>
      <c r="T5" s="54"/>
      <c r="U5" s="54"/>
      <c r="V5" s="54"/>
      <c r="W5" s="258"/>
      <c r="X5" s="258"/>
      <c r="AB5" s="15" t="s">
        <v>774</v>
      </c>
    </row>
    <row r="6" spans="1:28">
      <c r="A6" s="46" t="str">
        <f>Home!$B$1</f>
        <v>Poland</v>
      </c>
      <c r="B6" s="47" t="s">
        <v>13</v>
      </c>
      <c r="C6" s="47" t="s">
        <v>765</v>
      </c>
      <c r="D6" s="46" t="s">
        <v>19</v>
      </c>
      <c r="E6" s="48"/>
      <c r="F6" s="48" t="s">
        <v>20</v>
      </c>
      <c r="G6" s="48" t="s">
        <v>15</v>
      </c>
      <c r="H6" s="48" t="s">
        <v>16</v>
      </c>
      <c r="I6" s="48"/>
      <c r="J6" s="48" t="s">
        <v>18</v>
      </c>
      <c r="K6" s="49">
        <f>'[1]Tourism Demand &amp; Flows-vanya'!K4</f>
        <v>0</v>
      </c>
      <c r="L6" s="50">
        <f>'Tourism Demand &amp; Flows'!L4</f>
        <v>26</v>
      </c>
      <c r="M6" s="50">
        <f>'Tourism Demand &amp; Flows'!M4</f>
        <v>26</v>
      </c>
      <c r="N6" s="50">
        <f>'Tourism Demand &amp; Flows'!N4</f>
        <v>26</v>
      </c>
      <c r="O6" s="50">
        <f>'Tourism Demand &amp; Flows'!O4</f>
        <v>26</v>
      </c>
      <c r="P6" s="50">
        <f>'Tourism Demand &amp; Flows'!P4</f>
        <v>26</v>
      </c>
      <c r="Q6" s="363">
        <v>26</v>
      </c>
      <c r="R6" s="53"/>
      <c r="S6" s="53"/>
      <c r="T6" s="53"/>
      <c r="U6" s="53"/>
      <c r="V6" s="53"/>
      <c r="W6" s="102">
        <f>+(Q6/M6)^(1/4)-1</f>
        <v>0</v>
      </c>
      <c r="X6" s="102">
        <f>+(V6/Q6)^(1/5)-1</f>
        <v>-1</v>
      </c>
    </row>
    <row r="7" spans="1:28">
      <c r="A7" s="48"/>
      <c r="B7" s="48"/>
      <c r="C7" s="52" t="s">
        <v>892</v>
      </c>
      <c r="D7" s="52"/>
      <c r="E7" s="52"/>
      <c r="F7" s="52"/>
      <c r="G7" s="52"/>
      <c r="H7" s="52"/>
      <c r="I7" s="52"/>
      <c r="J7" s="52" t="s">
        <v>58</v>
      </c>
      <c r="K7" s="49"/>
      <c r="L7" s="53"/>
      <c r="M7" s="54">
        <f>M6/L6-1</f>
        <v>0</v>
      </c>
      <c r="N7" s="54">
        <f>N6/M6-1</f>
        <v>0</v>
      </c>
      <c r="O7" s="54">
        <f>O6/N6-1</f>
        <v>0</v>
      </c>
      <c r="P7" s="54">
        <f>P6/O6-1</f>
        <v>0</v>
      </c>
      <c r="Q7" s="54">
        <f>Q6/P6-1</f>
        <v>0</v>
      </c>
      <c r="R7" s="54"/>
      <c r="S7" s="54"/>
      <c r="T7" s="54"/>
      <c r="U7" s="54"/>
      <c r="V7" s="54"/>
      <c r="W7" s="258"/>
      <c r="X7" s="258"/>
    </row>
    <row r="8" spans="1:28">
      <c r="A8" s="46" t="str">
        <f>Home!$B$1</f>
        <v>Poland</v>
      </c>
      <c r="B8" s="47" t="s">
        <v>13</v>
      </c>
      <c r="C8" s="47" t="s">
        <v>765</v>
      </c>
      <c r="D8" s="46" t="s">
        <v>21</v>
      </c>
      <c r="E8" s="48"/>
      <c r="F8" s="48" t="s">
        <v>22</v>
      </c>
      <c r="G8" s="48" t="s">
        <v>15</v>
      </c>
      <c r="H8" s="48" t="s">
        <v>16</v>
      </c>
      <c r="I8" s="48"/>
      <c r="J8" s="48" t="s">
        <v>18</v>
      </c>
      <c r="K8" s="49">
        <f>'[1]Tourism Demand &amp; Flows-vanya'!K5</f>
        <v>10</v>
      </c>
      <c r="L8" s="50">
        <f>'Tourism Demand &amp; Flows'!L5</f>
        <v>10</v>
      </c>
      <c r="M8" s="50">
        <f>'Tourism Demand &amp; Flows'!M5</f>
        <v>10</v>
      </c>
      <c r="N8" s="50">
        <f>'Tourism Demand &amp; Flows'!N5</f>
        <v>10</v>
      </c>
      <c r="O8" s="50">
        <f>'Tourism Demand &amp; Flows'!O5</f>
        <v>10</v>
      </c>
      <c r="P8" s="50">
        <f>'Tourism Demand &amp; Flows'!P5</f>
        <v>11</v>
      </c>
      <c r="Q8" s="363">
        <v>11</v>
      </c>
      <c r="R8" s="50"/>
      <c r="S8" s="50"/>
      <c r="T8" s="50"/>
      <c r="U8" s="50"/>
      <c r="V8" s="50"/>
      <c r="W8" s="102">
        <f>+(Q8/M8)^(1/4)-1</f>
        <v>2.4113689084445111E-2</v>
      </c>
      <c r="X8" s="102">
        <f>+(V8/Q8)^(1/5)-1</f>
        <v>-1</v>
      </c>
    </row>
    <row r="9" spans="1:28">
      <c r="A9" s="48"/>
      <c r="B9" s="48"/>
      <c r="C9" s="52" t="s">
        <v>892</v>
      </c>
      <c r="D9" s="52"/>
      <c r="E9" s="52"/>
      <c r="F9" s="52"/>
      <c r="G9" s="52"/>
      <c r="H9" s="52"/>
      <c r="I9" s="52"/>
      <c r="J9" s="52" t="s">
        <v>58</v>
      </c>
      <c r="K9" s="49"/>
      <c r="L9" s="53"/>
      <c r="M9" s="54">
        <f>M8/L8-1</f>
        <v>0</v>
      </c>
      <c r="N9" s="54">
        <f>N8/M8-1</f>
        <v>0</v>
      </c>
      <c r="O9" s="54">
        <f>O8/N8-1</f>
        <v>0</v>
      </c>
      <c r="P9" s="54">
        <f>P8/O8-1</f>
        <v>0.10000000000000009</v>
      </c>
      <c r="Q9" s="54">
        <f>Q8/P8-1</f>
        <v>0</v>
      </c>
      <c r="R9" s="54"/>
      <c r="S9" s="54"/>
      <c r="T9" s="54"/>
      <c r="U9" s="54"/>
      <c r="V9" s="54"/>
      <c r="W9" s="258"/>
      <c r="X9" s="258"/>
    </row>
    <row r="10" spans="1:28">
      <c r="A10" s="55" t="str">
        <f>Home!$B$1</f>
        <v>Poland</v>
      </c>
      <c r="B10" s="56" t="s">
        <v>13</v>
      </c>
      <c r="C10" s="55" t="s">
        <v>766</v>
      </c>
      <c r="D10" s="57"/>
      <c r="E10" s="57"/>
      <c r="F10" s="57"/>
      <c r="G10" s="57" t="s">
        <v>15</v>
      </c>
      <c r="H10" s="57" t="s">
        <v>16</v>
      </c>
      <c r="I10" s="57"/>
      <c r="J10" s="57"/>
      <c r="K10" s="58"/>
      <c r="L10" s="59"/>
      <c r="M10" s="59"/>
      <c r="N10" s="59"/>
      <c r="O10" s="59"/>
      <c r="P10" s="59"/>
      <c r="Q10" s="59"/>
      <c r="R10" s="59"/>
      <c r="S10" s="59"/>
      <c r="T10" s="59"/>
      <c r="U10" s="59"/>
      <c r="V10" s="59"/>
      <c r="W10" s="106" t="e">
        <f>+(Q10/M10)^(1/4)-1</f>
        <v>#DIV/0!</v>
      </c>
      <c r="X10" s="106" t="e">
        <f>+(V10/Q10)^(1/5)-1</f>
        <v>#DIV/0!</v>
      </c>
      <c r="Y10" s="11" t="s">
        <v>26</v>
      </c>
    </row>
    <row r="11" spans="1:28">
      <c r="A11" s="57"/>
      <c r="B11" s="57"/>
      <c r="C11" s="61" t="s">
        <v>892</v>
      </c>
      <c r="D11" s="61"/>
      <c r="E11" s="61"/>
      <c r="F11" s="61"/>
      <c r="G11" s="61"/>
      <c r="H11" s="61"/>
      <c r="I11" s="61"/>
      <c r="J11" s="61"/>
      <c r="K11" s="58"/>
      <c r="L11" s="59"/>
      <c r="M11" s="62"/>
      <c r="N11" s="62"/>
      <c r="O11" s="62"/>
      <c r="P11" s="62"/>
      <c r="Q11" s="62"/>
      <c r="R11" s="62"/>
      <c r="S11" s="62"/>
      <c r="T11" s="62"/>
      <c r="U11" s="62"/>
      <c r="V11" s="62"/>
      <c r="W11" s="259"/>
      <c r="X11" s="259"/>
    </row>
    <row r="12" spans="1:28">
      <c r="A12" s="55" t="str">
        <f>Home!$B$1</f>
        <v>Poland</v>
      </c>
      <c r="B12" s="56" t="s">
        <v>13</v>
      </c>
      <c r="C12" s="56" t="s">
        <v>766</v>
      </c>
      <c r="D12" s="55" t="s">
        <v>27</v>
      </c>
      <c r="E12" s="57"/>
      <c r="F12" s="57"/>
      <c r="G12" s="57" t="s">
        <v>15</v>
      </c>
      <c r="H12" s="57" t="s">
        <v>16</v>
      </c>
      <c r="I12" s="57"/>
      <c r="J12" s="55" t="s">
        <v>25</v>
      </c>
      <c r="K12" s="58"/>
      <c r="L12" s="80">
        <f>L14+L16+L18+L20+L22+L24+L26</f>
        <v>38.518240999999996</v>
      </c>
      <c r="M12" s="80">
        <f>M14+M16+M18+M20+M22+M24+M26</f>
        <v>38.500696000000005</v>
      </c>
      <c r="N12" s="80">
        <f>N14+N16+N18+N20+N22+N24+N26</f>
        <v>38.482919000000003</v>
      </c>
      <c r="O12" s="80">
        <f>O14+O16+O18+O20+O22+O24+O26</f>
        <v>38.463689000000002</v>
      </c>
      <c r="P12" s="80">
        <f>P14+P16+P18+P20+P22+P24+P26</f>
        <v>38.441587999999996</v>
      </c>
      <c r="Q12" s="80">
        <f t="shared" ref="Q12:V12" si="1">Q14+Q16+Q18+Q20+Q22+Q24+Q26</f>
        <v>38.415284</v>
      </c>
      <c r="R12" s="80">
        <f t="shared" si="1"/>
        <v>38.383808999999992</v>
      </c>
      <c r="S12" s="80">
        <f t="shared" si="1"/>
        <v>38.346278999999996</v>
      </c>
      <c r="T12" s="80">
        <f t="shared" si="1"/>
        <v>38.301884999999999</v>
      </c>
      <c r="U12" s="80">
        <f t="shared" si="1"/>
        <v>38.249653000000002</v>
      </c>
      <c r="V12" s="80">
        <f t="shared" si="1"/>
        <v>38.188708000000005</v>
      </c>
      <c r="W12" s="260">
        <f>+(Q12/M12)^(1/4)-1</f>
        <v>-5.5507534232013267E-4</v>
      </c>
      <c r="X12" s="260">
        <f>+(V12/Q12)^(1/5)-1</f>
        <v>-1.1824066893574292E-3</v>
      </c>
    </row>
    <row r="13" spans="1:28">
      <c r="A13" s="57"/>
      <c r="B13" s="57"/>
      <c r="C13" s="61" t="s">
        <v>892</v>
      </c>
      <c r="D13" s="61"/>
      <c r="E13" s="61"/>
      <c r="F13" s="61"/>
      <c r="G13" s="61"/>
      <c r="H13" s="61"/>
      <c r="I13" s="61"/>
      <c r="J13" s="61" t="s">
        <v>58</v>
      </c>
      <c r="K13" s="58"/>
      <c r="L13" s="59"/>
      <c r="M13" s="62">
        <f t="shared" ref="M13:V27" si="2">M12/L12-1</f>
        <v>-4.5549847408632438E-4</v>
      </c>
      <c r="N13" s="62">
        <f t="shared" si="2"/>
        <v>-4.6173191258680468E-4</v>
      </c>
      <c r="O13" s="62">
        <f t="shared" si="2"/>
        <v>-4.9970221853490315E-4</v>
      </c>
      <c r="P13" s="62">
        <f t="shared" si="2"/>
        <v>-5.7459387215841318E-4</v>
      </c>
      <c r="Q13" s="62">
        <f t="shared" si="2"/>
        <v>-6.8425893331969245E-4</v>
      </c>
      <c r="R13" s="62">
        <f t="shared" si="2"/>
        <v>-8.1933534579636813E-4</v>
      </c>
      <c r="S13" s="62">
        <f t="shared" si="2"/>
        <v>-9.7775601165572823E-4</v>
      </c>
      <c r="T13" s="62">
        <f t="shared" si="2"/>
        <v>-1.1577133729193667E-3</v>
      </c>
      <c r="U13" s="62">
        <f t="shared" si="2"/>
        <v>-1.3636926746555256E-3</v>
      </c>
      <c r="V13" s="62">
        <f t="shared" si="2"/>
        <v>-1.5933477880177849E-3</v>
      </c>
      <c r="W13" s="259"/>
      <c r="X13" s="259"/>
    </row>
    <row r="14" spans="1:28">
      <c r="A14" s="55" t="str">
        <f>Home!$B$1</f>
        <v>Poland</v>
      </c>
      <c r="B14" s="56" t="s">
        <v>13</v>
      </c>
      <c r="C14" s="56" t="s">
        <v>766</v>
      </c>
      <c r="D14" s="56" t="s">
        <v>27</v>
      </c>
      <c r="E14" s="55" t="s">
        <v>28</v>
      </c>
      <c r="F14" s="57"/>
      <c r="G14" s="57" t="s">
        <v>15</v>
      </c>
      <c r="H14" s="57" t="s">
        <v>16</v>
      </c>
      <c r="I14" s="57"/>
      <c r="J14" s="57" t="s">
        <v>25</v>
      </c>
      <c r="K14" s="58"/>
      <c r="L14" s="59">
        <v>5.9765090000000001</v>
      </c>
      <c r="M14" s="59">
        <v>5.863086</v>
      </c>
      <c r="N14" s="59">
        <v>5.7672730000000003</v>
      </c>
      <c r="O14" s="59">
        <v>5.7007529999999997</v>
      </c>
      <c r="P14" s="59">
        <v>5.6588700000000003</v>
      </c>
      <c r="Q14" s="59">
        <v>5.6246499999999999</v>
      </c>
      <c r="R14" s="59">
        <v>5.6032190000000002</v>
      </c>
      <c r="S14" s="59">
        <v>5.5928329999999997</v>
      </c>
      <c r="T14" s="59">
        <v>5.5859839999999998</v>
      </c>
      <c r="U14" s="59">
        <v>5.5801489999999996</v>
      </c>
      <c r="V14" s="59">
        <v>5.5801160000000003</v>
      </c>
      <c r="W14" s="106">
        <f>+(Q14/M14)^(1/4)-1</f>
        <v>-1.0325661074755743E-2</v>
      </c>
      <c r="X14" s="106">
        <f>+(V14/Q14)^(1/5)-1</f>
        <v>-1.5885687317745978E-3</v>
      </c>
    </row>
    <row r="15" spans="1:28">
      <c r="A15" s="57"/>
      <c r="B15" s="57"/>
      <c r="C15" s="61" t="s">
        <v>892</v>
      </c>
      <c r="D15" s="61"/>
      <c r="E15" s="61"/>
      <c r="F15" s="61"/>
      <c r="G15" s="61"/>
      <c r="H15" s="61"/>
      <c r="I15" s="61"/>
      <c r="J15" s="61" t="s">
        <v>58</v>
      </c>
      <c r="K15" s="58"/>
      <c r="L15" s="59"/>
      <c r="M15" s="62">
        <f t="shared" ref="M15:U15" si="3">M14/L14-1</f>
        <v>-1.8978135898398252E-2</v>
      </c>
      <c r="N15" s="62">
        <f t="shared" si="3"/>
        <v>-1.6341735393272327E-2</v>
      </c>
      <c r="O15" s="62">
        <f t="shared" si="3"/>
        <v>-1.1534047373862877E-2</v>
      </c>
      <c r="P15" s="62">
        <f t="shared" si="3"/>
        <v>-7.3469241694912313E-3</v>
      </c>
      <c r="Q15" s="62">
        <f t="shared" ref="Q15" si="4">Q14/P14-1</f>
        <v>-6.0471436876974316E-3</v>
      </c>
      <c r="R15" s="62">
        <f t="shared" ref="R15" si="5">R14/Q14-1</f>
        <v>-3.8101926342083425E-3</v>
      </c>
      <c r="S15" s="62">
        <f t="shared" ref="S15" si="6">S14/R14-1</f>
        <v>-1.8535773811447775E-3</v>
      </c>
      <c r="T15" s="62">
        <f t="shared" ref="T15" si="7">T14/S14-1</f>
        <v>-1.2246029874305453E-3</v>
      </c>
      <c r="U15" s="62">
        <f t="shared" si="3"/>
        <v>-1.0445787170174636E-3</v>
      </c>
      <c r="V15" s="62">
        <f t="shared" si="2"/>
        <v>-5.9138205806830157E-6</v>
      </c>
      <c r="W15" s="259"/>
      <c r="X15" s="259"/>
    </row>
    <row r="16" spans="1:28">
      <c r="A16" s="55" t="str">
        <f>Home!$B$1</f>
        <v>Poland</v>
      </c>
      <c r="B16" s="56" t="s">
        <v>13</v>
      </c>
      <c r="C16" s="56" t="s">
        <v>766</v>
      </c>
      <c r="D16" s="56" t="s">
        <v>27</v>
      </c>
      <c r="E16" s="55" t="s">
        <v>29</v>
      </c>
      <c r="F16" s="57"/>
      <c r="G16" s="57" t="s">
        <v>15</v>
      </c>
      <c r="H16" s="57" t="s">
        <v>16</v>
      </c>
      <c r="I16" s="57"/>
      <c r="J16" s="57" t="s">
        <v>25</v>
      </c>
      <c r="K16" s="58"/>
      <c r="L16" s="59">
        <v>5.9017530000000002</v>
      </c>
      <c r="M16" s="59">
        <v>5.7020749999999998</v>
      </c>
      <c r="N16" s="59">
        <v>5.4898319999999998</v>
      </c>
      <c r="O16" s="59">
        <v>5.2693770000000004</v>
      </c>
      <c r="P16" s="59">
        <v>5.0562950000000004</v>
      </c>
      <c r="Q16" s="59">
        <v>4.8748889999999996</v>
      </c>
      <c r="R16" s="59">
        <v>4.7257680000000004</v>
      </c>
      <c r="S16" s="59">
        <v>4.5688550000000001</v>
      </c>
      <c r="T16" s="59">
        <v>4.4026420000000002</v>
      </c>
      <c r="U16" s="59">
        <v>4.2374029999999996</v>
      </c>
      <c r="V16" s="59">
        <v>4.0752750000000004</v>
      </c>
      <c r="W16" s="106">
        <f>+(Q16/M16)^(1/4)-1</f>
        <v>-3.8425469542404556E-2</v>
      </c>
      <c r="X16" s="106">
        <f>+(V16/Q16)^(1/5)-1</f>
        <v>-3.5197460804242464E-2</v>
      </c>
    </row>
    <row r="17" spans="1:28">
      <c r="A17" s="57"/>
      <c r="B17" s="57"/>
      <c r="C17" s="61" t="s">
        <v>892</v>
      </c>
      <c r="D17" s="61"/>
      <c r="E17" s="61"/>
      <c r="F17" s="61"/>
      <c r="G17" s="61"/>
      <c r="H17" s="61"/>
      <c r="I17" s="61"/>
      <c r="J17" s="61" t="s">
        <v>58</v>
      </c>
      <c r="K17" s="58"/>
      <c r="L17" s="59"/>
      <c r="M17" s="62">
        <f t="shared" ref="M17:U17" si="8">M16/L16-1</f>
        <v>-3.3833676197563722E-2</v>
      </c>
      <c r="N17" s="62">
        <f t="shared" si="8"/>
        <v>-3.7222063897791591E-2</v>
      </c>
      <c r="O17" s="62">
        <f t="shared" si="8"/>
        <v>-4.0156966551981865E-2</v>
      </c>
      <c r="P17" s="62">
        <f t="shared" si="8"/>
        <v>-4.0437797485357363E-2</v>
      </c>
      <c r="Q17" s="62">
        <f t="shared" ref="Q17" si="9">Q16/P16-1</f>
        <v>-3.5877257952710573E-2</v>
      </c>
      <c r="R17" s="62">
        <f t="shared" ref="R17" si="10">R16/Q16-1</f>
        <v>-3.0589619579030281E-2</v>
      </c>
      <c r="S17" s="62">
        <f t="shared" ref="S17" si="11">S16/R16-1</f>
        <v>-3.3203703609656743E-2</v>
      </c>
      <c r="T17" s="62">
        <f t="shared" ref="T17" si="12">T16/S16-1</f>
        <v>-3.6379574313476826E-2</v>
      </c>
      <c r="U17" s="62">
        <f t="shared" si="8"/>
        <v>-3.7531782052685814E-2</v>
      </c>
      <c r="V17" s="62">
        <f t="shared" si="2"/>
        <v>-3.82611708161813E-2</v>
      </c>
      <c r="W17" s="259"/>
      <c r="X17" s="259"/>
    </row>
    <row r="18" spans="1:28">
      <c r="A18" s="55" t="str">
        <f>Home!$B$1</f>
        <v>Poland</v>
      </c>
      <c r="B18" s="56" t="s">
        <v>13</v>
      </c>
      <c r="C18" s="56" t="s">
        <v>766</v>
      </c>
      <c r="D18" s="56" t="s">
        <v>27</v>
      </c>
      <c r="E18" s="55" t="s">
        <v>30</v>
      </c>
      <c r="F18" s="57"/>
      <c r="G18" s="57" t="s">
        <v>15</v>
      </c>
      <c r="H18" s="57" t="s">
        <v>16</v>
      </c>
      <c r="I18" s="57"/>
      <c r="J18" s="57" t="s">
        <v>25</v>
      </c>
      <c r="K18" s="58"/>
      <c r="L18" s="59">
        <v>6.2222609999999996</v>
      </c>
      <c r="M18" s="59">
        <v>6.3293020000000002</v>
      </c>
      <c r="N18" s="59">
        <v>6.4191760000000002</v>
      </c>
      <c r="O18" s="59">
        <v>6.4713510000000003</v>
      </c>
      <c r="P18" s="59">
        <v>6.4705329999999996</v>
      </c>
      <c r="Q18" s="59">
        <v>6.4259139999999997</v>
      </c>
      <c r="R18" s="59">
        <v>6.3308580000000001</v>
      </c>
      <c r="S18" s="59">
        <v>6.2175960000000003</v>
      </c>
      <c r="T18" s="59">
        <v>6.0958810000000003</v>
      </c>
      <c r="U18" s="59">
        <v>5.971565</v>
      </c>
      <c r="V18" s="59">
        <v>5.8216650000000003</v>
      </c>
      <c r="W18" s="106">
        <f>+(Q18/M18)^(1/4)-1</f>
        <v>3.7944096035811281E-3</v>
      </c>
      <c r="X18" s="106">
        <f>+(V18/Q18)^(1/5)-1</f>
        <v>-1.9556751156668217E-2</v>
      </c>
    </row>
    <row r="19" spans="1:28">
      <c r="A19" s="57"/>
      <c r="B19" s="57"/>
      <c r="C19" s="61" t="s">
        <v>892</v>
      </c>
      <c r="D19" s="61"/>
      <c r="E19" s="61"/>
      <c r="F19" s="61"/>
      <c r="G19" s="61"/>
      <c r="H19" s="61"/>
      <c r="I19" s="61"/>
      <c r="J19" s="61" t="s">
        <v>58</v>
      </c>
      <c r="K19" s="58"/>
      <c r="L19" s="59"/>
      <c r="M19" s="62">
        <f t="shared" ref="M19:U19" si="13">M18/L18-1</f>
        <v>1.7202910646146208E-2</v>
      </c>
      <c r="N19" s="62">
        <f t="shared" si="13"/>
        <v>1.4199670042605028E-2</v>
      </c>
      <c r="O19" s="62">
        <f t="shared" si="13"/>
        <v>8.1279902591859798E-3</v>
      </c>
      <c r="P19" s="62">
        <f t="shared" si="13"/>
        <v>-1.2640328116964028E-4</v>
      </c>
      <c r="Q19" s="62">
        <f t="shared" ref="Q19" si="14">Q18/P18-1</f>
        <v>-6.8957225007584277E-3</v>
      </c>
      <c r="R19" s="62">
        <f t="shared" ref="R19" si="15">R18/Q18-1</f>
        <v>-1.4792603822584516E-2</v>
      </c>
      <c r="S19" s="62">
        <f t="shared" ref="S19" si="16">S18/R18-1</f>
        <v>-1.7890466031618368E-2</v>
      </c>
      <c r="T19" s="62">
        <f t="shared" ref="T19" si="17">T18/S18-1</f>
        <v>-1.9575893962875734E-2</v>
      </c>
      <c r="U19" s="62">
        <f t="shared" si="13"/>
        <v>-2.0393442719764399E-2</v>
      </c>
      <c r="V19" s="62">
        <f t="shared" si="2"/>
        <v>-2.5102297303973065E-2</v>
      </c>
      <c r="W19" s="259"/>
      <c r="X19" s="259"/>
    </row>
    <row r="20" spans="1:28">
      <c r="A20" s="55" t="str">
        <f>Home!$B$1</f>
        <v>Poland</v>
      </c>
      <c r="B20" s="56" t="s">
        <v>13</v>
      </c>
      <c r="C20" s="56" t="s">
        <v>766</v>
      </c>
      <c r="D20" s="56" t="s">
        <v>27</v>
      </c>
      <c r="E20" s="55" t="s">
        <v>31</v>
      </c>
      <c r="F20" s="57"/>
      <c r="G20" s="57" t="s">
        <v>15</v>
      </c>
      <c r="H20" s="57" t="s">
        <v>16</v>
      </c>
      <c r="I20" s="57"/>
      <c r="J20" s="57" t="s">
        <v>25</v>
      </c>
      <c r="K20" s="58"/>
      <c r="L20" s="59">
        <v>4.9293579999999997</v>
      </c>
      <c r="M20" s="59">
        <v>4.9741249999999999</v>
      </c>
      <c r="N20" s="59">
        <v>5.0441830000000003</v>
      </c>
      <c r="O20" s="59">
        <v>5.1464109999999996</v>
      </c>
      <c r="P20" s="59">
        <v>5.2828660000000003</v>
      </c>
      <c r="Q20" s="59">
        <v>5.4303999999999997</v>
      </c>
      <c r="R20" s="59">
        <v>5.5782930000000004</v>
      </c>
      <c r="S20" s="59">
        <v>5.7341899999999999</v>
      </c>
      <c r="T20" s="59">
        <v>5.8825820000000002</v>
      </c>
      <c r="U20" s="59">
        <v>6.0032629999999996</v>
      </c>
      <c r="V20" s="59">
        <v>6.1115700000000004</v>
      </c>
      <c r="W20" s="106">
        <f>+(Q20/M20)^(1/4)-1</f>
        <v>2.218330017509218E-2</v>
      </c>
      <c r="X20" s="106">
        <f>+(V20/Q20)^(1/5)-1</f>
        <v>2.3915680520963045E-2</v>
      </c>
    </row>
    <row r="21" spans="1:28">
      <c r="A21" s="57"/>
      <c r="B21" s="57"/>
      <c r="C21" s="61" t="s">
        <v>892</v>
      </c>
      <c r="D21" s="61"/>
      <c r="E21" s="61"/>
      <c r="F21" s="61"/>
      <c r="G21" s="61"/>
      <c r="H21" s="61"/>
      <c r="I21" s="61"/>
      <c r="J21" s="61" t="s">
        <v>58</v>
      </c>
      <c r="K21" s="58"/>
      <c r="L21" s="59"/>
      <c r="M21" s="62">
        <f t="shared" ref="M21:U21" si="18">M20/L20-1</f>
        <v>9.0817100320164101E-3</v>
      </c>
      <c r="N21" s="62">
        <f t="shared" si="18"/>
        <v>1.4084487221370567E-2</v>
      </c>
      <c r="O21" s="62">
        <f t="shared" si="18"/>
        <v>2.0266512931826464E-2</v>
      </c>
      <c r="P21" s="62">
        <f t="shared" si="18"/>
        <v>2.6514594345457665E-2</v>
      </c>
      <c r="Q21" s="62">
        <f t="shared" ref="Q21" si="19">Q20/P20-1</f>
        <v>2.7926886655841532E-2</v>
      </c>
      <c r="R21" s="62">
        <f t="shared" ref="R21" si="20">R20/Q20-1</f>
        <v>2.7234273718326651E-2</v>
      </c>
      <c r="S21" s="62">
        <f t="shared" ref="S21" si="21">S20/R20-1</f>
        <v>2.7947079868339664E-2</v>
      </c>
      <c r="T21" s="62">
        <f t="shared" ref="T21" si="22">T20/S20-1</f>
        <v>2.5878458858182185E-2</v>
      </c>
      <c r="U21" s="62">
        <f t="shared" si="18"/>
        <v>2.0514971147023386E-2</v>
      </c>
      <c r="V21" s="62">
        <f t="shared" si="2"/>
        <v>1.8041355176343421E-2</v>
      </c>
      <c r="W21" s="259"/>
      <c r="X21" s="259"/>
    </row>
    <row r="22" spans="1:28">
      <c r="A22" s="55" t="str">
        <f>Home!$B$1</f>
        <v>Poland</v>
      </c>
      <c r="B22" s="56" t="s">
        <v>13</v>
      </c>
      <c r="C22" s="56" t="s">
        <v>766</v>
      </c>
      <c r="D22" s="56" t="s">
        <v>27</v>
      </c>
      <c r="E22" s="55" t="s">
        <v>32</v>
      </c>
      <c r="F22" s="57"/>
      <c r="G22" s="57" t="s">
        <v>15</v>
      </c>
      <c r="H22" s="57" t="s">
        <v>16</v>
      </c>
      <c r="I22" s="57"/>
      <c r="J22" s="57" t="s">
        <v>25</v>
      </c>
      <c r="K22" s="58"/>
      <c r="L22" s="59">
        <v>5.9540350000000002</v>
      </c>
      <c r="M22" s="59">
        <v>5.8303260000000003</v>
      </c>
      <c r="N22" s="59">
        <v>5.6946450000000004</v>
      </c>
      <c r="O22" s="59">
        <v>5.5346919999999997</v>
      </c>
      <c r="P22" s="59">
        <v>5.3583959999999999</v>
      </c>
      <c r="Q22" s="59">
        <v>5.1778550000000001</v>
      </c>
      <c r="R22" s="59">
        <v>5.0061499999999999</v>
      </c>
      <c r="S22" s="59">
        <v>4.8628580000000001</v>
      </c>
      <c r="T22" s="59">
        <v>4.7667169999999999</v>
      </c>
      <c r="U22" s="59">
        <v>4.7289940000000001</v>
      </c>
      <c r="V22" s="59">
        <v>4.7418889999999996</v>
      </c>
      <c r="W22" s="106">
        <f>+(Q22/M22)^(1/4)-1</f>
        <v>-2.9234661334152534E-2</v>
      </c>
      <c r="X22" s="106">
        <f>+(V22/Q22)^(1/5)-1</f>
        <v>-1.7437240244000951E-2</v>
      </c>
    </row>
    <row r="23" spans="1:28">
      <c r="A23" s="57"/>
      <c r="B23" s="57"/>
      <c r="C23" s="61" t="s">
        <v>892</v>
      </c>
      <c r="D23" s="61"/>
      <c r="E23" s="61"/>
      <c r="F23" s="61"/>
      <c r="G23" s="61"/>
      <c r="H23" s="61"/>
      <c r="I23" s="61"/>
      <c r="J23" s="61" t="s">
        <v>58</v>
      </c>
      <c r="K23" s="58"/>
      <c r="L23" s="59"/>
      <c r="M23" s="62">
        <f t="shared" ref="M23:U23" si="23">M22/L22-1</f>
        <v>-2.0777338393207279E-2</v>
      </c>
      <c r="N23" s="62">
        <f t="shared" si="23"/>
        <v>-2.3271597505868491E-2</v>
      </c>
      <c r="O23" s="62">
        <f t="shared" si="23"/>
        <v>-2.8088318060212836E-2</v>
      </c>
      <c r="P23" s="62">
        <f t="shared" si="23"/>
        <v>-3.1852901661013844E-2</v>
      </c>
      <c r="Q23" s="62">
        <f t="shared" ref="Q23" si="24">Q22/P22-1</f>
        <v>-3.3693105175503946E-2</v>
      </c>
      <c r="R23" s="62">
        <f t="shared" ref="R23" si="25">R22/Q22-1</f>
        <v>-3.3161415296488639E-2</v>
      </c>
      <c r="S23" s="62">
        <f t="shared" ref="S23" si="26">S22/R22-1</f>
        <v>-2.8623193472029351E-2</v>
      </c>
      <c r="T23" s="62">
        <f t="shared" ref="T23" si="27">T22/S22-1</f>
        <v>-1.9770472425886254E-2</v>
      </c>
      <c r="U23" s="62">
        <f t="shared" si="23"/>
        <v>-7.9138325182719349E-3</v>
      </c>
      <c r="V23" s="62">
        <f t="shared" si="2"/>
        <v>2.7267955933121257E-3</v>
      </c>
      <c r="W23" s="259"/>
      <c r="X23" s="259"/>
    </row>
    <row r="24" spans="1:28">
      <c r="A24" s="55" t="str">
        <f>Home!$B$1</f>
        <v>Poland</v>
      </c>
      <c r="B24" s="56" t="s">
        <v>13</v>
      </c>
      <c r="C24" s="56" t="s">
        <v>766</v>
      </c>
      <c r="D24" s="56" t="s">
        <v>27</v>
      </c>
      <c r="E24" s="55" t="s">
        <v>33</v>
      </c>
      <c r="F24" s="57"/>
      <c r="G24" s="57" t="s">
        <v>15</v>
      </c>
      <c r="H24" s="57" t="s">
        <v>16</v>
      </c>
      <c r="I24" s="57"/>
      <c r="J24" s="57" t="s">
        <v>25</v>
      </c>
      <c r="K24" s="58"/>
      <c r="L24" s="59">
        <v>4.3927589999999999</v>
      </c>
      <c r="M24" s="59">
        <v>4.6540650000000001</v>
      </c>
      <c r="N24" s="59">
        <v>4.9104929999999998</v>
      </c>
      <c r="O24" s="59">
        <v>5.167211</v>
      </c>
      <c r="P24" s="59">
        <v>5.3650520000000004</v>
      </c>
      <c r="Q24" s="59">
        <v>5.4947499999999998</v>
      </c>
      <c r="R24" s="59">
        <v>5.5841209999999997</v>
      </c>
      <c r="S24" s="59">
        <v>5.6320389999999998</v>
      </c>
      <c r="T24" s="59">
        <v>5.6315080000000002</v>
      </c>
      <c r="U24" s="59">
        <v>5.5776839999999996</v>
      </c>
      <c r="V24" s="59">
        <v>5.4868439999999996</v>
      </c>
      <c r="W24" s="106">
        <f>+(Q24/M24)^(1/4)-1</f>
        <v>4.2386728335831458E-2</v>
      </c>
      <c r="X24" s="106">
        <f>+(V24/Q24)^(1/5)-1</f>
        <v>-2.8793135562743544E-4</v>
      </c>
    </row>
    <row r="25" spans="1:28">
      <c r="A25" s="57"/>
      <c r="B25" s="57"/>
      <c r="C25" s="61" t="s">
        <v>892</v>
      </c>
      <c r="D25" s="61"/>
      <c r="E25" s="61"/>
      <c r="F25" s="61"/>
      <c r="G25" s="61"/>
      <c r="H25" s="61"/>
      <c r="I25" s="61"/>
      <c r="J25" s="61" t="s">
        <v>58</v>
      </c>
      <c r="K25" s="58"/>
      <c r="L25" s="59"/>
      <c r="M25" s="62">
        <f t="shared" ref="M25:U25" si="28">M24/L24-1</f>
        <v>5.9485621678767364E-2</v>
      </c>
      <c r="N25" s="62">
        <f t="shared" si="28"/>
        <v>5.5097640449800256E-2</v>
      </c>
      <c r="O25" s="62">
        <f t="shared" si="28"/>
        <v>5.2279475808233666E-2</v>
      </c>
      <c r="P25" s="62">
        <f t="shared" si="28"/>
        <v>3.8287772649501006E-2</v>
      </c>
      <c r="Q25" s="62">
        <f t="shared" ref="Q25" si="29">Q24/P24-1</f>
        <v>2.4174602594718486E-2</v>
      </c>
      <c r="R25" s="62">
        <f t="shared" ref="R25" si="30">R24/Q24-1</f>
        <v>1.6264798216479415E-2</v>
      </c>
      <c r="S25" s="62">
        <f t="shared" ref="S25" si="31">S24/R24-1</f>
        <v>8.5811177802199712E-3</v>
      </c>
      <c r="T25" s="62">
        <f t="shared" ref="T25" si="32">T24/S24-1</f>
        <v>-9.428201757832877E-5</v>
      </c>
      <c r="U25" s="62">
        <f t="shared" si="28"/>
        <v>-9.5576531188450442E-3</v>
      </c>
      <c r="V25" s="62">
        <f t="shared" si="2"/>
        <v>-1.6286329594864091E-2</v>
      </c>
      <c r="W25" s="259"/>
      <c r="X25" s="259"/>
    </row>
    <row r="26" spans="1:28">
      <c r="A26" s="55" t="str">
        <f>Home!$B$1</f>
        <v>Poland</v>
      </c>
      <c r="B26" s="56" t="s">
        <v>13</v>
      </c>
      <c r="C26" s="56" t="s">
        <v>766</v>
      </c>
      <c r="D26" s="56" t="s">
        <v>27</v>
      </c>
      <c r="E26" s="55" t="s">
        <v>34</v>
      </c>
      <c r="F26" s="57"/>
      <c r="G26" s="57" t="s">
        <v>15</v>
      </c>
      <c r="H26" s="57" t="s">
        <v>16</v>
      </c>
      <c r="I26" s="57"/>
      <c r="J26" s="57" t="s">
        <v>25</v>
      </c>
      <c r="K26" s="58"/>
      <c r="L26" s="59">
        <v>5.1415660000000001</v>
      </c>
      <c r="M26" s="59">
        <v>5.1477170000000001</v>
      </c>
      <c r="N26" s="59">
        <v>5.1573169999999999</v>
      </c>
      <c r="O26" s="59">
        <v>5.1738939999999998</v>
      </c>
      <c r="P26" s="59">
        <v>5.2495760000000002</v>
      </c>
      <c r="Q26" s="59">
        <v>5.3868260000000001</v>
      </c>
      <c r="R26" s="59">
        <v>5.5553999999999997</v>
      </c>
      <c r="S26" s="59">
        <v>5.737908</v>
      </c>
      <c r="T26" s="59">
        <v>5.9365709999999998</v>
      </c>
      <c r="U26" s="59">
        <v>6.150595</v>
      </c>
      <c r="V26" s="59">
        <v>6.3713490000000004</v>
      </c>
      <c r="W26" s="106">
        <f>+(Q26/M26)^(1/4)-1</f>
        <v>1.1415421217183086E-2</v>
      </c>
      <c r="X26" s="106">
        <f>+(V26/Q26)^(1/5)-1</f>
        <v>3.4140839869183592E-2</v>
      </c>
    </row>
    <row r="27" spans="1:28">
      <c r="A27" s="57"/>
      <c r="B27" s="57"/>
      <c r="C27" s="61" t="s">
        <v>892</v>
      </c>
      <c r="D27" s="61"/>
      <c r="E27" s="61"/>
      <c r="F27" s="61"/>
      <c r="G27" s="61"/>
      <c r="H27" s="61"/>
      <c r="I27" s="61"/>
      <c r="J27" s="61" t="s">
        <v>58</v>
      </c>
      <c r="K27" s="58"/>
      <c r="L27" s="59"/>
      <c r="M27" s="62">
        <f t="shared" ref="M27:U27" si="33">M26/L26-1</f>
        <v>1.1963281225992883E-3</v>
      </c>
      <c r="N27" s="62">
        <f t="shared" si="33"/>
        <v>1.8649043838268042E-3</v>
      </c>
      <c r="O27" s="62">
        <f t="shared" si="33"/>
        <v>3.2142681941016438E-3</v>
      </c>
      <c r="P27" s="62">
        <f t="shared" si="33"/>
        <v>1.4627667285027623E-2</v>
      </c>
      <c r="Q27" s="62">
        <f t="shared" ref="Q27" si="34">Q26/P26-1</f>
        <v>2.6144968660326118E-2</v>
      </c>
      <c r="R27" s="62">
        <f t="shared" ref="R27" si="35">R26/Q26-1</f>
        <v>3.1293752573407607E-2</v>
      </c>
      <c r="S27" s="62">
        <f t="shared" ref="S27" si="36">S26/R26-1</f>
        <v>3.2852359866076375E-2</v>
      </c>
      <c r="T27" s="62">
        <f t="shared" ref="T27" si="37">T26/S26-1</f>
        <v>3.4622897404419817E-2</v>
      </c>
      <c r="U27" s="62">
        <f t="shared" si="33"/>
        <v>3.6051788145041952E-2</v>
      </c>
      <c r="V27" s="62">
        <f t="shared" si="2"/>
        <v>3.5891486921184157E-2</v>
      </c>
      <c r="W27" s="259"/>
      <c r="X27" s="259"/>
    </row>
    <row r="28" spans="1:28" s="72" customFormat="1" hidden="1" outlineLevel="1">
      <c r="A28" s="67"/>
      <c r="B28" s="67"/>
      <c r="C28" s="68"/>
      <c r="D28" s="68"/>
      <c r="E28" s="68" t="s">
        <v>28</v>
      </c>
      <c r="F28" s="61"/>
      <c r="G28" s="61"/>
      <c r="H28" s="61"/>
      <c r="I28" s="61"/>
      <c r="J28" s="68"/>
      <c r="K28" s="58"/>
      <c r="L28" s="73">
        <f>L14/L$12</f>
        <v>0.15516048617069508</v>
      </c>
      <c r="M28" s="73">
        <f>M14/M$12</f>
        <v>0.15228519505205826</v>
      </c>
      <c r="N28" s="73">
        <f>N14/N$12</f>
        <v>0.14986578850736348</v>
      </c>
      <c r="O28" s="73">
        <f>O14/O$12</f>
        <v>0.14821129091387983</v>
      </c>
      <c r="P28" s="73">
        <f>P14/P$12</f>
        <v>0.14720697802598584</v>
      </c>
      <c r="Q28" s="110"/>
      <c r="R28" s="110"/>
      <c r="S28" s="110"/>
      <c r="T28" s="110"/>
      <c r="U28" s="110"/>
      <c r="V28" s="110"/>
      <c r="W28" s="75"/>
      <c r="X28" s="75"/>
      <c r="Y28" s="67"/>
      <c r="Z28" s="67"/>
      <c r="AA28" s="67"/>
      <c r="AB28" s="67"/>
    </row>
    <row r="29" spans="1:28" s="72" customFormat="1" hidden="1" outlineLevel="1">
      <c r="A29" s="67"/>
      <c r="B29" s="67"/>
      <c r="C29" s="68"/>
      <c r="D29" s="68"/>
      <c r="E29" s="68"/>
      <c r="F29" s="61"/>
      <c r="G29" s="61"/>
      <c r="H29" s="61"/>
      <c r="I29" s="61"/>
      <c r="J29" s="68"/>
      <c r="K29" s="58"/>
      <c r="L29" s="73"/>
      <c r="M29" s="73"/>
      <c r="N29" s="73"/>
      <c r="O29" s="73"/>
      <c r="P29" s="73"/>
      <c r="Q29" s="110"/>
      <c r="R29" s="110"/>
      <c r="S29" s="110"/>
      <c r="T29" s="110"/>
      <c r="U29" s="110"/>
      <c r="V29" s="110"/>
      <c r="W29" s="75"/>
      <c r="X29" s="75"/>
      <c r="Y29" s="67"/>
      <c r="Z29" s="67"/>
      <c r="AA29" s="67"/>
      <c r="AB29" s="67"/>
    </row>
    <row r="30" spans="1:28" s="72" customFormat="1" hidden="1" outlineLevel="1">
      <c r="A30" s="67"/>
      <c r="B30" s="67"/>
      <c r="C30" s="68"/>
      <c r="D30" s="68"/>
      <c r="E30" s="68" t="s">
        <v>29</v>
      </c>
      <c r="F30" s="61"/>
      <c r="G30" s="61"/>
      <c r="H30" s="61"/>
      <c r="I30" s="61"/>
      <c r="J30" s="68"/>
      <c r="K30" s="58"/>
      <c r="L30" s="73">
        <f>L16/L$12</f>
        <v>0.15321969141841135</v>
      </c>
      <c r="M30" s="73">
        <f>M16/M$12</f>
        <v>0.14810316675833599</v>
      </c>
      <c r="N30" s="73">
        <f>N16/N$12</f>
        <v>0.14265633020197868</v>
      </c>
      <c r="O30" s="73">
        <f>O16/O$12</f>
        <v>0.13699614199771634</v>
      </c>
      <c r="P30" s="73">
        <f>P16/P$12</f>
        <v>0.13153189717344665</v>
      </c>
      <c r="Q30" s="110"/>
      <c r="R30" s="110"/>
      <c r="S30" s="110"/>
      <c r="T30" s="110"/>
      <c r="U30" s="110"/>
      <c r="V30" s="110"/>
      <c r="W30" s="75"/>
      <c r="X30" s="75"/>
      <c r="Y30" s="67"/>
      <c r="Z30" s="67"/>
      <c r="AA30" s="67"/>
      <c r="AB30" s="67"/>
    </row>
    <row r="31" spans="1:28" s="72" customFormat="1" hidden="1" outlineLevel="1">
      <c r="A31" s="67"/>
      <c r="B31" s="67"/>
      <c r="C31" s="68"/>
      <c r="D31" s="68"/>
      <c r="E31" s="68"/>
      <c r="F31" s="61"/>
      <c r="G31" s="61"/>
      <c r="H31" s="61"/>
      <c r="I31" s="61"/>
      <c r="J31" s="68"/>
      <c r="K31" s="58"/>
      <c r="L31" s="73"/>
      <c r="M31" s="73"/>
      <c r="N31" s="73"/>
      <c r="O31" s="73"/>
      <c r="P31" s="73"/>
      <c r="Q31" s="110"/>
      <c r="R31" s="110"/>
      <c r="S31" s="110"/>
      <c r="T31" s="110"/>
      <c r="U31" s="110"/>
      <c r="V31" s="110"/>
      <c r="W31" s="75"/>
      <c r="X31" s="75"/>
      <c r="Y31" s="67"/>
      <c r="Z31" s="67"/>
      <c r="AA31" s="67"/>
      <c r="AB31" s="67"/>
    </row>
    <row r="32" spans="1:28" s="72" customFormat="1" hidden="1" outlineLevel="1">
      <c r="A32" s="67"/>
      <c r="B32" s="67"/>
      <c r="C32" s="68"/>
      <c r="D32" s="68"/>
      <c r="E32" s="68" t="s">
        <v>30</v>
      </c>
      <c r="F32" s="61"/>
      <c r="G32" s="61"/>
      <c r="H32" s="61"/>
      <c r="I32" s="61"/>
      <c r="J32" s="68"/>
      <c r="K32" s="58"/>
      <c r="L32" s="73">
        <f>L18/L$12</f>
        <v>0.16154063213841982</v>
      </c>
      <c r="M32" s="73">
        <f>M18/M$12</f>
        <v>0.16439448263480741</v>
      </c>
      <c r="N32" s="73">
        <f>N18/N$12</f>
        <v>0.16680584962902631</v>
      </c>
      <c r="O32" s="73">
        <f>O18/O$12</f>
        <v>0.16824571870888411</v>
      </c>
      <c r="P32" s="73">
        <f>P18/P$12</f>
        <v>0.16832116820980444</v>
      </c>
      <c r="Q32" s="110"/>
      <c r="R32" s="110"/>
      <c r="S32" s="110"/>
      <c r="T32" s="110"/>
      <c r="U32" s="110"/>
      <c r="V32" s="110"/>
      <c r="W32" s="75"/>
      <c r="X32" s="75"/>
      <c r="Y32" s="67"/>
      <c r="Z32" s="67"/>
      <c r="AA32" s="67"/>
      <c r="AB32" s="67"/>
    </row>
    <row r="33" spans="1:31" s="72" customFormat="1" hidden="1" outlineLevel="1">
      <c r="A33" s="67"/>
      <c r="B33" s="67"/>
      <c r="C33" s="68"/>
      <c r="D33" s="68"/>
      <c r="E33" s="68"/>
      <c r="F33" s="61"/>
      <c r="G33" s="61"/>
      <c r="H33" s="61"/>
      <c r="I33" s="61"/>
      <c r="J33" s="68"/>
      <c r="K33" s="58"/>
      <c r="L33" s="73"/>
      <c r="M33" s="73"/>
      <c r="N33" s="73"/>
      <c r="O33" s="73"/>
      <c r="P33" s="73"/>
      <c r="Q33" s="110"/>
      <c r="R33" s="110"/>
      <c r="S33" s="110"/>
      <c r="T33" s="110"/>
      <c r="U33" s="110"/>
      <c r="V33" s="110"/>
      <c r="W33" s="75"/>
      <c r="X33" s="75"/>
      <c r="Y33" s="67"/>
      <c r="Z33" s="67"/>
      <c r="AA33" s="67"/>
      <c r="AB33" s="67"/>
    </row>
    <row r="34" spans="1:31" s="72" customFormat="1" hidden="1" outlineLevel="1">
      <c r="A34" s="67"/>
      <c r="B34" s="67"/>
      <c r="C34" s="68"/>
      <c r="D34" s="68"/>
      <c r="E34" s="68" t="s">
        <v>31</v>
      </c>
      <c r="F34" s="61"/>
      <c r="G34" s="61"/>
      <c r="H34" s="61"/>
      <c r="I34" s="61"/>
      <c r="J34" s="68"/>
      <c r="K34" s="58"/>
      <c r="L34" s="73">
        <f>L20/L$12</f>
        <v>0.12797463934035824</v>
      </c>
      <c r="M34" s="73">
        <f>M20/M$12</f>
        <v>0.12919571635795882</v>
      </c>
      <c r="N34" s="73">
        <f>N20/N$12</f>
        <v>0.13107589369714912</v>
      </c>
      <c r="O34" s="73">
        <f>O20/O$12</f>
        <v>0.13379920475126553</v>
      </c>
      <c r="P34" s="73">
        <f>P20/P$12</f>
        <v>0.13742580041178321</v>
      </c>
      <c r="Q34" s="110"/>
      <c r="R34" s="110"/>
      <c r="S34" s="110"/>
      <c r="T34" s="110"/>
      <c r="U34" s="110"/>
      <c r="V34" s="110"/>
      <c r="W34" s="75"/>
      <c r="X34" s="75"/>
      <c r="Y34" s="67"/>
      <c r="Z34" s="67"/>
      <c r="AA34" s="67"/>
      <c r="AB34" s="67"/>
    </row>
    <row r="35" spans="1:31" s="72" customFormat="1" hidden="1" outlineLevel="1">
      <c r="A35" s="67"/>
      <c r="B35" s="67"/>
      <c r="C35" s="68"/>
      <c r="D35" s="68"/>
      <c r="E35" s="68"/>
      <c r="F35" s="61"/>
      <c r="G35" s="61"/>
      <c r="H35" s="61"/>
      <c r="I35" s="61"/>
      <c r="J35" s="68"/>
      <c r="K35" s="58"/>
      <c r="L35" s="73"/>
      <c r="M35" s="73"/>
      <c r="N35" s="73"/>
      <c r="O35" s="73"/>
      <c r="P35" s="73"/>
      <c r="Q35" s="110"/>
      <c r="R35" s="110"/>
      <c r="S35" s="110"/>
      <c r="T35" s="110"/>
      <c r="U35" s="110"/>
      <c r="V35" s="110"/>
      <c r="W35" s="75"/>
      <c r="X35" s="75"/>
      <c r="Y35" s="67"/>
      <c r="Z35" s="67"/>
      <c r="AA35" s="67"/>
      <c r="AB35" s="67"/>
    </row>
    <row r="36" spans="1:31" s="72" customFormat="1" hidden="1" outlineLevel="1">
      <c r="A36" s="67"/>
      <c r="B36" s="67"/>
      <c r="C36" s="68"/>
      <c r="D36" s="68"/>
      <c r="E36" s="68" t="s">
        <v>32</v>
      </c>
      <c r="F36" s="61"/>
      <c r="G36" s="61"/>
      <c r="H36" s="61"/>
      <c r="I36" s="61"/>
      <c r="J36" s="68"/>
      <c r="K36" s="58"/>
      <c r="L36" s="73">
        <f>L22/L$12</f>
        <v>0.15457702235156587</v>
      </c>
      <c r="M36" s="73">
        <f>M22/M$12</f>
        <v>0.15143430134353933</v>
      </c>
      <c r="N36" s="73">
        <f>N22/N$12</f>
        <v>0.14797850963436532</v>
      </c>
      <c r="O36" s="73">
        <f>O22/O$12</f>
        <v>0.1438939463138858</v>
      </c>
      <c r="P36" s="73">
        <f>P22/P$12</f>
        <v>0.13939059957668765</v>
      </c>
      <c r="Q36" s="110"/>
      <c r="R36" s="110"/>
      <c r="S36" s="110"/>
      <c r="T36" s="110"/>
      <c r="U36" s="110"/>
      <c r="V36" s="110"/>
      <c r="W36" s="75"/>
      <c r="X36" s="75"/>
      <c r="Y36" s="67"/>
      <c r="Z36" s="67"/>
      <c r="AA36" s="67"/>
      <c r="AB36" s="67"/>
    </row>
    <row r="37" spans="1:31" s="72" customFormat="1" hidden="1" outlineLevel="1">
      <c r="A37" s="67"/>
      <c r="B37" s="67"/>
      <c r="C37" s="68"/>
      <c r="D37" s="68"/>
      <c r="E37" s="68"/>
      <c r="F37" s="61"/>
      <c r="G37" s="61"/>
      <c r="H37" s="61"/>
      <c r="I37" s="61"/>
      <c r="J37" s="68"/>
      <c r="K37" s="58"/>
      <c r="L37" s="73"/>
      <c r="M37" s="73"/>
      <c r="N37" s="73"/>
      <c r="O37" s="73"/>
      <c r="P37" s="73"/>
      <c r="Q37" s="110"/>
      <c r="R37" s="110"/>
      <c r="S37" s="110"/>
      <c r="T37" s="110"/>
      <c r="U37" s="110"/>
      <c r="V37" s="110"/>
      <c r="W37" s="75"/>
      <c r="X37" s="75"/>
      <c r="Y37" s="67"/>
      <c r="Z37" s="67"/>
      <c r="AA37" s="67"/>
      <c r="AB37" s="67"/>
    </row>
    <row r="38" spans="1:31" s="72" customFormat="1" hidden="1" outlineLevel="1">
      <c r="A38" s="67"/>
      <c r="B38" s="67"/>
      <c r="C38" s="68"/>
      <c r="D38" s="68"/>
      <c r="E38" s="68" t="s">
        <v>33</v>
      </c>
      <c r="F38" s="61"/>
      <c r="G38" s="61"/>
      <c r="H38" s="61"/>
      <c r="I38" s="61"/>
      <c r="J38" s="68"/>
      <c r="K38" s="58"/>
      <c r="L38" s="73">
        <f>L24/L$12</f>
        <v>0.11404360339300022</v>
      </c>
      <c r="M38" s="73">
        <f>M24/M$12</f>
        <v>0.12088261988822227</v>
      </c>
      <c r="N38" s="73">
        <f>N24/N$12</f>
        <v>0.12760188487780771</v>
      </c>
      <c r="O38" s="73">
        <f>O24/O$12</f>
        <v>0.13433997451466498</v>
      </c>
      <c r="P38" s="73">
        <f>P24/P$12</f>
        <v>0.13956374538949851</v>
      </c>
      <c r="Q38" s="110"/>
      <c r="R38" s="110"/>
      <c r="S38" s="110"/>
      <c r="T38" s="110"/>
      <c r="U38" s="110"/>
      <c r="V38" s="110"/>
      <c r="W38" s="75"/>
      <c r="X38" s="75"/>
      <c r="Y38" s="67"/>
      <c r="Z38" s="67"/>
      <c r="AA38" s="67"/>
      <c r="AB38" s="67"/>
    </row>
    <row r="39" spans="1:31" s="72" customFormat="1" hidden="1" outlineLevel="1">
      <c r="A39" s="67"/>
      <c r="B39" s="67"/>
      <c r="C39" s="68"/>
      <c r="D39" s="68"/>
      <c r="E39" s="68"/>
      <c r="F39" s="61"/>
      <c r="G39" s="61"/>
      <c r="H39" s="61"/>
      <c r="I39" s="61"/>
      <c r="J39" s="68"/>
      <c r="K39" s="58"/>
      <c r="L39" s="73"/>
      <c r="M39" s="73"/>
      <c r="N39" s="73"/>
      <c r="O39" s="73"/>
      <c r="P39" s="73"/>
      <c r="Q39" s="110"/>
      <c r="R39" s="110"/>
      <c r="S39" s="110"/>
      <c r="T39" s="110"/>
      <c r="U39" s="110"/>
      <c r="V39" s="110"/>
      <c r="W39" s="75"/>
      <c r="X39" s="75"/>
      <c r="Y39" s="67"/>
      <c r="Z39" s="67"/>
      <c r="AA39" s="67"/>
      <c r="AB39" s="67"/>
    </row>
    <row r="40" spans="1:31" s="72" customFormat="1" hidden="1" outlineLevel="1">
      <c r="A40" s="67"/>
      <c r="B40" s="67"/>
      <c r="C40" s="68"/>
      <c r="D40" s="68"/>
      <c r="E40" s="68" t="s">
        <v>34</v>
      </c>
      <c r="F40" s="61"/>
      <c r="G40" s="61"/>
      <c r="H40" s="61"/>
      <c r="I40" s="61"/>
      <c r="J40" s="68"/>
      <c r="K40" s="58"/>
      <c r="L40" s="73">
        <f>L26/L$12</f>
        <v>0.13348392518754948</v>
      </c>
      <c r="M40" s="73">
        <f>M26/M$12</f>
        <v>0.13370451796507782</v>
      </c>
      <c r="N40" s="73">
        <f>N26/N$12</f>
        <v>0.13401574345230932</v>
      </c>
      <c r="O40" s="73">
        <f>O26/O$12</f>
        <v>0.13451372279970336</v>
      </c>
      <c r="P40" s="73">
        <f>P26/P$12</f>
        <v>0.13655981121279384</v>
      </c>
      <c r="Q40" s="110"/>
      <c r="R40" s="110"/>
      <c r="S40" s="110"/>
      <c r="T40" s="110"/>
      <c r="U40" s="110"/>
      <c r="V40" s="110"/>
      <c r="W40" s="75"/>
      <c r="X40" s="75"/>
      <c r="Y40" s="67"/>
      <c r="Z40" s="67"/>
      <c r="AA40" s="67"/>
      <c r="AB40" s="67"/>
    </row>
    <row r="41" spans="1:31" collapsed="1">
      <c r="A41" s="55" t="str">
        <f>Home!$B$1</f>
        <v>Poland</v>
      </c>
      <c r="B41" s="56" t="s">
        <v>13</v>
      </c>
      <c r="C41" s="56" t="s">
        <v>766</v>
      </c>
      <c r="D41" s="55" t="s">
        <v>35</v>
      </c>
      <c r="E41" s="57"/>
      <c r="F41" s="57"/>
      <c r="G41" s="57" t="s">
        <v>15</v>
      </c>
      <c r="H41" s="57" t="s">
        <v>16</v>
      </c>
      <c r="I41" s="57"/>
      <c r="J41" s="55" t="s">
        <v>25</v>
      </c>
      <c r="K41" s="58">
        <f>'[1]Tourism Demand &amp; Flows-vanya'!K27</f>
        <v>864.43194319999998</v>
      </c>
      <c r="L41" s="80">
        <f>L43+L45+L47+L49+L51+L53+L55</f>
        <v>18.673828999999998</v>
      </c>
      <c r="M41" s="80">
        <f>M43+M45+M47+M49+M51+M53+M55</f>
        <v>18.659066999999997</v>
      </c>
      <c r="N41" s="80">
        <f>N43+N45+N47+N49+N51+N53+N55</f>
        <v>18.644478999999997</v>
      </c>
      <c r="O41" s="80">
        <f>O43+O45+O47+O49+O51+O53+O55</f>
        <v>18.629434</v>
      </c>
      <c r="P41" s="80">
        <f>P43+P45+P47+P49+P51+P53+P55</f>
        <v>18.613236999999998</v>
      </c>
      <c r="Q41" s="80">
        <f t="shared" ref="Q41:V41" si="38">Q43+Q45+Q47+Q49+Q51+Q53+Q55</f>
        <v>18.595227999999999</v>
      </c>
      <c r="R41" s="80">
        <f t="shared" si="38"/>
        <v>18.574883999999997</v>
      </c>
      <c r="S41" s="80">
        <f t="shared" si="38"/>
        <v>18.551718999999999</v>
      </c>
      <c r="T41" s="80">
        <f t="shared" si="38"/>
        <v>18.525275999999998</v>
      </c>
      <c r="U41" s="80">
        <f t="shared" si="38"/>
        <v>18.495054</v>
      </c>
      <c r="V41" s="80">
        <f t="shared" si="38"/>
        <v>18.460598999999998</v>
      </c>
      <c r="W41" s="260">
        <f>+(Q41/M41)^(1/4)-1</f>
        <v>-8.5643442718685847E-4</v>
      </c>
      <c r="X41" s="260">
        <f>+(V41/Q41)^(1/5)-1</f>
        <v>-1.4522068410375288E-3</v>
      </c>
    </row>
    <row r="42" spans="1:31">
      <c r="A42" s="57"/>
      <c r="B42" s="57"/>
      <c r="C42" s="61" t="s">
        <v>892</v>
      </c>
      <c r="D42" s="61"/>
      <c r="E42" s="61"/>
      <c r="F42" s="61"/>
      <c r="G42" s="61"/>
      <c r="H42" s="61"/>
      <c r="I42" s="61"/>
      <c r="J42" s="61" t="s">
        <v>58</v>
      </c>
      <c r="K42" s="58"/>
      <c r="L42" s="59"/>
      <c r="M42" s="62">
        <f t="shared" ref="M42:P42" si="39">M41/L41-1</f>
        <v>-7.9051810959607227E-4</v>
      </c>
      <c r="N42" s="62">
        <f t="shared" si="39"/>
        <v>-7.8181829777446143E-4</v>
      </c>
      <c r="O42" s="62">
        <f t="shared" si="39"/>
        <v>-8.0694129345193488E-4</v>
      </c>
      <c r="P42" s="62">
        <f t="shared" si="39"/>
        <v>-8.6943060105859615E-4</v>
      </c>
      <c r="Q42" s="62">
        <f t="shared" ref="Q42" si="40">Q41/P41-1</f>
        <v>-9.6753724244735828E-4</v>
      </c>
      <c r="R42" s="62">
        <f t="shared" ref="R42" si="41">R41/Q41-1</f>
        <v>-1.0940441278806112E-3</v>
      </c>
      <c r="S42" s="62">
        <f t="shared" ref="S42" si="42">S41/R41-1</f>
        <v>-1.2471141138754582E-3</v>
      </c>
      <c r="T42" s="62">
        <f t="shared" ref="T42" si="43">T41/S41-1</f>
        <v>-1.4253665657614212E-3</v>
      </c>
      <c r="U42" s="62">
        <f t="shared" ref="U42:V56" si="44">U41/T41-1</f>
        <v>-1.6313926982787219E-3</v>
      </c>
      <c r="V42" s="62">
        <f t="shared" si="44"/>
        <v>-1.8629304894163257E-3</v>
      </c>
      <c r="W42" s="259"/>
      <c r="X42" s="259"/>
    </row>
    <row r="43" spans="1:31">
      <c r="A43" s="55" t="str">
        <f>Home!$B$1</f>
        <v>Poland</v>
      </c>
      <c r="B43" s="56" t="s">
        <v>13</v>
      </c>
      <c r="C43" s="56" t="s">
        <v>766</v>
      </c>
      <c r="D43" s="56" t="s">
        <v>35</v>
      </c>
      <c r="E43" s="55" t="s">
        <v>28</v>
      </c>
      <c r="F43" s="57"/>
      <c r="G43" s="57" t="s">
        <v>15</v>
      </c>
      <c r="H43" s="57" t="s">
        <v>16</v>
      </c>
      <c r="I43" s="57"/>
      <c r="J43" s="57" t="s">
        <v>25</v>
      </c>
      <c r="K43" s="58"/>
      <c r="L43" s="59">
        <v>3.0703879999999999</v>
      </c>
      <c r="M43" s="59">
        <v>3.013109</v>
      </c>
      <c r="N43" s="59">
        <v>2.964995</v>
      </c>
      <c r="O43" s="59">
        <v>2.9317319999999998</v>
      </c>
      <c r="P43" s="59">
        <v>2.9103240000000001</v>
      </c>
      <c r="Q43" s="59">
        <v>2.8927010000000002</v>
      </c>
      <c r="R43" s="59">
        <v>2.881605</v>
      </c>
      <c r="S43" s="59">
        <v>2.8762639999999999</v>
      </c>
      <c r="T43" s="59">
        <v>2.8728419999999999</v>
      </c>
      <c r="U43" s="59">
        <v>2.8698239999999999</v>
      </c>
      <c r="V43" s="59">
        <v>2.8698220000000001</v>
      </c>
      <c r="W43" s="106">
        <f>+(Q43/M43)^(1/4)-1</f>
        <v>-1.0143644744617264E-2</v>
      </c>
      <c r="X43" s="106">
        <f>+(V43/Q43)^(1/5)-1</f>
        <v>-1.5868717433763502E-3</v>
      </c>
    </row>
    <row r="44" spans="1:31">
      <c r="A44" s="57"/>
      <c r="B44" s="57"/>
      <c r="C44" s="61" t="s">
        <v>892</v>
      </c>
      <c r="D44" s="61"/>
      <c r="E44" s="61"/>
      <c r="F44" s="61"/>
      <c r="G44" s="61"/>
      <c r="H44" s="61"/>
      <c r="I44" s="61"/>
      <c r="J44" s="61" t="s">
        <v>58</v>
      </c>
      <c r="K44" s="58"/>
      <c r="L44" s="59"/>
      <c r="M44" s="62">
        <f t="shared" ref="M44:P44" si="45">M43/L43-1</f>
        <v>-1.8655296985266911E-2</v>
      </c>
      <c r="N44" s="62">
        <f t="shared" si="45"/>
        <v>-1.596822418306143E-2</v>
      </c>
      <c r="O44" s="62">
        <f t="shared" si="45"/>
        <v>-1.1218568665377293E-2</v>
      </c>
      <c r="P44" s="62">
        <f t="shared" si="45"/>
        <v>-7.3021681381516546E-3</v>
      </c>
      <c r="Q44" s="62">
        <f t="shared" ref="Q44" si="46">Q43/P43-1</f>
        <v>-6.0553395429512324E-3</v>
      </c>
      <c r="R44" s="62">
        <f t="shared" ref="R44" si="47">R43/Q43-1</f>
        <v>-3.8358613627886839E-3</v>
      </c>
      <c r="S44" s="62">
        <f t="shared" ref="S44" si="48">S43/R43-1</f>
        <v>-1.853480959395859E-3</v>
      </c>
      <c r="T44" s="62">
        <f t="shared" ref="T44" si="49">T43/S43-1</f>
        <v>-1.1897377987556412E-3</v>
      </c>
      <c r="U44" s="62">
        <f t="shared" ref="U44" si="50">U43/T43-1</f>
        <v>-1.0505276656356255E-3</v>
      </c>
      <c r="V44" s="62">
        <f t="shared" si="44"/>
        <v>-6.9690684856293927E-7</v>
      </c>
      <c r="W44" s="259"/>
      <c r="X44" s="259"/>
    </row>
    <row r="45" spans="1:31">
      <c r="A45" s="55" t="str">
        <f>Home!$B$1</f>
        <v>Poland</v>
      </c>
      <c r="B45" s="56" t="s">
        <v>13</v>
      </c>
      <c r="C45" s="56" t="s">
        <v>766</v>
      </c>
      <c r="D45" s="56" t="s">
        <v>35</v>
      </c>
      <c r="E45" s="55" t="s">
        <v>29</v>
      </c>
      <c r="F45" s="57"/>
      <c r="G45" s="57" t="s">
        <v>15</v>
      </c>
      <c r="H45" s="57" t="s">
        <v>16</v>
      </c>
      <c r="I45" s="57"/>
      <c r="J45" s="57" t="s">
        <v>25</v>
      </c>
      <c r="K45" s="58"/>
      <c r="L45" s="59">
        <v>3.004766</v>
      </c>
      <c r="M45" s="59">
        <v>2.903759</v>
      </c>
      <c r="N45" s="59">
        <v>2.7960440000000002</v>
      </c>
      <c r="O45" s="59">
        <v>2.6844579999999998</v>
      </c>
      <c r="P45" s="59">
        <v>2.5775839999999999</v>
      </c>
      <c r="Q45" s="59">
        <v>2.4865710000000001</v>
      </c>
      <c r="R45" s="59">
        <v>2.4125459999999999</v>
      </c>
      <c r="S45" s="59">
        <v>2.3336269999999999</v>
      </c>
      <c r="T45" s="59">
        <v>2.2486489999999999</v>
      </c>
      <c r="U45" s="59">
        <v>2.1645599999999998</v>
      </c>
      <c r="V45" s="59">
        <v>2.0822970000000001</v>
      </c>
      <c r="W45" s="106">
        <f>+(Q45/M45)^(1/4)-1</f>
        <v>-3.8033221691033958E-2</v>
      </c>
      <c r="X45" s="106">
        <f>+(V45/Q45)^(1/5)-1</f>
        <v>-3.4864341076700334E-2</v>
      </c>
      <c r="AB45" s="15" t="s">
        <v>776</v>
      </c>
      <c r="AC45" s="15" t="s">
        <v>775</v>
      </c>
      <c r="AD45" s="15" t="s">
        <v>777</v>
      </c>
      <c r="AE45" s="15" t="s">
        <v>778</v>
      </c>
    </row>
    <row r="46" spans="1:31">
      <c r="A46" s="57"/>
      <c r="B46" s="57"/>
      <c r="C46" s="61" t="s">
        <v>892</v>
      </c>
      <c r="D46" s="61"/>
      <c r="E46" s="61"/>
      <c r="F46" s="61"/>
      <c r="G46" s="61"/>
      <c r="H46" s="61"/>
      <c r="I46" s="61"/>
      <c r="J46" s="61" t="s">
        <v>58</v>
      </c>
      <c r="K46" s="58"/>
      <c r="L46" s="59"/>
      <c r="M46" s="62">
        <f t="shared" ref="M46:P46" si="51">M45/L45-1</f>
        <v>-3.3615596023117922E-2</v>
      </c>
      <c r="N46" s="62">
        <f t="shared" si="51"/>
        <v>-3.7095020626711661E-2</v>
      </c>
      <c r="O46" s="62">
        <f t="shared" si="51"/>
        <v>-3.9908527905855751E-2</v>
      </c>
      <c r="P46" s="62">
        <f t="shared" si="51"/>
        <v>-3.9812133398995253E-2</v>
      </c>
      <c r="Q46" s="62">
        <f t="shared" ref="Q46" si="52">Q45/P45-1</f>
        <v>-3.5309421535825725E-2</v>
      </c>
      <c r="R46" s="62">
        <f t="shared" ref="R46" si="53">R45/Q45-1</f>
        <v>-2.9769912059619541E-2</v>
      </c>
      <c r="S46" s="62">
        <f t="shared" ref="S46" si="54">S45/R45-1</f>
        <v>-3.2711915130322899E-2</v>
      </c>
      <c r="T46" s="62">
        <f t="shared" ref="T46" si="55">T45/S45-1</f>
        <v>-3.6414559824684889E-2</v>
      </c>
      <c r="U46" s="62">
        <f t="shared" ref="U46" si="56">U45/T45-1</f>
        <v>-3.7395342714670043E-2</v>
      </c>
      <c r="V46" s="62">
        <f t="shared" si="44"/>
        <v>-3.8004490520013201E-2</v>
      </c>
      <c r="W46" s="259"/>
      <c r="X46" s="259"/>
      <c r="AB46" s="15" t="s">
        <v>776</v>
      </c>
      <c r="AC46" s="15" t="s">
        <v>775</v>
      </c>
      <c r="AD46" s="15" t="s">
        <v>777</v>
      </c>
      <c r="AE46" s="15" t="s">
        <v>778</v>
      </c>
    </row>
    <row r="47" spans="1:31">
      <c r="A47" s="55" t="str">
        <f>Home!$B$1</f>
        <v>Poland</v>
      </c>
      <c r="B47" s="56" t="s">
        <v>13</v>
      </c>
      <c r="C47" s="56" t="s">
        <v>766</v>
      </c>
      <c r="D47" s="56" t="s">
        <v>35</v>
      </c>
      <c r="E47" s="55" t="s">
        <v>30</v>
      </c>
      <c r="F47" s="57"/>
      <c r="G47" s="57" t="s">
        <v>15</v>
      </c>
      <c r="H47" s="57" t="s">
        <v>16</v>
      </c>
      <c r="I47" s="57"/>
      <c r="J47" s="57" t="s">
        <v>25</v>
      </c>
      <c r="K47" s="58"/>
      <c r="L47" s="59">
        <v>3.157117</v>
      </c>
      <c r="M47" s="59">
        <v>3.2103389999999998</v>
      </c>
      <c r="N47" s="59">
        <v>3.2549969999999999</v>
      </c>
      <c r="O47" s="59">
        <v>3.28051</v>
      </c>
      <c r="P47" s="59">
        <v>3.2792669999999999</v>
      </c>
      <c r="Q47" s="59">
        <v>3.255671</v>
      </c>
      <c r="R47" s="59">
        <v>3.206137</v>
      </c>
      <c r="S47" s="59">
        <v>3.1482510000000001</v>
      </c>
      <c r="T47" s="59">
        <v>3.0879780000000001</v>
      </c>
      <c r="U47" s="59">
        <v>3.026351</v>
      </c>
      <c r="V47" s="59">
        <v>2.950882</v>
      </c>
      <c r="W47" s="106">
        <f>+(Q47/M47)^(1/4)-1</f>
        <v>3.5116162694968089E-3</v>
      </c>
      <c r="X47" s="106">
        <f>+(V47/Q47)^(1/5)-1</f>
        <v>-1.9466882732450896E-2</v>
      </c>
      <c r="AB47" s="15" t="s">
        <v>776</v>
      </c>
      <c r="AC47" s="15" t="s">
        <v>775</v>
      </c>
      <c r="AD47" s="15" t="s">
        <v>777</v>
      </c>
      <c r="AE47" s="15" t="s">
        <v>778</v>
      </c>
    </row>
    <row r="48" spans="1:31">
      <c r="A48" s="57"/>
      <c r="B48" s="57"/>
      <c r="C48" s="61" t="s">
        <v>892</v>
      </c>
      <c r="D48" s="61"/>
      <c r="E48" s="61"/>
      <c r="F48" s="61"/>
      <c r="G48" s="61"/>
      <c r="H48" s="61"/>
      <c r="I48" s="61"/>
      <c r="J48" s="61" t="s">
        <v>58</v>
      </c>
      <c r="K48" s="58"/>
      <c r="L48" s="59"/>
      <c r="M48" s="62">
        <f t="shared" ref="M48:P48" si="57">M47/L47-1</f>
        <v>1.6857785124846369E-2</v>
      </c>
      <c r="N48" s="62">
        <f t="shared" si="57"/>
        <v>1.3910680460848646E-2</v>
      </c>
      <c r="O48" s="62">
        <f t="shared" si="57"/>
        <v>7.838102462152774E-3</v>
      </c>
      <c r="P48" s="62">
        <f t="shared" si="57"/>
        <v>-3.789044996053148E-4</v>
      </c>
      <c r="Q48" s="62">
        <f t="shared" ref="Q48" si="58">Q47/P47-1</f>
        <v>-7.1955104601119091E-3</v>
      </c>
      <c r="R48" s="62">
        <f t="shared" ref="R48" si="59">R47/Q47-1</f>
        <v>-1.5214682318944406E-2</v>
      </c>
      <c r="S48" s="62">
        <f t="shared" ref="S48" si="60">S47/R47-1</f>
        <v>-1.8054749375962409E-2</v>
      </c>
      <c r="T48" s="62">
        <f t="shared" ref="T48" si="61">T47/S47-1</f>
        <v>-1.9144915700812892E-2</v>
      </c>
      <c r="U48" s="62">
        <f t="shared" ref="U48" si="62">U47/T47-1</f>
        <v>-1.9957072233027562E-2</v>
      </c>
      <c r="V48" s="62">
        <f t="shared" si="44"/>
        <v>-2.4937292468718897E-2</v>
      </c>
      <c r="W48" s="259"/>
      <c r="X48" s="259"/>
      <c r="AB48" s="15" t="s">
        <v>776</v>
      </c>
      <c r="AC48" s="15" t="s">
        <v>775</v>
      </c>
      <c r="AD48" s="15" t="s">
        <v>777</v>
      </c>
      <c r="AE48" s="15" t="s">
        <v>778</v>
      </c>
    </row>
    <row r="49" spans="1:31">
      <c r="A49" s="55" t="str">
        <f>Home!$B$1</f>
        <v>Poland</v>
      </c>
      <c r="B49" s="56" t="s">
        <v>13</v>
      </c>
      <c r="C49" s="56" t="s">
        <v>766</v>
      </c>
      <c r="D49" s="56" t="s">
        <v>35</v>
      </c>
      <c r="E49" s="55" t="s">
        <v>31</v>
      </c>
      <c r="F49" s="57"/>
      <c r="G49" s="57" t="s">
        <v>15</v>
      </c>
      <c r="H49" s="57" t="s">
        <v>16</v>
      </c>
      <c r="I49" s="57"/>
      <c r="J49" s="57" t="s">
        <v>25</v>
      </c>
      <c r="K49" s="58"/>
      <c r="L49" s="59">
        <v>2.4932409999999998</v>
      </c>
      <c r="M49" s="59">
        <v>2.5170400000000002</v>
      </c>
      <c r="N49" s="59">
        <v>2.5533839999999999</v>
      </c>
      <c r="O49" s="59">
        <v>2.6056300000000001</v>
      </c>
      <c r="P49" s="59">
        <v>2.674515</v>
      </c>
      <c r="Q49" s="59">
        <v>2.748354</v>
      </c>
      <c r="R49" s="59">
        <v>2.8211930000000001</v>
      </c>
      <c r="S49" s="59">
        <v>2.8977010000000001</v>
      </c>
      <c r="T49" s="59">
        <v>2.9706519999999998</v>
      </c>
      <c r="U49" s="59">
        <v>3.0302479999999998</v>
      </c>
      <c r="V49" s="59">
        <v>3.0841229999999999</v>
      </c>
      <c r="W49" s="106">
        <f>+(Q49/M49)^(1/4)-1</f>
        <v>2.2222976670352557E-2</v>
      </c>
      <c r="X49" s="106">
        <f>+(V49/Q49)^(1/5)-1</f>
        <v>2.3320805046035842E-2</v>
      </c>
      <c r="AB49" s="15" t="s">
        <v>776</v>
      </c>
      <c r="AC49" s="15" t="s">
        <v>775</v>
      </c>
      <c r="AD49" s="15" t="s">
        <v>777</v>
      </c>
      <c r="AE49" s="15" t="s">
        <v>778</v>
      </c>
    </row>
    <row r="50" spans="1:31">
      <c r="A50" s="57"/>
      <c r="B50" s="57"/>
      <c r="C50" s="61" t="s">
        <v>892</v>
      </c>
      <c r="D50" s="61"/>
      <c r="E50" s="61"/>
      <c r="F50" s="61"/>
      <c r="G50" s="61"/>
      <c r="H50" s="61"/>
      <c r="I50" s="61"/>
      <c r="J50" s="61" t="s">
        <v>58</v>
      </c>
      <c r="K50" s="58"/>
      <c r="L50" s="59"/>
      <c r="M50" s="62">
        <f t="shared" ref="M50:P50" si="63">M49/L49-1</f>
        <v>9.5454069622633586E-3</v>
      </c>
      <c r="N50" s="62">
        <f t="shared" si="63"/>
        <v>1.4439182531862604E-2</v>
      </c>
      <c r="O50" s="62">
        <f t="shared" si="63"/>
        <v>2.0461473871536739E-2</v>
      </c>
      <c r="P50" s="62">
        <f t="shared" si="63"/>
        <v>2.643698452965304E-2</v>
      </c>
      <c r="Q50" s="62">
        <f t="shared" ref="Q50" si="64">Q49/P49-1</f>
        <v>2.7608370115703273E-2</v>
      </c>
      <c r="R50" s="62">
        <f t="shared" ref="R50" si="65">R49/Q49-1</f>
        <v>2.6502772204745062E-2</v>
      </c>
      <c r="S50" s="62">
        <f t="shared" ref="S50" si="66">S49/R49-1</f>
        <v>2.7119023760515448E-2</v>
      </c>
      <c r="T50" s="62">
        <f t="shared" ref="T50" si="67">T49/S49-1</f>
        <v>2.5175475316466356E-2</v>
      </c>
      <c r="U50" s="62">
        <f t="shared" ref="U50" si="68">U49/T49-1</f>
        <v>2.0061589173016481E-2</v>
      </c>
      <c r="V50" s="62">
        <f t="shared" si="44"/>
        <v>1.777907286796343E-2</v>
      </c>
      <c r="W50" s="259"/>
      <c r="X50" s="259"/>
      <c r="AB50" s="15" t="s">
        <v>776</v>
      </c>
      <c r="AC50" s="15" t="s">
        <v>775</v>
      </c>
      <c r="AD50" s="15" t="s">
        <v>777</v>
      </c>
      <c r="AE50" s="15" t="s">
        <v>778</v>
      </c>
    </row>
    <row r="51" spans="1:31">
      <c r="A51" s="55" t="str">
        <f>Home!$B$1</f>
        <v>Poland</v>
      </c>
      <c r="B51" s="56" t="s">
        <v>13</v>
      </c>
      <c r="C51" s="56" t="s">
        <v>766</v>
      </c>
      <c r="D51" s="56" t="s">
        <v>35</v>
      </c>
      <c r="E51" s="55" t="s">
        <v>32</v>
      </c>
      <c r="F51" s="57"/>
      <c r="G51" s="57" t="s">
        <v>15</v>
      </c>
      <c r="H51" s="57" t="s">
        <v>16</v>
      </c>
      <c r="I51" s="57"/>
      <c r="J51" s="57" t="s">
        <v>25</v>
      </c>
      <c r="K51" s="58"/>
      <c r="L51" s="59">
        <v>2.9280300000000001</v>
      </c>
      <c r="M51" s="59">
        <v>2.869532</v>
      </c>
      <c r="N51" s="59">
        <v>2.8053979999999998</v>
      </c>
      <c r="O51" s="59">
        <v>2.7289840000000001</v>
      </c>
      <c r="P51" s="59">
        <v>2.6448290000000001</v>
      </c>
      <c r="Q51" s="59">
        <v>2.559399</v>
      </c>
      <c r="R51" s="59">
        <v>2.4790990000000002</v>
      </c>
      <c r="S51" s="59">
        <v>2.4132009999999999</v>
      </c>
      <c r="T51" s="59">
        <v>2.3700350000000001</v>
      </c>
      <c r="U51" s="59">
        <v>2.3544830000000001</v>
      </c>
      <c r="V51" s="59">
        <v>2.3635259999999998</v>
      </c>
      <c r="W51" s="106">
        <f>+(Q51/M51)^(1/4)-1</f>
        <v>-2.8189178200076381E-2</v>
      </c>
      <c r="X51" s="106">
        <f>+(V51/Q51)^(1/5)-1</f>
        <v>-1.5797468777666746E-2</v>
      </c>
      <c r="AB51" s="15" t="s">
        <v>776</v>
      </c>
      <c r="AC51" s="15" t="s">
        <v>775</v>
      </c>
      <c r="AD51" s="15" t="s">
        <v>777</v>
      </c>
      <c r="AE51" s="15" t="s">
        <v>778</v>
      </c>
    </row>
    <row r="52" spans="1:31">
      <c r="A52" s="57"/>
      <c r="B52" s="57"/>
      <c r="C52" s="61" t="s">
        <v>892</v>
      </c>
      <c r="D52" s="61"/>
      <c r="E52" s="61"/>
      <c r="F52" s="61"/>
      <c r="G52" s="61"/>
      <c r="H52" s="61"/>
      <c r="I52" s="61"/>
      <c r="J52" s="61" t="s">
        <v>58</v>
      </c>
      <c r="K52" s="58"/>
      <c r="L52" s="59"/>
      <c r="M52" s="62">
        <f t="shared" ref="M52:P52" si="69">M51/L51-1</f>
        <v>-1.9978620437632211E-2</v>
      </c>
      <c r="N52" s="62">
        <f t="shared" si="69"/>
        <v>-2.2349985990747001E-2</v>
      </c>
      <c r="O52" s="62">
        <f t="shared" si="69"/>
        <v>-2.7238202921653132E-2</v>
      </c>
      <c r="P52" s="62">
        <f t="shared" si="69"/>
        <v>-3.0837483840139734E-2</v>
      </c>
      <c r="Q52" s="62">
        <f t="shared" ref="Q52" si="70">Q51/P51-1</f>
        <v>-3.2300765002198695E-2</v>
      </c>
      <c r="R52" s="62">
        <f t="shared" ref="R52" si="71">R51/Q51-1</f>
        <v>-3.1374553166583219E-2</v>
      </c>
      <c r="S52" s="62">
        <f t="shared" ref="S52" si="72">S51/R51-1</f>
        <v>-2.6581431399068878E-2</v>
      </c>
      <c r="T52" s="62">
        <f t="shared" ref="T52" si="73">T51/S51-1</f>
        <v>-1.7887444933099128E-2</v>
      </c>
      <c r="U52" s="62">
        <f t="shared" ref="U52" si="74">U51/T51-1</f>
        <v>-6.5619284103399789E-3</v>
      </c>
      <c r="V52" s="62">
        <f t="shared" si="44"/>
        <v>3.8407582471393642E-3</v>
      </c>
      <c r="W52" s="259"/>
      <c r="X52" s="259"/>
      <c r="AB52" s="15" t="s">
        <v>776</v>
      </c>
      <c r="AC52" s="15" t="s">
        <v>775</v>
      </c>
      <c r="AD52" s="15" t="s">
        <v>777</v>
      </c>
      <c r="AE52" s="15" t="s">
        <v>778</v>
      </c>
    </row>
    <row r="53" spans="1:31">
      <c r="A53" s="55" t="str">
        <f>Home!$B$1</f>
        <v>Poland</v>
      </c>
      <c r="B53" s="56" t="s">
        <v>13</v>
      </c>
      <c r="C53" s="56" t="s">
        <v>766</v>
      </c>
      <c r="D53" s="56" t="s">
        <v>35</v>
      </c>
      <c r="E53" s="55" t="s">
        <v>33</v>
      </c>
      <c r="F53" s="57"/>
      <c r="G53" s="57" t="s">
        <v>15</v>
      </c>
      <c r="H53" s="57" t="s">
        <v>16</v>
      </c>
      <c r="I53" s="57"/>
      <c r="J53" s="57" t="s">
        <v>25</v>
      </c>
      <c r="K53" s="58"/>
      <c r="L53" s="59">
        <v>2.0558580000000002</v>
      </c>
      <c r="M53" s="59">
        <v>2.1808109999999998</v>
      </c>
      <c r="N53" s="59">
        <v>2.3032550000000001</v>
      </c>
      <c r="O53" s="59">
        <v>2.4263569999999999</v>
      </c>
      <c r="P53" s="59">
        <v>2.5221680000000002</v>
      </c>
      <c r="Q53" s="59">
        <v>2.5864660000000002</v>
      </c>
      <c r="R53" s="59">
        <v>2.6320579999999998</v>
      </c>
      <c r="S53" s="59">
        <v>2.6581060000000001</v>
      </c>
      <c r="T53" s="59">
        <v>2.6606369999999999</v>
      </c>
      <c r="U53" s="59">
        <v>2.638693</v>
      </c>
      <c r="V53" s="59">
        <v>2.5998199999999998</v>
      </c>
      <c r="W53" s="106">
        <f>+(Q53/M53)^(1/4)-1</f>
        <v>4.3571442826823903E-2</v>
      </c>
      <c r="X53" s="106">
        <f>+(V53/Q53)^(1/5)-1</f>
        <v>1.0304799126532593E-3</v>
      </c>
      <c r="AB53" s="15" t="s">
        <v>776</v>
      </c>
      <c r="AC53" s="15" t="s">
        <v>775</v>
      </c>
      <c r="AD53" s="15" t="s">
        <v>777</v>
      </c>
      <c r="AE53" s="15" t="s">
        <v>778</v>
      </c>
    </row>
    <row r="54" spans="1:31">
      <c r="A54" s="57"/>
      <c r="B54" s="57"/>
      <c r="C54" s="61" t="s">
        <v>892</v>
      </c>
      <c r="D54" s="61"/>
      <c r="E54" s="61"/>
      <c r="F54" s="61"/>
      <c r="G54" s="61"/>
      <c r="H54" s="61"/>
      <c r="I54" s="61"/>
      <c r="J54" s="61" t="s">
        <v>58</v>
      </c>
      <c r="K54" s="58"/>
      <c r="L54" s="59"/>
      <c r="M54" s="62">
        <f t="shared" ref="M54:P54" si="75">M53/L53-1</f>
        <v>6.0779003219093797E-2</v>
      </c>
      <c r="N54" s="62">
        <f t="shared" si="75"/>
        <v>5.6146085103202514E-2</v>
      </c>
      <c r="O54" s="62">
        <f t="shared" si="75"/>
        <v>5.3446969614740825E-2</v>
      </c>
      <c r="P54" s="62">
        <f t="shared" si="75"/>
        <v>3.9487593952580058E-2</v>
      </c>
      <c r="Q54" s="62">
        <f t="shared" ref="Q54" si="76">Q53/P53-1</f>
        <v>2.5493147165454477E-2</v>
      </c>
      <c r="R54" s="62">
        <f t="shared" ref="R54" si="77">R53/Q53-1</f>
        <v>1.7627140662200613E-2</v>
      </c>
      <c r="S54" s="62">
        <f t="shared" ref="S54" si="78">S53/R53-1</f>
        <v>9.8964384523443361E-3</v>
      </c>
      <c r="T54" s="62">
        <f t="shared" ref="T54" si="79">T53/S53-1</f>
        <v>9.5218174143529843E-4</v>
      </c>
      <c r="U54" s="62">
        <f t="shared" ref="U54" si="80">U53/T53-1</f>
        <v>-8.2476489652665297E-3</v>
      </c>
      <c r="V54" s="62">
        <f t="shared" si="44"/>
        <v>-1.4731914625915277E-2</v>
      </c>
      <c r="W54" s="259"/>
      <c r="X54" s="259"/>
      <c r="AB54" s="15" t="s">
        <v>776</v>
      </c>
      <c r="AC54" s="15" t="s">
        <v>775</v>
      </c>
      <c r="AD54" s="15" t="s">
        <v>777</v>
      </c>
      <c r="AE54" s="15" t="s">
        <v>778</v>
      </c>
    </row>
    <row r="55" spans="1:31">
      <c r="A55" s="55" t="str">
        <f>Home!$B$1</f>
        <v>Poland</v>
      </c>
      <c r="B55" s="56" t="s">
        <v>13</v>
      </c>
      <c r="C55" s="56" t="s">
        <v>766</v>
      </c>
      <c r="D55" s="56" t="s">
        <v>35</v>
      </c>
      <c r="E55" s="55" t="s">
        <v>34</v>
      </c>
      <c r="F55" s="57"/>
      <c r="G55" s="57" t="s">
        <v>15</v>
      </c>
      <c r="H55" s="57" t="s">
        <v>16</v>
      </c>
      <c r="I55" s="57"/>
      <c r="J55" s="57" t="s">
        <v>25</v>
      </c>
      <c r="K55" s="58"/>
      <c r="L55" s="59">
        <v>1.964429</v>
      </c>
      <c r="M55" s="59">
        <v>1.964477</v>
      </c>
      <c r="N55" s="59">
        <v>1.9664060000000001</v>
      </c>
      <c r="O55" s="59">
        <v>1.9717629999999999</v>
      </c>
      <c r="P55" s="59">
        <v>2.0045500000000001</v>
      </c>
      <c r="Q55" s="59">
        <v>2.0660660000000002</v>
      </c>
      <c r="R55" s="59">
        <v>2.1422460000000001</v>
      </c>
      <c r="S55" s="59">
        <v>2.2245689999999998</v>
      </c>
      <c r="T55" s="59">
        <v>2.3144830000000001</v>
      </c>
      <c r="U55" s="59">
        <v>2.410895</v>
      </c>
      <c r="V55" s="59">
        <v>2.5101290000000001</v>
      </c>
      <c r="W55" s="106">
        <f>+(Q55/M55)^(1/4)-1</f>
        <v>1.2684844657278704E-2</v>
      </c>
      <c r="X55" s="106">
        <f>+(V55/Q55)^(1/5)-1</f>
        <v>3.9705568702232075E-2</v>
      </c>
      <c r="AB55" s="15" t="s">
        <v>776</v>
      </c>
      <c r="AC55" s="15" t="s">
        <v>775</v>
      </c>
      <c r="AD55" s="15" t="s">
        <v>777</v>
      </c>
      <c r="AE55" s="15" t="s">
        <v>778</v>
      </c>
    </row>
    <row r="56" spans="1:31">
      <c r="A56" s="57"/>
      <c r="B56" s="57"/>
      <c r="C56" s="61" t="s">
        <v>892</v>
      </c>
      <c r="D56" s="61"/>
      <c r="E56" s="61"/>
      <c r="F56" s="61"/>
      <c r="G56" s="61"/>
      <c r="H56" s="61"/>
      <c r="I56" s="61"/>
      <c r="J56" s="61" t="s">
        <v>58</v>
      </c>
      <c r="K56" s="58"/>
      <c r="L56" s="59"/>
      <c r="M56" s="62">
        <f t="shared" ref="M56:P56" si="81">M55/L55-1</f>
        <v>2.4434581244792142E-5</v>
      </c>
      <c r="N56" s="62">
        <f t="shared" si="81"/>
        <v>9.8194074046165092E-4</v>
      </c>
      <c r="O56" s="62">
        <f t="shared" si="81"/>
        <v>2.7242593848879615E-3</v>
      </c>
      <c r="P56" s="62">
        <f t="shared" si="81"/>
        <v>1.662826617600599E-2</v>
      </c>
      <c r="Q56" s="62">
        <f t="shared" ref="Q56" si="82">Q55/P55-1</f>
        <v>3.0688184380534445E-2</v>
      </c>
      <c r="R56" s="62">
        <f t="shared" ref="R56" si="83">R55/Q55-1</f>
        <v>3.6872006993000195E-2</v>
      </c>
      <c r="S56" s="62">
        <f t="shared" ref="S56" si="84">S55/R55-1</f>
        <v>3.84283597682058E-2</v>
      </c>
      <c r="T56" s="62">
        <f t="shared" ref="T56" si="85">T55/S55-1</f>
        <v>4.0418615920657208E-2</v>
      </c>
      <c r="U56" s="62">
        <f t="shared" ref="U56" si="86">U55/T55-1</f>
        <v>4.1655955131232325E-2</v>
      </c>
      <c r="V56" s="62">
        <f t="shared" si="44"/>
        <v>4.1160647809216133E-2</v>
      </c>
      <c r="W56" s="259"/>
      <c r="X56" s="259"/>
      <c r="AB56" s="15" t="s">
        <v>776</v>
      </c>
      <c r="AC56" s="15" t="s">
        <v>775</v>
      </c>
      <c r="AD56" s="15" t="s">
        <v>777</v>
      </c>
      <c r="AE56" s="15" t="s">
        <v>778</v>
      </c>
    </row>
    <row r="57" spans="1:31" hidden="1" outlineLevel="1">
      <c r="A57" s="67"/>
      <c r="B57" s="67"/>
      <c r="C57" s="67"/>
      <c r="D57" s="67"/>
      <c r="E57" s="67" t="s">
        <v>28</v>
      </c>
      <c r="F57" s="67"/>
      <c r="G57" s="67"/>
      <c r="H57" s="67"/>
      <c r="I57" s="67"/>
      <c r="J57" s="67"/>
      <c r="K57" s="67"/>
      <c r="L57" s="73">
        <f>L43/L$41</f>
        <v>0.1644219833008003</v>
      </c>
      <c r="M57" s="73">
        <f>M43/M$41</f>
        <v>0.16148229705161574</v>
      </c>
      <c r="N57" s="73">
        <f>N43/N$41</f>
        <v>0.15902804256423581</v>
      </c>
      <c r="O57" s="73">
        <f>O43/O$41</f>
        <v>0.15737096467879808</v>
      </c>
      <c r="P57" s="73">
        <f>P43/P$41</f>
        <v>0.15635775765386753</v>
      </c>
      <c r="Q57" s="110" t="e">
        <f>Forecasting!#REF!</f>
        <v>#REF!</v>
      </c>
      <c r="R57" s="110" t="e">
        <f>Forecasting!#REF!</f>
        <v>#REF!</v>
      </c>
      <c r="S57" s="110" t="e">
        <f>Forecasting!#REF!</f>
        <v>#REF!</v>
      </c>
      <c r="T57" s="110" t="e">
        <f>Forecasting!#REF!</f>
        <v>#REF!</v>
      </c>
      <c r="U57" s="110" t="e">
        <f>Forecasting!#REF!</f>
        <v>#REF!</v>
      </c>
      <c r="V57" s="110"/>
      <c r="W57" s="261"/>
      <c r="X57" s="261"/>
      <c r="AC57" s="15"/>
      <c r="AD57" s="15"/>
      <c r="AE57" s="15"/>
    </row>
    <row r="58" spans="1:31" hidden="1" outlineLevel="1">
      <c r="A58" s="67"/>
      <c r="B58" s="67"/>
      <c r="C58" s="67"/>
      <c r="D58" s="67"/>
      <c r="E58" s="67"/>
      <c r="F58" s="67"/>
      <c r="G58" s="67"/>
      <c r="H58" s="67"/>
      <c r="I58" s="67"/>
      <c r="J58" s="67"/>
      <c r="K58" s="67"/>
      <c r="L58" s="67"/>
      <c r="M58" s="67"/>
      <c r="N58" s="67"/>
      <c r="O58" s="67"/>
      <c r="P58" s="67"/>
      <c r="Q58" s="110" t="e">
        <f>Forecasting!#REF!</f>
        <v>#REF!</v>
      </c>
      <c r="R58" s="110" t="e">
        <f>Forecasting!#REF!</f>
        <v>#REF!</v>
      </c>
      <c r="S58" s="110" t="e">
        <f>Forecasting!#REF!</f>
        <v>#REF!</v>
      </c>
      <c r="T58" s="110" t="e">
        <f>Forecasting!#REF!</f>
        <v>#REF!</v>
      </c>
      <c r="U58" s="110" t="e">
        <f>Forecasting!#REF!</f>
        <v>#REF!</v>
      </c>
      <c r="V58" s="110"/>
      <c r="W58" s="261"/>
      <c r="X58" s="261"/>
      <c r="AC58" s="15"/>
      <c r="AD58" s="15"/>
      <c r="AE58" s="15"/>
    </row>
    <row r="59" spans="1:31" hidden="1" outlineLevel="1">
      <c r="A59" s="67"/>
      <c r="B59" s="67"/>
      <c r="C59" s="67"/>
      <c r="D59" s="67"/>
      <c r="E59" s="67" t="s">
        <v>29</v>
      </c>
      <c r="F59" s="67"/>
      <c r="G59" s="67"/>
      <c r="H59" s="67"/>
      <c r="I59" s="67"/>
      <c r="J59" s="67"/>
      <c r="K59" s="67"/>
      <c r="L59" s="73">
        <f>L45/L$41</f>
        <v>0.16090786736881871</v>
      </c>
      <c r="M59" s="73">
        <f>M45/M$41</f>
        <v>0.15562187541317046</v>
      </c>
      <c r="N59" s="73">
        <f>N45/N$41</f>
        <v>0.14996632515180502</v>
      </c>
      <c r="O59" s="73">
        <f>O45/O$41</f>
        <v>0.14409766823833722</v>
      </c>
      <c r="P59" s="73">
        <f>P45/P$41</f>
        <v>0.13848123246912936</v>
      </c>
      <c r="Q59" s="110" t="e">
        <f>Forecasting!#REF!</f>
        <v>#REF!</v>
      </c>
      <c r="R59" s="110" t="e">
        <f>Forecasting!#REF!</f>
        <v>#REF!</v>
      </c>
      <c r="S59" s="110" t="e">
        <f>Forecasting!#REF!</f>
        <v>#REF!</v>
      </c>
      <c r="T59" s="110" t="e">
        <f>Forecasting!#REF!</f>
        <v>#REF!</v>
      </c>
      <c r="U59" s="110" t="e">
        <f>Forecasting!#REF!</f>
        <v>#REF!</v>
      </c>
      <c r="V59" s="110"/>
      <c r="W59" s="261"/>
      <c r="X59" s="261"/>
      <c r="AC59" s="15"/>
      <c r="AD59" s="15"/>
      <c r="AE59" s="15"/>
    </row>
    <row r="60" spans="1:31" hidden="1" outlineLevel="1">
      <c r="A60" s="67"/>
      <c r="B60" s="67"/>
      <c r="C60" s="67"/>
      <c r="D60" s="67"/>
      <c r="E60" s="67"/>
      <c r="F60" s="67"/>
      <c r="G60" s="67"/>
      <c r="H60" s="67"/>
      <c r="I60" s="67"/>
      <c r="J60" s="67"/>
      <c r="K60" s="67"/>
      <c r="L60" s="67"/>
      <c r="M60" s="67"/>
      <c r="N60" s="67"/>
      <c r="O60" s="67"/>
      <c r="P60" s="67"/>
      <c r="Q60" s="110" t="e">
        <f>Forecasting!#REF!</f>
        <v>#REF!</v>
      </c>
      <c r="R60" s="110" t="e">
        <f>Forecasting!#REF!</f>
        <v>#REF!</v>
      </c>
      <c r="S60" s="110" t="e">
        <f>Forecasting!#REF!</f>
        <v>#REF!</v>
      </c>
      <c r="T60" s="110" t="e">
        <f>Forecasting!#REF!</f>
        <v>#REF!</v>
      </c>
      <c r="U60" s="110" t="e">
        <f>Forecasting!#REF!</f>
        <v>#REF!</v>
      </c>
      <c r="V60" s="110"/>
      <c r="W60" s="261"/>
      <c r="X60" s="261"/>
      <c r="AC60" s="15"/>
      <c r="AD60" s="15"/>
      <c r="AE60" s="15"/>
    </row>
    <row r="61" spans="1:31" hidden="1" outlineLevel="1">
      <c r="A61" s="67"/>
      <c r="B61" s="67"/>
      <c r="C61" s="67"/>
      <c r="D61" s="67"/>
      <c r="E61" s="67" t="s">
        <v>30</v>
      </c>
      <c r="F61" s="67"/>
      <c r="G61" s="67"/>
      <c r="H61" s="67"/>
      <c r="I61" s="67"/>
      <c r="J61" s="67"/>
      <c r="K61" s="67"/>
      <c r="L61" s="73">
        <f>L47/L$41</f>
        <v>0.16906639768416001</v>
      </c>
      <c r="M61" s="73">
        <f>M47/M$41</f>
        <v>0.17205249329990618</v>
      </c>
      <c r="N61" s="73">
        <f>N47/N$41</f>
        <v>0.17458235223413862</v>
      </c>
      <c r="O61" s="73">
        <f>O47/O$41</f>
        <v>0.17609284318568133</v>
      </c>
      <c r="P61" s="73">
        <f>P47/P$41</f>
        <v>0.17617929648668848</v>
      </c>
      <c r="Q61" s="110" t="e">
        <f>Forecasting!#REF!</f>
        <v>#REF!</v>
      </c>
      <c r="R61" s="110" t="e">
        <f>Forecasting!#REF!</f>
        <v>#REF!</v>
      </c>
      <c r="S61" s="110" t="e">
        <f>Forecasting!#REF!</f>
        <v>#REF!</v>
      </c>
      <c r="T61" s="110" t="e">
        <f>Forecasting!#REF!</f>
        <v>#REF!</v>
      </c>
      <c r="U61" s="110" t="e">
        <f>Forecasting!#REF!</f>
        <v>#REF!</v>
      </c>
      <c r="V61" s="110"/>
      <c r="W61" s="261"/>
      <c r="X61" s="261"/>
      <c r="AC61" s="15"/>
      <c r="AD61" s="15"/>
      <c r="AE61" s="15"/>
    </row>
    <row r="62" spans="1:31" hidden="1" outlineLevel="1">
      <c r="A62" s="67"/>
      <c r="B62" s="67"/>
      <c r="C62" s="67"/>
      <c r="D62" s="67"/>
      <c r="E62" s="67"/>
      <c r="F62" s="67"/>
      <c r="G62" s="67"/>
      <c r="H62" s="67"/>
      <c r="I62" s="67"/>
      <c r="J62" s="67"/>
      <c r="K62" s="67"/>
      <c r="L62" s="67"/>
      <c r="M62" s="67"/>
      <c r="N62" s="67"/>
      <c r="O62" s="67"/>
      <c r="P62" s="67"/>
      <c r="Q62" s="110" t="e">
        <f>Forecasting!#REF!</f>
        <v>#REF!</v>
      </c>
      <c r="R62" s="110" t="e">
        <f>Forecasting!#REF!</f>
        <v>#REF!</v>
      </c>
      <c r="S62" s="110" t="e">
        <f>Forecasting!#REF!</f>
        <v>#REF!</v>
      </c>
      <c r="T62" s="110" t="e">
        <f>Forecasting!#REF!</f>
        <v>#REF!</v>
      </c>
      <c r="U62" s="110" t="e">
        <f>Forecasting!#REF!</f>
        <v>#REF!</v>
      </c>
      <c r="V62" s="110"/>
      <c r="W62" s="261"/>
      <c r="X62" s="261"/>
      <c r="AC62" s="15"/>
      <c r="AD62" s="15"/>
      <c r="AE62" s="15"/>
    </row>
    <row r="63" spans="1:31" hidden="1" outlineLevel="1">
      <c r="A63" s="67"/>
      <c r="B63" s="67"/>
      <c r="C63" s="67"/>
      <c r="D63" s="67"/>
      <c r="E63" s="67" t="s">
        <v>31</v>
      </c>
      <c r="F63" s="67"/>
      <c r="G63" s="67"/>
      <c r="H63" s="67"/>
      <c r="I63" s="67"/>
      <c r="J63" s="67"/>
      <c r="K63" s="67"/>
      <c r="L63" s="73">
        <f>L49/L$41</f>
        <v>0.13351525281719137</v>
      </c>
      <c r="M63" s="73">
        <f>M49/M$41</f>
        <v>0.13489634824720875</v>
      </c>
      <c r="N63" s="73">
        <f>N49/N$41</f>
        <v>0.13695121220603698</v>
      </c>
      <c r="O63" s="73">
        <f>O49/O$41</f>
        <v>0.13986629974909598</v>
      </c>
      <c r="P63" s="73">
        <f>P49/P$41</f>
        <v>0.14368887045278583</v>
      </c>
      <c r="Q63" s="110" t="e">
        <f>Forecasting!#REF!</f>
        <v>#REF!</v>
      </c>
      <c r="R63" s="110" t="e">
        <f>Forecasting!#REF!</f>
        <v>#REF!</v>
      </c>
      <c r="S63" s="110" t="e">
        <f>Forecasting!#REF!</f>
        <v>#REF!</v>
      </c>
      <c r="T63" s="110" t="e">
        <f>Forecasting!#REF!</f>
        <v>#REF!</v>
      </c>
      <c r="U63" s="110" t="e">
        <f>Forecasting!#REF!</f>
        <v>#REF!</v>
      </c>
      <c r="V63" s="110"/>
      <c r="W63" s="261"/>
      <c r="X63" s="261"/>
      <c r="AC63" s="15"/>
      <c r="AD63" s="15"/>
      <c r="AE63" s="15"/>
    </row>
    <row r="64" spans="1:31" hidden="1" outlineLevel="1">
      <c r="A64" s="67"/>
      <c r="B64" s="67"/>
      <c r="C64" s="67"/>
      <c r="D64" s="67"/>
      <c r="E64" s="67"/>
      <c r="F64" s="67"/>
      <c r="G64" s="67"/>
      <c r="H64" s="67"/>
      <c r="I64" s="67"/>
      <c r="J64" s="67"/>
      <c r="K64" s="67"/>
      <c r="L64" s="67"/>
      <c r="M64" s="67"/>
      <c r="N64" s="67"/>
      <c r="O64" s="67"/>
      <c r="P64" s="67"/>
      <c r="Q64" s="110" t="e">
        <f>Forecasting!#REF!</f>
        <v>#REF!</v>
      </c>
      <c r="R64" s="110" t="e">
        <f>Forecasting!#REF!</f>
        <v>#REF!</v>
      </c>
      <c r="S64" s="110" t="e">
        <f>Forecasting!#REF!</f>
        <v>#REF!</v>
      </c>
      <c r="T64" s="110" t="e">
        <f>Forecasting!#REF!</f>
        <v>#REF!</v>
      </c>
      <c r="U64" s="110" t="e">
        <f>Forecasting!#REF!</f>
        <v>#REF!</v>
      </c>
      <c r="V64" s="110"/>
      <c r="W64" s="261"/>
      <c r="X64" s="261"/>
      <c r="AC64" s="15"/>
      <c r="AD64" s="15"/>
      <c r="AE64" s="15"/>
    </row>
    <row r="65" spans="1:31" hidden="1" outlineLevel="1">
      <c r="A65" s="67"/>
      <c r="B65" s="67"/>
      <c r="C65" s="67"/>
      <c r="D65" s="67"/>
      <c r="E65" s="67" t="s">
        <v>32</v>
      </c>
      <c r="F65" s="67"/>
      <c r="G65" s="67"/>
      <c r="H65" s="67"/>
      <c r="I65" s="67"/>
      <c r="J65" s="67"/>
      <c r="K65" s="67"/>
      <c r="L65" s="73">
        <f>L51/L$41</f>
        <v>0.15679858694218526</v>
      </c>
      <c r="M65" s="73">
        <f>M51/M$41</f>
        <v>0.15378753932337563</v>
      </c>
      <c r="N65" s="73">
        <f>N51/N$41</f>
        <v>0.15046802863196126</v>
      </c>
      <c r="O65" s="73">
        <f>O51/O$41</f>
        <v>0.14648775695493488</v>
      </c>
      <c r="P65" s="73">
        <f>P51/P$41</f>
        <v>0.1420939839749529</v>
      </c>
      <c r="Q65" s="110" t="e">
        <f>Forecasting!#REF!</f>
        <v>#REF!</v>
      </c>
      <c r="R65" s="110" t="e">
        <f>Forecasting!#REF!</f>
        <v>#REF!</v>
      </c>
      <c r="S65" s="110" t="e">
        <f>Forecasting!#REF!</f>
        <v>#REF!</v>
      </c>
      <c r="T65" s="110" t="e">
        <f>Forecasting!#REF!</f>
        <v>#REF!</v>
      </c>
      <c r="U65" s="110" t="e">
        <f>Forecasting!#REF!</f>
        <v>#REF!</v>
      </c>
      <c r="V65" s="110"/>
      <c r="W65" s="261"/>
      <c r="X65" s="261"/>
      <c r="AC65" s="15"/>
      <c r="AD65" s="15"/>
      <c r="AE65" s="15"/>
    </row>
    <row r="66" spans="1:31" hidden="1" outlineLevel="1">
      <c r="A66" s="67"/>
      <c r="B66" s="67"/>
      <c r="C66" s="67"/>
      <c r="D66" s="67"/>
      <c r="E66" s="67"/>
      <c r="F66" s="67"/>
      <c r="G66" s="67"/>
      <c r="H66" s="67"/>
      <c r="I66" s="67"/>
      <c r="J66" s="67"/>
      <c r="K66" s="67"/>
      <c r="L66" s="67"/>
      <c r="M66" s="67"/>
      <c r="N66" s="67"/>
      <c r="O66" s="67"/>
      <c r="P66" s="67"/>
      <c r="Q66" s="110" t="e">
        <f>Forecasting!#REF!</f>
        <v>#REF!</v>
      </c>
      <c r="R66" s="110" t="e">
        <f>Forecasting!#REF!</f>
        <v>#REF!</v>
      </c>
      <c r="S66" s="110" t="e">
        <f>Forecasting!#REF!</f>
        <v>#REF!</v>
      </c>
      <c r="T66" s="110" t="e">
        <f>Forecasting!#REF!</f>
        <v>#REF!</v>
      </c>
      <c r="U66" s="110" t="e">
        <f>Forecasting!#REF!</f>
        <v>#REF!</v>
      </c>
      <c r="V66" s="110"/>
      <c r="W66" s="261"/>
      <c r="X66" s="261"/>
      <c r="AC66" s="15"/>
      <c r="AD66" s="15"/>
      <c r="AE66" s="15"/>
    </row>
    <row r="67" spans="1:31" hidden="1" outlineLevel="1">
      <c r="A67" s="67"/>
      <c r="B67" s="67"/>
      <c r="C67" s="67"/>
      <c r="D67" s="67"/>
      <c r="E67" s="67" t="s">
        <v>33</v>
      </c>
      <c r="F67" s="67"/>
      <c r="G67" s="67"/>
      <c r="H67" s="67"/>
      <c r="I67" s="67"/>
      <c r="J67" s="67"/>
      <c r="K67" s="67"/>
      <c r="L67" s="73">
        <f>L53/L$41</f>
        <v>0.11009300770613249</v>
      </c>
      <c r="M67" s="73">
        <f>M53/M$41</f>
        <v>0.11687674415875136</v>
      </c>
      <c r="N67" s="73">
        <f>N53/N$41</f>
        <v>0.12353549809570975</v>
      </c>
      <c r="O67" s="73">
        <f>O53/O$41</f>
        <v>0.13024319472078433</v>
      </c>
      <c r="P67" s="73">
        <f>P53/P$41</f>
        <v>0.1355039964300675</v>
      </c>
      <c r="Q67" s="110" t="e">
        <f>Forecasting!#REF!</f>
        <v>#REF!</v>
      </c>
      <c r="R67" s="110" t="e">
        <f>Forecasting!#REF!</f>
        <v>#REF!</v>
      </c>
      <c r="S67" s="110" t="e">
        <f>Forecasting!#REF!</f>
        <v>#REF!</v>
      </c>
      <c r="T67" s="110" t="e">
        <f>Forecasting!#REF!</f>
        <v>#REF!</v>
      </c>
      <c r="U67" s="110" t="e">
        <f>Forecasting!#REF!</f>
        <v>#REF!</v>
      </c>
      <c r="V67" s="110"/>
      <c r="W67" s="261"/>
      <c r="X67" s="261"/>
      <c r="AC67" s="15"/>
      <c r="AD67" s="15"/>
      <c r="AE67" s="15"/>
    </row>
    <row r="68" spans="1:31" hidden="1" outlineLevel="1">
      <c r="A68" s="67"/>
      <c r="B68" s="67"/>
      <c r="C68" s="67"/>
      <c r="D68" s="67"/>
      <c r="E68" s="67"/>
      <c r="F68" s="67"/>
      <c r="G68" s="67"/>
      <c r="H68" s="67"/>
      <c r="I68" s="67"/>
      <c r="J68" s="67"/>
      <c r="K68" s="67"/>
      <c r="L68" s="67"/>
      <c r="M68" s="67"/>
      <c r="N68" s="67"/>
      <c r="O68" s="67"/>
      <c r="P68" s="67"/>
      <c r="Q68" s="110" t="e">
        <f>Forecasting!#REF!</f>
        <v>#REF!</v>
      </c>
      <c r="R68" s="110" t="e">
        <f>Forecasting!#REF!</f>
        <v>#REF!</v>
      </c>
      <c r="S68" s="110" t="e">
        <f>Forecasting!#REF!</f>
        <v>#REF!</v>
      </c>
      <c r="T68" s="110" t="e">
        <f>Forecasting!#REF!</f>
        <v>#REF!</v>
      </c>
      <c r="U68" s="110" t="e">
        <f>Forecasting!#REF!</f>
        <v>#REF!</v>
      </c>
      <c r="V68" s="110"/>
      <c r="W68" s="261"/>
      <c r="X68" s="261"/>
      <c r="AC68" s="15"/>
      <c r="AD68" s="15"/>
      <c r="AE68" s="15"/>
    </row>
    <row r="69" spans="1:31" hidden="1" outlineLevel="1">
      <c r="A69" s="67"/>
      <c r="B69" s="67"/>
      <c r="C69" s="67"/>
      <c r="D69" s="67"/>
      <c r="E69" s="67" t="s">
        <v>34</v>
      </c>
      <c r="F69" s="67"/>
      <c r="G69" s="67"/>
      <c r="H69" s="67"/>
      <c r="I69" s="67"/>
      <c r="J69" s="67"/>
      <c r="K69" s="67"/>
      <c r="L69" s="73">
        <f>L55/L$41</f>
        <v>0.10519690418071195</v>
      </c>
      <c r="M69" s="73">
        <f>M55/M$41</f>
        <v>0.10528270250597205</v>
      </c>
      <c r="N69" s="73">
        <f>N55/N$41</f>
        <v>0.10546854111611273</v>
      </c>
      <c r="O69" s="73">
        <f>O55/O$41</f>
        <v>0.10584127247236819</v>
      </c>
      <c r="P69" s="73">
        <f>P55/P$41</f>
        <v>0.10769486253250847</v>
      </c>
      <c r="Q69" s="110" t="e">
        <f>Forecasting!#REF!</f>
        <v>#REF!</v>
      </c>
      <c r="R69" s="110" t="e">
        <f>Forecasting!#REF!</f>
        <v>#REF!</v>
      </c>
      <c r="S69" s="110" t="e">
        <f>Forecasting!#REF!</f>
        <v>#REF!</v>
      </c>
      <c r="T69" s="110" t="e">
        <f>Forecasting!#REF!</f>
        <v>#REF!</v>
      </c>
      <c r="U69" s="110" t="e">
        <f>Forecasting!#REF!</f>
        <v>#REF!</v>
      </c>
      <c r="V69" s="110"/>
      <c r="W69" s="261"/>
      <c r="X69" s="261"/>
      <c r="AC69" s="15"/>
      <c r="AD69" s="15"/>
      <c r="AE69" s="15"/>
    </row>
    <row r="70" spans="1:31" ht="15" customHeight="1" collapsed="1">
      <c r="A70" s="55" t="str">
        <f>Home!$B$1</f>
        <v>Poland</v>
      </c>
      <c r="B70" s="56" t="s">
        <v>13</v>
      </c>
      <c r="C70" s="56" t="s">
        <v>766</v>
      </c>
      <c r="D70" s="55" t="s">
        <v>36</v>
      </c>
      <c r="E70" s="57"/>
      <c r="F70" s="57"/>
      <c r="G70" s="57" t="s">
        <v>15</v>
      </c>
      <c r="H70" s="57" t="s">
        <v>16</v>
      </c>
      <c r="I70" s="57"/>
      <c r="J70" s="55" t="s">
        <v>25</v>
      </c>
      <c r="K70" s="58">
        <f>'[1]Tourism Demand &amp; Flows-vanya'!K35</f>
        <v>692.84047680000003</v>
      </c>
      <c r="L70" s="80">
        <f>L72+L74+L76+L78+L80+L82+L84</f>
        <v>19.844411999999998</v>
      </c>
      <c r="M70" s="80">
        <f>M72+M74+M76+M78+M80+M82+M84</f>
        <v>19.841629000000001</v>
      </c>
      <c r="N70" s="80">
        <f>N72+N74+N76+N78+N80+N82+N84</f>
        <v>19.838439999999999</v>
      </c>
      <c r="O70" s="80">
        <f>O72+O74+O76+O78+O80+O82+O84</f>
        <v>19.834254999999999</v>
      </c>
      <c r="P70" s="80">
        <f>P72+P74+P76+P78+P80+P82+P84</f>
        <v>19.828350999999998</v>
      </c>
      <c r="Q70" s="80">
        <f t="shared" ref="Q70:V70" si="87">Q72+Q74+Q76+Q78+Q80+Q82+Q84</f>
        <v>19.820056000000001</v>
      </c>
      <c r="R70" s="80">
        <f t="shared" si="87"/>
        <v>19.808924999999999</v>
      </c>
      <c r="S70" s="80">
        <f t="shared" si="87"/>
        <v>19.794560000000004</v>
      </c>
      <c r="T70" s="80">
        <f t="shared" si="87"/>
        <v>19.776609000000001</v>
      </c>
      <c r="U70" s="80">
        <f t="shared" si="87"/>
        <v>19.754598999999999</v>
      </c>
      <c r="V70" s="80">
        <f t="shared" si="87"/>
        <v>19.728109</v>
      </c>
      <c r="W70" s="260">
        <f>+(Q70/M70)^(1/4)-1</f>
        <v>-2.7192577505064097E-4</v>
      </c>
      <c r="X70" s="260">
        <f>+(V70/Q70)^(1/5)-1</f>
        <v>-9.2954426143221358E-4</v>
      </c>
      <c r="AB70" s="15" t="s">
        <v>776</v>
      </c>
      <c r="AC70" s="15" t="s">
        <v>775</v>
      </c>
      <c r="AD70" s="15" t="s">
        <v>777</v>
      </c>
      <c r="AE70" s="15" t="s">
        <v>778</v>
      </c>
    </row>
    <row r="71" spans="1:31">
      <c r="A71" s="57"/>
      <c r="B71" s="57"/>
      <c r="C71" s="61" t="s">
        <v>892</v>
      </c>
      <c r="D71" s="61"/>
      <c r="E71" s="61"/>
      <c r="F71" s="61"/>
      <c r="G71" s="61"/>
      <c r="H71" s="61"/>
      <c r="I71" s="61"/>
      <c r="J71" s="61" t="s">
        <v>58</v>
      </c>
      <c r="K71" s="58"/>
      <c r="L71" s="59"/>
      <c r="M71" s="62">
        <f t="shared" ref="M71:P71" si="88">M70/L70-1</f>
        <v>-1.4024099076337393E-4</v>
      </c>
      <c r="N71" s="62">
        <f t="shared" si="88"/>
        <v>-1.6072269066225164E-4</v>
      </c>
      <c r="O71" s="62">
        <f t="shared" si="88"/>
        <v>-2.1095408711568897E-4</v>
      </c>
      <c r="P71" s="62">
        <f t="shared" si="88"/>
        <v>-2.9766683951581996E-4</v>
      </c>
      <c r="Q71" s="62">
        <f t="shared" ref="Q71" si="89">Q70/P70-1</f>
        <v>-4.1834038544086294E-4</v>
      </c>
      <c r="R71" s="62">
        <f t="shared" ref="R71" si="90">R70/Q70-1</f>
        <v>-5.6160285319084569E-4</v>
      </c>
      <c r="S71" s="62">
        <f t="shared" ref="S71" si="91">S70/R70-1</f>
        <v>-7.2517817095041348E-4</v>
      </c>
      <c r="T71" s="62">
        <f t="shared" ref="T71" si="92">T70/S70-1</f>
        <v>-9.0686532057315805E-4</v>
      </c>
      <c r="U71" s="62">
        <f t="shared" ref="U71:V71" si="93">U70/T70-1</f>
        <v>-1.1129309377558849E-3</v>
      </c>
      <c r="V71" s="62">
        <f t="shared" si="93"/>
        <v>-1.3409535673186701E-3</v>
      </c>
      <c r="W71" s="259"/>
      <c r="X71" s="259"/>
    </row>
    <row r="72" spans="1:31">
      <c r="A72" s="55" t="str">
        <f>Home!$B$1</f>
        <v>Poland</v>
      </c>
      <c r="B72" s="56" t="s">
        <v>13</v>
      </c>
      <c r="C72" s="56" t="s">
        <v>766</v>
      </c>
      <c r="D72" s="56" t="s">
        <v>36</v>
      </c>
      <c r="E72" s="55" t="s">
        <v>28</v>
      </c>
      <c r="F72" s="57"/>
      <c r="G72" s="57" t="s">
        <v>15</v>
      </c>
      <c r="H72" s="57" t="s">
        <v>16</v>
      </c>
      <c r="I72" s="57"/>
      <c r="J72" s="57" t="s">
        <v>25</v>
      </c>
      <c r="K72" s="58"/>
      <c r="L72" s="59">
        <v>2.9061210000000002</v>
      </c>
      <c r="M72" s="59">
        <v>2.849977</v>
      </c>
      <c r="N72" s="59">
        <v>2.8022779999999998</v>
      </c>
      <c r="O72" s="59">
        <v>2.769021</v>
      </c>
      <c r="P72" s="59">
        <v>2.7485460000000002</v>
      </c>
      <c r="Q72" s="59">
        <v>2.7319490000000002</v>
      </c>
      <c r="R72" s="59">
        <v>2.7216140000000002</v>
      </c>
      <c r="S72" s="59">
        <v>2.7165689999999998</v>
      </c>
      <c r="T72" s="59">
        <v>2.7131419999999999</v>
      </c>
      <c r="U72" s="59">
        <v>2.7103250000000001</v>
      </c>
      <c r="V72" s="59">
        <v>2.7102940000000002</v>
      </c>
      <c r="W72" s="106">
        <f>+(Q72/M72)^(1/4)-1</f>
        <v>-1.0518205252899038E-2</v>
      </c>
      <c r="X72" s="106">
        <f>+(V72/Q72)^(1/5)-1</f>
        <v>-1.590365586105702E-3</v>
      </c>
    </row>
    <row r="73" spans="1:31">
      <c r="A73" s="57"/>
      <c r="B73" s="57"/>
      <c r="C73" s="61" t="s">
        <v>892</v>
      </c>
      <c r="D73" s="61"/>
      <c r="E73" s="61"/>
      <c r="F73" s="61"/>
      <c r="G73" s="61"/>
      <c r="H73" s="61"/>
      <c r="I73" s="61"/>
      <c r="J73" s="61" t="s">
        <v>58</v>
      </c>
      <c r="K73" s="58"/>
      <c r="L73" s="59"/>
      <c r="M73" s="62">
        <f t="shared" ref="M73:P73" si="94">M72/L72-1</f>
        <v>-1.9319223115623951E-2</v>
      </c>
      <c r="N73" s="62">
        <f t="shared" si="94"/>
        <v>-1.6736626295580703E-2</v>
      </c>
      <c r="O73" s="62">
        <f t="shared" si="94"/>
        <v>-1.1867844660665261E-2</v>
      </c>
      <c r="P73" s="62">
        <f t="shared" si="94"/>
        <v>-7.3943101189913873E-3</v>
      </c>
      <c r="Q73" s="62">
        <f t="shared" ref="Q73" si="95">Q72/P72-1</f>
        <v>-6.0384654286302908E-3</v>
      </c>
      <c r="R73" s="62">
        <f t="shared" ref="R73" si="96">R72/Q72-1</f>
        <v>-3.7830135189199643E-3</v>
      </c>
      <c r="S73" s="62">
        <f t="shared" ref="S73" si="97">S72/R72-1</f>
        <v>-1.8536794710787285E-3</v>
      </c>
      <c r="T73" s="62">
        <f t="shared" ref="T73" si="98">T72/S72-1</f>
        <v>-1.2615177453618731E-3</v>
      </c>
      <c r="U73" s="62">
        <f t="shared" ref="U73" si="99">U72/T72-1</f>
        <v>-1.0382796035002251E-3</v>
      </c>
      <c r="V73" s="62">
        <f t="shared" ref="U73:V85" si="100">V72/U72-1</f>
        <v>-1.1437742706066345E-5</v>
      </c>
      <c r="W73" s="259"/>
      <c r="X73" s="259"/>
    </row>
    <row r="74" spans="1:31">
      <c r="A74" s="55" t="str">
        <f>Home!$B$1</f>
        <v>Poland</v>
      </c>
      <c r="B74" s="56" t="s">
        <v>13</v>
      </c>
      <c r="C74" s="56" t="s">
        <v>766</v>
      </c>
      <c r="D74" s="56" t="s">
        <v>36</v>
      </c>
      <c r="E74" s="55" t="s">
        <v>29</v>
      </c>
      <c r="F74" s="57"/>
      <c r="G74" s="57" t="s">
        <v>15</v>
      </c>
      <c r="H74" s="57" t="s">
        <v>16</v>
      </c>
      <c r="I74" s="57"/>
      <c r="J74" s="57" t="s">
        <v>25</v>
      </c>
      <c r="K74" s="58"/>
      <c r="L74" s="59">
        <v>2.8969870000000002</v>
      </c>
      <c r="M74" s="59">
        <v>2.7983159999999998</v>
      </c>
      <c r="N74" s="59">
        <v>2.6937880000000001</v>
      </c>
      <c r="O74" s="59">
        <v>2.5849190000000002</v>
      </c>
      <c r="P74" s="59">
        <v>2.4787110000000001</v>
      </c>
      <c r="Q74" s="59">
        <v>2.3883179999999999</v>
      </c>
      <c r="R74" s="59">
        <v>2.3132220000000001</v>
      </c>
      <c r="S74" s="59">
        <v>2.2352280000000002</v>
      </c>
      <c r="T74" s="59">
        <v>2.1539929999999998</v>
      </c>
      <c r="U74" s="59">
        <v>2.0728430000000002</v>
      </c>
      <c r="V74" s="59">
        <v>1.9929779999999999</v>
      </c>
      <c r="W74" s="106">
        <f>+(Q74/M74)^(1/4)-1</f>
        <v>-3.883300576916271E-2</v>
      </c>
      <c r="X74" s="106">
        <f>+(V74/Q74)^(1/5)-1</f>
        <v>-3.5544774287074699E-2</v>
      </c>
    </row>
    <row r="75" spans="1:31">
      <c r="A75" s="57"/>
      <c r="B75" s="57"/>
      <c r="C75" s="61" t="s">
        <v>892</v>
      </c>
      <c r="D75" s="61"/>
      <c r="E75" s="61"/>
      <c r="F75" s="61"/>
      <c r="G75" s="61"/>
      <c r="H75" s="61"/>
      <c r="I75" s="61"/>
      <c r="J75" s="61" t="s">
        <v>58</v>
      </c>
      <c r="K75" s="58"/>
      <c r="L75" s="59"/>
      <c r="M75" s="62">
        <f t="shared" ref="M75:P75" si="101">M74/L74-1</f>
        <v>-3.4059869788853225E-2</v>
      </c>
      <c r="N75" s="62">
        <f t="shared" si="101"/>
        <v>-3.7353894270697019E-2</v>
      </c>
      <c r="O75" s="62">
        <f t="shared" si="101"/>
        <v>-4.0414835911363411E-2</v>
      </c>
      <c r="P75" s="62">
        <f t="shared" si="101"/>
        <v>-4.1087554387584269E-2</v>
      </c>
      <c r="Q75" s="62">
        <f t="shared" ref="Q75" si="102">Q74/P74-1</f>
        <v>-3.646774472699732E-2</v>
      </c>
      <c r="R75" s="62">
        <f t="shared" ref="R75" si="103">R74/Q74-1</f>
        <v>-3.1443049041207982E-2</v>
      </c>
      <c r="S75" s="62">
        <f t="shared" ref="S75" si="104">S74/R74-1</f>
        <v>-3.3716608263279491E-2</v>
      </c>
      <c r="T75" s="62">
        <f t="shared" ref="T75" si="105">T74/S74-1</f>
        <v>-3.6343048673334599E-2</v>
      </c>
      <c r="U75" s="62">
        <f t="shared" ref="U75" si="106">U74/T74-1</f>
        <v>-3.7674217139981203E-2</v>
      </c>
      <c r="V75" s="62">
        <f t="shared" si="100"/>
        <v>-3.8529208434985307E-2</v>
      </c>
      <c r="W75" s="259"/>
      <c r="X75" s="259"/>
    </row>
    <row r="76" spans="1:31">
      <c r="A76" s="55" t="str">
        <f>Home!$B$1</f>
        <v>Poland</v>
      </c>
      <c r="B76" s="56" t="s">
        <v>13</v>
      </c>
      <c r="C76" s="56" t="s">
        <v>766</v>
      </c>
      <c r="D76" s="56" t="s">
        <v>36</v>
      </c>
      <c r="E76" s="55" t="s">
        <v>30</v>
      </c>
      <c r="F76" s="57"/>
      <c r="G76" s="57" t="s">
        <v>15</v>
      </c>
      <c r="H76" s="57" t="s">
        <v>16</v>
      </c>
      <c r="I76" s="57"/>
      <c r="J76" s="57" t="s">
        <v>25</v>
      </c>
      <c r="K76" s="58"/>
      <c r="L76" s="59">
        <v>3.0651440000000001</v>
      </c>
      <c r="M76" s="59">
        <v>3.1189629999999999</v>
      </c>
      <c r="N76" s="59">
        <v>3.1641789999999999</v>
      </c>
      <c r="O76" s="59">
        <v>3.1908409999999998</v>
      </c>
      <c r="P76" s="59">
        <v>3.1912660000000002</v>
      </c>
      <c r="Q76" s="59">
        <v>3.1702430000000001</v>
      </c>
      <c r="R76" s="59">
        <v>3.1247210000000001</v>
      </c>
      <c r="S76" s="59">
        <v>3.0693450000000002</v>
      </c>
      <c r="T76" s="59">
        <v>3.0079030000000002</v>
      </c>
      <c r="U76" s="59">
        <v>2.945214</v>
      </c>
      <c r="V76" s="59">
        <v>2.8707829999999999</v>
      </c>
      <c r="W76" s="106">
        <f>+(Q76/M76)^(1/4)-1</f>
        <v>4.0852385108081091E-3</v>
      </c>
      <c r="X76" s="106">
        <f>+(V76/Q76)^(1/5)-1</f>
        <v>-1.964907555641493E-2</v>
      </c>
    </row>
    <row r="77" spans="1:31">
      <c r="A77" s="57"/>
      <c r="B77" s="57"/>
      <c r="C77" s="61" t="s">
        <v>892</v>
      </c>
      <c r="D77" s="61"/>
      <c r="E77" s="61"/>
      <c r="F77" s="61"/>
      <c r="G77" s="61"/>
      <c r="H77" s="61"/>
      <c r="I77" s="61"/>
      <c r="J77" s="61" t="s">
        <v>58</v>
      </c>
      <c r="K77" s="58"/>
      <c r="L77" s="59"/>
      <c r="M77" s="62">
        <f t="shared" ref="M77:P77" si="107">M76/L76-1</f>
        <v>1.7558392036393755E-2</v>
      </c>
      <c r="N77" s="62">
        <f t="shared" si="107"/>
        <v>1.449712612813947E-2</v>
      </c>
      <c r="O77" s="62">
        <f t="shared" si="107"/>
        <v>8.4261983914311056E-3</v>
      </c>
      <c r="P77" s="62">
        <f t="shared" si="107"/>
        <v>1.3319372541609198E-4</v>
      </c>
      <c r="Q77" s="62">
        <f t="shared" ref="Q77" si="108">Q76/P76-1</f>
        <v>-6.5876677155711771E-3</v>
      </c>
      <c r="R77" s="62">
        <f t="shared" ref="R77" si="109">R76/Q76-1</f>
        <v>-1.4359151648627555E-2</v>
      </c>
      <c r="S77" s="62">
        <f t="shared" ref="S77" si="110">S76/R76-1</f>
        <v>-1.7721902211429441E-2</v>
      </c>
      <c r="T77" s="62">
        <f t="shared" ref="T77" si="111">T76/S76-1</f>
        <v>-2.0017951712824722E-2</v>
      </c>
      <c r="U77" s="62">
        <f t="shared" ref="U77" si="112">U76/T76-1</f>
        <v>-2.0841430059413524E-2</v>
      </c>
      <c r="V77" s="62">
        <f t="shared" si="100"/>
        <v>-2.5271847818189141E-2</v>
      </c>
      <c r="W77" s="259"/>
      <c r="X77" s="259"/>
    </row>
    <row r="78" spans="1:31">
      <c r="A78" s="55" t="str">
        <f>Home!$B$1</f>
        <v>Poland</v>
      </c>
      <c r="B78" s="56" t="s">
        <v>13</v>
      </c>
      <c r="C78" s="56" t="s">
        <v>766</v>
      </c>
      <c r="D78" s="56" t="s">
        <v>36</v>
      </c>
      <c r="E78" s="55" t="s">
        <v>31</v>
      </c>
      <c r="F78" s="57"/>
      <c r="G78" s="57" t="s">
        <v>15</v>
      </c>
      <c r="H78" s="57" t="s">
        <v>16</v>
      </c>
      <c r="I78" s="57"/>
      <c r="J78" s="57" t="s">
        <v>25</v>
      </c>
      <c r="K78" s="58"/>
      <c r="L78" s="59">
        <v>2.4361169999999999</v>
      </c>
      <c r="M78" s="59">
        <v>2.4570850000000002</v>
      </c>
      <c r="N78" s="59">
        <v>2.490799</v>
      </c>
      <c r="O78" s="59">
        <v>2.540781</v>
      </c>
      <c r="P78" s="59">
        <v>2.6083509999999999</v>
      </c>
      <c r="Q78" s="59">
        <v>2.6820460000000002</v>
      </c>
      <c r="R78" s="59">
        <v>2.7570999999999999</v>
      </c>
      <c r="S78" s="59">
        <v>2.8364889999999998</v>
      </c>
      <c r="T78" s="59">
        <v>2.9119299999999999</v>
      </c>
      <c r="U78" s="59">
        <v>2.9730150000000002</v>
      </c>
      <c r="V78" s="59">
        <v>3.027447</v>
      </c>
      <c r="W78" s="106">
        <f>+(Q78/M78)^(1/4)-1</f>
        <v>2.2142650747786652E-2</v>
      </c>
      <c r="X78" s="106">
        <f>+(V78/Q78)^(1/5)-1</f>
        <v>2.4523832303271931E-2</v>
      </c>
    </row>
    <row r="79" spans="1:31">
      <c r="A79" s="57"/>
      <c r="B79" s="57"/>
      <c r="C79" s="61" t="s">
        <v>892</v>
      </c>
      <c r="D79" s="61"/>
      <c r="E79" s="61"/>
      <c r="F79" s="61"/>
      <c r="G79" s="61"/>
      <c r="H79" s="61"/>
      <c r="I79" s="61"/>
      <c r="J79" s="61" t="s">
        <v>58</v>
      </c>
      <c r="K79" s="58"/>
      <c r="L79" s="59"/>
      <c r="M79" s="62">
        <f t="shared" ref="M79:P79" si="113">M78/L78-1</f>
        <v>8.6071399690574868E-3</v>
      </c>
      <c r="N79" s="62">
        <f t="shared" si="113"/>
        <v>1.3721137038401165E-2</v>
      </c>
      <c r="O79" s="62">
        <f t="shared" si="113"/>
        <v>2.0066653310845117E-2</v>
      </c>
      <c r="P79" s="62">
        <f t="shared" si="113"/>
        <v>2.6594185016339367E-2</v>
      </c>
      <c r="Q79" s="62">
        <f t="shared" ref="Q79" si="114">Q78/P78-1</f>
        <v>2.825348275596351E-2</v>
      </c>
      <c r="R79" s="62">
        <f t="shared" ref="R79" si="115">R78/Q78-1</f>
        <v>2.7983860082936518E-2</v>
      </c>
      <c r="S79" s="62">
        <f t="shared" ref="S79" si="116">S78/R78-1</f>
        <v>2.8794385404954381E-2</v>
      </c>
      <c r="T79" s="62">
        <f t="shared" ref="T79" si="117">T78/S78-1</f>
        <v>2.6596612925345431E-2</v>
      </c>
      <c r="U79" s="62">
        <f t="shared" ref="U79" si="118">U78/T78-1</f>
        <v>2.0977496024973119E-2</v>
      </c>
      <c r="V79" s="62">
        <f t="shared" si="100"/>
        <v>1.830868663629337E-2</v>
      </c>
      <c r="W79" s="259"/>
      <c r="X79" s="259"/>
    </row>
    <row r="80" spans="1:31">
      <c r="A80" s="55" t="str">
        <f>Home!$B$1</f>
        <v>Poland</v>
      </c>
      <c r="B80" s="56" t="s">
        <v>13</v>
      </c>
      <c r="C80" s="56" t="s">
        <v>766</v>
      </c>
      <c r="D80" s="56" t="s">
        <v>36</v>
      </c>
      <c r="E80" s="55" t="s">
        <v>32</v>
      </c>
      <c r="F80" s="57"/>
      <c r="G80" s="57" t="s">
        <v>15</v>
      </c>
      <c r="H80" s="57" t="s">
        <v>16</v>
      </c>
      <c r="I80" s="57"/>
      <c r="J80" s="57" t="s">
        <v>25</v>
      </c>
      <c r="K80" s="58"/>
      <c r="L80" s="59">
        <v>3.0260050000000001</v>
      </c>
      <c r="M80" s="59">
        <v>2.9607939999999999</v>
      </c>
      <c r="N80" s="59">
        <v>2.8892470000000001</v>
      </c>
      <c r="O80" s="59">
        <v>2.8057080000000001</v>
      </c>
      <c r="P80" s="59">
        <v>2.7135669999999998</v>
      </c>
      <c r="Q80" s="59">
        <v>2.6184560000000001</v>
      </c>
      <c r="R80" s="59">
        <v>2.5270510000000002</v>
      </c>
      <c r="S80" s="59">
        <v>2.4496570000000002</v>
      </c>
      <c r="T80" s="59">
        <v>2.3966820000000002</v>
      </c>
      <c r="U80" s="59">
        <v>2.374511</v>
      </c>
      <c r="V80" s="59">
        <v>2.3783629999999998</v>
      </c>
      <c r="W80" s="106">
        <f>+(Q80/M80)^(1/4)-1</f>
        <v>-3.0251152517472346E-2</v>
      </c>
      <c r="X80" s="106">
        <f>+(V80/Q80)^(1/5)-1</f>
        <v>-1.9050676777237818E-2</v>
      </c>
    </row>
    <row r="81" spans="1:25">
      <c r="A81" s="57"/>
      <c r="B81" s="57"/>
      <c r="C81" s="61" t="s">
        <v>892</v>
      </c>
      <c r="D81" s="61"/>
      <c r="E81" s="61"/>
      <c r="F81" s="61"/>
      <c r="G81" s="61"/>
      <c r="H81" s="61"/>
      <c r="I81" s="61"/>
      <c r="J81" s="61" t="s">
        <v>58</v>
      </c>
      <c r="K81" s="58"/>
      <c r="L81" s="59"/>
      <c r="M81" s="62">
        <f t="shared" ref="M81:P81" si="119">M80/L80-1</f>
        <v>-2.1550195720099641E-2</v>
      </c>
      <c r="N81" s="62">
        <f t="shared" si="119"/>
        <v>-2.4164801738992936E-2</v>
      </c>
      <c r="O81" s="62">
        <f t="shared" si="119"/>
        <v>-2.8913761959430961E-2</v>
      </c>
      <c r="P81" s="62">
        <f t="shared" si="119"/>
        <v>-3.2840552188609928E-2</v>
      </c>
      <c r="Q81" s="62">
        <f t="shared" ref="Q81" si="120">Q80/P80-1</f>
        <v>-3.5050175654406046E-2</v>
      </c>
      <c r="R81" s="62">
        <f t="shared" ref="R81" si="121">R80/Q80-1</f>
        <v>-3.4907976303592658E-2</v>
      </c>
      <c r="S81" s="62">
        <f t="shared" ref="S81" si="122">S80/R80-1</f>
        <v>-3.0626212134222786E-2</v>
      </c>
      <c r="T81" s="62">
        <f t="shared" ref="T81" si="123">T80/S80-1</f>
        <v>-2.1625476546308309E-2</v>
      </c>
      <c r="U81" s="62">
        <f t="shared" ref="U81" si="124">U80/T80-1</f>
        <v>-9.2507057673901771E-3</v>
      </c>
      <c r="V81" s="62">
        <f t="shared" si="100"/>
        <v>1.6222287452025697E-3</v>
      </c>
      <c r="W81" s="259"/>
      <c r="X81" s="259"/>
    </row>
    <row r="82" spans="1:25">
      <c r="A82" s="55" t="str">
        <f>Home!$B$1</f>
        <v>Poland</v>
      </c>
      <c r="B82" s="56" t="s">
        <v>13</v>
      </c>
      <c r="C82" s="56" t="s">
        <v>766</v>
      </c>
      <c r="D82" s="56" t="s">
        <v>36</v>
      </c>
      <c r="E82" s="55" t="s">
        <v>33</v>
      </c>
      <c r="F82" s="57"/>
      <c r="G82" s="57" t="s">
        <v>15</v>
      </c>
      <c r="H82" s="57" t="s">
        <v>16</v>
      </c>
      <c r="I82" s="57"/>
      <c r="J82" s="57" t="s">
        <v>25</v>
      </c>
      <c r="K82" s="58"/>
      <c r="L82" s="59">
        <v>2.3369010000000001</v>
      </c>
      <c r="M82" s="59">
        <v>2.4732539999999998</v>
      </c>
      <c r="N82" s="59">
        <v>2.6072380000000002</v>
      </c>
      <c r="O82" s="59">
        <v>2.7408540000000001</v>
      </c>
      <c r="P82" s="59">
        <v>2.8428840000000002</v>
      </c>
      <c r="Q82" s="59">
        <v>2.9082840000000001</v>
      </c>
      <c r="R82" s="59">
        <v>2.9520629999999999</v>
      </c>
      <c r="S82" s="59">
        <v>2.9739330000000002</v>
      </c>
      <c r="T82" s="59">
        <v>2.9708709999999998</v>
      </c>
      <c r="U82" s="59">
        <v>2.9389910000000001</v>
      </c>
      <c r="V82" s="59">
        <v>2.8870239999999998</v>
      </c>
      <c r="W82" s="106">
        <f>+(Q82/M82)^(1/4)-1</f>
        <v>4.1338735462757015E-2</v>
      </c>
      <c r="X82" s="106">
        <f>+(V82/Q82)^(1/5)-1</f>
        <v>-1.466324444583611E-3</v>
      </c>
    </row>
    <row r="83" spans="1:25">
      <c r="A83" s="57"/>
      <c r="B83" s="57"/>
      <c r="C83" s="61" t="s">
        <v>892</v>
      </c>
      <c r="D83" s="61"/>
      <c r="E83" s="61"/>
      <c r="F83" s="61"/>
      <c r="G83" s="61"/>
      <c r="H83" s="61"/>
      <c r="I83" s="61"/>
      <c r="J83" s="61" t="s">
        <v>58</v>
      </c>
      <c r="K83" s="58"/>
      <c r="L83" s="59"/>
      <c r="M83" s="62">
        <f t="shared" ref="M83:P83" si="125">M82/L82-1</f>
        <v>5.834778623484671E-2</v>
      </c>
      <c r="N83" s="62">
        <f t="shared" si="125"/>
        <v>5.4173166201288092E-2</v>
      </c>
      <c r="O83" s="62">
        <f t="shared" si="125"/>
        <v>5.1248102398016471E-2</v>
      </c>
      <c r="P83" s="62">
        <f t="shared" si="125"/>
        <v>3.7225623838409438E-2</v>
      </c>
      <c r="Q83" s="62">
        <f t="shared" ref="Q83" si="126">Q82/P82-1</f>
        <v>2.3004807793775672E-2</v>
      </c>
      <c r="R83" s="62">
        <f t="shared" ref="R83" si="127">R82/Q82-1</f>
        <v>1.5053206633189875E-2</v>
      </c>
      <c r="S83" s="62">
        <f t="shared" ref="S83" si="128">S82/R82-1</f>
        <v>7.4083784797276397E-3</v>
      </c>
      <c r="T83" s="62">
        <f t="shared" ref="T83" si="129">T82/S82-1</f>
        <v>-1.0296129737961124E-3</v>
      </c>
      <c r="U83" s="62">
        <f t="shared" ref="U83" si="130">U82/T82-1</f>
        <v>-1.0730859737766996E-2</v>
      </c>
      <c r="V83" s="62">
        <f t="shared" si="100"/>
        <v>-1.7681918726529022E-2</v>
      </c>
      <c r="W83" s="259"/>
      <c r="X83" s="259"/>
    </row>
    <row r="84" spans="1:25">
      <c r="A84" s="55" t="str">
        <f>Home!$B$1</f>
        <v>Poland</v>
      </c>
      <c r="B84" s="56" t="s">
        <v>13</v>
      </c>
      <c r="C84" s="56" t="s">
        <v>766</v>
      </c>
      <c r="D84" s="56" t="s">
        <v>36</v>
      </c>
      <c r="E84" s="55" t="s">
        <v>34</v>
      </c>
      <c r="F84" s="57"/>
      <c r="G84" s="57" t="s">
        <v>15</v>
      </c>
      <c r="H84" s="57" t="s">
        <v>16</v>
      </c>
      <c r="I84" s="57"/>
      <c r="J84" s="57" t="s">
        <v>25</v>
      </c>
      <c r="K84" s="58"/>
      <c r="L84" s="59">
        <v>3.1771370000000001</v>
      </c>
      <c r="M84" s="59">
        <v>3.1832400000000001</v>
      </c>
      <c r="N84" s="59">
        <v>3.1909109999999998</v>
      </c>
      <c r="O84" s="59">
        <v>3.2021310000000001</v>
      </c>
      <c r="P84" s="59">
        <v>3.2450260000000002</v>
      </c>
      <c r="Q84" s="59">
        <v>3.3207599999999999</v>
      </c>
      <c r="R84" s="59">
        <v>3.413154</v>
      </c>
      <c r="S84" s="59">
        <v>3.5133390000000002</v>
      </c>
      <c r="T84" s="59">
        <v>3.6220880000000002</v>
      </c>
      <c r="U84" s="59">
        <v>3.7397</v>
      </c>
      <c r="V84" s="59">
        <v>3.8612199999999999</v>
      </c>
      <c r="W84" s="106">
        <f>+(Q84/M84)^(1/4)-1</f>
        <v>1.0629628919172296E-2</v>
      </c>
      <c r="X84" s="106">
        <f>+(V84/Q84)^(1/5)-1</f>
        <v>3.061726037815693E-2</v>
      </c>
    </row>
    <row r="85" spans="1:25">
      <c r="A85" s="57"/>
      <c r="B85" s="57"/>
      <c r="C85" s="61" t="s">
        <v>892</v>
      </c>
      <c r="D85" s="61"/>
      <c r="E85" s="61"/>
      <c r="F85" s="61"/>
      <c r="G85" s="61"/>
      <c r="H85" s="61"/>
      <c r="I85" s="61"/>
      <c r="J85" s="61" t="s">
        <v>58</v>
      </c>
      <c r="K85" s="58"/>
      <c r="L85" s="59"/>
      <c r="M85" s="62">
        <f t="shared" ref="M85:P85" si="131">M84/L84-1</f>
        <v>1.9209118146306103E-3</v>
      </c>
      <c r="N85" s="62">
        <f t="shared" si="131"/>
        <v>2.4098088739774592E-3</v>
      </c>
      <c r="O85" s="62">
        <f t="shared" si="131"/>
        <v>3.5162372125077113E-3</v>
      </c>
      <c r="P85" s="62">
        <f t="shared" si="131"/>
        <v>1.3395766756575611E-2</v>
      </c>
      <c r="Q85" s="62">
        <f t="shared" ref="Q85" si="132">Q84/P84-1</f>
        <v>2.3338487888848958E-2</v>
      </c>
      <c r="R85" s="62">
        <f t="shared" ref="R85" si="133">R84/Q84-1</f>
        <v>2.7823148917717644E-2</v>
      </c>
      <c r="S85" s="62">
        <f t="shared" ref="S85" si="134">S84/R84-1</f>
        <v>2.9352616377696483E-2</v>
      </c>
      <c r="T85" s="62">
        <f t="shared" ref="T85" si="135">T84/S84-1</f>
        <v>3.0953175881974326E-2</v>
      </c>
      <c r="U85" s="62">
        <f t="shared" si="100"/>
        <v>3.2470773763641159E-2</v>
      </c>
      <c r="V85" s="62">
        <f t="shared" si="100"/>
        <v>3.24945851271492E-2</v>
      </c>
      <c r="W85" s="259"/>
      <c r="X85" s="259"/>
    </row>
    <row r="86" spans="1:25">
      <c r="A86" s="46" t="str">
        <f>Home!$B$1</f>
        <v>Poland</v>
      </c>
      <c r="B86" s="47" t="s">
        <v>13</v>
      </c>
      <c r="C86" s="46" t="s">
        <v>771</v>
      </c>
      <c r="D86" s="48"/>
      <c r="E86" s="48"/>
      <c r="F86" s="48"/>
      <c r="G86" s="48" t="s">
        <v>15</v>
      </c>
      <c r="H86" s="48" t="s">
        <v>16</v>
      </c>
      <c r="I86" s="48"/>
      <c r="J86" s="46" t="s">
        <v>773</v>
      </c>
      <c r="K86" s="49"/>
      <c r="L86" s="77">
        <v>13630897.3462082</v>
      </c>
      <c r="M86" s="77">
        <v>13715666.933109658</v>
      </c>
      <c r="N86" s="77">
        <v>13800963.696078908</v>
      </c>
      <c r="O86" s="77">
        <v>13886790.913586644</v>
      </c>
      <c r="P86" s="77">
        <v>13973151.884492138</v>
      </c>
      <c r="Q86" s="77">
        <v>14060049.928170038</v>
      </c>
      <c r="R86" s="77">
        <v>14147488.384637941</v>
      </c>
      <c r="S86" s="77">
        <v>14235470.614684779</v>
      </c>
      <c r="T86" s="77">
        <v>14323999.999999998</v>
      </c>
      <c r="U86" s="77">
        <f>T86*(1+(T86/O86)^(1/5)-1)</f>
        <v>14413079.943303531</v>
      </c>
      <c r="V86" s="77">
        <f>U86*(1+(U86/P86)^(1/5)-1)</f>
        <v>14502713.868476581</v>
      </c>
      <c r="W86" s="262">
        <f>+(Q86/M86)^(1/4)-1</f>
        <v>6.2189293007213209E-3</v>
      </c>
      <c r="X86" s="262">
        <f>+(V86/Q86)^(1/5)-1</f>
        <v>6.2189293007213209E-3</v>
      </c>
    </row>
    <row r="87" spans="1:25">
      <c r="A87" s="48"/>
      <c r="B87" s="48"/>
      <c r="C87" s="52" t="s">
        <v>892</v>
      </c>
      <c r="D87" s="52"/>
      <c r="E87" s="52"/>
      <c r="F87" s="52"/>
      <c r="G87" s="52"/>
      <c r="H87" s="52"/>
      <c r="I87" s="52"/>
      <c r="J87" s="52" t="s">
        <v>58</v>
      </c>
      <c r="K87" s="49"/>
      <c r="L87" s="53"/>
      <c r="M87" s="54">
        <f t="shared" ref="M87:V87" si="136">M86/L86-1</f>
        <v>6.2189293007213209E-3</v>
      </c>
      <c r="N87" s="54">
        <f t="shared" si="136"/>
        <v>6.2189293007213209E-3</v>
      </c>
      <c r="O87" s="54">
        <f t="shared" si="136"/>
        <v>6.2189293007213209E-3</v>
      </c>
      <c r="P87" s="54">
        <f t="shared" si="136"/>
        <v>6.2189293007213209E-3</v>
      </c>
      <c r="Q87" s="54">
        <f t="shared" si="136"/>
        <v>6.2189293007215429E-3</v>
      </c>
      <c r="R87" s="54">
        <f t="shared" si="136"/>
        <v>6.2189293007213209E-3</v>
      </c>
      <c r="S87" s="54">
        <f t="shared" si="136"/>
        <v>6.2189293007213209E-3</v>
      </c>
      <c r="T87" s="54">
        <f t="shared" si="136"/>
        <v>6.2189293007210988E-3</v>
      </c>
      <c r="U87" s="54">
        <f t="shared" si="136"/>
        <v>6.2189293007213209E-3</v>
      </c>
      <c r="V87" s="54">
        <f t="shared" si="136"/>
        <v>6.2189293007213209E-3</v>
      </c>
      <c r="W87" s="258"/>
      <c r="X87" s="258"/>
    </row>
    <row r="88" spans="1:25">
      <c r="A88" s="55" t="str">
        <f>Home!$B$1</f>
        <v>Poland</v>
      </c>
      <c r="B88" s="56" t="s">
        <v>13</v>
      </c>
      <c r="C88" s="55" t="s">
        <v>772</v>
      </c>
      <c r="D88" s="55"/>
      <c r="E88" s="57"/>
      <c r="F88" s="57"/>
      <c r="G88" s="57"/>
      <c r="H88" s="57"/>
      <c r="I88" s="57"/>
      <c r="J88" s="57" t="s">
        <v>980</v>
      </c>
      <c r="K88" s="58"/>
      <c r="L88" s="64">
        <f t="shared" ref="L88:M88" si="137">M88/(1+M89)</f>
        <v>7147.9685289320005</v>
      </c>
      <c r="M88" s="64">
        <f t="shared" si="137"/>
        <v>8731.0537553401646</v>
      </c>
      <c r="N88" s="64">
        <f>O88/(1+O89)</f>
        <v>7009.3362544589836</v>
      </c>
      <c r="O88" s="64">
        <v>7737.2371999999996</v>
      </c>
      <c r="P88" s="64">
        <f>O88*(1+P89)</f>
        <v>7980.076500378329</v>
      </c>
      <c r="Q88" s="64">
        <f t="shared" ref="Q88:U88" si="138">P88*(1+Q89)</f>
        <v>8587.3667114973159</v>
      </c>
      <c r="R88" s="64">
        <f t="shared" si="138"/>
        <v>9044.4806148251246</v>
      </c>
      <c r="S88" s="64">
        <f t="shared" si="138"/>
        <v>9482.4046219403772</v>
      </c>
      <c r="T88" s="64">
        <f t="shared" si="138"/>
        <v>9798.7124751620759</v>
      </c>
      <c r="U88" s="64">
        <f t="shared" si="138"/>
        <v>10314.768948592275</v>
      </c>
      <c r="V88" s="64">
        <f>U88*(1+(U88/Q88)^(1/4)-1)</f>
        <v>10798.399182978814</v>
      </c>
      <c r="W88" s="102">
        <f>+(Q88/M88)^(1/4)-1</f>
        <v>-4.1398897921434141E-3</v>
      </c>
      <c r="X88" s="102">
        <f>+(V88/Q88)^(1/5)-1</f>
        <v>4.6887161195456661E-2</v>
      </c>
      <c r="Y88" s="240" t="s">
        <v>1252</v>
      </c>
    </row>
    <row r="89" spans="1:25">
      <c r="A89" s="57"/>
      <c r="B89" s="57"/>
      <c r="C89" s="61" t="s">
        <v>892</v>
      </c>
      <c r="D89" s="61"/>
      <c r="E89" s="61"/>
      <c r="F89" s="61"/>
      <c r="G89" s="61"/>
      <c r="H89" s="61"/>
      <c r="I89" s="61"/>
      <c r="J89" s="61" t="s">
        <v>58</v>
      </c>
      <c r="K89" s="58"/>
      <c r="L89" s="59"/>
      <c r="M89" s="62">
        <v>0.221473446616405</v>
      </c>
      <c r="N89" s="62">
        <v>-0.19719469712669313</v>
      </c>
      <c r="O89" s="62">
        <v>0.10384734290325448</v>
      </c>
      <c r="P89" s="62">
        <v>3.1385789798240804E-2</v>
      </c>
      <c r="Q89" s="62">
        <v>7.6100800674053115E-2</v>
      </c>
      <c r="R89" s="62">
        <v>5.3230975068969011E-2</v>
      </c>
      <c r="S89" s="62">
        <v>4.8418922629723582E-2</v>
      </c>
      <c r="T89" s="62">
        <v>3.3357346140854061E-2</v>
      </c>
      <c r="U89" s="62">
        <v>5.2665743049232994E-2</v>
      </c>
      <c r="V89" s="62">
        <f>V88/U88-1</f>
        <v>4.6887161195456883E-2</v>
      </c>
      <c r="W89" s="259"/>
      <c r="X89" s="259"/>
    </row>
    <row r="90" spans="1:25">
      <c r="A90" s="46" t="str">
        <f>Home!$B$1</f>
        <v>Poland</v>
      </c>
      <c r="B90" s="47" t="s">
        <v>13</v>
      </c>
      <c r="C90" s="46" t="s">
        <v>910</v>
      </c>
      <c r="D90" s="48"/>
      <c r="E90" s="48"/>
      <c r="F90" s="48" t="s">
        <v>887</v>
      </c>
      <c r="G90" s="48" t="s">
        <v>15</v>
      </c>
      <c r="H90" s="48" t="s">
        <v>16</v>
      </c>
      <c r="I90" s="48"/>
      <c r="J90" s="46" t="s">
        <v>99</v>
      </c>
      <c r="K90" s="76"/>
      <c r="L90" s="79">
        <f>L107</f>
        <v>41817.000000000007</v>
      </c>
      <c r="M90" s="79">
        <f t="shared" ref="M90:P90" si="139">M107</f>
        <v>42474.000000000007</v>
      </c>
      <c r="N90" s="79">
        <f t="shared" si="139"/>
        <v>37118</v>
      </c>
      <c r="O90" s="79">
        <f t="shared" si="139"/>
        <v>41021.5</v>
      </c>
      <c r="P90" s="79">
        <f t="shared" si="139"/>
        <v>35926.6</v>
      </c>
      <c r="Q90" s="264">
        <f>Forecasting!Q64</f>
        <v>34789.815808087129</v>
      </c>
      <c r="R90" s="264">
        <f>Forecasting!R64</f>
        <v>35385.02515423904</v>
      </c>
      <c r="S90" s="264">
        <f>Forecasting!S64</f>
        <v>35907.260663722911</v>
      </c>
      <c r="T90" s="264">
        <f>Forecasting!T64</f>
        <v>36562.647826941276</v>
      </c>
      <c r="U90" s="264">
        <f>Forecasting!U64</f>
        <v>37302.834973581761</v>
      </c>
      <c r="V90" s="264">
        <f>Forecasting!V64</f>
        <v>38109.800290076804</v>
      </c>
      <c r="W90" s="262">
        <f>+(Q90/M90)^(1/4)-1</f>
        <v>-4.8667701433475097E-2</v>
      </c>
      <c r="X90" s="262">
        <f>+(V90/Q90)^(1/5)-1</f>
        <v>1.8396524910340384E-2</v>
      </c>
    </row>
    <row r="91" spans="1:25">
      <c r="A91" s="48"/>
      <c r="B91" s="48"/>
      <c r="C91" s="52" t="s">
        <v>892</v>
      </c>
      <c r="D91" s="52"/>
      <c r="E91" s="52"/>
      <c r="F91" s="52"/>
      <c r="G91" s="52"/>
      <c r="H91" s="52"/>
      <c r="I91" s="52"/>
      <c r="J91" s="52" t="s">
        <v>58</v>
      </c>
      <c r="K91" s="49"/>
      <c r="L91" s="53"/>
      <c r="M91" s="54">
        <f t="shared" ref="M91:V91" si="140">M90/L90-1</f>
        <v>1.5711313580601294E-2</v>
      </c>
      <c r="N91" s="54">
        <f t="shared" si="140"/>
        <v>-0.12610067335311026</v>
      </c>
      <c r="O91" s="54">
        <f t="shared" si="140"/>
        <v>0.10516461016218548</v>
      </c>
      <c r="P91" s="54">
        <f t="shared" si="140"/>
        <v>-0.1242007240105798</v>
      </c>
      <c r="Q91" s="54">
        <f t="shared" si="140"/>
        <v>-3.164185288652055E-2</v>
      </c>
      <c r="R91" s="54">
        <f t="shared" si="140"/>
        <v>1.7108723697627282E-2</v>
      </c>
      <c r="S91" s="54">
        <f t="shared" si="140"/>
        <v>1.4758658704000061E-2</v>
      </c>
      <c r="T91" s="54">
        <f t="shared" si="140"/>
        <v>1.8252218384358754E-2</v>
      </c>
      <c r="U91" s="54">
        <f t="shared" si="140"/>
        <v>2.0244352929359666E-2</v>
      </c>
      <c r="V91" s="54">
        <f t="shared" si="140"/>
        <v>2.1632814692678082E-2</v>
      </c>
      <c r="W91" s="258"/>
      <c r="X91" s="258"/>
    </row>
    <row r="92" spans="1:25">
      <c r="A92" s="46" t="str">
        <f>Home!$B$1</f>
        <v>Poland</v>
      </c>
      <c r="B92" s="47" t="s">
        <v>13</v>
      </c>
      <c r="C92" s="47" t="s">
        <v>45</v>
      </c>
      <c r="D92" s="46" t="s">
        <v>46</v>
      </c>
      <c r="E92" s="48"/>
      <c r="F92" s="48" t="s">
        <v>888</v>
      </c>
      <c r="G92" s="48" t="s">
        <v>15</v>
      </c>
      <c r="H92" s="48" t="s">
        <v>16</v>
      </c>
      <c r="I92" s="48"/>
      <c r="J92" s="48" t="s">
        <v>99</v>
      </c>
      <c r="K92" s="49">
        <f>'[1]Tourism Demand &amp; Flows-vanya'!K89</f>
        <v>344.11245787213153</v>
      </c>
      <c r="L92" s="65">
        <f>L$90*L100</f>
        <v>7556.0105573038281</v>
      </c>
      <c r="M92" s="65">
        <f>M$90*M100</f>
        <v>8409.043794030069</v>
      </c>
      <c r="N92" s="65">
        <f>N$90*N100</f>
        <v>6694.9369811632978</v>
      </c>
      <c r="O92" s="65">
        <f>O$90*O100</f>
        <v>6597.9504463610238</v>
      </c>
      <c r="P92" s="65">
        <f>P$90*P100</f>
        <v>7021.5986670464254</v>
      </c>
      <c r="Q92" s="264">
        <f>Forecasting!Q66</f>
        <v>6809.3169839715092</v>
      </c>
      <c r="R92" s="264">
        <f>Forecasting!R66</f>
        <v>6871.4913541423266</v>
      </c>
      <c r="S92" s="264">
        <f>Forecasting!S66</f>
        <v>6960.7692686052778</v>
      </c>
      <c r="T92" s="264">
        <f>Forecasting!T66</f>
        <v>7055.1389456657653</v>
      </c>
      <c r="U92" s="264">
        <f>Forecasting!U66</f>
        <v>7174.9979748441428</v>
      </c>
      <c r="V92" s="264">
        <f>Forecasting!V66</f>
        <v>7298.3342133058241</v>
      </c>
      <c r="W92" s="102">
        <f>+(Q92/M92)^(1/4)-1</f>
        <v>-5.1386645416916732E-2</v>
      </c>
      <c r="X92" s="102">
        <f>+(V92/Q92)^(1/5)-1</f>
        <v>1.3967509368756348E-2</v>
      </c>
    </row>
    <row r="93" spans="1:25">
      <c r="A93" s="48"/>
      <c r="B93" s="48"/>
      <c r="C93" s="52" t="s">
        <v>892</v>
      </c>
      <c r="D93" s="52"/>
      <c r="E93" s="52"/>
      <c r="F93" s="52"/>
      <c r="G93" s="52"/>
      <c r="H93" s="52"/>
      <c r="I93" s="52"/>
      <c r="J93" s="52" t="s">
        <v>58</v>
      </c>
      <c r="K93" s="49"/>
      <c r="L93" s="53"/>
      <c r="M93" s="54">
        <f t="shared" ref="M93:V93" si="141">M92/L92-1</f>
        <v>0.1128946591930946</v>
      </c>
      <c r="N93" s="54">
        <f t="shared" si="141"/>
        <v>-0.20384087119200012</v>
      </c>
      <c r="O93" s="54">
        <f t="shared" si="141"/>
        <v>-1.4486549324534748E-2</v>
      </c>
      <c r="P93" s="54">
        <f t="shared" si="141"/>
        <v>6.4209063728124294E-2</v>
      </c>
      <c r="Q93" s="54">
        <f t="shared" si="141"/>
        <v>-3.0232671096853014E-2</v>
      </c>
      <c r="R93" s="54">
        <f t="shared" si="141"/>
        <v>9.1307792422015144E-3</v>
      </c>
      <c r="S93" s="54">
        <f t="shared" si="141"/>
        <v>1.2992509174756028E-2</v>
      </c>
      <c r="T93" s="54">
        <f t="shared" si="141"/>
        <v>1.3557363190605631E-2</v>
      </c>
      <c r="U93" s="54">
        <f t="shared" si="141"/>
        <v>1.6988897043907381E-2</v>
      </c>
      <c r="V93" s="54">
        <f t="shared" si="141"/>
        <v>1.7189724498056114E-2</v>
      </c>
      <c r="W93" s="258"/>
      <c r="X93" s="258"/>
    </row>
    <row r="94" spans="1:25">
      <c r="A94" s="46" t="str">
        <f>Home!$B$1</f>
        <v>Poland</v>
      </c>
      <c r="B94" s="47" t="s">
        <v>13</v>
      </c>
      <c r="C94" s="47" t="s">
        <v>45</v>
      </c>
      <c r="D94" s="46" t="s">
        <v>47</v>
      </c>
      <c r="E94" s="48"/>
      <c r="F94" s="48" t="s">
        <v>889</v>
      </c>
      <c r="G94" s="48" t="s">
        <v>15</v>
      </c>
      <c r="H94" s="48" t="s">
        <v>16</v>
      </c>
      <c r="I94" s="48"/>
      <c r="J94" s="48" t="s">
        <v>99</v>
      </c>
      <c r="K94" s="49">
        <f>'[1]Tourism Demand &amp; Flows-vanya'!K90</f>
        <v>431.14946599168542</v>
      </c>
      <c r="L94" s="65">
        <f>L$90*L102</f>
        <v>10083.878134199575</v>
      </c>
      <c r="M94" s="65">
        <f>M$90*M102</f>
        <v>10033.681748856128</v>
      </c>
      <c r="N94" s="65">
        <f t="shared" ref="N94:P94" si="142">N$90*N102</f>
        <v>9046.3544499296731</v>
      </c>
      <c r="O94" s="65">
        <f>O$90*O102</f>
        <v>8984.5091920108953</v>
      </c>
      <c r="P94" s="65">
        <f t="shared" si="142"/>
        <v>8421.4160637994864</v>
      </c>
      <c r="Q94" s="264">
        <f>Forecasting!Q68</f>
        <v>8143.4341818941093</v>
      </c>
      <c r="R94" s="264">
        <f>Forecasting!R68</f>
        <v>8286.5504976152242</v>
      </c>
      <c r="S94" s="264">
        <f>Forecasting!S68</f>
        <v>8392.1504616656384</v>
      </c>
      <c r="T94" s="264">
        <f>Forecasting!T68</f>
        <v>8573.3040376929002</v>
      </c>
      <c r="U94" s="264">
        <f>Forecasting!U68</f>
        <v>8747.0076105533772</v>
      </c>
      <c r="V94" s="264">
        <f>Forecasting!V68</f>
        <v>8940.1517261904628</v>
      </c>
      <c r="W94" s="102">
        <f>+(Q94/M94)^(1/4)-1</f>
        <v>-5.084570522640397E-2</v>
      </c>
      <c r="X94" s="102">
        <f>+(V94/Q94)^(1/5)-1</f>
        <v>1.8843454646490398E-2</v>
      </c>
    </row>
    <row r="95" spans="1:25">
      <c r="A95" s="48"/>
      <c r="B95" s="48"/>
      <c r="C95" s="52" t="s">
        <v>892</v>
      </c>
      <c r="D95" s="52"/>
      <c r="E95" s="52"/>
      <c r="F95" s="52"/>
      <c r="G95" s="52"/>
      <c r="H95" s="52"/>
      <c r="I95" s="52"/>
      <c r="J95" s="52" t="s">
        <v>58</v>
      </c>
      <c r="K95" s="49"/>
      <c r="L95" s="53"/>
      <c r="M95" s="54">
        <f t="shared" ref="M95:V95" si="143">M94/L94-1</f>
        <v>-4.97788496404028E-3</v>
      </c>
      <c r="N95" s="54">
        <f t="shared" si="143"/>
        <v>-9.8401297114991126E-2</v>
      </c>
      <c r="O95" s="54">
        <f t="shared" si="143"/>
        <v>-6.8364840512366021E-3</v>
      </c>
      <c r="P95" s="54">
        <f t="shared" si="143"/>
        <v>-6.2673777295716548E-2</v>
      </c>
      <c r="Q95" s="54">
        <f t="shared" si="143"/>
        <v>-3.300892389111576E-2</v>
      </c>
      <c r="R95" s="54">
        <f t="shared" si="143"/>
        <v>1.7574442492494846E-2</v>
      </c>
      <c r="S95" s="54">
        <f t="shared" si="143"/>
        <v>1.2743537142603012E-2</v>
      </c>
      <c r="T95" s="54">
        <f t="shared" si="143"/>
        <v>2.1586073421198781E-2</v>
      </c>
      <c r="U95" s="54">
        <f t="shared" si="143"/>
        <v>2.0260983641403829E-2</v>
      </c>
      <c r="V95" s="54">
        <f t="shared" si="143"/>
        <v>2.2081164695004318E-2</v>
      </c>
      <c r="W95" s="258"/>
      <c r="X95" s="258"/>
    </row>
    <row r="96" spans="1:25">
      <c r="A96" s="46" t="str">
        <f>Home!$B$1</f>
        <v>Poland</v>
      </c>
      <c r="B96" s="47" t="s">
        <v>13</v>
      </c>
      <c r="C96" s="47" t="s">
        <v>45</v>
      </c>
      <c r="D96" s="46" t="s">
        <v>48</v>
      </c>
      <c r="E96" s="48"/>
      <c r="F96" s="48" t="s">
        <v>890</v>
      </c>
      <c r="G96" s="48" t="s">
        <v>15</v>
      </c>
      <c r="H96" s="48" t="s">
        <v>16</v>
      </c>
      <c r="I96" s="48"/>
      <c r="J96" s="48" t="s">
        <v>99</v>
      </c>
      <c r="K96" s="49">
        <f>'[1]Tourism Demand &amp; Flows-vanya'!K91</f>
        <v>420.50674294822005</v>
      </c>
      <c r="L96" s="65">
        <f>L$90*L104</f>
        <v>15936.602603796571</v>
      </c>
      <c r="M96" s="65">
        <f>M$90*M104</f>
        <v>16488.018737744213</v>
      </c>
      <c r="N96" s="65">
        <f t="shared" ref="N96:P96" si="144">N$90*N104</f>
        <v>14782.093273394192</v>
      </c>
      <c r="O96" s="65">
        <f>O$90*O104</f>
        <v>17357.637274928129</v>
      </c>
      <c r="P96" s="65">
        <f t="shared" si="144"/>
        <v>13407.753910566789</v>
      </c>
      <c r="Q96" s="264">
        <f>Forecasting!Q70</f>
        <v>12915.651001321934</v>
      </c>
      <c r="R96" s="264">
        <f>Forecasting!R70</f>
        <v>13003.865639416017</v>
      </c>
      <c r="S96" s="264">
        <f>Forecasting!S70</f>
        <v>13140.271717481732</v>
      </c>
      <c r="T96" s="264">
        <f>Forecasting!T70</f>
        <v>13290.235764943684</v>
      </c>
      <c r="U96" s="264">
        <f>Forecasting!U70</f>
        <v>13470.250385813593</v>
      </c>
      <c r="V96" s="264">
        <f>Forecasting!V70</f>
        <v>13666.676574980607</v>
      </c>
      <c r="W96" s="102">
        <f>+(Q96/M96)^(1/4)-1</f>
        <v>-5.9222423888902975E-2</v>
      </c>
      <c r="X96" s="102">
        <f>+(V96/Q96)^(1/5)-1</f>
        <v>1.1368267384258335E-2</v>
      </c>
    </row>
    <row r="97" spans="1:28">
      <c r="A97" s="48"/>
      <c r="B97" s="48"/>
      <c r="C97" s="52" t="s">
        <v>892</v>
      </c>
      <c r="D97" s="52"/>
      <c r="E97" s="52"/>
      <c r="F97" s="52"/>
      <c r="G97" s="52"/>
      <c r="H97" s="52"/>
      <c r="I97" s="52"/>
      <c r="J97" s="52" t="s">
        <v>58</v>
      </c>
      <c r="K97" s="49"/>
      <c r="L97" s="53"/>
      <c r="M97" s="54">
        <f t="shared" ref="M97:V97" si="145">M96/L96-1</f>
        <v>3.4600607648726633E-2</v>
      </c>
      <c r="N97" s="54">
        <f t="shared" si="145"/>
        <v>-0.10346455153188494</v>
      </c>
      <c r="O97" s="54">
        <f t="shared" si="145"/>
        <v>0.17423405155814931</v>
      </c>
      <c r="P97" s="54">
        <f t="shared" si="145"/>
        <v>-0.22755881470496364</v>
      </c>
      <c r="Q97" s="54">
        <f t="shared" si="145"/>
        <v>-3.6702859593583659E-2</v>
      </c>
      <c r="R97" s="54">
        <f t="shared" si="145"/>
        <v>6.8300574307136319E-3</v>
      </c>
      <c r="S97" s="54">
        <f t="shared" si="145"/>
        <v>1.0489656064443853E-2</v>
      </c>
      <c r="T97" s="54">
        <f t="shared" si="145"/>
        <v>1.1412553003941284E-2</v>
      </c>
      <c r="U97" s="54">
        <f t="shared" si="145"/>
        <v>1.3544877912906816E-2</v>
      </c>
      <c r="V97" s="54">
        <f t="shared" si="145"/>
        <v>1.4582222567583791E-2</v>
      </c>
      <c r="W97" s="258"/>
      <c r="X97" s="258"/>
    </row>
    <row r="98" spans="1:28">
      <c r="A98" s="46" t="str">
        <f>Home!$B$1</f>
        <v>Poland</v>
      </c>
      <c r="B98" s="47" t="s">
        <v>13</v>
      </c>
      <c r="C98" s="47" t="s">
        <v>45</v>
      </c>
      <c r="D98" s="46" t="s">
        <v>49</v>
      </c>
      <c r="E98" s="48"/>
      <c r="F98" s="48" t="s">
        <v>891</v>
      </c>
      <c r="G98" s="48" t="s">
        <v>15</v>
      </c>
      <c r="H98" s="48" t="s">
        <v>16</v>
      </c>
      <c r="I98" s="48"/>
      <c r="J98" s="48" t="s">
        <v>99</v>
      </c>
      <c r="K98" s="49">
        <f>'[1]Tourism Demand &amp; Flows-vanya'!K92</f>
        <v>361.5037531879629</v>
      </c>
      <c r="L98" s="65">
        <f>L$90*L106</f>
        <v>8240.5087047000288</v>
      </c>
      <c r="M98" s="65">
        <f>M$90*M106</f>
        <v>7543.2557193695957</v>
      </c>
      <c r="N98" s="65">
        <f t="shared" ref="N98" si="146">N$90*N106</f>
        <v>6594.6152955128391</v>
      </c>
      <c r="O98" s="65">
        <f>O$90*O106</f>
        <v>8081.4030866999519</v>
      </c>
      <c r="P98" s="65">
        <f>P$90*P106</f>
        <v>7075.8313585872975</v>
      </c>
      <c r="Q98" s="264">
        <f>Forecasting!Q72</f>
        <v>6921.4136408995755</v>
      </c>
      <c r="R98" s="264">
        <f>Forecasting!R72</f>
        <v>7223.1176630654718</v>
      </c>
      <c r="S98" s="264">
        <f>Forecasting!S72</f>
        <v>7414.0692159702648</v>
      </c>
      <c r="T98" s="264">
        <f>Forecasting!T72</f>
        <v>7643.9690786389283</v>
      </c>
      <c r="U98" s="264">
        <f>Forecasting!U72</f>
        <v>7910.5790023706495</v>
      </c>
      <c r="V98" s="264">
        <f>Forecasting!V72</f>
        <v>8204.6377755999074</v>
      </c>
      <c r="W98" s="102">
        <f>+(Q98/M98)^(1/4)-1</f>
        <v>-2.1278804923141714E-2</v>
      </c>
      <c r="X98" s="102">
        <f>+(V98/Q98)^(1/5)-1</f>
        <v>3.460106599218582E-2</v>
      </c>
    </row>
    <row r="99" spans="1:28">
      <c r="A99" s="48"/>
      <c r="B99" s="48"/>
      <c r="C99" s="52" t="s">
        <v>892</v>
      </c>
      <c r="D99" s="52"/>
      <c r="E99" s="52"/>
      <c r="F99" s="52"/>
      <c r="G99" s="52"/>
      <c r="H99" s="52"/>
      <c r="I99" s="52"/>
      <c r="J99" s="52" t="s">
        <v>58</v>
      </c>
      <c r="K99" s="49"/>
      <c r="L99" s="53"/>
      <c r="M99" s="54">
        <f t="shared" ref="M99:V99" si="147">M98/L98-1</f>
        <v>-8.4612857084023219E-2</v>
      </c>
      <c r="N99" s="54">
        <f t="shared" si="147"/>
        <v>-0.12576007749821272</v>
      </c>
      <c r="O99" s="54">
        <f t="shared" si="147"/>
        <v>0.22545481799351741</v>
      </c>
      <c r="P99" s="54">
        <f t="shared" si="147"/>
        <v>-0.1244303393017957</v>
      </c>
      <c r="Q99" s="54">
        <f t="shared" si="147"/>
        <v>-2.1823261446207165E-2</v>
      </c>
      <c r="R99" s="54">
        <f t="shared" si="147"/>
        <v>4.3589942433592821E-2</v>
      </c>
      <c r="S99" s="54">
        <f t="shared" si="147"/>
        <v>2.6436168121862558E-2</v>
      </c>
      <c r="T99" s="54">
        <f t="shared" si="147"/>
        <v>3.1008594062414296E-2</v>
      </c>
      <c r="U99" s="54">
        <f t="shared" si="147"/>
        <v>3.4878467061930207E-2</v>
      </c>
      <c r="V99" s="54">
        <f t="shared" si="147"/>
        <v>3.7172850829393589E-2</v>
      </c>
      <c r="W99" s="258"/>
      <c r="X99" s="258"/>
    </row>
    <row r="100" spans="1:28" s="72" customFormat="1" outlineLevel="1">
      <c r="A100" s="67"/>
      <c r="B100" s="67"/>
      <c r="C100" s="68"/>
      <c r="D100" s="69" t="s">
        <v>46</v>
      </c>
      <c r="E100" s="68"/>
      <c r="F100" s="68"/>
      <c r="G100" s="68"/>
      <c r="H100" s="68"/>
      <c r="I100" s="68"/>
      <c r="J100" s="68"/>
      <c r="K100" s="74"/>
      <c r="L100" s="75">
        <f>'Seasonality&amp; Avg.stay'!B53</f>
        <v>0.18069231550096437</v>
      </c>
      <c r="M100" s="75">
        <f>'Seasonality&amp; Avg.stay'!C53</f>
        <v>0.19798097174812987</v>
      </c>
      <c r="N100" s="75">
        <f>'Seasonality&amp; Avg.stay'!D53</f>
        <v>0.18036901183154527</v>
      </c>
      <c r="O100" s="75">
        <f>'Seasonality&amp; Avg.stay'!E53</f>
        <v>0.16084127704645182</v>
      </c>
      <c r="P100" s="75">
        <f>'Seasonality&amp; Avg.stay'!F53</f>
        <v>0.19544289376246085</v>
      </c>
      <c r="Q100" s="193">
        <f>Forecasting!Q74</f>
        <v>0.195727307713674</v>
      </c>
      <c r="R100" s="193">
        <f>Forecasting!R74</f>
        <v>0.1941920720471535</v>
      </c>
      <c r="S100" s="193">
        <f>Forecasting!S74</f>
        <v>0.19385408800169876</v>
      </c>
      <c r="T100" s="193">
        <f>Forecasting!T74</f>
        <v>0.19296028501708154</v>
      </c>
      <c r="U100" s="193">
        <f>Forecasting!U74</f>
        <v>0.19234457595315604</v>
      </c>
      <c r="V100" s="193">
        <f>Forecasting!W74</f>
        <v>0</v>
      </c>
      <c r="W100" s="75"/>
      <c r="X100" s="75"/>
      <c r="Y100" s="67"/>
      <c r="Z100" s="67"/>
      <c r="AA100" s="67"/>
      <c r="AB100" s="67"/>
    </row>
    <row r="101" spans="1:28" s="72" customFormat="1" outlineLevel="1">
      <c r="A101" s="67"/>
      <c r="B101" s="67"/>
      <c r="C101" s="68"/>
      <c r="D101" s="68"/>
      <c r="E101" s="68"/>
      <c r="F101" s="68"/>
      <c r="G101" s="68"/>
      <c r="H101" s="68"/>
      <c r="I101" s="68"/>
      <c r="J101" s="68"/>
      <c r="K101" s="74"/>
      <c r="L101" s="70"/>
      <c r="M101" s="71"/>
      <c r="N101" s="71"/>
      <c r="O101" s="71"/>
      <c r="P101" s="71"/>
      <c r="Q101" s="193"/>
      <c r="R101" s="193"/>
      <c r="S101" s="193"/>
      <c r="T101" s="193"/>
      <c r="U101" s="193"/>
      <c r="V101" s="193"/>
      <c r="W101" s="75"/>
      <c r="X101" s="75"/>
      <c r="Y101" s="67"/>
      <c r="Z101" s="67"/>
      <c r="AA101" s="67"/>
      <c r="AB101" s="67"/>
    </row>
    <row r="102" spans="1:28" s="72" customFormat="1" outlineLevel="1">
      <c r="A102" s="67"/>
      <c r="B102" s="67"/>
      <c r="C102" s="68"/>
      <c r="D102" s="69" t="s">
        <v>47</v>
      </c>
      <c r="E102" s="68"/>
      <c r="F102" s="68"/>
      <c r="G102" s="68"/>
      <c r="H102" s="68"/>
      <c r="I102" s="68"/>
      <c r="J102" s="68"/>
      <c r="K102" s="74"/>
      <c r="L102" s="75">
        <f>'Seasonality&amp; Avg.stay'!B54</f>
        <v>0.24114303116434879</v>
      </c>
      <c r="M102" s="75">
        <f>'Seasonality&amp; Avg.stay'!C54</f>
        <v>0.23623114726317573</v>
      </c>
      <c r="N102" s="75">
        <f>'Seasonality&amp; Avg.stay'!D54</f>
        <v>0.24371880084944428</v>
      </c>
      <c r="O102" s="75">
        <f>'Seasonality&amp; Avg.stay'!E54</f>
        <v>0.21901951883794826</v>
      </c>
      <c r="P102" s="75">
        <f>'Seasonality&amp; Avg.stay'!F54</f>
        <v>0.23440615209342067</v>
      </c>
      <c r="Q102" s="193">
        <f>Forecasting!Q76</f>
        <v>0.23407523129228849</v>
      </c>
      <c r="R102" s="193">
        <f>Forecasting!R76</f>
        <v>0.23418241082195515</v>
      </c>
      <c r="S102" s="193">
        <f>Forecasting!S76</f>
        <v>0.2337173682019198</v>
      </c>
      <c r="T102" s="193">
        <f>Forecasting!T76</f>
        <v>0.23448258119248244</v>
      </c>
      <c r="U102" s="193">
        <f>Forecasting!U76</f>
        <v>0.23448640342612284</v>
      </c>
      <c r="V102" s="193">
        <f>Forecasting!W76</f>
        <v>0</v>
      </c>
      <c r="W102" s="75"/>
      <c r="X102" s="75"/>
      <c r="Y102" s="67"/>
      <c r="Z102" s="67"/>
      <c r="AA102" s="67"/>
      <c r="AB102" s="67"/>
    </row>
    <row r="103" spans="1:28" s="72" customFormat="1" outlineLevel="1">
      <c r="A103" s="67"/>
      <c r="B103" s="67"/>
      <c r="C103" s="68"/>
      <c r="D103" s="68"/>
      <c r="E103" s="68"/>
      <c r="F103" s="68"/>
      <c r="G103" s="68"/>
      <c r="H103" s="68"/>
      <c r="I103" s="68"/>
      <c r="J103" s="68"/>
      <c r="K103" s="74"/>
      <c r="L103" s="70"/>
      <c r="M103" s="71"/>
      <c r="N103" s="71"/>
      <c r="O103" s="71"/>
      <c r="P103" s="71"/>
      <c r="Q103" s="193"/>
      <c r="R103" s="193"/>
      <c r="S103" s="193"/>
      <c r="T103" s="193"/>
      <c r="U103" s="193"/>
      <c r="V103" s="193"/>
      <c r="W103" s="75"/>
      <c r="X103" s="75"/>
      <c r="Y103" s="67"/>
      <c r="Z103" s="67"/>
      <c r="AA103" s="67"/>
      <c r="AB103" s="67"/>
    </row>
    <row r="104" spans="1:28" s="72" customFormat="1" outlineLevel="1">
      <c r="A104" s="67"/>
      <c r="B104" s="67"/>
      <c r="C104" s="68"/>
      <c r="D104" s="69" t="s">
        <v>48</v>
      </c>
      <c r="E104" s="68"/>
      <c r="F104" s="68"/>
      <c r="G104" s="68"/>
      <c r="H104" s="68"/>
      <c r="I104" s="68"/>
      <c r="J104" s="68"/>
      <c r="K104" s="74"/>
      <c r="L104" s="75">
        <f>'Seasonality&amp; Avg.stay'!B55</f>
        <v>0.38110344127499746</v>
      </c>
      <c r="M104" s="75">
        <f>'Seasonality&amp; Avg.stay'!C55</f>
        <v>0.38819086353402571</v>
      </c>
      <c r="N104" s="75">
        <f>'Seasonality&amp; Avg.stay'!D55</f>
        <v>0.39824595272897761</v>
      </c>
      <c r="O104" s="75">
        <f>'Seasonality&amp; Avg.stay'!E55</f>
        <v>0.42313511877742471</v>
      </c>
      <c r="P104" s="75">
        <f>'Seasonality&amp; Avg.stay'!F55</f>
        <v>0.37319851894047279</v>
      </c>
      <c r="Q104" s="193">
        <f>Forecasting!Q78</f>
        <v>0.3712480420295759</v>
      </c>
      <c r="R104" s="193">
        <f>Forecasting!R78</f>
        <v>0.36749629490819186</v>
      </c>
      <c r="S104" s="193">
        <f>Forecasting!S78</f>
        <v>0.36595026951630821</v>
      </c>
      <c r="T104" s="193">
        <f>Forecasting!T78</f>
        <v>0.36349215811308777</v>
      </c>
      <c r="U104" s="193">
        <f>Forecasting!U78</f>
        <v>0.36110527243715818</v>
      </c>
      <c r="V104" s="193">
        <f>Forecasting!W78</f>
        <v>0</v>
      </c>
      <c r="W104" s="75"/>
      <c r="X104" s="75"/>
      <c r="Y104" s="67"/>
      <c r="Z104" s="67"/>
      <c r="AA104" s="67"/>
      <c r="AB104" s="67"/>
    </row>
    <row r="105" spans="1:28" s="72" customFormat="1" outlineLevel="1">
      <c r="A105" s="67"/>
      <c r="B105" s="67"/>
      <c r="C105" s="68"/>
      <c r="D105" s="68"/>
      <c r="E105" s="68"/>
      <c r="F105" s="68"/>
      <c r="G105" s="68"/>
      <c r="H105" s="68"/>
      <c r="I105" s="68"/>
      <c r="J105" s="68"/>
      <c r="K105" s="74"/>
      <c r="L105" s="70"/>
      <c r="M105" s="71"/>
      <c r="N105" s="71"/>
      <c r="O105" s="71"/>
      <c r="P105" s="71"/>
      <c r="Q105" s="193"/>
      <c r="R105" s="193"/>
      <c r="S105" s="193"/>
      <c r="T105" s="193"/>
      <c r="U105" s="193"/>
      <c r="V105" s="193"/>
      <c r="W105" s="75"/>
      <c r="X105" s="75"/>
      <c r="Y105" s="67"/>
      <c r="Z105" s="67"/>
      <c r="AA105" s="67"/>
      <c r="AB105" s="67"/>
    </row>
    <row r="106" spans="1:28" s="72" customFormat="1" outlineLevel="1">
      <c r="A106" s="67"/>
      <c r="B106" s="67"/>
      <c r="C106" s="68"/>
      <c r="D106" s="69" t="s">
        <v>49</v>
      </c>
      <c r="E106" s="68"/>
      <c r="F106" s="68"/>
      <c r="G106" s="68"/>
      <c r="H106" s="68"/>
      <c r="I106" s="68"/>
      <c r="J106" s="68"/>
      <c r="K106" s="74"/>
      <c r="L106" s="75">
        <f>1-SUM(L100:L104)</f>
        <v>0.19706121205968929</v>
      </c>
      <c r="M106" s="75">
        <f t="shared" ref="M106:P106" si="148">1-SUM(M100:M104)</f>
        <v>0.1775970174546686</v>
      </c>
      <c r="N106" s="75">
        <f t="shared" si="148"/>
        <v>0.17766623459003283</v>
      </c>
      <c r="O106" s="75">
        <f t="shared" si="148"/>
        <v>0.19700408533817515</v>
      </c>
      <c r="P106" s="75">
        <f t="shared" si="148"/>
        <v>0.19695243520364569</v>
      </c>
      <c r="Q106" s="193">
        <f>Forecasting!Q80</f>
        <v>0.19894941896446161</v>
      </c>
      <c r="R106" s="193">
        <f>Forecasting!R80</f>
        <v>0.20412922222269947</v>
      </c>
      <c r="S106" s="193">
        <f>Forecasting!S80</f>
        <v>0.20647827428007326</v>
      </c>
      <c r="T106" s="193">
        <f>Forecasting!T80</f>
        <v>0.20906497567734827</v>
      </c>
      <c r="U106" s="193">
        <f>Forecasting!U80</f>
        <v>0.21206374818356299</v>
      </c>
      <c r="V106" s="193">
        <f>Forecasting!W80</f>
        <v>0</v>
      </c>
      <c r="W106" s="75"/>
      <c r="X106" s="75"/>
      <c r="Y106" s="67"/>
      <c r="Z106" s="67"/>
      <c r="AA106" s="67"/>
      <c r="AB106" s="67"/>
    </row>
    <row r="107" spans="1:28">
      <c r="A107" s="55" t="str">
        <f>Home!$B$1</f>
        <v>Poland</v>
      </c>
      <c r="B107" s="56" t="s">
        <v>13</v>
      </c>
      <c r="C107" s="55" t="s">
        <v>871</v>
      </c>
      <c r="D107" s="57"/>
      <c r="E107" s="57"/>
      <c r="F107" s="7" t="s">
        <v>51</v>
      </c>
      <c r="G107" s="7" t="s">
        <v>15</v>
      </c>
      <c r="H107" s="7" t="s">
        <v>16</v>
      </c>
      <c r="J107" s="57" t="s">
        <v>99</v>
      </c>
      <c r="L107" s="267">
        <f>SUM(L109,L111)</f>
        <v>41817.000000000007</v>
      </c>
      <c r="M107" s="267">
        <f t="shared" ref="M107:P107" si="149">SUM(M109,M111)</f>
        <v>42474.000000000007</v>
      </c>
      <c r="N107" s="267">
        <f t="shared" si="149"/>
        <v>37118</v>
      </c>
      <c r="O107" s="267">
        <f t="shared" si="149"/>
        <v>41021.5</v>
      </c>
      <c r="P107" s="267">
        <f t="shared" si="149"/>
        <v>35926.6</v>
      </c>
      <c r="Q107" s="264">
        <f>Forecasting!Q81</f>
        <v>34789.815808087129</v>
      </c>
      <c r="R107" s="264">
        <f>Forecasting!R81</f>
        <v>35385.02515423904</v>
      </c>
      <c r="S107" s="264">
        <f>Forecasting!S81</f>
        <v>35907.260663722911</v>
      </c>
      <c r="T107" s="264">
        <f>Forecasting!T81</f>
        <v>36562.647826941276</v>
      </c>
      <c r="U107" s="264">
        <f>Forecasting!U81</f>
        <v>37302.834973581761</v>
      </c>
      <c r="V107" s="264">
        <f>Forecasting!V81</f>
        <v>38109.800290076804</v>
      </c>
      <c r="W107" s="106">
        <f>+(Q107/M107)^(1/4)-1</f>
        <v>-4.8667701433475097E-2</v>
      </c>
      <c r="X107" s="106">
        <f>+(V107/Q107)^(1/5)-1</f>
        <v>1.8396524910340384E-2</v>
      </c>
    </row>
    <row r="108" spans="1:28">
      <c r="A108" s="57"/>
      <c r="B108" s="57"/>
      <c r="C108" s="61" t="s">
        <v>892</v>
      </c>
      <c r="D108" s="61"/>
      <c r="E108" s="61"/>
      <c r="F108" s="61"/>
      <c r="G108" s="61"/>
      <c r="H108" s="61"/>
      <c r="I108" s="61"/>
      <c r="J108" s="61" t="s">
        <v>58</v>
      </c>
      <c r="K108" s="58"/>
      <c r="L108" s="59"/>
      <c r="M108" s="62">
        <f t="shared" ref="M108:V108" si="150">M107/L107-1</f>
        <v>1.5711313580601294E-2</v>
      </c>
      <c r="N108" s="62">
        <f t="shared" si="150"/>
        <v>-0.12610067335311026</v>
      </c>
      <c r="O108" s="62">
        <f t="shared" si="150"/>
        <v>0.10516461016218548</v>
      </c>
      <c r="P108" s="62">
        <f t="shared" si="150"/>
        <v>-0.1242007240105798</v>
      </c>
      <c r="Q108" s="62">
        <f t="shared" si="150"/>
        <v>-3.164185288652055E-2</v>
      </c>
      <c r="R108" s="62">
        <f t="shared" si="150"/>
        <v>1.7108723697627282E-2</v>
      </c>
      <c r="S108" s="62">
        <f t="shared" si="150"/>
        <v>1.4758658704000061E-2</v>
      </c>
      <c r="T108" s="62">
        <f t="shared" si="150"/>
        <v>1.8252218384358754E-2</v>
      </c>
      <c r="U108" s="62">
        <f t="shared" si="150"/>
        <v>2.0244352929359666E-2</v>
      </c>
      <c r="V108" s="62">
        <f t="shared" si="150"/>
        <v>2.1632814692678082E-2</v>
      </c>
      <c r="W108" s="259"/>
      <c r="X108" s="259"/>
    </row>
    <row r="109" spans="1:28">
      <c r="A109" s="55" t="str">
        <f>Home!$B$1</f>
        <v>Poland</v>
      </c>
      <c r="B109" s="56" t="s">
        <v>13</v>
      </c>
      <c r="C109" s="56" t="s">
        <v>50</v>
      </c>
      <c r="D109" s="55" t="s">
        <v>23</v>
      </c>
      <c r="E109" s="57"/>
      <c r="F109" s="57" t="s">
        <v>874</v>
      </c>
      <c r="G109" s="57" t="s">
        <v>15</v>
      </c>
      <c r="H109" s="57" t="s">
        <v>16</v>
      </c>
      <c r="I109" s="57"/>
      <c r="J109" s="57" t="s">
        <v>99</v>
      </c>
      <c r="K109" s="58">
        <f>'[1]Tourism Demand &amp; Flows-vanya'!K94</f>
        <v>1967.64</v>
      </c>
      <c r="L109" s="265">
        <f>Domestic!B36*1000</f>
        <v>34900.000000000007</v>
      </c>
      <c r="M109" s="265">
        <f>Domestic!C36*1000</f>
        <v>34900.000000000007</v>
      </c>
      <c r="N109" s="265">
        <f>Domestic!D36*1000</f>
        <v>30800</v>
      </c>
      <c r="O109" s="265">
        <f>Domestic!E36*1000</f>
        <v>33900</v>
      </c>
      <c r="P109" s="265">
        <f>Domestic!F36*1000</f>
        <v>29600</v>
      </c>
      <c r="Q109" s="266">
        <f>Forecasting!Q83</f>
        <v>28594.674532264191</v>
      </c>
      <c r="R109" s="266">
        <f>Forecasting!R83</f>
        <v>29114.168216573518</v>
      </c>
      <c r="S109" s="266">
        <f>Forecasting!S83</f>
        <v>29535.363141199603</v>
      </c>
      <c r="T109" s="266">
        <f>Forecasting!T83</f>
        <v>30139.856928566503</v>
      </c>
      <c r="U109" s="266">
        <f>Forecasting!U83</f>
        <v>30799.53039068119</v>
      </c>
      <c r="V109" s="266">
        <f>Forecasting!V83</f>
        <v>31530.697459423951</v>
      </c>
      <c r="W109" s="106">
        <f>+(Q109/M109)^(1/4)-1</f>
        <v>-4.8596088299126095E-2</v>
      </c>
      <c r="X109" s="106">
        <f>+(V109/Q109)^(1/5)-1</f>
        <v>1.9740537256371926E-2</v>
      </c>
    </row>
    <row r="110" spans="1:28">
      <c r="A110" s="57"/>
      <c r="B110" s="57"/>
      <c r="C110" s="61" t="s">
        <v>892</v>
      </c>
      <c r="D110" s="61"/>
      <c r="E110" s="61"/>
      <c r="F110" s="61"/>
      <c r="G110" s="61"/>
      <c r="H110" s="61"/>
      <c r="I110" s="61"/>
      <c r="J110" s="61" t="s">
        <v>58</v>
      </c>
      <c r="K110" s="58"/>
      <c r="L110" s="59"/>
      <c r="M110" s="62">
        <f t="shared" ref="M110:V110" si="151">M109/L109-1</f>
        <v>0</v>
      </c>
      <c r="N110" s="62">
        <f t="shared" si="151"/>
        <v>-0.1174785100286535</v>
      </c>
      <c r="O110" s="62">
        <f t="shared" si="151"/>
        <v>0.10064935064935066</v>
      </c>
      <c r="P110" s="62">
        <f t="shared" si="151"/>
        <v>-0.12684365781710916</v>
      </c>
      <c r="Q110" s="62">
        <f t="shared" si="151"/>
        <v>-3.3963698234317885E-2</v>
      </c>
      <c r="R110" s="62">
        <f t="shared" si="151"/>
        <v>1.8167497717911374E-2</v>
      </c>
      <c r="S110" s="62">
        <f t="shared" si="151"/>
        <v>1.4467008691195105E-2</v>
      </c>
      <c r="T110" s="62">
        <f t="shared" si="151"/>
        <v>2.0466780261918505E-2</v>
      </c>
      <c r="U110" s="62">
        <f t="shared" si="151"/>
        <v>2.1887080077326093E-2</v>
      </c>
      <c r="V110" s="62">
        <f t="shared" si="151"/>
        <v>2.3739552501877981E-2</v>
      </c>
      <c r="W110" s="259"/>
      <c r="X110" s="259"/>
    </row>
    <row r="111" spans="1:28">
      <c r="A111" s="55" t="str">
        <f>Home!$B$1</f>
        <v>Poland</v>
      </c>
      <c r="B111" s="56" t="s">
        <v>13</v>
      </c>
      <c r="C111" s="56" t="s">
        <v>50</v>
      </c>
      <c r="D111" s="55" t="s">
        <v>24</v>
      </c>
      <c r="E111" s="57"/>
      <c r="F111" s="7" t="s">
        <v>873</v>
      </c>
      <c r="G111" s="7" t="s">
        <v>15</v>
      </c>
      <c r="H111" s="7" t="s">
        <v>16</v>
      </c>
      <c r="J111" s="57" t="s">
        <v>99</v>
      </c>
      <c r="K111" s="8">
        <f>'[1]Tourism Demand &amp; Flows-vanya'!K99</f>
        <v>65.676000000000002</v>
      </c>
      <c r="L111" s="265">
        <f>L606</f>
        <v>6917.0000000000009</v>
      </c>
      <c r="M111" s="265">
        <f t="shared" ref="M111:P111" si="152">M606</f>
        <v>7574</v>
      </c>
      <c r="N111" s="265">
        <f t="shared" si="152"/>
        <v>6318</v>
      </c>
      <c r="O111" s="265">
        <f t="shared" si="152"/>
        <v>7121.5</v>
      </c>
      <c r="P111" s="265">
        <f t="shared" si="152"/>
        <v>6326.5999999999995</v>
      </c>
      <c r="Q111" s="266">
        <f>Forecasting!Q97</f>
        <v>6195.141275822938</v>
      </c>
      <c r="R111" s="266">
        <f>Forecasting!R97</f>
        <v>6270.8569376655214</v>
      </c>
      <c r="S111" s="266">
        <f>Forecasting!S97</f>
        <v>6371.8975225233071</v>
      </c>
      <c r="T111" s="266">
        <f>Forecasting!T97</f>
        <v>6422.7908983747702</v>
      </c>
      <c r="U111" s="266">
        <f>Forecasting!U97</f>
        <v>6503.3045829005732</v>
      </c>
      <c r="V111" s="266">
        <f>Forecasting!V97</f>
        <v>6579.1028306528524</v>
      </c>
      <c r="W111" s="106">
        <f>+(Q111/M111)^(1/4)-1</f>
        <v>-4.8997894506850437E-2</v>
      </c>
      <c r="X111" s="106">
        <f>+(V111/Q111)^(1/5)-1</f>
        <v>1.209922420888665E-2</v>
      </c>
    </row>
    <row r="112" spans="1:28">
      <c r="A112" s="57"/>
      <c r="B112" s="57"/>
      <c r="C112" s="61" t="s">
        <v>892</v>
      </c>
      <c r="D112" s="61"/>
      <c r="E112" s="61"/>
      <c r="F112" s="61"/>
      <c r="G112" s="61"/>
      <c r="H112" s="61"/>
      <c r="I112" s="61"/>
      <c r="J112" s="61" t="s">
        <v>58</v>
      </c>
      <c r="K112" s="58"/>
      <c r="L112" s="59"/>
      <c r="M112" s="62">
        <f t="shared" ref="M112:V112" si="153">M111/L111-1</f>
        <v>9.498337429521464E-2</v>
      </c>
      <c r="N112" s="62">
        <f t="shared" si="153"/>
        <v>-0.16583047266965933</v>
      </c>
      <c r="O112" s="62">
        <f t="shared" si="153"/>
        <v>0.12717632162076598</v>
      </c>
      <c r="P112" s="62">
        <f t="shared" si="153"/>
        <v>-0.11161974303166478</v>
      </c>
      <c r="Q112" s="62">
        <f t="shared" si="153"/>
        <v>-2.077873173221978E-2</v>
      </c>
      <c r="R112" s="62">
        <f t="shared" si="153"/>
        <v>1.2221781307566015E-2</v>
      </c>
      <c r="S112" s="62">
        <f t="shared" si="153"/>
        <v>1.6112723645614002E-2</v>
      </c>
      <c r="T112" s="62">
        <f t="shared" si="153"/>
        <v>7.9871617005085049E-3</v>
      </c>
      <c r="U112" s="62">
        <f t="shared" si="153"/>
        <v>1.2535622877926311E-2</v>
      </c>
      <c r="V112" s="62">
        <f t="shared" si="153"/>
        <v>1.1655343339074031E-2</v>
      </c>
      <c r="W112" s="259"/>
      <c r="X112" s="259"/>
    </row>
    <row r="113" spans="1:26">
      <c r="A113" s="46" t="str">
        <f>Home!$B$1</f>
        <v>Poland</v>
      </c>
      <c r="B113" s="47" t="s">
        <v>13</v>
      </c>
      <c r="C113" s="46" t="s">
        <v>872</v>
      </c>
      <c r="D113" s="46"/>
      <c r="E113" s="48"/>
      <c r="F113" s="48" t="s">
        <v>96</v>
      </c>
      <c r="G113" s="48"/>
      <c r="H113" s="48"/>
      <c r="I113" s="48"/>
      <c r="J113" s="48"/>
      <c r="K113" s="49"/>
      <c r="L113" s="53"/>
      <c r="M113" s="53"/>
      <c r="N113" s="53"/>
      <c r="O113" s="53"/>
      <c r="P113" s="53"/>
      <c r="Q113" s="53"/>
      <c r="R113" s="53"/>
      <c r="S113" s="53"/>
      <c r="T113" s="53"/>
      <c r="U113" s="53"/>
      <c r="V113" s="53"/>
      <c r="W113" s="102"/>
      <c r="X113" s="102"/>
    </row>
    <row r="114" spans="1:26">
      <c r="A114" s="48"/>
      <c r="B114" s="48"/>
      <c r="C114" s="52" t="s">
        <v>892</v>
      </c>
      <c r="D114" s="52"/>
      <c r="E114" s="52"/>
      <c r="F114" s="52"/>
      <c r="G114" s="52"/>
      <c r="H114" s="52"/>
      <c r="I114" s="52"/>
      <c r="J114" s="52" t="s">
        <v>58</v>
      </c>
      <c r="K114" s="49"/>
      <c r="L114" s="53"/>
      <c r="M114" s="54"/>
      <c r="N114" s="54"/>
      <c r="O114" s="54"/>
      <c r="P114" s="54"/>
      <c r="Q114" s="54"/>
      <c r="R114" s="54"/>
      <c r="S114" s="54"/>
      <c r="T114" s="54"/>
      <c r="U114" s="54"/>
      <c r="V114" s="54"/>
      <c r="W114" s="258"/>
      <c r="X114" s="258"/>
    </row>
    <row r="115" spans="1:26">
      <c r="A115" s="46" t="str">
        <f>Home!$B$1</f>
        <v>Poland</v>
      </c>
      <c r="B115" s="47" t="s">
        <v>13</v>
      </c>
      <c r="C115" s="47" t="s">
        <v>872</v>
      </c>
      <c r="D115" s="46" t="s">
        <v>23</v>
      </c>
      <c r="E115" s="48"/>
      <c r="F115" s="48" t="s">
        <v>875</v>
      </c>
      <c r="G115" s="48"/>
      <c r="H115" s="48"/>
      <c r="I115" s="48"/>
      <c r="J115" s="48" t="s">
        <v>893</v>
      </c>
      <c r="K115" s="49"/>
      <c r="L115" s="53">
        <f>'Seasonality&amp; Avg.stay'!B102</f>
        <v>5.0039881255809773</v>
      </c>
      <c r="M115" s="53">
        <f>'Seasonality&amp; Avg.stay'!C102</f>
        <v>4.8435016329007832</v>
      </c>
      <c r="N115" s="53">
        <f>'Seasonality&amp; Avg.stay'!D102</f>
        <v>5.0237962568422434</v>
      </c>
      <c r="O115" s="53">
        <f>'Seasonality&amp; Avg.stay'!E102</f>
        <v>4.8755976544880468</v>
      </c>
      <c r="P115" s="53">
        <f>'Seasonality&amp; Avg.stay'!F102</f>
        <v>4.6946950775401337</v>
      </c>
      <c r="Q115" s="110">
        <f>Forecasting!Q101</f>
        <v>4.7128144522574109</v>
      </c>
      <c r="R115" s="110">
        <f>Forecasting!R101</f>
        <v>4.7509078472034174</v>
      </c>
      <c r="S115" s="110">
        <f>Forecasting!S101</f>
        <v>4.7787347537290605</v>
      </c>
      <c r="T115" s="110">
        <f>Forecasting!T101</f>
        <v>4.8261435350947428</v>
      </c>
      <c r="U115" s="110">
        <f>Forecasting!U101</f>
        <v>4.8595767464793216</v>
      </c>
      <c r="V115" s="110">
        <f>Forecasting!V101</f>
        <v>4.8724910710066407</v>
      </c>
      <c r="W115" s="106">
        <f>+(Q115/M115)^(1/4)-1</f>
        <v>-6.8148377525701909E-3</v>
      </c>
      <c r="X115" s="106">
        <f>+(V115/Q115)^(1/5)-1</f>
        <v>6.6862623204615446E-3</v>
      </c>
    </row>
    <row r="116" spans="1:26">
      <c r="A116" s="48"/>
      <c r="B116" s="48"/>
      <c r="C116" s="52" t="s">
        <v>892</v>
      </c>
      <c r="D116" s="52"/>
      <c r="E116" s="52"/>
      <c r="F116" s="52"/>
      <c r="G116" s="52"/>
      <c r="H116" s="52"/>
      <c r="I116" s="52"/>
      <c r="J116" s="52" t="s">
        <v>58</v>
      </c>
      <c r="K116" s="49"/>
      <c r="L116" s="53"/>
      <c r="M116" s="54">
        <f t="shared" ref="M116:V116" si="154">M115/L115-1</f>
        <v>-3.2071717328777893E-2</v>
      </c>
      <c r="N116" s="54">
        <f t="shared" si="154"/>
        <v>3.7224024601697492E-2</v>
      </c>
      <c r="O116" s="54">
        <f t="shared" si="154"/>
        <v>-2.9499325764327122E-2</v>
      </c>
      <c r="P116" s="54">
        <f t="shared" si="154"/>
        <v>-3.7103672158302459E-2</v>
      </c>
      <c r="Q116" s="54">
        <f t="shared" si="154"/>
        <v>3.8595424022236369E-3</v>
      </c>
      <c r="R116" s="54">
        <f t="shared" si="154"/>
        <v>8.0829396811410437E-3</v>
      </c>
      <c r="S116" s="54">
        <f t="shared" si="154"/>
        <v>5.8571766535153724E-3</v>
      </c>
      <c r="T116" s="54">
        <f t="shared" si="154"/>
        <v>9.9207810872297131E-3</v>
      </c>
      <c r="U116" s="54">
        <f t="shared" si="154"/>
        <v>6.9275211442549889E-3</v>
      </c>
      <c r="V116" s="54">
        <f t="shared" si="154"/>
        <v>2.6574998608006606E-3</v>
      </c>
      <c r="W116" s="258"/>
      <c r="X116" s="258"/>
    </row>
    <row r="117" spans="1:26">
      <c r="A117" s="46" t="str">
        <f>Home!$B$1</f>
        <v>Poland</v>
      </c>
      <c r="B117" s="47" t="s">
        <v>13</v>
      </c>
      <c r="C117" s="47" t="s">
        <v>872</v>
      </c>
      <c r="D117" s="46" t="s">
        <v>24</v>
      </c>
      <c r="E117" s="48"/>
      <c r="F117" s="48" t="s">
        <v>876</v>
      </c>
      <c r="G117" s="48"/>
      <c r="H117" s="48"/>
      <c r="I117" s="48"/>
      <c r="J117" s="48" t="s">
        <v>893</v>
      </c>
      <c r="K117" s="49"/>
      <c r="L117" s="53">
        <f>'Seasonality&amp; Avg.stay'!B103</f>
        <v>11.427415359207266</v>
      </c>
      <c r="M117" s="53">
        <f>'Seasonality&amp; Avg.stay'!C103</f>
        <v>11.781837160751566</v>
      </c>
      <c r="N117" s="53">
        <f>'Seasonality&amp; Avg.stay'!D103</f>
        <v>9.2521739130434781</v>
      </c>
      <c r="O117" s="53">
        <f>'Seasonality&amp; Avg.stay'!E103</f>
        <v>9.4063134864822633</v>
      </c>
      <c r="P117" s="53">
        <f>'Seasonality&amp; Avg.stay'!F103</f>
        <v>9.2731618303350061</v>
      </c>
      <c r="Q117" s="110">
        <f>Forecasting!Q103</f>
        <v>9.3293988544484545</v>
      </c>
      <c r="R117" s="110">
        <f>Forecasting!R103</f>
        <v>9.4342766461125738</v>
      </c>
      <c r="S117" s="110">
        <f>Forecasting!S103</f>
        <v>9.5182810629751966</v>
      </c>
      <c r="T117" s="110">
        <f>Forecasting!T103</f>
        <v>9.55602707123127</v>
      </c>
      <c r="U117" s="110">
        <f>Forecasting!U103</f>
        <v>9.6290442341467237</v>
      </c>
      <c r="V117" s="110">
        <f>Forecasting!V103</f>
        <v>9.7442692313104331</v>
      </c>
      <c r="W117" s="106">
        <f>+(Q117/M117)^(1/4)-1</f>
        <v>-5.6677569794804983E-2</v>
      </c>
      <c r="X117" s="106">
        <f>+(V117/Q117)^(1/5)-1</f>
        <v>8.7397222469407509E-3</v>
      </c>
      <c r="Y117" s="122" t="s">
        <v>1245</v>
      </c>
      <c r="Z117" s="7" t="s">
        <v>1076</v>
      </c>
    </row>
    <row r="118" spans="1:26">
      <c r="A118" s="48"/>
      <c r="B118" s="48"/>
      <c r="C118" s="52" t="s">
        <v>892</v>
      </c>
      <c r="D118" s="52"/>
      <c r="E118" s="52"/>
      <c r="F118" s="52"/>
      <c r="G118" s="52"/>
      <c r="H118" s="52"/>
      <c r="I118" s="52"/>
      <c r="J118" s="52" t="s">
        <v>58</v>
      </c>
      <c r="K118" s="49"/>
      <c r="L118" s="53"/>
      <c r="M118" s="54">
        <f t="shared" ref="M118:V118" si="155">M117/L117-1</f>
        <v>3.1015044995169161E-2</v>
      </c>
      <c r="N118" s="54">
        <f t="shared" si="155"/>
        <v>-0.21470872608348968</v>
      </c>
      <c r="O118" s="54">
        <f t="shared" si="155"/>
        <v>1.6659822317161899E-2</v>
      </c>
      <c r="P118" s="54">
        <f t="shared" si="155"/>
        <v>-1.4155562254926757E-2</v>
      </c>
      <c r="Q118" s="54">
        <f t="shared" si="155"/>
        <v>6.0644929035404971E-3</v>
      </c>
      <c r="R118" s="54">
        <f t="shared" si="155"/>
        <v>1.1241645179969062E-2</v>
      </c>
      <c r="S118" s="54">
        <f t="shared" si="155"/>
        <v>8.904171460483612E-3</v>
      </c>
      <c r="T118" s="54">
        <f t="shared" si="155"/>
        <v>3.9656328707187161E-3</v>
      </c>
      <c r="U118" s="54">
        <f t="shared" si="155"/>
        <v>7.6409539624762157E-3</v>
      </c>
      <c r="V118" s="54">
        <f t="shared" si="155"/>
        <v>1.1966400232652052E-2</v>
      </c>
      <c r="W118" s="258"/>
      <c r="X118" s="258"/>
    </row>
    <row r="119" spans="1:26">
      <c r="A119" s="55" t="str">
        <f>Home!$B$1</f>
        <v>Poland</v>
      </c>
      <c r="B119" s="56" t="s">
        <v>94</v>
      </c>
      <c r="C119" s="55" t="s">
        <v>923</v>
      </c>
      <c r="D119" s="57"/>
      <c r="E119" s="57"/>
      <c r="F119" s="57" t="s">
        <v>98</v>
      </c>
      <c r="G119" s="57" t="s">
        <v>15</v>
      </c>
      <c r="H119" s="57" t="s">
        <v>16</v>
      </c>
      <c r="I119" s="57"/>
      <c r="J119" s="55" t="s">
        <v>99</v>
      </c>
      <c r="K119" s="86">
        <v>2004500</v>
      </c>
      <c r="L119" s="267">
        <f>L109</f>
        <v>34900.000000000007</v>
      </c>
      <c r="M119" s="267">
        <f>M109</f>
        <v>34900.000000000007</v>
      </c>
      <c r="N119" s="267">
        <f>N109</f>
        <v>30800</v>
      </c>
      <c r="O119" s="267">
        <f>O109</f>
        <v>33900</v>
      </c>
      <c r="P119" s="267">
        <f>P109</f>
        <v>29600</v>
      </c>
      <c r="Q119" s="264">
        <f>Forecasting!Q105</f>
        <v>28594.674532264191</v>
      </c>
      <c r="R119" s="264">
        <f>Forecasting!R105</f>
        <v>29114.168216573518</v>
      </c>
      <c r="S119" s="264">
        <f>Forecasting!S105</f>
        <v>29535.363141199603</v>
      </c>
      <c r="T119" s="264">
        <f>Forecasting!T105</f>
        <v>30139.856928566503</v>
      </c>
      <c r="U119" s="264">
        <f>Forecasting!U105</f>
        <v>30799.53039068119</v>
      </c>
      <c r="V119" s="264">
        <f>Forecasting!V105</f>
        <v>31530.697459423951</v>
      </c>
      <c r="W119" s="260">
        <f>+(Q119/M119)^(1/4)-1</f>
        <v>-4.8596088299126095E-2</v>
      </c>
      <c r="X119" s="260">
        <f>+(V119/Q119)^(1/5)-1</f>
        <v>1.9740537256371926E-2</v>
      </c>
    </row>
    <row r="120" spans="1:26">
      <c r="A120" s="57"/>
      <c r="B120" s="57"/>
      <c r="C120" s="61" t="s">
        <v>892</v>
      </c>
      <c r="D120" s="61"/>
      <c r="E120" s="61"/>
      <c r="F120" s="61"/>
      <c r="G120" s="61"/>
      <c r="H120" s="61"/>
      <c r="I120" s="61"/>
      <c r="J120" s="61" t="s">
        <v>58</v>
      </c>
      <c r="K120" s="58"/>
      <c r="L120" s="59"/>
      <c r="M120" s="62">
        <f t="shared" ref="M120:V120" si="156">M119/L119-1</f>
        <v>0</v>
      </c>
      <c r="N120" s="62">
        <f t="shared" si="156"/>
        <v>-0.1174785100286535</v>
      </c>
      <c r="O120" s="62">
        <f t="shared" si="156"/>
        <v>0.10064935064935066</v>
      </c>
      <c r="P120" s="62">
        <f t="shared" si="156"/>
        <v>-0.12684365781710916</v>
      </c>
      <c r="Q120" s="62">
        <f t="shared" si="156"/>
        <v>-3.3963698234317885E-2</v>
      </c>
      <c r="R120" s="62">
        <f t="shared" si="156"/>
        <v>1.8167497717911374E-2</v>
      </c>
      <c r="S120" s="62">
        <f t="shared" si="156"/>
        <v>1.4467008691195105E-2</v>
      </c>
      <c r="T120" s="62">
        <f t="shared" si="156"/>
        <v>2.0466780261918505E-2</v>
      </c>
      <c r="U120" s="62">
        <f t="shared" si="156"/>
        <v>2.1887080077326093E-2</v>
      </c>
      <c r="V120" s="62">
        <f t="shared" si="156"/>
        <v>2.3739552501877981E-2</v>
      </c>
      <c r="W120" s="259"/>
      <c r="X120" s="259"/>
    </row>
    <row r="121" spans="1:26">
      <c r="A121" s="55" t="str">
        <f>Home!$B$1</f>
        <v>Poland</v>
      </c>
      <c r="B121" s="56" t="s">
        <v>94</v>
      </c>
      <c r="C121" s="56" t="s">
        <v>97</v>
      </c>
      <c r="D121" s="55" t="s">
        <v>1106</v>
      </c>
      <c r="E121" s="57"/>
      <c r="F121" s="57"/>
      <c r="G121" s="57" t="s">
        <v>15</v>
      </c>
      <c r="H121" s="57" t="s">
        <v>16</v>
      </c>
      <c r="I121" s="57"/>
      <c r="J121" s="57" t="s">
        <v>99</v>
      </c>
      <c r="K121" s="87"/>
      <c r="L121" s="265">
        <f>L143*L$119</f>
        <v>3758.4997754772271</v>
      </c>
      <c r="M121" s="265">
        <f t="shared" ref="M121:P121" si="157">M143*M$119</f>
        <v>3906.7712342331561</v>
      </c>
      <c r="N121" s="265">
        <f t="shared" si="157"/>
        <v>3477.2921928835149</v>
      </c>
      <c r="O121" s="265">
        <f t="shared" si="157"/>
        <v>4179.1960387177396</v>
      </c>
      <c r="P121" s="265">
        <f t="shared" si="157"/>
        <v>3559.8499819108883</v>
      </c>
      <c r="Q121" s="264">
        <f>Forecasting!Q107</f>
        <v>3515.9415394177558</v>
      </c>
      <c r="R121" s="264">
        <f>Forecasting!R107</f>
        <v>3630.8149548460206</v>
      </c>
      <c r="S121" s="264">
        <f>Forecasting!S107</f>
        <v>3739.0013413365764</v>
      </c>
      <c r="T121" s="264">
        <f>Forecasting!T107</f>
        <v>3835.8363508668313</v>
      </c>
      <c r="U121" s="264">
        <f>Forecasting!U107</f>
        <v>3953.3042242673832</v>
      </c>
      <c r="V121" s="264">
        <f>Forecasting!V107</f>
        <v>4069.0070227681658</v>
      </c>
      <c r="W121" s="106">
        <f>+(Q121/M121)^(1/4)-1</f>
        <v>-2.6006819811057014E-2</v>
      </c>
      <c r="X121" s="106">
        <f>+(V121/Q121)^(1/5)-1</f>
        <v>2.964937169159132E-2</v>
      </c>
    </row>
    <row r="122" spans="1:26">
      <c r="A122" s="57"/>
      <c r="B122" s="57"/>
      <c r="C122" s="61" t="s">
        <v>892</v>
      </c>
      <c r="D122" s="61"/>
      <c r="E122" s="61"/>
      <c r="F122" s="61"/>
      <c r="G122" s="61"/>
      <c r="H122" s="61"/>
      <c r="I122" s="61"/>
      <c r="J122" s="61" t="s">
        <v>58</v>
      </c>
      <c r="K122" s="58"/>
      <c r="L122" s="59"/>
      <c r="M122" s="62">
        <f t="shared" ref="M122:V122" si="158">M121/L121-1</f>
        <v>3.9449638848815027E-2</v>
      </c>
      <c r="N122" s="62">
        <f t="shared" si="158"/>
        <v>-0.10993196570772379</v>
      </c>
      <c r="O122" s="62">
        <f t="shared" si="158"/>
        <v>0.20185357079589483</v>
      </c>
      <c r="P122" s="62">
        <f t="shared" si="158"/>
        <v>-0.14819741669665221</v>
      </c>
      <c r="Q122" s="62">
        <f t="shared" si="158"/>
        <v>-1.2334351929505494E-2</v>
      </c>
      <c r="R122" s="62">
        <f t="shared" si="158"/>
        <v>3.267216310066634E-2</v>
      </c>
      <c r="S122" s="62">
        <f t="shared" si="158"/>
        <v>2.9796722729193537E-2</v>
      </c>
      <c r="T122" s="62">
        <f t="shared" si="158"/>
        <v>2.5898629256880579E-2</v>
      </c>
      <c r="U122" s="62">
        <f t="shared" si="158"/>
        <v>3.0623796913026968E-2</v>
      </c>
      <c r="V122" s="62">
        <f t="shared" si="158"/>
        <v>2.9267365205677853E-2</v>
      </c>
      <c r="W122" s="259"/>
      <c r="X122" s="259"/>
    </row>
    <row r="123" spans="1:26">
      <c r="A123" s="55" t="str">
        <f>Home!$B$1</f>
        <v>Poland</v>
      </c>
      <c r="B123" s="56" t="s">
        <v>94</v>
      </c>
      <c r="C123" s="56" t="s">
        <v>97</v>
      </c>
      <c r="D123" s="55" t="s">
        <v>1104</v>
      </c>
      <c r="E123" s="57"/>
      <c r="F123" s="57"/>
      <c r="G123" s="57" t="s">
        <v>15</v>
      </c>
      <c r="H123" s="57" t="s">
        <v>16</v>
      </c>
      <c r="I123" s="57"/>
      <c r="J123" s="57" t="s">
        <v>99</v>
      </c>
      <c r="K123" s="58"/>
      <c r="L123" s="265">
        <f t="shared" ref="L123:P123" si="159">L145*L$119</f>
        <v>7319.0927563144232</v>
      </c>
      <c r="M123" s="265">
        <f t="shared" si="159"/>
        <v>7236.7391951344089</v>
      </c>
      <c r="N123" s="265">
        <f t="shared" si="159"/>
        <v>6681.2813566518143</v>
      </c>
      <c r="O123" s="265">
        <f t="shared" si="159"/>
        <v>7284.2875895539455</v>
      </c>
      <c r="P123" s="265">
        <f t="shared" si="159"/>
        <v>6500.2888992257967</v>
      </c>
      <c r="Q123" s="264">
        <f>Forecasting!Q109</f>
        <v>6337.7124241215088</v>
      </c>
      <c r="R123" s="264">
        <f>Forecasting!R109</f>
        <v>6517.8697430052389</v>
      </c>
      <c r="S123" s="264">
        <f>Forecasting!S109</f>
        <v>6638.8481829601005</v>
      </c>
      <c r="T123" s="264">
        <f>Forecasting!T109</f>
        <v>6813.0860313803923</v>
      </c>
      <c r="U123" s="264">
        <f>Forecasting!U109</f>
        <v>6967.2572895884678</v>
      </c>
      <c r="V123" s="264">
        <f>Forecasting!V109</f>
        <v>7154.5652213737103</v>
      </c>
      <c r="W123" s="106">
        <f>+(Q123/M123)^(1/4)-1</f>
        <v>-3.2619337214365496E-2</v>
      </c>
      <c r="X123" s="106">
        <f>+(V123/Q123)^(1/5)-1</f>
        <v>2.4542889544804769E-2</v>
      </c>
    </row>
    <row r="124" spans="1:26">
      <c r="A124" s="57"/>
      <c r="B124" s="57"/>
      <c r="C124" s="61" t="s">
        <v>892</v>
      </c>
      <c r="D124" s="61"/>
      <c r="E124" s="61"/>
      <c r="F124" s="61"/>
      <c r="G124" s="61"/>
      <c r="H124" s="61"/>
      <c r="I124" s="61"/>
      <c r="J124" s="61" t="s">
        <v>58</v>
      </c>
      <c r="K124" s="58"/>
      <c r="L124" s="59"/>
      <c r="M124" s="62">
        <f t="shared" ref="M124:V124" si="160">M123/L123-1</f>
        <v>-1.1251881062576352E-2</v>
      </c>
      <c r="N124" s="62">
        <f t="shared" si="160"/>
        <v>-7.675526552843781E-2</v>
      </c>
      <c r="O124" s="62">
        <f t="shared" si="160"/>
        <v>9.0253081813683078E-2</v>
      </c>
      <c r="P124" s="62">
        <f t="shared" si="160"/>
        <v>-0.10762873935022066</v>
      </c>
      <c r="Q124" s="62">
        <f t="shared" si="160"/>
        <v>-2.5010653776273095E-2</v>
      </c>
      <c r="R124" s="62">
        <f t="shared" si="160"/>
        <v>2.8426237548748068E-2</v>
      </c>
      <c r="S124" s="62">
        <f t="shared" si="160"/>
        <v>1.8561039837393434E-2</v>
      </c>
      <c r="T124" s="62">
        <f t="shared" si="160"/>
        <v>2.6245192481959112E-2</v>
      </c>
      <c r="U124" s="62">
        <f t="shared" si="160"/>
        <v>2.2628696819323668E-2</v>
      </c>
      <c r="V124" s="62">
        <f t="shared" si="160"/>
        <v>2.6884026812838746E-2</v>
      </c>
      <c r="W124" s="259"/>
      <c r="X124" s="259"/>
    </row>
    <row r="125" spans="1:26">
      <c r="A125" s="55" t="str">
        <f>Home!$B$1</f>
        <v>Poland</v>
      </c>
      <c r="B125" s="56" t="s">
        <v>94</v>
      </c>
      <c r="C125" s="56" t="s">
        <v>97</v>
      </c>
      <c r="D125" s="55" t="s">
        <v>1102</v>
      </c>
      <c r="E125" s="57"/>
      <c r="F125" s="57"/>
      <c r="G125" s="57" t="s">
        <v>15</v>
      </c>
      <c r="H125" s="57" t="s">
        <v>16</v>
      </c>
      <c r="I125" s="57"/>
      <c r="J125" s="57" t="s">
        <v>99</v>
      </c>
      <c r="K125" s="58"/>
      <c r="L125" s="265">
        <f t="shared" ref="L125:P125" si="161">L147*L$119</f>
        <v>3746.6259384277582</v>
      </c>
      <c r="M125" s="265">
        <f t="shared" si="161"/>
        <v>3729.1647121861747</v>
      </c>
      <c r="N125" s="265">
        <f t="shared" si="161"/>
        <v>3460.8994371801132</v>
      </c>
      <c r="O125" s="265">
        <f t="shared" si="161"/>
        <v>3946.62253895099</v>
      </c>
      <c r="P125" s="265">
        <f t="shared" si="161"/>
        <v>3336.8848501060297</v>
      </c>
      <c r="Q125" s="264">
        <f>Forecasting!Q111</f>
        <v>3255.2681240661905</v>
      </c>
      <c r="R125" s="264">
        <f>Forecasting!R111</f>
        <v>3356.7405689147668</v>
      </c>
      <c r="S125" s="264">
        <f>Forecasting!S111</f>
        <v>3422.8838841566112</v>
      </c>
      <c r="T125" s="264">
        <f>Forecasting!T111</f>
        <v>3493.7334891804139</v>
      </c>
      <c r="U125" s="264">
        <f>Forecasting!U111</f>
        <v>3590.1631058826051</v>
      </c>
      <c r="V125" s="264">
        <f>Forecasting!V111</f>
        <v>3692.8236646489363</v>
      </c>
      <c r="W125" s="106">
        <f>+(Q125/M125)^(1/4)-1</f>
        <v>-3.3406656779354393E-2</v>
      </c>
      <c r="X125" s="106">
        <f>+(V125/Q125)^(1/5)-1</f>
        <v>2.5544148374108344E-2</v>
      </c>
    </row>
    <row r="126" spans="1:26">
      <c r="A126" s="57"/>
      <c r="B126" s="57"/>
      <c r="C126" s="61" t="s">
        <v>892</v>
      </c>
      <c r="D126" s="61"/>
      <c r="E126" s="61"/>
      <c r="F126" s="61"/>
      <c r="G126" s="61"/>
      <c r="H126" s="61"/>
      <c r="I126" s="61"/>
      <c r="J126" s="61" t="s">
        <v>58</v>
      </c>
      <c r="K126" s="58"/>
      <c r="L126" s="59"/>
      <c r="M126" s="62">
        <f t="shared" ref="M126:V126" si="162">M125/L125-1</f>
        <v>-4.6605202997422879E-3</v>
      </c>
      <c r="N126" s="62">
        <f t="shared" si="162"/>
        <v>-7.1937094687564596E-2</v>
      </c>
      <c r="O126" s="62">
        <f t="shared" si="162"/>
        <v>0.14034591602194491</v>
      </c>
      <c r="P126" s="62">
        <f t="shared" si="162"/>
        <v>-0.15449607425771916</v>
      </c>
      <c r="Q126" s="62">
        <f t="shared" si="162"/>
        <v>-2.4458957892192768E-2</v>
      </c>
      <c r="R126" s="62">
        <f t="shared" si="162"/>
        <v>3.1171762503491074E-2</v>
      </c>
      <c r="S126" s="62">
        <f t="shared" si="162"/>
        <v>1.9704625330407621E-2</v>
      </c>
      <c r="T126" s="62">
        <f t="shared" si="162"/>
        <v>2.0698804698500606E-2</v>
      </c>
      <c r="U126" s="62">
        <f t="shared" si="162"/>
        <v>2.7600736289937311E-2</v>
      </c>
      <c r="V126" s="62">
        <f t="shared" si="162"/>
        <v>2.8594956757847179E-2</v>
      </c>
      <c r="W126" s="259"/>
      <c r="X126" s="259"/>
    </row>
    <row r="127" spans="1:26">
      <c r="A127" s="55" t="str">
        <f>Home!$B$1</f>
        <v>Poland</v>
      </c>
      <c r="B127" s="56" t="s">
        <v>94</v>
      </c>
      <c r="C127" s="56" t="s">
        <v>97</v>
      </c>
      <c r="D127" s="55" t="s">
        <v>1100</v>
      </c>
      <c r="E127" s="57"/>
      <c r="F127" s="57"/>
      <c r="G127" s="57" t="s">
        <v>15</v>
      </c>
      <c r="H127" s="57" t="s">
        <v>16</v>
      </c>
      <c r="I127" s="57"/>
      <c r="J127" s="57" t="s">
        <v>99</v>
      </c>
      <c r="K127" s="58"/>
      <c r="L127" s="265">
        <f t="shared" ref="L127:P127" si="163">L149*L$119</f>
        <v>8636.9460115721795</v>
      </c>
      <c r="M127" s="265">
        <f t="shared" si="163"/>
        <v>8800.1261289498598</v>
      </c>
      <c r="N127" s="265">
        <f t="shared" si="163"/>
        <v>7560.465899826957</v>
      </c>
      <c r="O127" s="265">
        <f t="shared" si="163"/>
        <v>8238.0307155684495</v>
      </c>
      <c r="P127" s="265">
        <f t="shared" si="163"/>
        <v>7193.3659888029979</v>
      </c>
      <c r="Q127" s="264">
        <f>Forecasting!Q113</f>
        <v>6923.8468909623844</v>
      </c>
      <c r="R127" s="264">
        <f>Forecasting!R113</f>
        <v>6992.7825652383262</v>
      </c>
      <c r="S127" s="264">
        <f>Forecasting!S113</f>
        <v>7063.1518165380239</v>
      </c>
      <c r="T127" s="264">
        <f>Forecasting!T113</f>
        <v>7208.0003010497539</v>
      </c>
      <c r="U127" s="264">
        <f>Forecasting!U113</f>
        <v>7342.1777849117352</v>
      </c>
      <c r="V127" s="264">
        <f>Forecasting!V113</f>
        <v>7504.7637199867886</v>
      </c>
      <c r="W127" s="106">
        <f>+(Q127/M127)^(1/4)-1</f>
        <v>-5.8187089071490949E-2</v>
      </c>
      <c r="X127" s="106">
        <f>+(V127/Q127)^(1/5)-1</f>
        <v>1.6243810631424438E-2</v>
      </c>
    </row>
    <row r="128" spans="1:26">
      <c r="A128" s="57"/>
      <c r="B128" s="57"/>
      <c r="C128" s="61" t="s">
        <v>892</v>
      </c>
      <c r="D128" s="61"/>
      <c r="E128" s="61"/>
      <c r="F128" s="61"/>
      <c r="G128" s="61"/>
      <c r="H128" s="61"/>
      <c r="I128" s="61"/>
      <c r="J128" s="61" t="s">
        <v>58</v>
      </c>
      <c r="K128" s="58"/>
      <c r="L128" s="59"/>
      <c r="M128" s="62">
        <f t="shared" ref="M128:V128" si="164">M127/L127-1</f>
        <v>1.8893265878823895E-2</v>
      </c>
      <c r="N128" s="62">
        <f t="shared" si="164"/>
        <v>-0.14086846153770238</v>
      </c>
      <c r="O128" s="62">
        <f t="shared" si="164"/>
        <v>8.9619452652646814E-2</v>
      </c>
      <c r="P128" s="62">
        <f t="shared" si="164"/>
        <v>-0.12681000627871131</v>
      </c>
      <c r="Q128" s="62">
        <f t="shared" si="164"/>
        <v>-3.7467730442207414E-2</v>
      </c>
      <c r="R128" s="62">
        <f t="shared" si="164"/>
        <v>9.9562678611397892E-3</v>
      </c>
      <c r="S128" s="62">
        <f t="shared" si="164"/>
        <v>1.0063125893476021E-2</v>
      </c>
      <c r="T128" s="62">
        <f t="shared" si="164"/>
        <v>2.0507627228480985E-2</v>
      </c>
      <c r="U128" s="62">
        <f t="shared" si="164"/>
        <v>1.8615077449766426E-2</v>
      </c>
      <c r="V128" s="62">
        <f t="shared" si="164"/>
        <v>2.2144102177581448E-2</v>
      </c>
      <c r="W128" s="259"/>
      <c r="X128" s="259"/>
    </row>
    <row r="129" spans="1:28">
      <c r="A129" s="55" t="str">
        <f>Home!$B$1</f>
        <v>Poland</v>
      </c>
      <c r="B129" s="56" t="s">
        <v>94</v>
      </c>
      <c r="C129" s="56" t="s">
        <v>97</v>
      </c>
      <c r="D129" s="55" t="s">
        <v>1096</v>
      </c>
      <c r="E129" s="57"/>
      <c r="F129" s="57"/>
      <c r="G129" s="57" t="s">
        <v>15</v>
      </c>
      <c r="H129" s="57" t="s">
        <v>16</v>
      </c>
      <c r="I129" s="57"/>
      <c r="J129" s="57" t="s">
        <v>99</v>
      </c>
      <c r="K129" s="58"/>
      <c r="L129" s="265">
        <f t="shared" ref="L129:P129" si="165">L151*L$119</f>
        <v>3524.6948731642765</v>
      </c>
      <c r="M129" s="265">
        <f t="shared" si="165"/>
        <v>3481.48224960165</v>
      </c>
      <c r="N129" s="265">
        <f t="shared" si="165"/>
        <v>2934.4002614366418</v>
      </c>
      <c r="O129" s="265">
        <f t="shared" si="165"/>
        <v>3171.5062806147207</v>
      </c>
      <c r="P129" s="265">
        <f t="shared" si="165"/>
        <v>2836.9273213162082</v>
      </c>
      <c r="Q129" s="264">
        <f>Forecasting!Q115</f>
        <v>2712.0625710117288</v>
      </c>
      <c r="R129" s="264">
        <f>Forecasting!R115</f>
        <v>2733.6294213978658</v>
      </c>
      <c r="S129" s="264">
        <f>Forecasting!S115</f>
        <v>2761.0664522126117</v>
      </c>
      <c r="T129" s="264">
        <f>Forecasting!T115</f>
        <v>2811.6657714775433</v>
      </c>
      <c r="U129" s="264">
        <f>Forecasting!U115</f>
        <v>2853.8628916128187</v>
      </c>
      <c r="V129" s="264">
        <f>Forecasting!V115</f>
        <v>2909.7264943179284</v>
      </c>
      <c r="W129" s="106">
        <f>+(Q129/M129)^(1/4)-1</f>
        <v>-6.052791557410786E-2</v>
      </c>
      <c r="X129" s="106">
        <f>+(V129/Q129)^(1/5)-1</f>
        <v>1.4169376682476198E-2</v>
      </c>
    </row>
    <row r="130" spans="1:28">
      <c r="A130" s="57"/>
      <c r="B130" s="57"/>
      <c r="C130" s="61" t="s">
        <v>892</v>
      </c>
      <c r="D130" s="61"/>
      <c r="E130" s="61"/>
      <c r="F130" s="61"/>
      <c r="G130" s="61"/>
      <c r="H130" s="61"/>
      <c r="I130" s="61"/>
      <c r="J130" s="61" t="s">
        <v>58</v>
      </c>
      <c r="K130" s="58"/>
      <c r="L130" s="59"/>
      <c r="M130" s="62">
        <f t="shared" ref="M130:V130" si="166">M129/L129-1</f>
        <v>-1.2259961533587327E-2</v>
      </c>
      <c r="N130" s="62">
        <f t="shared" si="166"/>
        <v>-0.15714053639871495</v>
      </c>
      <c r="O130" s="62">
        <f t="shared" si="166"/>
        <v>8.0802207624530054E-2</v>
      </c>
      <c r="P130" s="62">
        <f t="shared" si="166"/>
        <v>-0.10549528510902473</v>
      </c>
      <c r="Q130" s="62">
        <f t="shared" si="166"/>
        <v>-4.4014081491008272E-2</v>
      </c>
      <c r="R130" s="62">
        <f t="shared" si="166"/>
        <v>7.9521949886618426E-3</v>
      </c>
      <c r="S130" s="62">
        <f t="shared" si="166"/>
        <v>1.0036850862073177E-2</v>
      </c>
      <c r="T130" s="62">
        <f t="shared" si="166"/>
        <v>1.8326005599895501E-2</v>
      </c>
      <c r="U130" s="62">
        <f t="shared" si="166"/>
        <v>1.5007872046292503E-2</v>
      </c>
      <c r="V130" s="62">
        <f t="shared" si="166"/>
        <v>1.9574732503543357E-2</v>
      </c>
      <c r="W130" s="259"/>
      <c r="X130" s="259"/>
    </row>
    <row r="131" spans="1:28">
      <c r="A131" s="55" t="str">
        <f>Home!$B$1</f>
        <v>Poland</v>
      </c>
      <c r="B131" s="56" t="s">
        <v>94</v>
      </c>
      <c r="C131" s="56" t="s">
        <v>97</v>
      </c>
      <c r="D131" s="55" t="s">
        <v>1093</v>
      </c>
      <c r="E131" s="57"/>
      <c r="F131" s="57"/>
      <c r="G131" s="57" t="s">
        <v>15</v>
      </c>
      <c r="H131" s="57" t="s">
        <v>16</v>
      </c>
      <c r="I131" s="57"/>
      <c r="J131" s="57" t="s">
        <v>99</v>
      </c>
      <c r="K131" s="58"/>
      <c r="L131" s="265">
        <f t="shared" ref="L131:P131" si="167">L153*L$119</f>
        <v>7914.1406450441445</v>
      </c>
      <c r="M131" s="265">
        <f t="shared" si="167"/>
        <v>7745.7164798947597</v>
      </c>
      <c r="N131" s="265">
        <f t="shared" si="167"/>
        <v>6685.6608520209584</v>
      </c>
      <c r="O131" s="265">
        <f t="shared" si="167"/>
        <v>7080.3568365941592</v>
      </c>
      <c r="P131" s="265">
        <f t="shared" si="167"/>
        <v>6172.6829586380773</v>
      </c>
      <c r="Q131" s="264">
        <f>Forecasting!Q117</f>
        <v>5849.8429826846223</v>
      </c>
      <c r="R131" s="264">
        <f>Forecasting!R117</f>
        <v>5882.3309631713018</v>
      </c>
      <c r="S131" s="264">
        <f>Forecasting!S117</f>
        <v>5910.4114639956824</v>
      </c>
      <c r="T131" s="264">
        <f>Forecasting!T117</f>
        <v>5977.5349846115714</v>
      </c>
      <c r="U131" s="264">
        <f>Forecasting!U117</f>
        <v>6092.7650944181805</v>
      </c>
      <c r="V131" s="264">
        <f>Forecasting!V117</f>
        <v>6199.811336328421</v>
      </c>
      <c r="W131" s="106">
        <f>+(Q131/M131)^(1/4)-1</f>
        <v>-6.7775197976605694E-2</v>
      </c>
      <c r="X131" s="106">
        <f>+(V131/Q131)^(1/5)-1</f>
        <v>1.1688592235932216E-2</v>
      </c>
    </row>
    <row r="132" spans="1:28">
      <c r="A132" s="57"/>
      <c r="B132" s="57"/>
      <c r="C132" s="61" t="s">
        <v>892</v>
      </c>
      <c r="D132" s="61"/>
      <c r="E132" s="61"/>
      <c r="F132" s="61"/>
      <c r="G132" s="61"/>
      <c r="H132" s="61"/>
      <c r="I132" s="61"/>
      <c r="J132" s="61" t="s">
        <v>58</v>
      </c>
      <c r="K132" s="58"/>
      <c r="L132" s="59"/>
      <c r="M132" s="62">
        <f t="shared" ref="M132:V132" si="168">M131/L131-1</f>
        <v>-2.128142178707082E-2</v>
      </c>
      <c r="N132" s="62">
        <f t="shared" si="168"/>
        <v>-0.13685701388959237</v>
      </c>
      <c r="O132" s="62">
        <f t="shared" si="168"/>
        <v>5.9036196018511955E-2</v>
      </c>
      <c r="P132" s="62">
        <f t="shared" si="168"/>
        <v>-0.1281960639702302</v>
      </c>
      <c r="Q132" s="62">
        <f t="shared" si="168"/>
        <v>-5.2301402504671191E-2</v>
      </c>
      <c r="R132" s="62">
        <f t="shared" si="168"/>
        <v>5.5536500010073819E-3</v>
      </c>
      <c r="S132" s="62">
        <f t="shared" si="168"/>
        <v>4.7737029759444827E-3</v>
      </c>
      <c r="T132" s="62">
        <f t="shared" si="168"/>
        <v>1.1356827020383209E-2</v>
      </c>
      <c r="U132" s="62">
        <f t="shared" si="168"/>
        <v>1.9277195382922052E-2</v>
      </c>
      <c r="V132" s="62">
        <f t="shared" si="168"/>
        <v>1.7569402439018944E-2</v>
      </c>
      <c r="W132" s="259"/>
      <c r="X132" s="259"/>
    </row>
    <row r="133" spans="1:28" hidden="1">
      <c r="A133" s="55" t="str">
        <f>Home!$B$1</f>
        <v>Poland</v>
      </c>
      <c r="B133" s="56" t="s">
        <v>94</v>
      </c>
      <c r="C133" s="56" t="s">
        <v>97</v>
      </c>
      <c r="D133" s="55" t="s">
        <v>106</v>
      </c>
      <c r="E133" s="57"/>
      <c r="F133" s="57"/>
      <c r="G133" s="57" t="s">
        <v>15</v>
      </c>
      <c r="H133" s="57" t="s">
        <v>16</v>
      </c>
      <c r="I133" s="57"/>
      <c r="J133" s="57" t="s">
        <v>99</v>
      </c>
      <c r="K133" s="58"/>
      <c r="L133" s="59"/>
      <c r="M133" s="59"/>
      <c r="N133" s="59"/>
      <c r="O133" s="59"/>
      <c r="P133" s="59"/>
      <c r="Q133" s="110"/>
      <c r="R133" s="110"/>
      <c r="S133" s="110"/>
      <c r="T133" s="110"/>
      <c r="U133" s="110"/>
      <c r="V133" s="110"/>
      <c r="W133" s="106" t="e">
        <f>+(Q133/M133)^(1/4)-1</f>
        <v>#DIV/0!</v>
      </c>
      <c r="X133" s="106" t="e">
        <f>+(V133/Q133)^(1/5)-1</f>
        <v>#DIV/0!</v>
      </c>
    </row>
    <row r="134" spans="1:28" hidden="1">
      <c r="A134" s="57"/>
      <c r="B134" s="57"/>
      <c r="C134" s="61" t="s">
        <v>892</v>
      </c>
      <c r="D134" s="61"/>
      <c r="E134" s="61"/>
      <c r="F134" s="61"/>
      <c r="G134" s="61"/>
      <c r="H134" s="61"/>
      <c r="I134" s="61"/>
      <c r="J134" s="61" t="s">
        <v>58</v>
      </c>
      <c r="K134" s="58"/>
      <c r="L134" s="59"/>
      <c r="M134" s="62" t="e">
        <f t="shared" ref="M134:V134" si="169">M133/L133-1</f>
        <v>#DIV/0!</v>
      </c>
      <c r="N134" s="62" t="e">
        <f t="shared" si="169"/>
        <v>#DIV/0!</v>
      </c>
      <c r="O134" s="62" t="e">
        <f t="shared" si="169"/>
        <v>#DIV/0!</v>
      </c>
      <c r="P134" s="62" t="e">
        <f t="shared" si="169"/>
        <v>#DIV/0!</v>
      </c>
      <c r="Q134" s="62" t="e">
        <f t="shared" si="169"/>
        <v>#DIV/0!</v>
      </c>
      <c r="R134" s="62" t="e">
        <f t="shared" si="169"/>
        <v>#DIV/0!</v>
      </c>
      <c r="S134" s="62" t="e">
        <f t="shared" si="169"/>
        <v>#DIV/0!</v>
      </c>
      <c r="T134" s="62" t="e">
        <f t="shared" si="169"/>
        <v>#DIV/0!</v>
      </c>
      <c r="U134" s="62" t="e">
        <f t="shared" si="169"/>
        <v>#DIV/0!</v>
      </c>
      <c r="V134" s="62" t="e">
        <f t="shared" si="169"/>
        <v>#DIV/0!</v>
      </c>
      <c r="W134" s="259"/>
      <c r="X134" s="259"/>
    </row>
    <row r="135" spans="1:28" hidden="1">
      <c r="A135" s="55" t="str">
        <f>Home!$B$1</f>
        <v>Poland</v>
      </c>
      <c r="B135" s="56" t="s">
        <v>94</v>
      </c>
      <c r="C135" s="56" t="s">
        <v>97</v>
      </c>
      <c r="D135" s="55" t="s">
        <v>107</v>
      </c>
      <c r="E135" s="57"/>
      <c r="F135" s="57"/>
      <c r="G135" s="57" t="s">
        <v>15</v>
      </c>
      <c r="H135" s="57" t="s">
        <v>16</v>
      </c>
      <c r="I135" s="57"/>
      <c r="J135" s="57" t="s">
        <v>99</v>
      </c>
      <c r="K135" s="58"/>
      <c r="L135" s="59"/>
      <c r="M135" s="59"/>
      <c r="N135" s="59"/>
      <c r="O135" s="59"/>
      <c r="P135" s="59"/>
      <c r="Q135" s="110"/>
      <c r="R135" s="110"/>
      <c r="S135" s="110"/>
      <c r="T135" s="110"/>
      <c r="U135" s="110"/>
      <c r="V135" s="110"/>
      <c r="W135" s="106" t="e">
        <f>+(Q135/M135)^(1/4)-1</f>
        <v>#DIV/0!</v>
      </c>
      <c r="X135" s="106" t="e">
        <f>+(V135/Q135)^(1/5)-1</f>
        <v>#DIV/0!</v>
      </c>
    </row>
    <row r="136" spans="1:28" hidden="1">
      <c r="A136" s="57"/>
      <c r="B136" s="57"/>
      <c r="C136" s="61" t="s">
        <v>892</v>
      </c>
      <c r="D136" s="61"/>
      <c r="E136" s="61"/>
      <c r="F136" s="61"/>
      <c r="G136" s="61"/>
      <c r="H136" s="61"/>
      <c r="I136" s="61"/>
      <c r="J136" s="61" t="s">
        <v>58</v>
      </c>
      <c r="K136" s="58"/>
      <c r="L136" s="59"/>
      <c r="M136" s="62" t="e">
        <f t="shared" ref="M136:V136" si="170">M135/L135-1</f>
        <v>#DIV/0!</v>
      </c>
      <c r="N136" s="62" t="e">
        <f t="shared" si="170"/>
        <v>#DIV/0!</v>
      </c>
      <c r="O136" s="62" t="e">
        <f t="shared" si="170"/>
        <v>#DIV/0!</v>
      </c>
      <c r="P136" s="62" t="e">
        <f t="shared" si="170"/>
        <v>#DIV/0!</v>
      </c>
      <c r="Q136" s="62" t="e">
        <f t="shared" si="170"/>
        <v>#DIV/0!</v>
      </c>
      <c r="R136" s="62" t="e">
        <f t="shared" si="170"/>
        <v>#DIV/0!</v>
      </c>
      <c r="S136" s="62" t="e">
        <f t="shared" si="170"/>
        <v>#DIV/0!</v>
      </c>
      <c r="T136" s="62" t="e">
        <f t="shared" si="170"/>
        <v>#DIV/0!</v>
      </c>
      <c r="U136" s="62" t="e">
        <f t="shared" si="170"/>
        <v>#DIV/0!</v>
      </c>
      <c r="V136" s="62" t="e">
        <f t="shared" si="170"/>
        <v>#DIV/0!</v>
      </c>
      <c r="W136" s="259"/>
      <c r="X136" s="259"/>
    </row>
    <row r="137" spans="1:28" hidden="1">
      <c r="A137" s="55" t="str">
        <f>Home!$B$1</f>
        <v>Poland</v>
      </c>
      <c r="B137" s="56" t="s">
        <v>94</v>
      </c>
      <c r="C137" s="56" t="s">
        <v>97</v>
      </c>
      <c r="D137" s="55" t="s">
        <v>108</v>
      </c>
      <c r="E137" s="57"/>
      <c r="F137" s="57"/>
      <c r="G137" s="57" t="s">
        <v>15</v>
      </c>
      <c r="H137" s="57" t="s">
        <v>16</v>
      </c>
      <c r="I137" s="57"/>
      <c r="J137" s="57" t="s">
        <v>99</v>
      </c>
      <c r="K137" s="58"/>
      <c r="L137" s="59"/>
      <c r="M137" s="59"/>
      <c r="N137" s="59"/>
      <c r="O137" s="59"/>
      <c r="P137" s="59"/>
      <c r="Q137" s="110"/>
      <c r="R137" s="110"/>
      <c r="S137" s="110"/>
      <c r="T137" s="110"/>
      <c r="U137" s="110"/>
      <c r="V137" s="110"/>
      <c r="W137" s="106" t="e">
        <f>+(Q137/M137)^(1/4)-1</f>
        <v>#DIV/0!</v>
      </c>
      <c r="X137" s="106" t="e">
        <f>+(V137/Q137)^(1/5)-1</f>
        <v>#DIV/0!</v>
      </c>
    </row>
    <row r="138" spans="1:28" hidden="1">
      <c r="A138" s="57"/>
      <c r="B138" s="57"/>
      <c r="C138" s="61" t="s">
        <v>892</v>
      </c>
      <c r="D138" s="61"/>
      <c r="E138" s="61"/>
      <c r="F138" s="61"/>
      <c r="G138" s="61"/>
      <c r="H138" s="61"/>
      <c r="I138" s="61"/>
      <c r="J138" s="61" t="s">
        <v>58</v>
      </c>
      <c r="K138" s="58"/>
      <c r="L138" s="59"/>
      <c r="M138" s="62" t="e">
        <f t="shared" ref="M138:V138" si="171">M137/L137-1</f>
        <v>#DIV/0!</v>
      </c>
      <c r="N138" s="62" t="e">
        <f t="shared" si="171"/>
        <v>#DIV/0!</v>
      </c>
      <c r="O138" s="62" t="e">
        <f t="shared" si="171"/>
        <v>#DIV/0!</v>
      </c>
      <c r="P138" s="62" t="e">
        <f t="shared" si="171"/>
        <v>#DIV/0!</v>
      </c>
      <c r="Q138" s="62" t="e">
        <f t="shared" si="171"/>
        <v>#DIV/0!</v>
      </c>
      <c r="R138" s="62" t="e">
        <f t="shared" si="171"/>
        <v>#DIV/0!</v>
      </c>
      <c r="S138" s="62" t="e">
        <f t="shared" si="171"/>
        <v>#DIV/0!</v>
      </c>
      <c r="T138" s="62" t="e">
        <f t="shared" si="171"/>
        <v>#DIV/0!</v>
      </c>
      <c r="U138" s="62" t="e">
        <f t="shared" si="171"/>
        <v>#DIV/0!</v>
      </c>
      <c r="V138" s="62" t="e">
        <f t="shared" si="171"/>
        <v>#DIV/0!</v>
      </c>
      <c r="W138" s="259"/>
      <c r="X138" s="259"/>
    </row>
    <row r="139" spans="1:28" hidden="1">
      <c r="A139" s="55" t="str">
        <f>Home!$B$1</f>
        <v>Poland</v>
      </c>
      <c r="B139" s="56" t="s">
        <v>94</v>
      </c>
      <c r="C139" s="56" t="s">
        <v>97</v>
      </c>
      <c r="D139" s="55" t="s">
        <v>109</v>
      </c>
      <c r="E139" s="57"/>
      <c r="F139" s="57"/>
      <c r="G139" s="57" t="s">
        <v>15</v>
      </c>
      <c r="H139" s="57" t="s">
        <v>16</v>
      </c>
      <c r="I139" s="57"/>
      <c r="J139" s="57" t="s">
        <v>99</v>
      </c>
      <c r="K139" s="58"/>
      <c r="L139" s="59"/>
      <c r="M139" s="59"/>
      <c r="N139" s="59"/>
      <c r="O139" s="59"/>
      <c r="P139" s="59"/>
      <c r="Q139" s="110"/>
      <c r="R139" s="110"/>
      <c r="S139" s="110"/>
      <c r="T139" s="110"/>
      <c r="U139" s="110"/>
      <c r="V139" s="110"/>
      <c r="W139" s="106" t="e">
        <f>+(Q139/M139)^(1/4)-1</f>
        <v>#DIV/0!</v>
      </c>
      <c r="X139" s="106" t="e">
        <f>+(V139/Q139)^(1/5)-1</f>
        <v>#DIV/0!</v>
      </c>
    </row>
    <row r="140" spans="1:28" hidden="1">
      <c r="A140" s="57"/>
      <c r="B140" s="57"/>
      <c r="C140" s="61" t="s">
        <v>892</v>
      </c>
      <c r="D140" s="61"/>
      <c r="E140" s="61"/>
      <c r="F140" s="61"/>
      <c r="G140" s="61"/>
      <c r="H140" s="61"/>
      <c r="I140" s="61"/>
      <c r="J140" s="61" t="s">
        <v>58</v>
      </c>
      <c r="K140" s="58"/>
      <c r="L140" s="59"/>
      <c r="M140" s="62" t="e">
        <f t="shared" ref="M140:V140" si="172">M139/L139-1</f>
        <v>#DIV/0!</v>
      </c>
      <c r="N140" s="62" t="e">
        <f t="shared" si="172"/>
        <v>#DIV/0!</v>
      </c>
      <c r="O140" s="62" t="e">
        <f t="shared" si="172"/>
        <v>#DIV/0!</v>
      </c>
      <c r="P140" s="62" t="e">
        <f t="shared" si="172"/>
        <v>#DIV/0!</v>
      </c>
      <c r="Q140" s="62" t="e">
        <f t="shared" si="172"/>
        <v>#DIV/0!</v>
      </c>
      <c r="R140" s="62" t="e">
        <f t="shared" si="172"/>
        <v>#DIV/0!</v>
      </c>
      <c r="S140" s="62" t="e">
        <f t="shared" si="172"/>
        <v>#DIV/0!</v>
      </c>
      <c r="T140" s="62" t="e">
        <f t="shared" si="172"/>
        <v>#DIV/0!</v>
      </c>
      <c r="U140" s="62" t="e">
        <f t="shared" si="172"/>
        <v>#DIV/0!</v>
      </c>
      <c r="V140" s="62" t="e">
        <f t="shared" si="172"/>
        <v>#DIV/0!</v>
      </c>
      <c r="W140" s="259"/>
      <c r="X140" s="259"/>
    </row>
    <row r="141" spans="1:28" hidden="1">
      <c r="A141" s="55" t="str">
        <f>Home!$B$1</f>
        <v>Poland</v>
      </c>
      <c r="B141" s="56" t="s">
        <v>94</v>
      </c>
      <c r="C141" s="56" t="s">
        <v>97</v>
      </c>
      <c r="D141" s="55" t="s">
        <v>110</v>
      </c>
      <c r="E141" s="57"/>
      <c r="F141" s="57"/>
      <c r="G141" s="57" t="s">
        <v>15</v>
      </c>
      <c r="H141" s="57" t="s">
        <v>16</v>
      </c>
      <c r="I141" s="57"/>
      <c r="J141" s="57" t="s">
        <v>99</v>
      </c>
      <c r="K141" s="58"/>
      <c r="L141" s="59">
        <f>L119-SUM(L121,L123,L125,L127,L129,L131)</f>
        <v>0</v>
      </c>
      <c r="M141" s="59">
        <f t="shared" ref="M141:P141" si="173">M119-SUM(M121,M123,M125,M127,M129,M131)</f>
        <v>0</v>
      </c>
      <c r="N141" s="59">
        <f t="shared" si="173"/>
        <v>0</v>
      </c>
      <c r="O141" s="59">
        <f t="shared" si="173"/>
        <v>0</v>
      </c>
      <c r="P141" s="59">
        <f t="shared" si="173"/>
        <v>0</v>
      </c>
      <c r="Q141" s="110"/>
      <c r="R141" s="110"/>
      <c r="S141" s="110"/>
      <c r="T141" s="110"/>
      <c r="U141" s="110"/>
      <c r="V141" s="110"/>
      <c r="W141" s="106" t="e">
        <f>+(Q141/M141)^(1/4)-1</f>
        <v>#DIV/0!</v>
      </c>
      <c r="X141" s="106" t="e">
        <f>+(V141/Q141)^(1/5)-1</f>
        <v>#DIV/0!</v>
      </c>
    </row>
    <row r="142" spans="1:28" hidden="1">
      <c r="A142" s="57"/>
      <c r="B142" s="57"/>
      <c r="C142" s="61" t="s">
        <v>892</v>
      </c>
      <c r="D142" s="61"/>
      <c r="E142" s="61"/>
      <c r="F142" s="61"/>
      <c r="G142" s="61"/>
      <c r="H142" s="61"/>
      <c r="I142" s="61"/>
      <c r="J142" s="61" t="s">
        <v>58</v>
      </c>
      <c r="K142" s="58"/>
      <c r="L142" s="59"/>
      <c r="M142" s="62" t="e">
        <f t="shared" ref="M142:V142" si="174">M141/L141-1</f>
        <v>#DIV/0!</v>
      </c>
      <c r="N142" s="62" t="e">
        <f t="shared" si="174"/>
        <v>#DIV/0!</v>
      </c>
      <c r="O142" s="62" t="e">
        <f t="shared" si="174"/>
        <v>#DIV/0!</v>
      </c>
      <c r="P142" s="62" t="e">
        <f t="shared" si="174"/>
        <v>#DIV/0!</v>
      </c>
      <c r="Q142" s="62" t="e">
        <f t="shared" si="174"/>
        <v>#DIV/0!</v>
      </c>
      <c r="R142" s="62" t="e">
        <f t="shared" si="174"/>
        <v>#DIV/0!</v>
      </c>
      <c r="S142" s="62" t="e">
        <f t="shared" si="174"/>
        <v>#DIV/0!</v>
      </c>
      <c r="T142" s="62" t="e">
        <f t="shared" si="174"/>
        <v>#DIV/0!</v>
      </c>
      <c r="U142" s="62" t="e">
        <f t="shared" si="174"/>
        <v>#DIV/0!</v>
      </c>
      <c r="V142" s="62" t="e">
        <f t="shared" si="174"/>
        <v>#DIV/0!</v>
      </c>
      <c r="W142" s="259"/>
      <c r="X142" s="259"/>
    </row>
    <row r="143" spans="1:28" s="72" customFormat="1" outlineLevel="1">
      <c r="A143" s="67"/>
      <c r="B143" s="67"/>
      <c r="C143" s="68"/>
      <c r="D143" s="69" t="s">
        <v>100</v>
      </c>
      <c r="E143" s="68"/>
      <c r="F143" s="68"/>
      <c r="G143" s="68"/>
      <c r="H143" s="68"/>
      <c r="I143" s="68"/>
      <c r="J143" s="68"/>
      <c r="K143" s="74"/>
      <c r="L143" s="71">
        <f>'Seasonality&amp; Avg.stay'!G119</f>
        <v>0.10769340330880305</v>
      </c>
      <c r="M143" s="71">
        <f>'Seasonality&amp; Avg.stay'!H119</f>
        <v>0.11194186917573511</v>
      </c>
      <c r="N143" s="71">
        <f>'Seasonality&amp; Avg.stay'!I119</f>
        <v>0.11289909717154269</v>
      </c>
      <c r="O143" s="71">
        <f>'Seasonality&amp; Avg.stay'!J119</f>
        <v>0.1232801191362165</v>
      </c>
      <c r="P143" s="71">
        <f>'Seasonality&amp; Avg.stay'!K119</f>
        <v>0.12026520209158406</v>
      </c>
      <c r="Q143" s="193">
        <f>Forecasting!Q129</f>
        <v>0.12295791425954572</v>
      </c>
      <c r="R143" s="193">
        <f>Forecasting!R129</f>
        <v>0.12470955473765329</v>
      </c>
      <c r="S143" s="193">
        <f>Forecasting!S129</f>
        <v>0.1265940534897623</v>
      </c>
      <c r="T143" s="193">
        <f>Forecasting!T129</f>
        <v>0.12726790176735153</v>
      </c>
      <c r="U143" s="193">
        <f>Forecasting!U129</f>
        <v>0.1283559903063817</v>
      </c>
      <c r="V143" s="193">
        <f>Forecasting!V129</f>
        <v>0.12904906489951473</v>
      </c>
      <c r="W143" s="75"/>
      <c r="X143" s="75"/>
      <c r="Y143" s="67"/>
      <c r="Z143" s="67"/>
      <c r="AA143" s="67"/>
      <c r="AB143" s="67"/>
    </row>
    <row r="144" spans="1:28" s="72" customFormat="1" outlineLevel="1">
      <c r="A144" s="67"/>
      <c r="B144" s="67"/>
      <c r="C144" s="68"/>
      <c r="D144" s="68"/>
      <c r="E144" s="68"/>
      <c r="F144" s="68"/>
      <c r="G144" s="68"/>
      <c r="H144" s="68"/>
      <c r="I144" s="68"/>
      <c r="J144" s="68"/>
      <c r="K144" s="74"/>
      <c r="L144" s="70"/>
      <c r="M144" s="71"/>
      <c r="N144" s="71"/>
      <c r="O144" s="71"/>
      <c r="P144" s="71"/>
      <c r="Q144" s="193"/>
      <c r="R144" s="193"/>
      <c r="S144" s="193"/>
      <c r="T144" s="193"/>
      <c r="U144" s="193"/>
      <c r="V144" s="193"/>
      <c r="W144" s="75"/>
      <c r="X144" s="75"/>
      <c r="Y144" s="67"/>
      <c r="Z144" s="67"/>
      <c r="AA144" s="67"/>
      <c r="AB144" s="67"/>
    </row>
    <row r="145" spans="1:28" s="72" customFormat="1" outlineLevel="1">
      <c r="A145" s="67"/>
      <c r="B145" s="67"/>
      <c r="C145" s="68"/>
      <c r="D145" s="69" t="s">
        <v>101</v>
      </c>
      <c r="E145" s="68"/>
      <c r="F145" s="68"/>
      <c r="G145" s="68"/>
      <c r="H145" s="68"/>
      <c r="I145" s="68"/>
      <c r="J145" s="68"/>
      <c r="K145" s="74"/>
      <c r="L145" s="71">
        <f>'Seasonality&amp; Avg.stay'!G122</f>
        <v>0.20971612482276281</v>
      </c>
      <c r="M145" s="71">
        <f>'Seasonality&amp; Avg.stay'!H122</f>
        <v>0.20735642392935263</v>
      </c>
      <c r="N145" s="71">
        <f>'Seasonality&amp; Avg.stay'!I122</f>
        <v>0.21692471937181215</v>
      </c>
      <c r="O145" s="71">
        <f>'Seasonality&amp; Avg.stay'!J122</f>
        <v>0.21487574010483615</v>
      </c>
      <c r="P145" s="71">
        <f>'Seasonality&amp; Avg.stay'!K122</f>
        <v>0.21960435470357423</v>
      </c>
      <c r="Q145" s="193">
        <f>Forecasting!Q131</f>
        <v>0.22163960694745752</v>
      </c>
      <c r="R145" s="193">
        <f>Forecasting!R131</f>
        <v>0.2238727788656136</v>
      </c>
      <c r="S145" s="193">
        <f>Forecasting!S131</f>
        <v>0.22477625046361485</v>
      </c>
      <c r="T145" s="193">
        <f>Forecasting!T131</f>
        <v>0.22604905018387667</v>
      </c>
      <c r="U145" s="193">
        <f>Forecasting!U131</f>
        <v>0.22621310134314596</v>
      </c>
      <c r="V145" s="193">
        <f>Forecasting!V131</f>
        <v>0.22690792776089833</v>
      </c>
      <c r="W145" s="75"/>
      <c r="X145" s="75"/>
      <c r="Y145" s="67"/>
      <c r="Z145" s="67"/>
      <c r="AA145" s="67"/>
      <c r="AB145" s="67"/>
    </row>
    <row r="146" spans="1:28" s="72" customFormat="1" outlineLevel="1">
      <c r="A146" s="67"/>
      <c r="B146" s="67"/>
      <c r="C146" s="68"/>
      <c r="D146" s="68"/>
      <c r="E146" s="68"/>
      <c r="F146" s="68"/>
      <c r="G146" s="68"/>
      <c r="H146" s="68"/>
      <c r="I146" s="68"/>
      <c r="J146" s="68"/>
      <c r="K146" s="74"/>
      <c r="L146" s="70"/>
      <c r="M146" s="71"/>
      <c r="N146" s="71"/>
      <c r="O146" s="71"/>
      <c r="P146" s="71"/>
      <c r="Q146" s="193"/>
      <c r="R146" s="193"/>
      <c r="S146" s="193"/>
      <c r="T146" s="193"/>
      <c r="U146" s="193"/>
      <c r="V146" s="193"/>
      <c r="W146" s="75"/>
      <c r="X146" s="75"/>
      <c r="Y146" s="67"/>
      <c r="Z146" s="67"/>
      <c r="AA146" s="67"/>
      <c r="AB146" s="67"/>
    </row>
    <row r="147" spans="1:28" s="72" customFormat="1" outlineLevel="1">
      <c r="A147" s="67"/>
      <c r="B147" s="67"/>
      <c r="C147" s="68"/>
      <c r="D147" s="69" t="s">
        <v>102</v>
      </c>
      <c r="E147" s="68"/>
      <c r="F147" s="68"/>
      <c r="G147" s="68"/>
      <c r="H147" s="68"/>
      <c r="I147" s="68"/>
      <c r="J147" s="68"/>
      <c r="K147" s="74"/>
      <c r="L147" s="71">
        <f>'Seasonality&amp; Avg.stay'!G125</f>
        <v>0.10735317875151168</v>
      </c>
      <c r="M147" s="71">
        <f>'Seasonality&amp; Avg.stay'!H125</f>
        <v>0.1068528570826984</v>
      </c>
      <c r="N147" s="71">
        <f>'Seasonality&amp; Avg.stay'!I125</f>
        <v>0.11236686484351018</v>
      </c>
      <c r="O147" s="71">
        <f>'Seasonality&amp; Avg.stay'!J125</f>
        <v>0.11641954392185812</v>
      </c>
      <c r="P147" s="71">
        <f>'Seasonality&amp; Avg.stay'!K125</f>
        <v>0.11273259628736587</v>
      </c>
      <c r="Q147" s="193">
        <f>Forecasting!Q133</f>
        <v>0.11384176170262676</v>
      </c>
      <c r="R147" s="193">
        <f>Forecasting!R133</f>
        <v>0.11529577434411849</v>
      </c>
      <c r="S147" s="193">
        <f>Forecasting!S133</f>
        <v>0.11589103772968162</v>
      </c>
      <c r="T147" s="193">
        <f>Forecasting!T133</f>
        <v>0.11591738797768013</v>
      </c>
      <c r="U147" s="193">
        <f>Forecasting!U133</f>
        <v>0.11656551448488504</v>
      </c>
      <c r="V147" s="193">
        <f>Forecasting!V133</f>
        <v>0.11711836280821687</v>
      </c>
      <c r="W147" s="75"/>
      <c r="X147" s="75"/>
      <c r="Y147" s="67"/>
      <c r="Z147" s="67"/>
      <c r="AA147" s="67"/>
      <c r="AB147" s="67"/>
    </row>
    <row r="148" spans="1:28" s="72" customFormat="1" outlineLevel="1">
      <c r="A148" s="67"/>
      <c r="B148" s="67"/>
      <c r="C148" s="68"/>
      <c r="D148" s="68"/>
      <c r="E148" s="68"/>
      <c r="F148" s="68"/>
      <c r="G148" s="68"/>
      <c r="H148" s="68"/>
      <c r="I148" s="68"/>
      <c r="J148" s="68"/>
      <c r="K148" s="74"/>
      <c r="L148" s="281"/>
      <c r="M148" s="71"/>
      <c r="N148" s="71"/>
      <c r="O148" s="71"/>
      <c r="P148" s="71"/>
      <c r="Q148" s="193"/>
      <c r="R148" s="193"/>
      <c r="S148" s="193"/>
      <c r="T148" s="193"/>
      <c r="U148" s="193"/>
      <c r="V148" s="193"/>
      <c r="W148" s="75"/>
      <c r="X148" s="75"/>
      <c r="Y148" s="67"/>
      <c r="Z148" s="67"/>
      <c r="AA148" s="67"/>
      <c r="AB148" s="67"/>
    </row>
    <row r="149" spans="1:28" s="72" customFormat="1" outlineLevel="1">
      <c r="A149" s="67"/>
      <c r="B149" s="67"/>
      <c r="C149" s="68"/>
      <c r="D149" s="69" t="s">
        <v>103</v>
      </c>
      <c r="E149" s="68"/>
      <c r="F149" s="68"/>
      <c r="G149" s="68"/>
      <c r="H149" s="68"/>
      <c r="I149" s="68"/>
      <c r="J149" s="68"/>
      <c r="K149" s="74"/>
      <c r="L149" s="71">
        <f>'Seasonality&amp; Avg.stay'!G130</f>
        <v>0.24747696308229733</v>
      </c>
      <c r="M149" s="71">
        <f>'Seasonality&amp; Avg.stay'!H130</f>
        <v>0.25215261114469506</v>
      </c>
      <c r="N149" s="71">
        <f>'Seasonality&amp; Avg.stay'!I130</f>
        <v>0.2454696720723038</v>
      </c>
      <c r="O149" s="71">
        <f>'Seasonality&amp; Avg.stay'!J130</f>
        <v>0.24300975562148819</v>
      </c>
      <c r="P149" s="71">
        <f>'Seasonality&amp; Avg.stay'!K130</f>
        <v>0.24301912124334452</v>
      </c>
      <c r="Q149" s="193">
        <f>Forecasting!Q135</f>
        <v>0.24213763591363874</v>
      </c>
      <c r="R149" s="193">
        <f>Forecasting!R135</f>
        <v>0.24018486508770043</v>
      </c>
      <c r="S149" s="193">
        <f>Forecasting!S135</f>
        <v>0.23914220328936672</v>
      </c>
      <c r="T149" s="193">
        <f>Forecasting!T135</f>
        <v>0.23915177560839793</v>
      </c>
      <c r="U149" s="193">
        <f>Forecasting!U135</f>
        <v>0.23838603029912461</v>
      </c>
      <c r="V149" s="193">
        <f>Forecasting!V135</f>
        <v>0.23801451679413299</v>
      </c>
      <c r="W149" s="75"/>
      <c r="X149" s="75"/>
      <c r="Y149" s="67"/>
      <c r="Z149" s="67"/>
      <c r="AA149" s="67"/>
      <c r="AB149" s="67"/>
    </row>
    <row r="150" spans="1:28" s="72" customFormat="1" outlineLevel="1">
      <c r="A150" s="67"/>
      <c r="B150" s="67"/>
      <c r="C150" s="68"/>
      <c r="D150" s="68"/>
      <c r="E150" s="68"/>
      <c r="F150" s="68"/>
      <c r="G150" s="68"/>
      <c r="H150" s="68"/>
      <c r="I150" s="68"/>
      <c r="J150" s="68"/>
      <c r="K150" s="74"/>
      <c r="L150" s="281"/>
      <c r="M150" s="71"/>
      <c r="N150" s="71"/>
      <c r="O150" s="71"/>
      <c r="P150" s="71"/>
      <c r="Q150" s="193"/>
      <c r="R150" s="193"/>
      <c r="S150" s="193"/>
      <c r="T150" s="193"/>
      <c r="U150" s="193"/>
      <c r="V150" s="193"/>
      <c r="W150" s="75"/>
      <c r="X150" s="75"/>
      <c r="Y150" s="67"/>
      <c r="Z150" s="67"/>
      <c r="AA150" s="67"/>
      <c r="AB150" s="67"/>
    </row>
    <row r="151" spans="1:28" s="72" customFormat="1" outlineLevel="1">
      <c r="A151" s="67"/>
      <c r="B151" s="67"/>
      <c r="C151" s="68"/>
      <c r="D151" s="69" t="s">
        <v>104</v>
      </c>
      <c r="E151" s="68"/>
      <c r="F151" s="68"/>
      <c r="G151" s="68"/>
      <c r="H151" s="68"/>
      <c r="I151" s="68"/>
      <c r="J151" s="68"/>
      <c r="K151" s="74"/>
      <c r="L151" s="71">
        <f>'Seasonality&amp; Avg.stay'!G134</f>
        <v>0.10099412244023713</v>
      </c>
      <c r="M151" s="71">
        <f>'Seasonality&amp; Avg.stay'!H134</f>
        <v>9.9755938384001416E-2</v>
      </c>
      <c r="N151" s="71">
        <f>'Seasonality&amp; Avg.stay'!I134</f>
        <v>9.5272735760929927E-2</v>
      </c>
      <c r="O151" s="71">
        <f>'Seasonality&amp; Avg.stay'!J134</f>
        <v>9.3554757540257244E-2</v>
      </c>
      <c r="P151" s="71">
        <f>'Seasonality&amp; Avg.stay'!K134</f>
        <v>9.5842139233655685E-2</v>
      </c>
      <c r="Q151" s="193">
        <f>Forecasting!Q137</f>
        <v>9.484502325604828E-2</v>
      </c>
      <c r="R151" s="193">
        <f>Forecasting!R137</f>
        <v>9.3893440508519194E-2</v>
      </c>
      <c r="S151" s="193">
        <f>Forecasting!S137</f>
        <v>9.3483409667685188E-2</v>
      </c>
      <c r="T151" s="193">
        <f>Forecasting!T137</f>
        <v>9.328729655689412E-2</v>
      </c>
      <c r="U151" s="193">
        <f>Forecasting!U137</f>
        <v>9.265929887282609E-2</v>
      </c>
      <c r="V151" s="193">
        <f>Forecasting!V137</f>
        <v>9.228233844374617E-2</v>
      </c>
      <c r="W151" s="75"/>
      <c r="X151" s="75"/>
      <c r="Y151" s="67"/>
      <c r="Z151" s="67"/>
      <c r="AA151" s="67"/>
      <c r="AB151" s="67"/>
    </row>
    <row r="152" spans="1:28" s="72" customFormat="1" outlineLevel="1">
      <c r="A152" s="67"/>
      <c r="B152" s="67"/>
      <c r="C152" s="68"/>
      <c r="D152" s="68"/>
      <c r="E152" s="68"/>
      <c r="F152" s="68"/>
      <c r="G152" s="68"/>
      <c r="H152" s="68"/>
      <c r="I152" s="68"/>
      <c r="J152" s="68"/>
      <c r="K152" s="74"/>
      <c r="L152" s="281"/>
      <c r="M152" s="71"/>
      <c r="N152" s="71"/>
      <c r="O152" s="71"/>
      <c r="P152" s="71"/>
      <c r="Q152" s="193"/>
      <c r="R152" s="193"/>
      <c r="S152" s="193"/>
      <c r="T152" s="193"/>
      <c r="U152" s="193"/>
      <c r="V152" s="193"/>
      <c r="W152" s="75"/>
      <c r="X152" s="75"/>
      <c r="Y152" s="67"/>
      <c r="Z152" s="67"/>
      <c r="AA152" s="67"/>
      <c r="AB152" s="67"/>
    </row>
    <row r="153" spans="1:28" s="72" customFormat="1" outlineLevel="1">
      <c r="A153" s="67"/>
      <c r="B153" s="67"/>
      <c r="C153" s="68"/>
      <c r="D153" s="69" t="s">
        <v>105</v>
      </c>
      <c r="E153" s="68"/>
      <c r="F153" s="68"/>
      <c r="G153" s="68"/>
      <c r="H153" s="68"/>
      <c r="I153" s="68"/>
      <c r="J153" s="68"/>
      <c r="K153" s="74"/>
      <c r="L153" s="71">
        <f>1-SUM(L143:L151)</f>
        <v>0.22676620759438804</v>
      </c>
      <c r="M153" s="71">
        <f t="shared" ref="M153:P153" si="175">1-SUM(M143:M151)</f>
        <v>0.22194030028351741</v>
      </c>
      <c r="N153" s="71">
        <f t="shared" si="175"/>
        <v>0.21706691077990126</v>
      </c>
      <c r="O153" s="71">
        <f t="shared" si="175"/>
        <v>0.20886008367534392</v>
      </c>
      <c r="P153" s="71">
        <f t="shared" si="175"/>
        <v>0.20853658644047557</v>
      </c>
      <c r="Q153" s="193">
        <f>Forecasting!Q139</f>
        <v>0.20457805792068295</v>
      </c>
      <c r="R153" s="193">
        <f>Forecasting!R139</f>
        <v>0.20204358645639497</v>
      </c>
      <c r="S153" s="193">
        <f>Forecasting!S139</f>
        <v>0.20011304535988927</v>
      </c>
      <c r="T153" s="193">
        <f>Forecasting!T139</f>
        <v>0.1983265879057996</v>
      </c>
      <c r="U153" s="193">
        <f>Forecasting!U139</f>
        <v>0.19782006469363655</v>
      </c>
      <c r="V153" s="193">
        <f>Forecasting!V139</f>
        <v>0.1966277892934909</v>
      </c>
      <c r="W153" s="75"/>
      <c r="X153" s="75"/>
      <c r="Y153" s="67"/>
      <c r="Z153" s="67"/>
      <c r="AA153" s="67"/>
      <c r="AB153" s="67"/>
    </row>
    <row r="154" spans="1:28" s="72" customFormat="1" outlineLevel="1">
      <c r="A154" s="67"/>
      <c r="B154" s="67"/>
      <c r="C154" s="68"/>
      <c r="D154" s="68"/>
      <c r="E154" s="68"/>
      <c r="F154" s="68"/>
      <c r="G154" s="68"/>
      <c r="H154" s="68"/>
      <c r="I154" s="68"/>
      <c r="J154" s="68"/>
      <c r="K154" s="74"/>
      <c r="L154" s="70"/>
      <c r="M154" s="71"/>
      <c r="N154" s="71"/>
      <c r="O154" s="71"/>
      <c r="P154" s="71"/>
      <c r="Q154" s="110"/>
      <c r="R154" s="110"/>
      <c r="S154" s="110"/>
      <c r="T154" s="110"/>
      <c r="U154" s="110"/>
      <c r="V154" s="110"/>
      <c r="W154" s="75"/>
      <c r="X154" s="75"/>
      <c r="Y154" s="67"/>
      <c r="Z154" s="67"/>
      <c r="AA154" s="67"/>
      <c r="AB154" s="67"/>
    </row>
    <row r="155" spans="1:28" s="72" customFormat="1" hidden="1" outlineLevel="1">
      <c r="A155" s="67"/>
      <c r="B155" s="67"/>
      <c r="C155" s="68"/>
      <c r="D155" s="69" t="s">
        <v>106</v>
      </c>
      <c r="E155" s="68"/>
      <c r="F155" s="68"/>
      <c r="G155" s="68"/>
      <c r="H155" s="68"/>
      <c r="I155" s="68"/>
      <c r="J155" s="68"/>
      <c r="K155" s="74"/>
      <c r="L155" s="82">
        <f>L133/L$119</f>
        <v>0</v>
      </c>
      <c r="M155" s="82">
        <f>M133/M$119</f>
        <v>0</v>
      </c>
      <c r="N155" s="82">
        <f>N133/N$119</f>
        <v>0</v>
      </c>
      <c r="O155" s="82">
        <f>O133/O$119</f>
        <v>0</v>
      </c>
      <c r="P155" s="82">
        <f>P133/P$119</f>
        <v>0</v>
      </c>
      <c r="Q155" s="110" t="e">
        <f>Forecasting!Q141</f>
        <v>#DIV/0!</v>
      </c>
      <c r="R155" s="110" t="e">
        <f>Forecasting!R141</f>
        <v>#DIV/0!</v>
      </c>
      <c r="S155" s="110" t="e">
        <f>Forecasting!S141</f>
        <v>#DIV/0!</v>
      </c>
      <c r="T155" s="110" t="e">
        <f>Forecasting!T141</f>
        <v>#DIV/0!</v>
      </c>
      <c r="U155" s="110" t="e">
        <f>Forecasting!U141</f>
        <v>#DIV/0!</v>
      </c>
      <c r="V155" s="110" t="e">
        <f>Forecasting!V141</f>
        <v>#DIV/0!</v>
      </c>
      <c r="W155" s="75"/>
      <c r="X155" s="75"/>
      <c r="Y155" s="67"/>
      <c r="Z155" s="67"/>
      <c r="AA155" s="67"/>
      <c r="AB155" s="67"/>
    </row>
    <row r="156" spans="1:28" s="72" customFormat="1" hidden="1" outlineLevel="1">
      <c r="A156" s="67"/>
      <c r="B156" s="67"/>
      <c r="C156" s="68"/>
      <c r="D156" s="68"/>
      <c r="E156" s="68"/>
      <c r="F156" s="68"/>
      <c r="G156" s="68"/>
      <c r="H156" s="68"/>
      <c r="I156" s="68"/>
      <c r="J156" s="68"/>
      <c r="K156" s="74"/>
      <c r="L156" s="70"/>
      <c r="M156" s="71"/>
      <c r="N156" s="71"/>
      <c r="O156" s="71"/>
      <c r="P156" s="71"/>
      <c r="Q156" s="110"/>
      <c r="R156" s="110"/>
      <c r="S156" s="110"/>
      <c r="T156" s="110"/>
      <c r="U156" s="110"/>
      <c r="V156" s="110"/>
      <c r="W156" s="75"/>
      <c r="X156" s="75"/>
      <c r="Y156" s="67"/>
      <c r="Z156" s="67"/>
      <c r="AA156" s="67"/>
      <c r="AB156" s="67"/>
    </row>
    <row r="157" spans="1:28" s="72" customFormat="1" hidden="1" outlineLevel="1">
      <c r="A157" s="67"/>
      <c r="B157" s="67"/>
      <c r="C157" s="68"/>
      <c r="D157" s="69" t="s">
        <v>107</v>
      </c>
      <c r="E157" s="68"/>
      <c r="F157" s="68"/>
      <c r="G157" s="68"/>
      <c r="H157" s="68"/>
      <c r="I157" s="68"/>
      <c r="J157" s="68"/>
      <c r="K157" s="74"/>
      <c r="L157" s="82">
        <f>L135/L$119</f>
        <v>0</v>
      </c>
      <c r="M157" s="82">
        <f>M135/M$119</f>
        <v>0</v>
      </c>
      <c r="N157" s="82">
        <f>N135/N$119</f>
        <v>0</v>
      </c>
      <c r="O157" s="82">
        <f>O135/O$119</f>
        <v>0</v>
      </c>
      <c r="P157" s="82">
        <f>P135/P$119</f>
        <v>0</v>
      </c>
      <c r="Q157" s="110" t="e">
        <f>Forecasting!Q143</f>
        <v>#DIV/0!</v>
      </c>
      <c r="R157" s="110" t="e">
        <f>Forecasting!R143</f>
        <v>#DIV/0!</v>
      </c>
      <c r="S157" s="110" t="e">
        <f>Forecasting!S143</f>
        <v>#DIV/0!</v>
      </c>
      <c r="T157" s="110" t="e">
        <f>Forecasting!T143</f>
        <v>#DIV/0!</v>
      </c>
      <c r="U157" s="110" t="e">
        <f>Forecasting!U143</f>
        <v>#DIV/0!</v>
      </c>
      <c r="V157" s="110" t="e">
        <f>Forecasting!V143</f>
        <v>#DIV/0!</v>
      </c>
      <c r="W157" s="75"/>
      <c r="X157" s="75"/>
      <c r="Y157" s="67"/>
      <c r="Z157" s="67"/>
      <c r="AA157" s="67"/>
      <c r="AB157" s="67"/>
    </row>
    <row r="158" spans="1:28" s="72" customFormat="1" hidden="1" outlineLevel="1">
      <c r="A158" s="67"/>
      <c r="B158" s="67"/>
      <c r="C158" s="68"/>
      <c r="D158" s="68"/>
      <c r="E158" s="68"/>
      <c r="F158" s="68"/>
      <c r="G158" s="68"/>
      <c r="H158" s="68"/>
      <c r="I158" s="68"/>
      <c r="J158" s="68"/>
      <c r="K158" s="74"/>
      <c r="L158" s="70"/>
      <c r="M158" s="71"/>
      <c r="N158" s="71"/>
      <c r="O158" s="71"/>
      <c r="P158" s="71"/>
      <c r="Q158" s="110"/>
      <c r="R158" s="110"/>
      <c r="S158" s="110"/>
      <c r="T158" s="110"/>
      <c r="U158" s="110"/>
      <c r="V158" s="110"/>
      <c r="W158" s="75"/>
      <c r="X158" s="75"/>
      <c r="Y158" s="67"/>
      <c r="Z158" s="67"/>
      <c r="AA158" s="67"/>
      <c r="AB158" s="67"/>
    </row>
    <row r="159" spans="1:28" s="72" customFormat="1" hidden="1" outlineLevel="1">
      <c r="A159" s="67"/>
      <c r="B159" s="67"/>
      <c r="C159" s="68"/>
      <c r="D159" s="69" t="s">
        <v>108</v>
      </c>
      <c r="E159" s="68"/>
      <c r="F159" s="68"/>
      <c r="G159" s="68"/>
      <c r="H159" s="68"/>
      <c r="I159" s="68"/>
      <c r="J159" s="68"/>
      <c r="K159" s="74"/>
      <c r="L159" s="82">
        <f>L137/L$119</f>
        <v>0</v>
      </c>
      <c r="M159" s="82">
        <f>M137/M$119</f>
        <v>0</v>
      </c>
      <c r="N159" s="82">
        <f>N137/N$119</f>
        <v>0</v>
      </c>
      <c r="O159" s="82">
        <f>O137/O$119</f>
        <v>0</v>
      </c>
      <c r="P159" s="82">
        <f>P137/P$119</f>
        <v>0</v>
      </c>
      <c r="Q159" s="110" t="e">
        <f>Forecasting!Q145</f>
        <v>#DIV/0!</v>
      </c>
      <c r="R159" s="110" t="e">
        <f>Forecasting!R145</f>
        <v>#DIV/0!</v>
      </c>
      <c r="S159" s="110" t="e">
        <f>Forecasting!S145</f>
        <v>#DIV/0!</v>
      </c>
      <c r="T159" s="110" t="e">
        <f>Forecasting!T145</f>
        <v>#DIV/0!</v>
      </c>
      <c r="U159" s="110" t="e">
        <f>Forecasting!U145</f>
        <v>#DIV/0!</v>
      </c>
      <c r="V159" s="110" t="e">
        <f>Forecasting!V145</f>
        <v>#DIV/0!</v>
      </c>
      <c r="W159" s="75"/>
      <c r="X159" s="75"/>
      <c r="Y159" s="67"/>
      <c r="Z159" s="67"/>
      <c r="AA159" s="67"/>
      <c r="AB159" s="67"/>
    </row>
    <row r="160" spans="1:28" s="72" customFormat="1" hidden="1" outlineLevel="1">
      <c r="A160" s="67"/>
      <c r="B160" s="67"/>
      <c r="C160" s="68"/>
      <c r="D160" s="68"/>
      <c r="E160" s="68"/>
      <c r="F160" s="68"/>
      <c r="G160" s="68"/>
      <c r="H160" s="68"/>
      <c r="I160" s="68"/>
      <c r="J160" s="68"/>
      <c r="K160" s="74"/>
      <c r="L160" s="70"/>
      <c r="M160" s="71"/>
      <c r="N160" s="71"/>
      <c r="O160" s="71"/>
      <c r="P160" s="71"/>
      <c r="Q160" s="110"/>
      <c r="R160" s="110"/>
      <c r="S160" s="110"/>
      <c r="T160" s="110"/>
      <c r="U160" s="110"/>
      <c r="V160" s="110"/>
      <c r="W160" s="75"/>
      <c r="X160" s="75"/>
      <c r="Y160" s="67"/>
      <c r="Z160" s="67"/>
      <c r="AA160" s="67"/>
      <c r="AB160" s="67"/>
    </row>
    <row r="161" spans="1:28" s="72" customFormat="1" hidden="1" outlineLevel="1">
      <c r="A161" s="67"/>
      <c r="B161" s="67"/>
      <c r="C161" s="68"/>
      <c r="D161" s="69" t="s">
        <v>109</v>
      </c>
      <c r="E161" s="68"/>
      <c r="F161" s="68"/>
      <c r="G161" s="68"/>
      <c r="H161" s="68"/>
      <c r="I161" s="68"/>
      <c r="J161" s="68"/>
      <c r="K161" s="74"/>
      <c r="L161" s="82">
        <f>L139/L$119</f>
        <v>0</v>
      </c>
      <c r="M161" s="82">
        <f>M139/M$119</f>
        <v>0</v>
      </c>
      <c r="N161" s="82">
        <f>N139/N$119</f>
        <v>0</v>
      </c>
      <c r="O161" s="82">
        <f>O139/O$119</f>
        <v>0</v>
      </c>
      <c r="P161" s="82">
        <f>P139/P$119</f>
        <v>0</v>
      </c>
      <c r="Q161" s="110" t="e">
        <f>Forecasting!Q147</f>
        <v>#DIV/0!</v>
      </c>
      <c r="R161" s="110" t="e">
        <f>Forecasting!R147</f>
        <v>#DIV/0!</v>
      </c>
      <c r="S161" s="110" t="e">
        <f>Forecasting!S147</f>
        <v>#DIV/0!</v>
      </c>
      <c r="T161" s="110" t="e">
        <f>Forecasting!T147</f>
        <v>#DIV/0!</v>
      </c>
      <c r="U161" s="110" t="e">
        <f>Forecasting!U147</f>
        <v>#DIV/0!</v>
      </c>
      <c r="V161" s="110" t="e">
        <f>Forecasting!V147</f>
        <v>#DIV/0!</v>
      </c>
      <c r="W161" s="75"/>
      <c r="X161" s="75"/>
      <c r="Y161" s="67"/>
      <c r="Z161" s="67"/>
      <c r="AA161" s="67"/>
      <c r="AB161" s="67"/>
    </row>
    <row r="162" spans="1:28" s="72" customFormat="1" hidden="1" outlineLevel="1">
      <c r="A162" s="67"/>
      <c r="B162" s="67"/>
      <c r="C162" s="68"/>
      <c r="D162" s="68"/>
      <c r="E162" s="68"/>
      <c r="F162" s="68"/>
      <c r="G162" s="68"/>
      <c r="H162" s="68"/>
      <c r="I162" s="68"/>
      <c r="J162" s="68"/>
      <c r="K162" s="74"/>
      <c r="L162" s="70"/>
      <c r="M162" s="71"/>
      <c r="N162" s="71"/>
      <c r="O162" s="71"/>
      <c r="P162" s="71"/>
      <c r="Q162" s="110"/>
      <c r="R162" s="110"/>
      <c r="S162" s="110"/>
      <c r="T162" s="110"/>
      <c r="U162" s="110"/>
      <c r="V162" s="110"/>
      <c r="W162" s="75"/>
      <c r="X162" s="75"/>
      <c r="Y162" s="67"/>
      <c r="Z162" s="67"/>
      <c r="AA162" s="67"/>
      <c r="AB162" s="67"/>
    </row>
    <row r="163" spans="1:28" s="72" customFormat="1" hidden="1" outlineLevel="1">
      <c r="A163" s="67"/>
      <c r="B163" s="67"/>
      <c r="C163" s="68"/>
      <c r="D163" s="69" t="s">
        <v>110</v>
      </c>
      <c r="E163" s="68"/>
      <c r="F163" s="68"/>
      <c r="G163" s="68"/>
      <c r="H163" s="68"/>
      <c r="I163" s="68"/>
      <c r="J163" s="68"/>
      <c r="K163" s="74"/>
      <c r="L163" s="82">
        <f>L141/L$119</f>
        <v>0</v>
      </c>
      <c r="M163" s="82">
        <f>M141/M$119</f>
        <v>0</v>
      </c>
      <c r="N163" s="82">
        <f>N141/N$119</f>
        <v>0</v>
      </c>
      <c r="O163" s="82">
        <f>O141/O$119</f>
        <v>0</v>
      </c>
      <c r="P163" s="82">
        <f>P141/P$119</f>
        <v>0</v>
      </c>
      <c r="Q163" s="110" t="e">
        <f>Forecasting!Q149</f>
        <v>#DIV/0!</v>
      </c>
      <c r="R163" s="110" t="e">
        <f>Forecasting!R149</f>
        <v>#DIV/0!</v>
      </c>
      <c r="S163" s="110" t="e">
        <f>Forecasting!S149</f>
        <v>#DIV/0!</v>
      </c>
      <c r="T163" s="110" t="e">
        <f>Forecasting!T149</f>
        <v>#DIV/0!</v>
      </c>
      <c r="U163" s="110" t="e">
        <f>Forecasting!U149</f>
        <v>#DIV/0!</v>
      </c>
      <c r="V163" s="110" t="e">
        <f>Forecasting!V149</f>
        <v>#DIV/0!</v>
      </c>
      <c r="W163" s="75"/>
      <c r="X163" s="75"/>
      <c r="Y163" s="67"/>
      <c r="Z163" s="67"/>
      <c r="AA163" s="67"/>
      <c r="AB163" s="67"/>
    </row>
    <row r="164" spans="1:28" collapsed="1">
      <c r="A164" s="46" t="str">
        <f>Home!$B$1</f>
        <v>Poland</v>
      </c>
      <c r="B164" s="47" t="s">
        <v>94</v>
      </c>
      <c r="C164" s="46" t="s">
        <v>924</v>
      </c>
      <c r="D164" s="48"/>
      <c r="E164" s="48"/>
      <c r="F164" s="48" t="s">
        <v>884</v>
      </c>
      <c r="G164" s="48" t="s">
        <v>15</v>
      </c>
      <c r="H164" s="48" t="s">
        <v>111</v>
      </c>
      <c r="I164" s="48"/>
      <c r="J164" s="46" t="s">
        <v>99</v>
      </c>
      <c r="K164" s="76">
        <v>2004500</v>
      </c>
      <c r="L164" s="269">
        <f>L109</f>
        <v>34900.000000000007</v>
      </c>
      <c r="M164" s="269">
        <f>M109</f>
        <v>34900.000000000007</v>
      </c>
      <c r="N164" s="269">
        <f>N109</f>
        <v>30800</v>
      </c>
      <c r="O164" s="269">
        <f>O109</f>
        <v>33900</v>
      </c>
      <c r="P164" s="269">
        <f>P109</f>
        <v>29600</v>
      </c>
      <c r="Q164" s="264">
        <f>Forecasting!Q150</f>
        <v>28594.674532264191</v>
      </c>
      <c r="R164" s="264">
        <f>Forecasting!R150</f>
        <v>29114.168216573518</v>
      </c>
      <c r="S164" s="264">
        <f>Forecasting!S150</f>
        <v>29535.363141199603</v>
      </c>
      <c r="T164" s="264">
        <f>Forecasting!T150</f>
        <v>30139.856928566503</v>
      </c>
      <c r="U164" s="264">
        <f>Forecasting!U150</f>
        <v>30799.53039068119</v>
      </c>
      <c r="V164" s="264">
        <f>Forecasting!V150</f>
        <v>31530.697459423951</v>
      </c>
      <c r="W164" s="262">
        <f>+(Q164/M164)^(1/4)-1</f>
        <v>-4.8596088299126095E-2</v>
      </c>
      <c r="X164" s="262">
        <f>+(V164/Q164)^(1/5)-1</f>
        <v>1.9740537256371926E-2</v>
      </c>
    </row>
    <row r="165" spans="1:28">
      <c r="A165" s="48"/>
      <c r="B165" s="48"/>
      <c r="C165" s="52" t="s">
        <v>892</v>
      </c>
      <c r="D165" s="52"/>
      <c r="E165" s="52"/>
      <c r="F165" s="52"/>
      <c r="G165" s="52"/>
      <c r="H165" s="52"/>
      <c r="I165" s="52"/>
      <c r="J165" s="52" t="s">
        <v>58</v>
      </c>
      <c r="K165" s="49"/>
      <c r="L165" s="54"/>
      <c r="M165" s="54">
        <f t="shared" ref="M165:V165" si="176">M164/L164-1</f>
        <v>0</v>
      </c>
      <c r="N165" s="54">
        <f t="shared" si="176"/>
        <v>-0.1174785100286535</v>
      </c>
      <c r="O165" s="54">
        <f t="shared" si="176"/>
        <v>0.10064935064935066</v>
      </c>
      <c r="P165" s="54">
        <f t="shared" si="176"/>
        <v>-0.12684365781710916</v>
      </c>
      <c r="Q165" s="54">
        <f t="shared" si="176"/>
        <v>-3.3963698234317885E-2</v>
      </c>
      <c r="R165" s="54">
        <f t="shared" si="176"/>
        <v>1.8167497717911374E-2</v>
      </c>
      <c r="S165" s="54">
        <f t="shared" si="176"/>
        <v>1.4467008691195105E-2</v>
      </c>
      <c r="T165" s="54">
        <f t="shared" si="176"/>
        <v>2.0466780261918505E-2</v>
      </c>
      <c r="U165" s="54">
        <f t="shared" si="176"/>
        <v>2.1887080077326093E-2</v>
      </c>
      <c r="V165" s="54">
        <f t="shared" si="176"/>
        <v>2.3739552501877981E-2</v>
      </c>
      <c r="W165" s="258"/>
      <c r="X165" s="258"/>
    </row>
    <row r="166" spans="1:28">
      <c r="A166" s="46" t="str">
        <f>Home!$B$1</f>
        <v>Poland</v>
      </c>
      <c r="B166" s="47" t="s">
        <v>94</v>
      </c>
      <c r="C166" s="47" t="s">
        <v>883</v>
      </c>
      <c r="D166" s="46" t="s">
        <v>112</v>
      </c>
      <c r="E166" s="48"/>
      <c r="F166" s="48" t="s">
        <v>113</v>
      </c>
      <c r="G166" s="48" t="s">
        <v>15</v>
      </c>
      <c r="H166" s="48" t="s">
        <v>111</v>
      </c>
      <c r="I166" s="48" t="s">
        <v>114</v>
      </c>
      <c r="J166" s="48" t="s">
        <v>99</v>
      </c>
      <c r="K166" s="49">
        <v>494300</v>
      </c>
      <c r="L166" s="268">
        <f>L172*L$164</f>
        <v>3839.0000000000009</v>
      </c>
      <c r="M166" s="268">
        <f t="shared" ref="M166:P166" si="177">M172*M$164</f>
        <v>3965.0000000000005</v>
      </c>
      <c r="N166" s="268">
        <f t="shared" si="177"/>
        <v>3555.9999999999995</v>
      </c>
      <c r="O166" s="268">
        <f t="shared" si="177"/>
        <v>3794</v>
      </c>
      <c r="P166" s="268">
        <f t="shared" si="177"/>
        <v>3356.7711490508509</v>
      </c>
      <c r="Q166" s="264">
        <f>Forecasting!Q152</f>
        <v>3220.4389030282437</v>
      </c>
      <c r="R166" s="264">
        <f>Forecasting!R152</f>
        <v>3284.8915939641615</v>
      </c>
      <c r="S166" s="264">
        <f>Forecasting!S152</f>
        <v>3322.8556023824449</v>
      </c>
      <c r="T166" s="264">
        <f>Forecasting!T152</f>
        <v>3383.764913429025</v>
      </c>
      <c r="U166" s="264">
        <f>Forecasting!U152</f>
        <v>3438.7086960077922</v>
      </c>
      <c r="V166" s="264">
        <f>Forecasting!V152</f>
        <v>3515.7527413635376</v>
      </c>
      <c r="W166" s="102">
        <f>+(Q166/M166)^(1/4)-1</f>
        <v>-5.0668332521499493E-2</v>
      </c>
      <c r="X166" s="102">
        <f>+(V166/Q166)^(1/5)-1</f>
        <v>1.7702056136942534E-2</v>
      </c>
    </row>
    <row r="167" spans="1:28">
      <c r="A167" s="48"/>
      <c r="B167" s="48"/>
      <c r="C167" s="52" t="s">
        <v>892</v>
      </c>
      <c r="D167" s="52"/>
      <c r="E167" s="52"/>
      <c r="F167" s="52"/>
      <c r="G167" s="52"/>
      <c r="H167" s="52"/>
      <c r="I167" s="52"/>
      <c r="J167" s="52" t="s">
        <v>58</v>
      </c>
      <c r="K167" s="49"/>
      <c r="L167" s="53"/>
      <c r="M167" s="54">
        <f t="shared" ref="M167:V167" si="178">M166/L166-1</f>
        <v>3.2821047147694626E-2</v>
      </c>
      <c r="N167" s="54">
        <f t="shared" si="178"/>
        <v>-0.10315258511979841</v>
      </c>
      <c r="O167" s="54">
        <f t="shared" si="178"/>
        <v>6.692913385826782E-2</v>
      </c>
      <c r="P167" s="54">
        <f t="shared" si="178"/>
        <v>-0.11524218527916419</v>
      </c>
      <c r="Q167" s="54">
        <f t="shared" si="178"/>
        <v>-4.0614102054933432E-2</v>
      </c>
      <c r="R167" s="54">
        <f t="shared" si="178"/>
        <v>2.0013635680314223E-2</v>
      </c>
      <c r="S167" s="54">
        <f t="shared" si="178"/>
        <v>1.155715716404182E-2</v>
      </c>
      <c r="T167" s="54">
        <f t="shared" si="178"/>
        <v>1.8330411650421707E-2</v>
      </c>
      <c r="U167" s="54">
        <f t="shared" si="178"/>
        <v>1.6237470387116426E-2</v>
      </c>
      <c r="V167" s="54">
        <f t="shared" si="178"/>
        <v>2.2404935156383088E-2</v>
      </c>
      <c r="W167" s="258"/>
      <c r="X167" s="258"/>
    </row>
    <row r="168" spans="1:28">
      <c r="A168" s="46" t="str">
        <f>Home!$B$1</f>
        <v>Poland</v>
      </c>
      <c r="B168" s="47" t="s">
        <v>94</v>
      </c>
      <c r="C168" s="47" t="s">
        <v>883</v>
      </c>
      <c r="D168" s="46" t="s">
        <v>115</v>
      </c>
      <c r="E168" s="48"/>
      <c r="F168" s="48" t="s">
        <v>116</v>
      </c>
      <c r="G168" s="48" t="s">
        <v>15</v>
      </c>
      <c r="H168" s="48" t="s">
        <v>111</v>
      </c>
      <c r="I168" s="48" t="s">
        <v>114</v>
      </c>
      <c r="J168" s="48" t="s">
        <v>99</v>
      </c>
      <c r="K168" s="49" t="e">
        <f>(K365/(K365+K366))*1510200</f>
        <v>#DIV/0!</v>
      </c>
      <c r="L168" s="268">
        <f t="shared" ref="L168:P168" si="179">L174*L$164</f>
        <v>27920.000000000007</v>
      </c>
      <c r="M168" s="268">
        <f t="shared" si="179"/>
        <v>28555.000000000007</v>
      </c>
      <c r="N168" s="268">
        <f t="shared" si="179"/>
        <v>25438</v>
      </c>
      <c r="O168" s="268">
        <f t="shared" si="179"/>
        <v>28000</v>
      </c>
      <c r="P168" s="268">
        <f t="shared" si="179"/>
        <v>24500.702984863146</v>
      </c>
      <c r="Q168" s="264">
        <f>Forecasting!Q154</f>
        <v>23790.046899990954</v>
      </c>
      <c r="R168" s="264">
        <f>Forecasting!R154</f>
        <v>24232.38741230431</v>
      </c>
      <c r="S168" s="264">
        <f>Forecasting!S154</f>
        <v>24606.751358298268</v>
      </c>
      <c r="T168" s="264">
        <f>Forecasting!T154</f>
        <v>25126.667211865977</v>
      </c>
      <c r="U168" s="264">
        <f>Forecasting!U154</f>
        <v>25713.386667194212</v>
      </c>
      <c r="V168" s="264">
        <f>Forecasting!V154</f>
        <v>26345.486294386741</v>
      </c>
      <c r="W168" s="102">
        <f>+(Q168/M168)^(1/4)-1</f>
        <v>-4.4615296854443875E-2</v>
      </c>
      <c r="X168" s="102">
        <f>+(V168/Q168)^(1/5)-1</f>
        <v>2.0615557781778815E-2</v>
      </c>
    </row>
    <row r="169" spans="1:28">
      <c r="A169" s="48"/>
      <c r="B169" s="48"/>
      <c r="C169" s="52" t="s">
        <v>892</v>
      </c>
      <c r="D169" s="52"/>
      <c r="E169" s="52"/>
      <c r="F169" s="52"/>
      <c r="G169" s="52"/>
      <c r="H169" s="52"/>
      <c r="I169" s="52"/>
      <c r="J169" s="52" t="s">
        <v>58</v>
      </c>
      <c r="K169" s="49"/>
      <c r="L169" s="53"/>
      <c r="M169" s="54">
        <f t="shared" ref="M169:V169" si="180">M168/L168-1</f>
        <v>2.2743553008595985E-2</v>
      </c>
      <c r="N169" s="54">
        <f t="shared" si="180"/>
        <v>-0.10915776571528657</v>
      </c>
      <c r="O169" s="54">
        <f t="shared" si="180"/>
        <v>0.1007154650522839</v>
      </c>
      <c r="P169" s="54">
        <f t="shared" si="180"/>
        <v>-0.12497489339774481</v>
      </c>
      <c r="Q169" s="54">
        <f t="shared" si="180"/>
        <v>-2.9005538547659082E-2</v>
      </c>
      <c r="R169" s="54">
        <f t="shared" si="180"/>
        <v>1.8593511571157295E-2</v>
      </c>
      <c r="S169" s="54">
        <f t="shared" si="180"/>
        <v>1.5448908917817583E-2</v>
      </c>
      <c r="T169" s="54">
        <f t="shared" si="180"/>
        <v>2.1128992039511019E-2</v>
      </c>
      <c r="U169" s="54">
        <f t="shared" si="180"/>
        <v>2.3350468662678869E-2</v>
      </c>
      <c r="V169" s="54">
        <f t="shared" si="180"/>
        <v>2.4582511645538263E-2</v>
      </c>
      <c r="W169" s="258"/>
      <c r="X169" s="258"/>
    </row>
    <row r="170" spans="1:28">
      <c r="A170" s="46" t="str">
        <f>Home!$B$1</f>
        <v>Poland</v>
      </c>
      <c r="B170" s="47" t="s">
        <v>94</v>
      </c>
      <c r="C170" s="47" t="s">
        <v>883</v>
      </c>
      <c r="D170" s="46" t="s">
        <v>117</v>
      </c>
      <c r="E170" s="46"/>
      <c r="F170" s="48" t="s">
        <v>118</v>
      </c>
      <c r="G170" s="48" t="s">
        <v>15</v>
      </c>
      <c r="H170" s="48" t="s">
        <v>111</v>
      </c>
      <c r="I170" s="48" t="s">
        <v>114</v>
      </c>
      <c r="J170" s="48" t="s">
        <v>99</v>
      </c>
      <c r="K170" s="49" t="e">
        <f>(K367/(K366+K367))*1510200</f>
        <v>#DIV/0!</v>
      </c>
      <c r="L170" s="268">
        <f t="shared" ref="L170:P170" si="181">L176*L$164</f>
        <v>3140.9999999999995</v>
      </c>
      <c r="M170" s="268">
        <f t="shared" si="181"/>
        <v>2380.0000000000005</v>
      </c>
      <c r="N170" s="268">
        <f t="shared" si="181"/>
        <v>1805.9999999999989</v>
      </c>
      <c r="O170" s="268">
        <f t="shared" si="181"/>
        <v>2105.9999999999986</v>
      </c>
      <c r="P170" s="268">
        <f t="shared" si="181"/>
        <v>1742.5258660860059</v>
      </c>
      <c r="Q170" s="264">
        <f>Forecasting!Q156</f>
        <v>1584.1887292449933</v>
      </c>
      <c r="R170" s="264">
        <f>Forecasting!R156</f>
        <v>1596.8892103050491</v>
      </c>
      <c r="S170" s="264">
        <f>Forecasting!S156</f>
        <v>1605.7561805188886</v>
      </c>
      <c r="T170" s="264">
        <f>Forecasting!T156</f>
        <v>1629.4248032715009</v>
      </c>
      <c r="U170" s="264">
        <f>Forecasting!U156</f>
        <v>1647.4350274791877</v>
      </c>
      <c r="V170" s="264">
        <f>Forecasting!V156</f>
        <v>1669.4584236736732</v>
      </c>
      <c r="W170" s="102">
        <f>+(Q170/M170)^(1/4)-1</f>
        <v>-9.6750997711433917E-2</v>
      </c>
      <c r="X170" s="102">
        <f>+(V170/Q170)^(1/5)-1</f>
        <v>1.0540532731523999E-2</v>
      </c>
    </row>
    <row r="171" spans="1:28">
      <c r="A171" s="48"/>
      <c r="B171" s="48"/>
      <c r="C171" s="52" t="s">
        <v>892</v>
      </c>
      <c r="D171" s="52"/>
      <c r="E171" s="52"/>
      <c r="F171" s="52"/>
      <c r="G171" s="52"/>
      <c r="H171" s="52"/>
      <c r="I171" s="52"/>
      <c r="J171" s="52" t="s">
        <v>58</v>
      </c>
      <c r="K171" s="49"/>
      <c r="L171" s="53"/>
      <c r="M171" s="54">
        <f t="shared" ref="M171:V171" si="182">M170/L170-1</f>
        <v>-0.24227952881247983</v>
      </c>
      <c r="N171" s="54">
        <f t="shared" si="182"/>
        <v>-0.24117647058823588</v>
      </c>
      <c r="O171" s="54">
        <f t="shared" si="182"/>
        <v>0.16611295681063121</v>
      </c>
      <c r="P171" s="54">
        <f t="shared" si="182"/>
        <v>-0.17258980717663486</v>
      </c>
      <c r="Q171" s="54">
        <f t="shared" si="182"/>
        <v>-9.0866448483007733E-2</v>
      </c>
      <c r="R171" s="54">
        <f t="shared" si="182"/>
        <v>8.0170252606890369E-3</v>
      </c>
      <c r="S171" s="54">
        <f t="shared" si="182"/>
        <v>5.5526520917164035E-3</v>
      </c>
      <c r="T171" s="54">
        <f t="shared" si="182"/>
        <v>1.4739860907752478E-2</v>
      </c>
      <c r="U171" s="54">
        <f t="shared" si="182"/>
        <v>1.1053117745309038E-2</v>
      </c>
      <c r="V171" s="54">
        <f t="shared" si="182"/>
        <v>1.3368294243557788E-2</v>
      </c>
      <c r="W171" s="258"/>
      <c r="X171" s="258"/>
    </row>
    <row r="172" spans="1:28" outlineLevel="1">
      <c r="A172" s="67"/>
      <c r="B172" s="67"/>
      <c r="C172" s="68"/>
      <c r="D172" s="69" t="s">
        <v>112</v>
      </c>
      <c r="E172" s="68"/>
      <c r="F172" s="68"/>
      <c r="G172" s="68"/>
      <c r="H172" s="68"/>
      <c r="I172" s="68"/>
      <c r="J172" s="68"/>
      <c r="K172" s="74"/>
      <c r="L172" s="163">
        <f>Domestic!B63</f>
        <v>0.11</v>
      </c>
      <c r="M172" s="163">
        <f>Domestic!C63</f>
        <v>0.11361031518624641</v>
      </c>
      <c r="N172" s="163">
        <f>Domestic!D63</f>
        <v>0.11545454545454543</v>
      </c>
      <c r="O172" s="163">
        <f>Domestic!E63</f>
        <v>0.11191740412979351</v>
      </c>
      <c r="P172" s="163">
        <f>O172*(1+(((O172/L172)^(1/3))-1)*2.3)</f>
        <v>0.1134044307111774</v>
      </c>
      <c r="Q172" s="193">
        <f>Forecasting!Q158</f>
        <v>0.11262372996742907</v>
      </c>
      <c r="R172" s="193">
        <f>Forecasting!R158</f>
        <v>0.1128279389446615</v>
      </c>
      <c r="S172" s="193">
        <f>Forecasting!S158</f>
        <v>0.11250430836068889</v>
      </c>
      <c r="T172" s="193">
        <f>Forecasting!T158</f>
        <v>0.11226877823105719</v>
      </c>
      <c r="U172" s="193">
        <f>Forecasting!U158</f>
        <v>0.11164808853865575</v>
      </c>
      <c r="V172" s="193">
        <f>Forecasting!V158</f>
        <v>0.11150253640560505</v>
      </c>
      <c r="W172" s="82"/>
      <c r="X172" s="82"/>
    </row>
    <row r="173" spans="1:28" outlineLevel="1">
      <c r="A173" s="67"/>
      <c r="B173" s="67"/>
      <c r="C173" s="68"/>
      <c r="D173" s="68"/>
      <c r="E173" s="68"/>
      <c r="F173" s="68"/>
      <c r="G173" s="68"/>
      <c r="H173" s="68"/>
      <c r="I173" s="68"/>
      <c r="J173" s="68"/>
      <c r="K173" s="74"/>
      <c r="L173" s="163"/>
      <c r="M173" s="163"/>
      <c r="N173" s="163"/>
      <c r="O173" s="163"/>
      <c r="P173" s="163"/>
      <c r="Q173" s="193"/>
      <c r="R173" s="193"/>
      <c r="S173" s="193"/>
      <c r="T173" s="193"/>
      <c r="U173" s="193"/>
      <c r="V173" s="193"/>
      <c r="W173" s="75"/>
      <c r="X173" s="75"/>
    </row>
    <row r="174" spans="1:28" outlineLevel="1">
      <c r="A174" s="67"/>
      <c r="B174" s="67"/>
      <c r="C174" s="68"/>
      <c r="D174" s="69" t="s">
        <v>115</v>
      </c>
      <c r="E174" s="68"/>
      <c r="F174" s="68"/>
      <c r="G174" s="68"/>
      <c r="H174" s="68"/>
      <c r="I174" s="68"/>
      <c r="J174" s="68"/>
      <c r="K174" s="74"/>
      <c r="L174" s="163">
        <f>Domestic!B64</f>
        <v>0.8</v>
      </c>
      <c r="M174" s="163">
        <f>Domestic!C64</f>
        <v>0.81819484240687679</v>
      </c>
      <c r="N174" s="163">
        <f>Domestic!D64</f>
        <v>0.82590909090909093</v>
      </c>
      <c r="O174" s="163">
        <f>Domestic!E64</f>
        <v>0.82595870206489674</v>
      </c>
      <c r="P174" s="163">
        <f>O174*(1+(((O174/L174)^(1/3))-1)*0.2)</f>
        <v>0.82772645219132246</v>
      </c>
      <c r="Q174" s="193">
        <f>Forecasting!Q160</f>
        <v>0.83197473967217084</v>
      </c>
      <c r="R174" s="193">
        <f>Forecasting!R160</f>
        <v>0.83232284817636626</v>
      </c>
      <c r="S174" s="193">
        <f>Forecasting!S160</f>
        <v>0.83312845149933867</v>
      </c>
      <c r="T174" s="193">
        <f>Forecasting!T160</f>
        <v>0.83366909376570286</v>
      </c>
      <c r="U174" s="193">
        <f>Forecasting!U160</f>
        <v>0.83486294566926711</v>
      </c>
      <c r="V174" s="193">
        <f>Forecasting!V160</f>
        <v>0.83555038160161454</v>
      </c>
      <c r="W174" s="75"/>
      <c r="X174" s="75"/>
    </row>
    <row r="175" spans="1:28" outlineLevel="1">
      <c r="A175" s="67"/>
      <c r="B175" s="67"/>
      <c r="C175" s="68"/>
      <c r="D175" s="68"/>
      <c r="E175" s="68"/>
      <c r="F175" s="68"/>
      <c r="G175" s="68"/>
      <c r="H175" s="68"/>
      <c r="I175" s="68"/>
      <c r="J175" s="68"/>
      <c r="K175" s="74"/>
      <c r="L175" s="297"/>
      <c r="M175" s="297"/>
      <c r="N175" s="297"/>
      <c r="O175" s="297"/>
      <c r="P175" s="297"/>
      <c r="Q175" s="264"/>
      <c r="R175" s="193"/>
      <c r="S175" s="193"/>
      <c r="T175" s="193"/>
      <c r="U175" s="193"/>
      <c r="V175" s="193"/>
      <c r="W175" s="75"/>
      <c r="X175" s="75"/>
    </row>
    <row r="176" spans="1:28" outlineLevel="1">
      <c r="A176" s="67"/>
      <c r="B176" s="67"/>
      <c r="C176" s="68"/>
      <c r="D176" s="69" t="s">
        <v>117</v>
      </c>
      <c r="E176" s="68"/>
      <c r="F176" s="68"/>
      <c r="G176" s="68"/>
      <c r="H176" s="68"/>
      <c r="I176" s="68"/>
      <c r="J176" s="68"/>
      <c r="K176" s="74"/>
      <c r="L176" s="163">
        <f>1-SUM(L172:L174)</f>
        <v>8.9999999999999969E-2</v>
      </c>
      <c r="M176" s="163">
        <f t="shared" ref="M176:P176" si="183">1-SUM(M172:M174)</f>
        <v>6.8194842406876788E-2</v>
      </c>
      <c r="N176" s="163">
        <f t="shared" si="183"/>
        <v>5.8636363636363598E-2</v>
      </c>
      <c r="O176" s="163">
        <f t="shared" si="183"/>
        <v>6.2123893805309693E-2</v>
      </c>
      <c r="P176" s="163">
        <f t="shared" si="183"/>
        <v>5.8869117097500201E-2</v>
      </c>
      <c r="Q176" s="193">
        <f>Forecasting!Q162</f>
        <v>5.5401530360400075E-2</v>
      </c>
      <c r="R176" s="193">
        <f>Forecasting!R162</f>
        <v>5.4849212878972264E-2</v>
      </c>
      <c r="S176" s="193">
        <f>Forecasting!S162</f>
        <v>5.4367240139972406E-2</v>
      </c>
      <c r="T176" s="193">
        <f>Forecasting!T162</f>
        <v>5.4062128003239951E-2</v>
      </c>
      <c r="U176" s="193">
        <f>Forecasting!U162</f>
        <v>5.3488965792077181E-2</v>
      </c>
      <c r="V176" s="193">
        <f>Forecasting!V162</f>
        <v>5.294708199278042E-2</v>
      </c>
      <c r="W176" s="75"/>
      <c r="X176" s="75"/>
    </row>
    <row r="177" spans="1:26">
      <c r="A177" s="55" t="str">
        <f>Home!$B$1</f>
        <v>Poland</v>
      </c>
      <c r="B177" s="56" t="s">
        <v>94</v>
      </c>
      <c r="C177" s="55" t="s">
        <v>130</v>
      </c>
      <c r="D177" s="57"/>
      <c r="E177" s="57"/>
      <c r="F177" s="57" t="s">
        <v>131</v>
      </c>
      <c r="G177" s="57" t="s">
        <v>15</v>
      </c>
      <c r="H177" s="57" t="s">
        <v>96</v>
      </c>
      <c r="I177" s="57"/>
      <c r="J177" s="55" t="s">
        <v>99</v>
      </c>
      <c r="K177" s="86">
        <f>SUM(K178,K234,K280,K326,K342,K346,K384)</f>
        <v>0</v>
      </c>
      <c r="L177" s="267">
        <f>SUM(L179,L291,L383,L475,L507,L515)</f>
        <v>14975.131262212246</v>
      </c>
      <c r="M177" s="267">
        <f t="shared" ref="M177:O177" si="184">SUM(M179,M291,M383,M475,M507,M515)</f>
        <v>12959.850226300863</v>
      </c>
      <c r="N177" s="267">
        <f t="shared" si="184"/>
        <v>11890</v>
      </c>
      <c r="O177" s="267">
        <f t="shared" si="184"/>
        <v>12470</v>
      </c>
      <c r="P177" s="267">
        <f>SUM(P179,P291,P383,P475,P507,P515)</f>
        <v>13350</v>
      </c>
      <c r="Q177" s="267">
        <f>SUM(Q179,Q291,Q383,Q475,Q507,Q515)</f>
        <v>14840.000000000002</v>
      </c>
      <c r="R177" s="264">
        <f>Forecasting!R163</f>
        <v>15491.394687244565</v>
      </c>
      <c r="S177" s="264">
        <f>Forecasting!S163</f>
        <v>16075.885905664962</v>
      </c>
      <c r="T177" s="264">
        <f>Forecasting!T163</f>
        <v>16743.512843757366</v>
      </c>
      <c r="U177" s="264">
        <f>Forecasting!U163</f>
        <v>17530.93536460535</v>
      </c>
      <c r="V177" s="264">
        <f>Forecasting!V163</f>
        <v>18417.93995094355</v>
      </c>
      <c r="W177" s="260">
        <f>+(Q177/M177)^(1/4)-1</f>
        <v>3.4447560113938902E-2</v>
      </c>
      <c r="X177" s="260">
        <f>+(V177/Q177)^(1/5)-1</f>
        <v>4.4146483873642506E-2</v>
      </c>
    </row>
    <row r="178" spans="1:26">
      <c r="A178" s="57"/>
      <c r="B178" s="57"/>
      <c r="C178" s="61" t="s">
        <v>892</v>
      </c>
      <c r="D178" s="61"/>
      <c r="E178" s="61"/>
      <c r="F178" s="61"/>
      <c r="G178" s="61"/>
      <c r="H178" s="61"/>
      <c r="I178" s="61"/>
      <c r="J178" s="61" t="s">
        <v>58</v>
      </c>
      <c r="K178" s="58"/>
      <c r="L178" s="59"/>
      <c r="M178" s="62">
        <v>-9.4746858385693522E-2</v>
      </c>
      <c r="N178" s="62">
        <f t="shared" ref="N178:V178" si="185">N177/M177-1</f>
        <v>-8.2551125793853486E-2</v>
      </c>
      <c r="O178" s="62">
        <f t="shared" si="185"/>
        <v>4.8780487804878092E-2</v>
      </c>
      <c r="P178" s="62">
        <f t="shared" si="185"/>
        <v>7.0569366479551032E-2</v>
      </c>
      <c r="Q178" s="62">
        <f t="shared" si="185"/>
        <v>0.11161048689138586</v>
      </c>
      <c r="R178" s="62">
        <f t="shared" si="185"/>
        <v>4.3894520703811502E-2</v>
      </c>
      <c r="S178" s="62">
        <f t="shared" si="185"/>
        <v>3.7730057894765245E-2</v>
      </c>
      <c r="T178" s="62">
        <f t="shared" si="185"/>
        <v>4.1529713635074961E-2</v>
      </c>
      <c r="U178" s="62">
        <f t="shared" si="185"/>
        <v>4.7028513561989227E-2</v>
      </c>
      <c r="V178" s="62">
        <f t="shared" si="185"/>
        <v>5.0596535090138284E-2</v>
      </c>
      <c r="W178" s="259"/>
      <c r="X178" s="259"/>
    </row>
    <row r="179" spans="1:26">
      <c r="A179" s="55" t="str">
        <f>Home!$B$1</f>
        <v>Poland</v>
      </c>
      <c r="B179" s="56" t="s">
        <v>94</v>
      </c>
      <c r="C179" s="56" t="s">
        <v>130</v>
      </c>
      <c r="D179" s="55" t="s">
        <v>65</v>
      </c>
      <c r="E179" s="57"/>
      <c r="F179" s="57" t="s">
        <v>132</v>
      </c>
      <c r="G179" s="57" t="s">
        <v>15</v>
      </c>
      <c r="H179" s="57" t="s">
        <v>16</v>
      </c>
      <c r="I179" s="57"/>
      <c r="J179" s="57" t="s">
        <v>99</v>
      </c>
      <c r="K179" s="86">
        <f>SUM(K180:K233)</f>
        <v>0</v>
      </c>
      <c r="L179" s="80">
        <f t="shared" ref="L179:Q179" si="186">SUM(L181,L183,L185,L187,L189,L191,L193,L195,L197,L199,L201,L203,L205,L207,L209,L211,L213,L215,L217,L219,L221,L223,L225,L227,L229,L231,L233,L235,L237,L239,L241,L243,L245,L247,L249,L251,L253,L255,L257,L259,L261,L263,L265,L267,L269,L271,L273,L275,L277,L279,L281,L283,L285,L287,L289)</f>
        <v>52.253451508886499</v>
      </c>
      <c r="M179" s="80">
        <f t="shared" si="186"/>
        <v>42.750283164627255</v>
      </c>
      <c r="N179" s="80">
        <f t="shared" si="186"/>
        <v>39.565883515656104</v>
      </c>
      <c r="O179" s="80">
        <f t="shared" si="186"/>
        <v>44.038197332752539</v>
      </c>
      <c r="P179" s="80">
        <f t="shared" si="186"/>
        <v>46.305151599135741</v>
      </c>
      <c r="Q179" s="80">
        <f t="shared" si="186"/>
        <v>54.452575819274571</v>
      </c>
      <c r="R179" s="110">
        <f>Forecasting!R165</f>
        <v>57.643282241106128</v>
      </c>
      <c r="S179" s="110">
        <f>Forecasting!S165</f>
        <v>60.729873221480887</v>
      </c>
      <c r="T179" s="110">
        <f>Forecasting!T165</f>
        <v>63.527399252827827</v>
      </c>
      <c r="U179" s="110">
        <f>Forecasting!U165</f>
        <v>67.172008960251631</v>
      </c>
      <c r="V179" s="110">
        <f>Forecasting!V165</f>
        <v>71.438310817389905</v>
      </c>
      <c r="W179" s="106">
        <f>+(Q179/M179)^(1/4)-1</f>
        <v>6.2355469466307545E-2</v>
      </c>
      <c r="X179" s="106">
        <f>+(V179/Q179)^(1/5)-1</f>
        <v>5.5802168632161697E-2</v>
      </c>
      <c r="Y179" s="7" t="s">
        <v>1246</v>
      </c>
      <c r="Z179" s="11"/>
    </row>
    <row r="180" spans="1:26">
      <c r="A180" s="57"/>
      <c r="B180" s="57"/>
      <c r="C180" s="61" t="s">
        <v>892</v>
      </c>
      <c r="D180" s="61"/>
      <c r="E180" s="61"/>
      <c r="F180" s="61"/>
      <c r="G180" s="61"/>
      <c r="H180" s="61"/>
      <c r="I180" s="61"/>
      <c r="J180" s="61" t="s">
        <v>58</v>
      </c>
      <c r="K180" s="58"/>
      <c r="L180" s="59"/>
      <c r="M180" s="62">
        <v>8.1167050564878718E-3</v>
      </c>
      <c r="N180" s="62">
        <f t="shared" ref="N180:V180" si="187">N179/M179-1</f>
        <v>-7.4488387286426483E-2</v>
      </c>
      <c r="O180" s="62">
        <f t="shared" si="187"/>
        <v>0.11303460000651211</v>
      </c>
      <c r="P180" s="62">
        <f t="shared" si="187"/>
        <v>5.1476999597737771E-2</v>
      </c>
      <c r="Q180" s="62">
        <f t="shared" si="187"/>
        <v>0.17595070826397841</v>
      </c>
      <c r="R180" s="62">
        <f t="shared" si="187"/>
        <v>5.8596060403484973E-2</v>
      </c>
      <c r="S180" s="62">
        <f t="shared" si="187"/>
        <v>5.3546412701906743E-2</v>
      </c>
      <c r="T180" s="62">
        <f t="shared" si="187"/>
        <v>4.6065072804357898E-2</v>
      </c>
      <c r="U180" s="62">
        <f t="shared" si="187"/>
        <v>5.7370673918491377E-2</v>
      </c>
      <c r="V180" s="62">
        <f t="shared" si="187"/>
        <v>6.3513090097734315E-2</v>
      </c>
      <c r="W180" s="259"/>
      <c r="X180" s="259"/>
      <c r="Y180" s="122" t="s">
        <v>26</v>
      </c>
    </row>
    <row r="181" spans="1:26">
      <c r="A181" s="55" t="str">
        <f>Home!$B$1</f>
        <v>Poland</v>
      </c>
      <c r="B181" s="56" t="s">
        <v>94</v>
      </c>
      <c r="C181" s="56" t="s">
        <v>130</v>
      </c>
      <c r="D181" s="56" t="s">
        <v>65</v>
      </c>
      <c r="E181" s="55" t="s">
        <v>133</v>
      </c>
      <c r="F181" s="57" t="s">
        <v>134</v>
      </c>
      <c r="G181" s="57" t="s">
        <v>15</v>
      </c>
      <c r="H181" s="57" t="s">
        <v>16</v>
      </c>
      <c r="I181" s="57"/>
      <c r="J181" s="57" t="s">
        <v>99</v>
      </c>
      <c r="K181" s="58"/>
      <c r="L181" s="80"/>
      <c r="M181" s="80"/>
      <c r="N181" s="80"/>
      <c r="O181" s="80"/>
      <c r="P181" s="80"/>
      <c r="Q181" s="80"/>
      <c r="R181" s="110">
        <f>Forecasting!R177</f>
        <v>0</v>
      </c>
      <c r="S181" s="110">
        <f>Forecasting!S177</f>
        <v>0</v>
      </c>
      <c r="T181" s="110">
        <f>Forecasting!T177</f>
        <v>0</v>
      </c>
      <c r="U181" s="110">
        <f>Forecasting!U177</f>
        <v>0</v>
      </c>
      <c r="V181" s="110">
        <f>Forecasting!V177</f>
        <v>0</v>
      </c>
      <c r="W181" s="106" t="e">
        <f>+(Q181/M181)^(1/4)-1</f>
        <v>#DIV/0!</v>
      </c>
      <c r="X181" s="106" t="e">
        <f>+(V181/Q181)^(1/5)-1</f>
        <v>#DIV/0!</v>
      </c>
    </row>
    <row r="182" spans="1:26">
      <c r="A182" s="57"/>
      <c r="B182" s="57"/>
      <c r="C182" s="61" t="s">
        <v>892</v>
      </c>
      <c r="D182" s="61"/>
      <c r="E182" s="61"/>
      <c r="F182" s="61"/>
      <c r="G182" s="61"/>
      <c r="H182" s="61"/>
      <c r="I182" s="61"/>
      <c r="J182" s="61" t="s">
        <v>58</v>
      </c>
      <c r="K182" s="58"/>
      <c r="L182" s="59"/>
      <c r="M182" s="62" t="e">
        <v>#DIV/0!</v>
      </c>
      <c r="N182" s="62" t="e">
        <f t="shared" ref="N182:V182" si="188">N181/M181-1</f>
        <v>#DIV/0!</v>
      </c>
      <c r="O182" s="62" t="e">
        <f t="shared" si="188"/>
        <v>#DIV/0!</v>
      </c>
      <c r="P182" s="62" t="e">
        <f t="shared" si="188"/>
        <v>#DIV/0!</v>
      </c>
      <c r="Q182" s="62" t="e">
        <f t="shared" si="188"/>
        <v>#DIV/0!</v>
      </c>
      <c r="R182" s="62" t="e">
        <f t="shared" si="188"/>
        <v>#DIV/0!</v>
      </c>
      <c r="S182" s="62" t="e">
        <f t="shared" si="188"/>
        <v>#DIV/0!</v>
      </c>
      <c r="T182" s="62" t="e">
        <f t="shared" si="188"/>
        <v>#DIV/0!</v>
      </c>
      <c r="U182" s="62" t="e">
        <f t="shared" si="188"/>
        <v>#DIV/0!</v>
      </c>
      <c r="V182" s="62" t="e">
        <f t="shared" si="188"/>
        <v>#DIV/0!</v>
      </c>
      <c r="W182" s="259"/>
      <c r="X182" s="259"/>
    </row>
    <row r="183" spans="1:26">
      <c r="A183" s="55" t="str">
        <f>Home!$B$1</f>
        <v>Poland</v>
      </c>
      <c r="B183" s="56" t="s">
        <v>94</v>
      </c>
      <c r="C183" s="56" t="s">
        <v>130</v>
      </c>
      <c r="D183" s="56" t="s">
        <v>65</v>
      </c>
      <c r="E183" s="55" t="s">
        <v>135</v>
      </c>
      <c r="F183" s="57" t="s">
        <v>136</v>
      </c>
      <c r="G183" s="57" t="s">
        <v>15</v>
      </c>
      <c r="H183" s="57" t="s">
        <v>16</v>
      </c>
      <c r="I183" s="57"/>
      <c r="J183" s="57" t="s">
        <v>99</v>
      </c>
      <c r="K183" s="58"/>
      <c r="L183" s="80"/>
      <c r="M183" s="80"/>
      <c r="N183" s="80"/>
      <c r="O183" s="80"/>
      <c r="P183" s="80"/>
      <c r="Q183" s="80"/>
      <c r="R183" s="110">
        <f>Forecasting!R179</f>
        <v>0</v>
      </c>
      <c r="S183" s="110">
        <f>Forecasting!S179</f>
        <v>0</v>
      </c>
      <c r="T183" s="110">
        <f>Forecasting!T179</f>
        <v>0</v>
      </c>
      <c r="U183" s="110">
        <f>Forecasting!U179</f>
        <v>0</v>
      </c>
      <c r="V183" s="110">
        <f>Forecasting!V179</f>
        <v>0</v>
      </c>
      <c r="W183" s="106" t="e">
        <f>+(Q183/M183)^(1/4)-1</f>
        <v>#DIV/0!</v>
      </c>
      <c r="X183" s="106" t="e">
        <f>+(V183/Q183)^(1/5)-1</f>
        <v>#DIV/0!</v>
      </c>
    </row>
    <row r="184" spans="1:26">
      <c r="A184" s="57"/>
      <c r="B184" s="57"/>
      <c r="C184" s="61" t="s">
        <v>892</v>
      </c>
      <c r="D184" s="61"/>
      <c r="E184" s="61"/>
      <c r="F184" s="61"/>
      <c r="G184" s="61"/>
      <c r="H184" s="61"/>
      <c r="I184" s="61"/>
      <c r="J184" s="61" t="s">
        <v>58</v>
      </c>
      <c r="K184" s="58"/>
      <c r="L184" s="59"/>
      <c r="M184" s="62" t="e">
        <v>#DIV/0!</v>
      </c>
      <c r="N184" s="62" t="e">
        <f t="shared" ref="N184:V184" si="189">N183/M183-1</f>
        <v>#DIV/0!</v>
      </c>
      <c r="O184" s="62" t="e">
        <f t="shared" si="189"/>
        <v>#DIV/0!</v>
      </c>
      <c r="P184" s="62" t="e">
        <f t="shared" si="189"/>
        <v>#DIV/0!</v>
      </c>
      <c r="Q184" s="62" t="e">
        <f t="shared" si="189"/>
        <v>#DIV/0!</v>
      </c>
      <c r="R184" s="62" t="e">
        <f t="shared" si="189"/>
        <v>#DIV/0!</v>
      </c>
      <c r="S184" s="62" t="e">
        <f t="shared" si="189"/>
        <v>#DIV/0!</v>
      </c>
      <c r="T184" s="62" t="e">
        <f t="shared" si="189"/>
        <v>#DIV/0!</v>
      </c>
      <c r="U184" s="62" t="e">
        <f t="shared" si="189"/>
        <v>#DIV/0!</v>
      </c>
      <c r="V184" s="62" t="e">
        <f t="shared" si="189"/>
        <v>#DIV/0!</v>
      </c>
      <c r="W184" s="259"/>
      <c r="X184" s="259"/>
    </row>
    <row r="185" spans="1:26">
      <c r="A185" s="55" t="str">
        <f>Home!$B$1</f>
        <v>Poland</v>
      </c>
      <c r="B185" s="56" t="s">
        <v>94</v>
      </c>
      <c r="C185" s="56" t="s">
        <v>130</v>
      </c>
      <c r="D185" s="56" t="s">
        <v>65</v>
      </c>
      <c r="E185" s="55" t="s">
        <v>137</v>
      </c>
      <c r="F185" s="57" t="s">
        <v>138</v>
      </c>
      <c r="G185" s="57" t="s">
        <v>15</v>
      </c>
      <c r="H185" s="57" t="s">
        <v>16</v>
      </c>
      <c r="I185" s="57"/>
      <c r="J185" s="57" t="s">
        <v>99</v>
      </c>
      <c r="K185" s="58"/>
      <c r="L185" s="80"/>
      <c r="M185" s="80"/>
      <c r="N185" s="80"/>
      <c r="O185" s="80"/>
      <c r="P185" s="80"/>
      <c r="Q185" s="80"/>
      <c r="R185" s="110">
        <f>Forecasting!R181</f>
        <v>0</v>
      </c>
      <c r="S185" s="110">
        <f>Forecasting!S181</f>
        <v>0</v>
      </c>
      <c r="T185" s="110">
        <f>Forecasting!T181</f>
        <v>0</v>
      </c>
      <c r="U185" s="110">
        <f>Forecasting!U181</f>
        <v>0</v>
      </c>
      <c r="V185" s="110">
        <f>Forecasting!V181</f>
        <v>0</v>
      </c>
      <c r="W185" s="106" t="e">
        <f>+(Q185/M185)^(1/4)-1</f>
        <v>#DIV/0!</v>
      </c>
      <c r="X185" s="106" t="e">
        <f>+(V185/Q185)^(1/5)-1</f>
        <v>#DIV/0!</v>
      </c>
    </row>
    <row r="186" spans="1:26">
      <c r="A186" s="57"/>
      <c r="B186" s="57"/>
      <c r="C186" s="61" t="s">
        <v>892</v>
      </c>
      <c r="D186" s="61"/>
      <c r="E186" s="61"/>
      <c r="F186" s="61"/>
      <c r="G186" s="61"/>
      <c r="H186" s="61"/>
      <c r="I186" s="61"/>
      <c r="J186" s="61" t="s">
        <v>58</v>
      </c>
      <c r="K186" s="58"/>
      <c r="L186" s="59"/>
      <c r="M186" s="62" t="e">
        <v>#DIV/0!</v>
      </c>
      <c r="N186" s="62" t="e">
        <f t="shared" ref="N186:V186" si="190">N185/M185-1</f>
        <v>#DIV/0!</v>
      </c>
      <c r="O186" s="62" t="e">
        <f t="shared" si="190"/>
        <v>#DIV/0!</v>
      </c>
      <c r="P186" s="62" t="e">
        <f t="shared" si="190"/>
        <v>#DIV/0!</v>
      </c>
      <c r="Q186" s="62" t="e">
        <f t="shared" si="190"/>
        <v>#DIV/0!</v>
      </c>
      <c r="R186" s="62" t="e">
        <f t="shared" si="190"/>
        <v>#DIV/0!</v>
      </c>
      <c r="S186" s="62" t="e">
        <f t="shared" si="190"/>
        <v>#DIV/0!</v>
      </c>
      <c r="T186" s="62" t="e">
        <f t="shared" si="190"/>
        <v>#DIV/0!</v>
      </c>
      <c r="U186" s="62" t="e">
        <f t="shared" si="190"/>
        <v>#DIV/0!</v>
      </c>
      <c r="V186" s="62" t="e">
        <f t="shared" si="190"/>
        <v>#DIV/0!</v>
      </c>
      <c r="W186" s="259"/>
      <c r="X186" s="259"/>
    </row>
    <row r="187" spans="1:26">
      <c r="A187" s="55" t="str">
        <f>Home!$B$1</f>
        <v>Poland</v>
      </c>
      <c r="B187" s="56" t="s">
        <v>94</v>
      </c>
      <c r="C187" s="56" t="s">
        <v>130</v>
      </c>
      <c r="D187" s="56" t="s">
        <v>65</v>
      </c>
      <c r="E187" s="55" t="s">
        <v>139</v>
      </c>
      <c r="F187" s="57" t="s">
        <v>140</v>
      </c>
      <c r="G187" s="57" t="s">
        <v>15</v>
      </c>
      <c r="H187" s="57" t="s">
        <v>16</v>
      </c>
      <c r="I187" s="57"/>
      <c r="J187" s="57" t="s">
        <v>99</v>
      </c>
      <c r="K187" s="58"/>
      <c r="L187" s="80"/>
      <c r="M187" s="80"/>
      <c r="N187" s="80"/>
      <c r="O187" s="80"/>
      <c r="P187" s="80"/>
      <c r="Q187" s="80"/>
      <c r="R187" s="110">
        <f>Forecasting!R183</f>
        <v>0</v>
      </c>
      <c r="S187" s="110">
        <f>Forecasting!S183</f>
        <v>0</v>
      </c>
      <c r="T187" s="110">
        <f>Forecasting!T183</f>
        <v>0</v>
      </c>
      <c r="U187" s="110">
        <f>Forecasting!U183</f>
        <v>0</v>
      </c>
      <c r="V187" s="110">
        <f>Forecasting!V183</f>
        <v>0</v>
      </c>
      <c r="W187" s="106" t="e">
        <f>+(Q187/M187)^(1/4)-1</f>
        <v>#DIV/0!</v>
      </c>
      <c r="X187" s="106" t="e">
        <f>+(V187/Q187)^(1/5)-1</f>
        <v>#DIV/0!</v>
      </c>
    </row>
    <row r="188" spans="1:26">
      <c r="A188" s="57"/>
      <c r="B188" s="57"/>
      <c r="C188" s="61" t="s">
        <v>892</v>
      </c>
      <c r="D188" s="61"/>
      <c r="E188" s="61"/>
      <c r="F188" s="61"/>
      <c r="G188" s="61"/>
      <c r="H188" s="61"/>
      <c r="I188" s="61"/>
      <c r="J188" s="61" t="s">
        <v>58</v>
      </c>
      <c r="K188" s="58"/>
      <c r="L188" s="59"/>
      <c r="M188" s="62" t="e">
        <v>#DIV/0!</v>
      </c>
      <c r="N188" s="62" t="e">
        <f t="shared" ref="N188:V188" si="191">N187/M187-1</f>
        <v>#DIV/0!</v>
      </c>
      <c r="O188" s="62" t="e">
        <f t="shared" si="191"/>
        <v>#DIV/0!</v>
      </c>
      <c r="P188" s="62" t="e">
        <f t="shared" si="191"/>
        <v>#DIV/0!</v>
      </c>
      <c r="Q188" s="62" t="e">
        <f t="shared" si="191"/>
        <v>#DIV/0!</v>
      </c>
      <c r="R188" s="62" t="e">
        <f t="shared" si="191"/>
        <v>#DIV/0!</v>
      </c>
      <c r="S188" s="62" t="e">
        <f t="shared" si="191"/>
        <v>#DIV/0!</v>
      </c>
      <c r="T188" s="62" t="e">
        <f t="shared" si="191"/>
        <v>#DIV/0!</v>
      </c>
      <c r="U188" s="62" t="e">
        <f t="shared" si="191"/>
        <v>#DIV/0!</v>
      </c>
      <c r="V188" s="62" t="e">
        <f t="shared" si="191"/>
        <v>#DIV/0!</v>
      </c>
      <c r="W188" s="259"/>
      <c r="X188" s="259"/>
    </row>
    <row r="189" spans="1:26">
      <c r="A189" s="55" t="str">
        <f>Home!$B$1</f>
        <v>Poland</v>
      </c>
      <c r="B189" s="56" t="s">
        <v>94</v>
      </c>
      <c r="C189" s="56" t="s">
        <v>130</v>
      </c>
      <c r="D189" s="56" t="s">
        <v>65</v>
      </c>
      <c r="E189" s="55" t="s">
        <v>141</v>
      </c>
      <c r="F189" s="57" t="s">
        <v>142</v>
      </c>
      <c r="G189" s="57" t="s">
        <v>15</v>
      </c>
      <c r="H189" s="57" t="s">
        <v>16</v>
      </c>
      <c r="I189" s="57"/>
      <c r="J189" s="57" t="s">
        <v>99</v>
      </c>
      <c r="K189" s="58"/>
      <c r="L189" s="80"/>
      <c r="M189" s="80"/>
      <c r="N189" s="80"/>
      <c r="O189" s="80"/>
      <c r="P189" s="80"/>
      <c r="Q189" s="80"/>
      <c r="R189" s="110">
        <f>Forecasting!R185</f>
        <v>0</v>
      </c>
      <c r="S189" s="110">
        <f>Forecasting!S185</f>
        <v>0</v>
      </c>
      <c r="T189" s="110">
        <f>Forecasting!T185</f>
        <v>0</v>
      </c>
      <c r="U189" s="110">
        <f>Forecasting!U185</f>
        <v>0</v>
      </c>
      <c r="V189" s="110">
        <f>Forecasting!V185</f>
        <v>0</v>
      </c>
      <c r="W189" s="106" t="e">
        <f>+(Q189/M189)^(1/4)-1</f>
        <v>#DIV/0!</v>
      </c>
      <c r="X189" s="106" t="e">
        <f>+(V189/Q189)^(1/5)-1</f>
        <v>#DIV/0!</v>
      </c>
    </row>
    <row r="190" spans="1:26">
      <c r="A190" s="57"/>
      <c r="B190" s="57"/>
      <c r="C190" s="61" t="s">
        <v>892</v>
      </c>
      <c r="D190" s="61"/>
      <c r="E190" s="61"/>
      <c r="F190" s="61"/>
      <c r="G190" s="61"/>
      <c r="H190" s="61"/>
      <c r="I190" s="61"/>
      <c r="J190" s="61" t="s">
        <v>58</v>
      </c>
      <c r="K190" s="58"/>
      <c r="L190" s="59"/>
      <c r="M190" s="62" t="e">
        <v>#DIV/0!</v>
      </c>
      <c r="N190" s="62" t="e">
        <f t="shared" ref="N190:V190" si="192">N189/M189-1</f>
        <v>#DIV/0!</v>
      </c>
      <c r="O190" s="62" t="e">
        <f t="shared" si="192"/>
        <v>#DIV/0!</v>
      </c>
      <c r="P190" s="62" t="e">
        <f t="shared" si="192"/>
        <v>#DIV/0!</v>
      </c>
      <c r="Q190" s="62" t="e">
        <f t="shared" si="192"/>
        <v>#DIV/0!</v>
      </c>
      <c r="R190" s="62" t="e">
        <f t="shared" si="192"/>
        <v>#DIV/0!</v>
      </c>
      <c r="S190" s="62" t="e">
        <f t="shared" si="192"/>
        <v>#DIV/0!</v>
      </c>
      <c r="T190" s="62" t="e">
        <f t="shared" si="192"/>
        <v>#DIV/0!</v>
      </c>
      <c r="U190" s="62" t="e">
        <f t="shared" si="192"/>
        <v>#DIV/0!</v>
      </c>
      <c r="V190" s="62" t="e">
        <f t="shared" si="192"/>
        <v>#DIV/0!</v>
      </c>
      <c r="W190" s="259"/>
      <c r="X190" s="259"/>
    </row>
    <row r="191" spans="1:26">
      <c r="A191" s="55" t="str">
        <f>Home!$B$1</f>
        <v>Poland</v>
      </c>
      <c r="B191" s="56" t="s">
        <v>94</v>
      </c>
      <c r="C191" s="56" t="s">
        <v>130</v>
      </c>
      <c r="D191" s="56" t="s">
        <v>65</v>
      </c>
      <c r="E191" s="55" t="s">
        <v>143</v>
      </c>
      <c r="F191" s="57" t="s">
        <v>144</v>
      </c>
      <c r="G191" s="57" t="s">
        <v>15</v>
      </c>
      <c r="H191" s="57" t="s">
        <v>16</v>
      </c>
      <c r="I191" s="57"/>
      <c r="J191" s="57" t="s">
        <v>99</v>
      </c>
      <c r="K191" s="58"/>
      <c r="L191" s="80"/>
      <c r="M191" s="80"/>
      <c r="N191" s="80"/>
      <c r="O191" s="80"/>
      <c r="P191" s="80"/>
      <c r="Q191" s="80"/>
      <c r="R191" s="110">
        <f>Forecasting!R187</f>
        <v>0</v>
      </c>
      <c r="S191" s="110">
        <f>Forecasting!S187</f>
        <v>0</v>
      </c>
      <c r="T191" s="110">
        <f>Forecasting!T187</f>
        <v>0</v>
      </c>
      <c r="U191" s="110">
        <f>Forecasting!U187</f>
        <v>0</v>
      </c>
      <c r="V191" s="110">
        <f>Forecasting!V187</f>
        <v>0</v>
      </c>
      <c r="W191" s="106" t="e">
        <f>+(Q191/M191)^(1/4)-1</f>
        <v>#DIV/0!</v>
      </c>
      <c r="X191" s="106" t="e">
        <f>+(V191/Q191)^(1/5)-1</f>
        <v>#DIV/0!</v>
      </c>
    </row>
    <row r="192" spans="1:26">
      <c r="A192" s="57"/>
      <c r="B192" s="57"/>
      <c r="C192" s="61" t="s">
        <v>892</v>
      </c>
      <c r="D192" s="61"/>
      <c r="E192" s="61"/>
      <c r="F192" s="61"/>
      <c r="G192" s="61"/>
      <c r="H192" s="61"/>
      <c r="I192" s="61"/>
      <c r="J192" s="61" t="s">
        <v>58</v>
      </c>
      <c r="K192" s="58"/>
      <c r="L192" s="59"/>
      <c r="M192" s="62" t="e">
        <v>#DIV/0!</v>
      </c>
      <c r="N192" s="62" t="e">
        <f t="shared" ref="N192:V192" si="193">N191/M191-1</f>
        <v>#DIV/0!</v>
      </c>
      <c r="O192" s="62" t="e">
        <f t="shared" si="193"/>
        <v>#DIV/0!</v>
      </c>
      <c r="P192" s="62" t="e">
        <f t="shared" si="193"/>
        <v>#DIV/0!</v>
      </c>
      <c r="Q192" s="62" t="e">
        <f t="shared" si="193"/>
        <v>#DIV/0!</v>
      </c>
      <c r="R192" s="62" t="e">
        <f t="shared" si="193"/>
        <v>#DIV/0!</v>
      </c>
      <c r="S192" s="62" t="e">
        <f t="shared" si="193"/>
        <v>#DIV/0!</v>
      </c>
      <c r="T192" s="62" t="e">
        <f t="shared" si="193"/>
        <v>#DIV/0!</v>
      </c>
      <c r="U192" s="62" t="e">
        <f t="shared" si="193"/>
        <v>#DIV/0!</v>
      </c>
      <c r="V192" s="62" t="e">
        <f t="shared" si="193"/>
        <v>#DIV/0!</v>
      </c>
      <c r="W192" s="259"/>
      <c r="X192" s="259"/>
    </row>
    <row r="193" spans="1:24">
      <c r="A193" s="55" t="str">
        <f>Home!$B$1</f>
        <v>Poland</v>
      </c>
      <c r="B193" s="56" t="s">
        <v>94</v>
      </c>
      <c r="C193" s="56" t="s">
        <v>130</v>
      </c>
      <c r="D193" s="56" t="s">
        <v>65</v>
      </c>
      <c r="E193" s="55" t="s">
        <v>145</v>
      </c>
      <c r="F193" s="57" t="s">
        <v>146</v>
      </c>
      <c r="G193" s="57" t="s">
        <v>15</v>
      </c>
      <c r="H193" s="57" t="s">
        <v>16</v>
      </c>
      <c r="I193" s="57"/>
      <c r="J193" s="57" t="s">
        <v>99</v>
      </c>
      <c r="K193" s="58"/>
      <c r="L193" s="80"/>
      <c r="M193" s="80"/>
      <c r="N193" s="80"/>
      <c r="O193" s="80"/>
      <c r="P193" s="80"/>
      <c r="Q193" s="80"/>
      <c r="R193" s="110">
        <f>Forecasting!R189</f>
        <v>0</v>
      </c>
      <c r="S193" s="110">
        <f>Forecasting!S189</f>
        <v>0</v>
      </c>
      <c r="T193" s="110">
        <f>Forecasting!T189</f>
        <v>0</v>
      </c>
      <c r="U193" s="110">
        <f>Forecasting!U189</f>
        <v>0</v>
      </c>
      <c r="V193" s="110">
        <f>Forecasting!V189</f>
        <v>0</v>
      </c>
      <c r="W193" s="106" t="e">
        <f>+(Q193/M193)^(1/4)-1</f>
        <v>#DIV/0!</v>
      </c>
      <c r="X193" s="106" t="e">
        <f>+(V193/Q193)^(1/5)-1</f>
        <v>#DIV/0!</v>
      </c>
    </row>
    <row r="194" spans="1:24">
      <c r="A194" s="57"/>
      <c r="B194" s="57"/>
      <c r="C194" s="61" t="s">
        <v>892</v>
      </c>
      <c r="D194" s="61"/>
      <c r="E194" s="61"/>
      <c r="F194" s="61"/>
      <c r="G194" s="61"/>
      <c r="H194" s="61"/>
      <c r="I194" s="61"/>
      <c r="J194" s="61" t="s">
        <v>58</v>
      </c>
      <c r="K194" s="58"/>
      <c r="L194" s="59"/>
      <c r="M194" s="62" t="e">
        <v>#DIV/0!</v>
      </c>
      <c r="N194" s="62" t="e">
        <f t="shared" ref="N194:V194" si="194">N193/M193-1</f>
        <v>#DIV/0!</v>
      </c>
      <c r="O194" s="62" t="e">
        <f t="shared" si="194"/>
        <v>#DIV/0!</v>
      </c>
      <c r="P194" s="62" t="e">
        <f t="shared" si="194"/>
        <v>#DIV/0!</v>
      </c>
      <c r="Q194" s="62" t="e">
        <f t="shared" si="194"/>
        <v>#DIV/0!</v>
      </c>
      <c r="R194" s="62" t="e">
        <f t="shared" si="194"/>
        <v>#DIV/0!</v>
      </c>
      <c r="S194" s="62" t="e">
        <f t="shared" si="194"/>
        <v>#DIV/0!</v>
      </c>
      <c r="T194" s="62" t="e">
        <f t="shared" si="194"/>
        <v>#DIV/0!</v>
      </c>
      <c r="U194" s="62" t="e">
        <f t="shared" si="194"/>
        <v>#DIV/0!</v>
      </c>
      <c r="V194" s="62" t="e">
        <f t="shared" si="194"/>
        <v>#DIV/0!</v>
      </c>
      <c r="W194" s="259"/>
      <c r="X194" s="259"/>
    </row>
    <row r="195" spans="1:24">
      <c r="A195" s="55" t="str">
        <f>Home!$B$1</f>
        <v>Poland</v>
      </c>
      <c r="B195" s="56" t="s">
        <v>94</v>
      </c>
      <c r="C195" s="56" t="s">
        <v>130</v>
      </c>
      <c r="D195" s="56" t="s">
        <v>65</v>
      </c>
      <c r="E195" s="55" t="s">
        <v>147</v>
      </c>
      <c r="F195" s="57" t="s">
        <v>148</v>
      </c>
      <c r="G195" s="57" t="s">
        <v>15</v>
      </c>
      <c r="H195" s="57" t="s">
        <v>16</v>
      </c>
      <c r="I195" s="57"/>
      <c r="J195" s="57" t="s">
        <v>99</v>
      </c>
      <c r="K195" s="58"/>
      <c r="L195" s="80"/>
      <c r="M195" s="80"/>
      <c r="N195" s="80"/>
      <c r="O195" s="80"/>
      <c r="P195" s="80"/>
      <c r="Q195" s="80"/>
      <c r="R195" s="110">
        <f>Forecasting!R191</f>
        <v>0</v>
      </c>
      <c r="S195" s="110">
        <f>Forecasting!S191</f>
        <v>0</v>
      </c>
      <c r="T195" s="110">
        <f>Forecasting!T191</f>
        <v>0</v>
      </c>
      <c r="U195" s="110">
        <f>Forecasting!U191</f>
        <v>0</v>
      </c>
      <c r="V195" s="110">
        <f>Forecasting!V191</f>
        <v>0</v>
      </c>
      <c r="W195" s="106" t="e">
        <f>+(Q195/M195)^(1/4)-1</f>
        <v>#DIV/0!</v>
      </c>
      <c r="X195" s="106" t="e">
        <f>+(V195/Q195)^(1/5)-1</f>
        <v>#DIV/0!</v>
      </c>
    </row>
    <row r="196" spans="1:24">
      <c r="A196" s="57"/>
      <c r="B196" s="57"/>
      <c r="C196" s="61" t="s">
        <v>892</v>
      </c>
      <c r="D196" s="61"/>
      <c r="E196" s="61"/>
      <c r="F196" s="61"/>
      <c r="G196" s="61"/>
      <c r="H196" s="61"/>
      <c r="I196" s="61"/>
      <c r="J196" s="61" t="s">
        <v>58</v>
      </c>
      <c r="K196" s="58"/>
      <c r="L196" s="59"/>
      <c r="M196" s="62" t="e">
        <v>#DIV/0!</v>
      </c>
      <c r="N196" s="62" t="e">
        <f t="shared" ref="N196:V196" si="195">N195/M195-1</f>
        <v>#DIV/0!</v>
      </c>
      <c r="O196" s="62" t="e">
        <f t="shared" si="195"/>
        <v>#DIV/0!</v>
      </c>
      <c r="P196" s="62" t="e">
        <f t="shared" si="195"/>
        <v>#DIV/0!</v>
      </c>
      <c r="Q196" s="62" t="e">
        <f t="shared" si="195"/>
        <v>#DIV/0!</v>
      </c>
      <c r="R196" s="62" t="e">
        <f t="shared" si="195"/>
        <v>#DIV/0!</v>
      </c>
      <c r="S196" s="62" t="e">
        <f t="shared" si="195"/>
        <v>#DIV/0!</v>
      </c>
      <c r="T196" s="62" t="e">
        <f t="shared" si="195"/>
        <v>#DIV/0!</v>
      </c>
      <c r="U196" s="62" t="e">
        <f t="shared" si="195"/>
        <v>#DIV/0!</v>
      </c>
      <c r="V196" s="62" t="e">
        <f t="shared" si="195"/>
        <v>#DIV/0!</v>
      </c>
      <c r="W196" s="259"/>
      <c r="X196" s="259"/>
    </row>
    <row r="197" spans="1:24">
      <c r="A197" s="55" t="str">
        <f>Home!$B$1</f>
        <v>Poland</v>
      </c>
      <c r="B197" s="56" t="s">
        <v>94</v>
      </c>
      <c r="C197" s="56" t="s">
        <v>130</v>
      </c>
      <c r="D197" s="56" t="s">
        <v>65</v>
      </c>
      <c r="E197" s="55" t="s">
        <v>149</v>
      </c>
      <c r="F197" s="57" t="s">
        <v>150</v>
      </c>
      <c r="G197" s="57" t="s">
        <v>15</v>
      </c>
      <c r="H197" s="57" t="s">
        <v>16</v>
      </c>
      <c r="I197" s="57"/>
      <c r="J197" s="57" t="s">
        <v>99</v>
      </c>
      <c r="K197" s="58"/>
      <c r="L197" s="80"/>
      <c r="M197" s="80"/>
      <c r="N197" s="80"/>
      <c r="O197" s="80"/>
      <c r="P197" s="80"/>
      <c r="Q197" s="80"/>
      <c r="R197" s="110">
        <f>Forecasting!R193</f>
        <v>0</v>
      </c>
      <c r="S197" s="110">
        <f>Forecasting!S193</f>
        <v>0</v>
      </c>
      <c r="T197" s="110">
        <f>Forecasting!T193</f>
        <v>0</v>
      </c>
      <c r="U197" s="110">
        <f>Forecasting!U193</f>
        <v>0</v>
      </c>
      <c r="V197" s="110">
        <f>Forecasting!V193</f>
        <v>0</v>
      </c>
      <c r="W197" s="106" t="e">
        <f>+(Q197/M197)^(1/4)-1</f>
        <v>#DIV/0!</v>
      </c>
      <c r="X197" s="106" t="e">
        <f>+(V197/Q197)^(1/5)-1</f>
        <v>#DIV/0!</v>
      </c>
    </row>
    <row r="198" spans="1:24">
      <c r="A198" s="57"/>
      <c r="B198" s="57"/>
      <c r="C198" s="61" t="s">
        <v>892</v>
      </c>
      <c r="D198" s="61"/>
      <c r="E198" s="61"/>
      <c r="F198" s="61"/>
      <c r="G198" s="61"/>
      <c r="H198" s="61"/>
      <c r="I198" s="61"/>
      <c r="J198" s="61" t="s">
        <v>58</v>
      </c>
      <c r="K198" s="58"/>
      <c r="L198" s="59"/>
      <c r="M198" s="62" t="e">
        <v>#DIV/0!</v>
      </c>
      <c r="N198" s="62" t="e">
        <f t="shared" ref="N198:V198" si="196">N197/M197-1</f>
        <v>#DIV/0!</v>
      </c>
      <c r="O198" s="62" t="e">
        <f t="shared" si="196"/>
        <v>#DIV/0!</v>
      </c>
      <c r="P198" s="62" t="e">
        <f t="shared" si="196"/>
        <v>#DIV/0!</v>
      </c>
      <c r="Q198" s="62" t="e">
        <f t="shared" si="196"/>
        <v>#DIV/0!</v>
      </c>
      <c r="R198" s="62" t="e">
        <f t="shared" si="196"/>
        <v>#DIV/0!</v>
      </c>
      <c r="S198" s="62" t="e">
        <f t="shared" si="196"/>
        <v>#DIV/0!</v>
      </c>
      <c r="T198" s="62" t="e">
        <f t="shared" si="196"/>
        <v>#DIV/0!</v>
      </c>
      <c r="U198" s="62" t="e">
        <f t="shared" si="196"/>
        <v>#DIV/0!</v>
      </c>
      <c r="V198" s="62" t="e">
        <f t="shared" si="196"/>
        <v>#DIV/0!</v>
      </c>
      <c r="W198" s="259"/>
      <c r="X198" s="259"/>
    </row>
    <row r="199" spans="1:24">
      <c r="A199" s="55" t="str">
        <f>Home!$B$1</f>
        <v>Poland</v>
      </c>
      <c r="B199" s="56" t="s">
        <v>94</v>
      </c>
      <c r="C199" s="56" t="s">
        <v>130</v>
      </c>
      <c r="D199" s="56" t="s">
        <v>65</v>
      </c>
      <c r="E199" s="55" t="s">
        <v>151</v>
      </c>
      <c r="F199" s="57" t="s">
        <v>152</v>
      </c>
      <c r="G199" s="57" t="s">
        <v>15</v>
      </c>
      <c r="H199" s="57" t="s">
        <v>16</v>
      </c>
      <c r="I199" s="57"/>
      <c r="J199" s="57" t="s">
        <v>99</v>
      </c>
      <c r="K199" s="58"/>
      <c r="L199" s="80"/>
      <c r="M199" s="80"/>
      <c r="N199" s="80"/>
      <c r="O199" s="80"/>
      <c r="P199" s="80"/>
      <c r="Q199" s="80"/>
      <c r="R199" s="110">
        <f>Forecasting!R195</f>
        <v>0</v>
      </c>
      <c r="S199" s="110">
        <f>Forecasting!S195</f>
        <v>0</v>
      </c>
      <c r="T199" s="110">
        <f>Forecasting!T195</f>
        <v>0</v>
      </c>
      <c r="U199" s="110">
        <f>Forecasting!U195</f>
        <v>0</v>
      </c>
      <c r="V199" s="110">
        <f>Forecasting!V195</f>
        <v>0</v>
      </c>
      <c r="W199" s="106" t="e">
        <f>+(Q199/M199)^(1/4)-1</f>
        <v>#DIV/0!</v>
      </c>
      <c r="X199" s="106" t="e">
        <f>+(V199/Q199)^(1/5)-1</f>
        <v>#DIV/0!</v>
      </c>
    </row>
    <row r="200" spans="1:24">
      <c r="A200" s="57"/>
      <c r="B200" s="57"/>
      <c r="C200" s="61" t="s">
        <v>892</v>
      </c>
      <c r="D200" s="61"/>
      <c r="E200" s="61"/>
      <c r="F200" s="61"/>
      <c r="G200" s="61"/>
      <c r="H200" s="61"/>
      <c r="I200" s="61"/>
      <c r="J200" s="61" t="s">
        <v>58</v>
      </c>
      <c r="K200" s="58"/>
      <c r="L200" s="59"/>
      <c r="M200" s="62" t="e">
        <v>#DIV/0!</v>
      </c>
      <c r="N200" s="62" t="e">
        <f t="shared" ref="N200:V200" si="197">N199/M199-1</f>
        <v>#DIV/0!</v>
      </c>
      <c r="O200" s="62" t="e">
        <f t="shared" si="197"/>
        <v>#DIV/0!</v>
      </c>
      <c r="P200" s="62" t="e">
        <f t="shared" si="197"/>
        <v>#DIV/0!</v>
      </c>
      <c r="Q200" s="62" t="e">
        <f t="shared" si="197"/>
        <v>#DIV/0!</v>
      </c>
      <c r="R200" s="62" t="e">
        <f t="shared" si="197"/>
        <v>#DIV/0!</v>
      </c>
      <c r="S200" s="62" t="e">
        <f t="shared" si="197"/>
        <v>#DIV/0!</v>
      </c>
      <c r="T200" s="62" t="e">
        <f t="shared" si="197"/>
        <v>#DIV/0!</v>
      </c>
      <c r="U200" s="62" t="e">
        <f t="shared" si="197"/>
        <v>#DIV/0!</v>
      </c>
      <c r="V200" s="62" t="e">
        <f t="shared" si="197"/>
        <v>#DIV/0!</v>
      </c>
      <c r="W200" s="259"/>
      <c r="X200" s="259"/>
    </row>
    <row r="201" spans="1:24">
      <c r="A201" s="55" t="str">
        <f>Home!$B$1</f>
        <v>Poland</v>
      </c>
      <c r="B201" s="56" t="s">
        <v>94</v>
      </c>
      <c r="C201" s="56" t="s">
        <v>130</v>
      </c>
      <c r="D201" s="56" t="s">
        <v>65</v>
      </c>
      <c r="E201" s="55" t="s">
        <v>153</v>
      </c>
      <c r="F201" s="57" t="s">
        <v>154</v>
      </c>
      <c r="G201" s="57" t="s">
        <v>15</v>
      </c>
      <c r="H201" s="57" t="s">
        <v>16</v>
      </c>
      <c r="I201" s="57"/>
      <c r="J201" s="57" t="s">
        <v>99</v>
      </c>
      <c r="K201" s="58"/>
      <c r="L201" s="80"/>
      <c r="M201" s="80"/>
      <c r="N201" s="80"/>
      <c r="O201" s="80"/>
      <c r="P201" s="80"/>
      <c r="Q201" s="80"/>
      <c r="R201" s="110">
        <f>Forecasting!R197</f>
        <v>0</v>
      </c>
      <c r="S201" s="110">
        <f>Forecasting!S197</f>
        <v>0</v>
      </c>
      <c r="T201" s="110">
        <f>Forecasting!T197</f>
        <v>0</v>
      </c>
      <c r="U201" s="110">
        <f>Forecasting!U197</f>
        <v>0</v>
      </c>
      <c r="V201" s="110">
        <f>Forecasting!V197</f>
        <v>0</v>
      </c>
      <c r="W201" s="106" t="e">
        <f>+(Q201/M201)^(1/4)-1</f>
        <v>#DIV/0!</v>
      </c>
      <c r="X201" s="106" t="e">
        <f>+(V201/Q201)^(1/5)-1</f>
        <v>#DIV/0!</v>
      </c>
    </row>
    <row r="202" spans="1:24">
      <c r="A202" s="57"/>
      <c r="B202" s="57"/>
      <c r="C202" s="61" t="s">
        <v>892</v>
      </c>
      <c r="D202" s="61"/>
      <c r="E202" s="61"/>
      <c r="F202" s="61"/>
      <c r="G202" s="61"/>
      <c r="H202" s="61"/>
      <c r="I202" s="61"/>
      <c r="J202" s="61" t="s">
        <v>58</v>
      </c>
      <c r="K202" s="58"/>
      <c r="L202" s="59"/>
      <c r="M202" s="62" t="e">
        <v>#DIV/0!</v>
      </c>
      <c r="N202" s="62" t="e">
        <f t="shared" ref="N202:V202" si="198">N201/M201-1</f>
        <v>#DIV/0!</v>
      </c>
      <c r="O202" s="62" t="e">
        <f t="shared" si="198"/>
        <v>#DIV/0!</v>
      </c>
      <c r="P202" s="62" t="e">
        <f t="shared" si="198"/>
        <v>#DIV/0!</v>
      </c>
      <c r="Q202" s="62" t="e">
        <f t="shared" si="198"/>
        <v>#DIV/0!</v>
      </c>
      <c r="R202" s="62" t="e">
        <f t="shared" si="198"/>
        <v>#DIV/0!</v>
      </c>
      <c r="S202" s="62" t="e">
        <f t="shared" si="198"/>
        <v>#DIV/0!</v>
      </c>
      <c r="T202" s="62" t="e">
        <f t="shared" si="198"/>
        <v>#DIV/0!</v>
      </c>
      <c r="U202" s="62" t="e">
        <f t="shared" si="198"/>
        <v>#DIV/0!</v>
      </c>
      <c r="V202" s="62" t="e">
        <f t="shared" si="198"/>
        <v>#DIV/0!</v>
      </c>
      <c r="W202" s="259"/>
      <c r="X202" s="259"/>
    </row>
    <row r="203" spans="1:24">
      <c r="A203" s="55" t="str">
        <f>Home!$B$1</f>
        <v>Poland</v>
      </c>
      <c r="B203" s="56" t="s">
        <v>94</v>
      </c>
      <c r="C203" s="56" t="s">
        <v>130</v>
      </c>
      <c r="D203" s="56" t="s">
        <v>65</v>
      </c>
      <c r="E203" s="55" t="s">
        <v>155</v>
      </c>
      <c r="F203" s="57" t="s">
        <v>156</v>
      </c>
      <c r="G203" s="57" t="s">
        <v>15</v>
      </c>
      <c r="H203" s="57" t="s">
        <v>16</v>
      </c>
      <c r="I203" s="57"/>
      <c r="J203" s="57" t="s">
        <v>99</v>
      </c>
      <c r="K203" s="58"/>
      <c r="L203" s="80"/>
      <c r="M203" s="80"/>
      <c r="N203" s="80"/>
      <c r="O203" s="80"/>
      <c r="P203" s="80"/>
      <c r="Q203" s="80"/>
      <c r="R203" s="110">
        <f>Forecasting!R199</f>
        <v>0</v>
      </c>
      <c r="S203" s="110">
        <f>Forecasting!S199</f>
        <v>0</v>
      </c>
      <c r="T203" s="110">
        <f>Forecasting!T199</f>
        <v>0</v>
      </c>
      <c r="U203" s="110">
        <f>Forecasting!U199</f>
        <v>0</v>
      </c>
      <c r="V203" s="110">
        <f>Forecasting!V199</f>
        <v>0</v>
      </c>
      <c r="W203" s="106" t="e">
        <f>+(Q203/M203)^(1/4)-1</f>
        <v>#DIV/0!</v>
      </c>
      <c r="X203" s="106" t="e">
        <f>+(V203/Q203)^(1/5)-1</f>
        <v>#DIV/0!</v>
      </c>
    </row>
    <row r="204" spans="1:24">
      <c r="A204" s="57"/>
      <c r="B204" s="57"/>
      <c r="C204" s="61" t="s">
        <v>892</v>
      </c>
      <c r="D204" s="61"/>
      <c r="E204" s="61"/>
      <c r="F204" s="61"/>
      <c r="G204" s="61"/>
      <c r="H204" s="61"/>
      <c r="I204" s="61"/>
      <c r="J204" s="61" t="s">
        <v>58</v>
      </c>
      <c r="K204" s="58"/>
      <c r="L204" s="59"/>
      <c r="M204" s="62" t="e">
        <v>#DIV/0!</v>
      </c>
      <c r="N204" s="62" t="e">
        <f t="shared" ref="N204:V204" si="199">N203/M203-1</f>
        <v>#DIV/0!</v>
      </c>
      <c r="O204" s="62" t="e">
        <f t="shared" si="199"/>
        <v>#DIV/0!</v>
      </c>
      <c r="P204" s="62" t="e">
        <f t="shared" si="199"/>
        <v>#DIV/0!</v>
      </c>
      <c r="Q204" s="62" t="e">
        <f t="shared" si="199"/>
        <v>#DIV/0!</v>
      </c>
      <c r="R204" s="62" t="e">
        <f t="shared" si="199"/>
        <v>#DIV/0!</v>
      </c>
      <c r="S204" s="62" t="e">
        <f t="shared" si="199"/>
        <v>#DIV/0!</v>
      </c>
      <c r="T204" s="62" t="e">
        <f t="shared" si="199"/>
        <v>#DIV/0!</v>
      </c>
      <c r="U204" s="62" t="e">
        <f t="shared" si="199"/>
        <v>#DIV/0!</v>
      </c>
      <c r="V204" s="62" t="e">
        <f t="shared" si="199"/>
        <v>#DIV/0!</v>
      </c>
      <c r="W204" s="259"/>
      <c r="X204" s="259"/>
    </row>
    <row r="205" spans="1:24">
      <c r="A205" s="55" t="str">
        <f>Home!$B$1</f>
        <v>Poland</v>
      </c>
      <c r="B205" s="56" t="s">
        <v>94</v>
      </c>
      <c r="C205" s="56" t="s">
        <v>130</v>
      </c>
      <c r="D205" s="56" t="s">
        <v>65</v>
      </c>
      <c r="E205" s="55" t="s">
        <v>157</v>
      </c>
      <c r="F205" s="57" t="s">
        <v>158</v>
      </c>
      <c r="G205" s="57" t="s">
        <v>15</v>
      </c>
      <c r="H205" s="57" t="s">
        <v>16</v>
      </c>
      <c r="I205" s="57"/>
      <c r="J205" s="57" t="s">
        <v>99</v>
      </c>
      <c r="K205" s="58"/>
      <c r="L205" s="80"/>
      <c r="M205" s="80"/>
      <c r="N205" s="80"/>
      <c r="O205" s="80"/>
      <c r="P205" s="80"/>
      <c r="Q205" s="80"/>
      <c r="R205" s="110">
        <f>Forecasting!R201</f>
        <v>0</v>
      </c>
      <c r="S205" s="110">
        <f>Forecasting!S201</f>
        <v>0</v>
      </c>
      <c r="T205" s="110">
        <f>Forecasting!T201</f>
        <v>0</v>
      </c>
      <c r="U205" s="110">
        <f>Forecasting!U201</f>
        <v>0</v>
      </c>
      <c r="V205" s="110">
        <f>Forecasting!V201</f>
        <v>0</v>
      </c>
      <c r="W205" s="106" t="e">
        <f>+(Q205/M205)^(1/4)-1</f>
        <v>#DIV/0!</v>
      </c>
      <c r="X205" s="106" t="e">
        <f>+(V205/Q205)^(1/5)-1</f>
        <v>#DIV/0!</v>
      </c>
    </row>
    <row r="206" spans="1:24">
      <c r="A206" s="57"/>
      <c r="B206" s="57"/>
      <c r="C206" s="61" t="s">
        <v>892</v>
      </c>
      <c r="D206" s="61"/>
      <c r="E206" s="61"/>
      <c r="F206" s="61"/>
      <c r="G206" s="61"/>
      <c r="H206" s="61"/>
      <c r="I206" s="61"/>
      <c r="J206" s="61" t="s">
        <v>58</v>
      </c>
      <c r="K206" s="58"/>
      <c r="L206" s="59"/>
      <c r="M206" s="62" t="e">
        <v>#DIV/0!</v>
      </c>
      <c r="N206" s="62" t="e">
        <f t="shared" ref="N206:V206" si="200">N205/M205-1</f>
        <v>#DIV/0!</v>
      </c>
      <c r="O206" s="62" t="e">
        <f t="shared" si="200"/>
        <v>#DIV/0!</v>
      </c>
      <c r="P206" s="62" t="e">
        <f t="shared" si="200"/>
        <v>#DIV/0!</v>
      </c>
      <c r="Q206" s="62" t="e">
        <f t="shared" si="200"/>
        <v>#DIV/0!</v>
      </c>
      <c r="R206" s="62" t="e">
        <f t="shared" si="200"/>
        <v>#DIV/0!</v>
      </c>
      <c r="S206" s="62" t="e">
        <f t="shared" si="200"/>
        <v>#DIV/0!</v>
      </c>
      <c r="T206" s="62" t="e">
        <f t="shared" si="200"/>
        <v>#DIV/0!</v>
      </c>
      <c r="U206" s="62" t="e">
        <f t="shared" si="200"/>
        <v>#DIV/0!</v>
      </c>
      <c r="V206" s="62" t="e">
        <f t="shared" si="200"/>
        <v>#DIV/0!</v>
      </c>
      <c r="W206" s="259"/>
      <c r="X206" s="259"/>
    </row>
    <row r="207" spans="1:24">
      <c r="A207" s="55" t="str">
        <f>Home!$B$1</f>
        <v>Poland</v>
      </c>
      <c r="B207" s="56" t="s">
        <v>94</v>
      </c>
      <c r="C207" s="56" t="s">
        <v>130</v>
      </c>
      <c r="D207" s="56" t="s">
        <v>65</v>
      </c>
      <c r="E207" s="55" t="s">
        <v>159</v>
      </c>
      <c r="F207" s="57" t="s">
        <v>160</v>
      </c>
      <c r="G207" s="57" t="s">
        <v>15</v>
      </c>
      <c r="H207" s="57" t="s">
        <v>16</v>
      </c>
      <c r="I207" s="57"/>
      <c r="J207" s="57" t="s">
        <v>99</v>
      </c>
      <c r="K207" s="58"/>
      <c r="L207" s="80"/>
      <c r="M207" s="80"/>
      <c r="N207" s="80"/>
      <c r="O207" s="80"/>
      <c r="P207" s="80"/>
      <c r="Q207" s="80"/>
      <c r="R207" s="110">
        <f>Forecasting!R203</f>
        <v>0</v>
      </c>
      <c r="S207" s="110">
        <f>Forecasting!S203</f>
        <v>0</v>
      </c>
      <c r="T207" s="110">
        <f>Forecasting!T203</f>
        <v>0</v>
      </c>
      <c r="U207" s="110">
        <f>Forecasting!U203</f>
        <v>0</v>
      </c>
      <c r="V207" s="110">
        <f>Forecasting!V203</f>
        <v>0</v>
      </c>
      <c r="W207" s="106" t="e">
        <f>+(Q207/M207)^(1/4)-1</f>
        <v>#DIV/0!</v>
      </c>
      <c r="X207" s="106" t="e">
        <f>+(V207/Q207)^(1/5)-1</f>
        <v>#DIV/0!</v>
      </c>
    </row>
    <row r="208" spans="1:24">
      <c r="A208" s="57"/>
      <c r="B208" s="57"/>
      <c r="C208" s="61" t="s">
        <v>892</v>
      </c>
      <c r="D208" s="61"/>
      <c r="E208" s="61"/>
      <c r="F208" s="61"/>
      <c r="G208" s="61"/>
      <c r="H208" s="61"/>
      <c r="I208" s="61"/>
      <c r="J208" s="61" t="s">
        <v>58</v>
      </c>
      <c r="K208" s="58"/>
      <c r="L208" s="59"/>
      <c r="M208" s="62" t="e">
        <v>#DIV/0!</v>
      </c>
      <c r="N208" s="62" t="e">
        <f t="shared" ref="N208:V208" si="201">N207/M207-1</f>
        <v>#DIV/0!</v>
      </c>
      <c r="O208" s="62" t="e">
        <f t="shared" si="201"/>
        <v>#DIV/0!</v>
      </c>
      <c r="P208" s="62" t="e">
        <f t="shared" si="201"/>
        <v>#DIV/0!</v>
      </c>
      <c r="Q208" s="62" t="e">
        <f t="shared" si="201"/>
        <v>#DIV/0!</v>
      </c>
      <c r="R208" s="62" t="e">
        <f t="shared" si="201"/>
        <v>#DIV/0!</v>
      </c>
      <c r="S208" s="62" t="e">
        <f t="shared" si="201"/>
        <v>#DIV/0!</v>
      </c>
      <c r="T208" s="62" t="e">
        <f t="shared" si="201"/>
        <v>#DIV/0!</v>
      </c>
      <c r="U208" s="62" t="e">
        <f t="shared" si="201"/>
        <v>#DIV/0!</v>
      </c>
      <c r="V208" s="62" t="e">
        <f t="shared" si="201"/>
        <v>#DIV/0!</v>
      </c>
      <c r="W208" s="259"/>
      <c r="X208" s="259"/>
    </row>
    <row r="209" spans="1:24">
      <c r="A209" s="55" t="str">
        <f>Home!$B$1</f>
        <v>Poland</v>
      </c>
      <c r="B209" s="56" t="s">
        <v>94</v>
      </c>
      <c r="C209" s="56" t="s">
        <v>130</v>
      </c>
      <c r="D209" s="56" t="s">
        <v>65</v>
      </c>
      <c r="E209" s="55" t="s">
        <v>161</v>
      </c>
      <c r="F209" s="57" t="s">
        <v>162</v>
      </c>
      <c r="G209" s="57" t="s">
        <v>15</v>
      </c>
      <c r="H209" s="57" t="s">
        <v>16</v>
      </c>
      <c r="I209" s="57"/>
      <c r="J209" s="57" t="s">
        <v>99</v>
      </c>
      <c r="K209" s="58"/>
      <c r="L209" s="80"/>
      <c r="M209" s="80"/>
      <c r="N209" s="80"/>
      <c r="O209" s="80"/>
      <c r="P209" s="80"/>
      <c r="Q209" s="80"/>
      <c r="R209" s="110">
        <f>Forecasting!R205</f>
        <v>0</v>
      </c>
      <c r="S209" s="110">
        <f>Forecasting!S205</f>
        <v>0</v>
      </c>
      <c r="T209" s="110">
        <f>Forecasting!T205</f>
        <v>0</v>
      </c>
      <c r="U209" s="110">
        <f>Forecasting!U205</f>
        <v>0</v>
      </c>
      <c r="V209" s="110">
        <f>Forecasting!V205</f>
        <v>0</v>
      </c>
      <c r="W209" s="106" t="e">
        <f>+(Q209/M209)^(1/4)-1</f>
        <v>#DIV/0!</v>
      </c>
      <c r="X209" s="106" t="e">
        <f>+(V209/Q209)^(1/5)-1</f>
        <v>#DIV/0!</v>
      </c>
    </row>
    <row r="210" spans="1:24">
      <c r="A210" s="57"/>
      <c r="B210" s="57"/>
      <c r="C210" s="61" t="s">
        <v>892</v>
      </c>
      <c r="D210" s="61"/>
      <c r="E210" s="61"/>
      <c r="F210" s="61"/>
      <c r="G210" s="61"/>
      <c r="H210" s="61"/>
      <c r="I210" s="61"/>
      <c r="J210" s="61" t="s">
        <v>58</v>
      </c>
      <c r="K210" s="58"/>
      <c r="L210" s="59"/>
      <c r="M210" s="62" t="e">
        <v>#DIV/0!</v>
      </c>
      <c r="N210" s="62" t="e">
        <f t="shared" ref="N210:V210" si="202">N209/M209-1</f>
        <v>#DIV/0!</v>
      </c>
      <c r="O210" s="62" t="e">
        <f t="shared" si="202"/>
        <v>#DIV/0!</v>
      </c>
      <c r="P210" s="62" t="e">
        <f t="shared" si="202"/>
        <v>#DIV/0!</v>
      </c>
      <c r="Q210" s="62" t="e">
        <f t="shared" si="202"/>
        <v>#DIV/0!</v>
      </c>
      <c r="R210" s="62" t="e">
        <f t="shared" si="202"/>
        <v>#DIV/0!</v>
      </c>
      <c r="S210" s="62" t="e">
        <f t="shared" si="202"/>
        <v>#DIV/0!</v>
      </c>
      <c r="T210" s="62" t="e">
        <f t="shared" si="202"/>
        <v>#DIV/0!</v>
      </c>
      <c r="U210" s="62" t="e">
        <f t="shared" si="202"/>
        <v>#DIV/0!</v>
      </c>
      <c r="V210" s="62" t="e">
        <f t="shared" si="202"/>
        <v>#DIV/0!</v>
      </c>
      <c r="W210" s="259"/>
      <c r="X210" s="259"/>
    </row>
    <row r="211" spans="1:24">
      <c r="A211" s="55" t="str">
        <f>Home!$B$1</f>
        <v>Poland</v>
      </c>
      <c r="B211" s="56" t="s">
        <v>94</v>
      </c>
      <c r="C211" s="56" t="s">
        <v>130</v>
      </c>
      <c r="D211" s="56" t="s">
        <v>65</v>
      </c>
      <c r="E211" s="55" t="s">
        <v>163</v>
      </c>
      <c r="F211" s="57" t="s">
        <v>164</v>
      </c>
      <c r="G211" s="57" t="s">
        <v>15</v>
      </c>
      <c r="H211" s="57" t="s">
        <v>16</v>
      </c>
      <c r="I211" s="57"/>
      <c r="J211" s="57" t="s">
        <v>99</v>
      </c>
      <c r="K211" s="58"/>
      <c r="L211" s="80"/>
      <c r="M211" s="80"/>
      <c r="N211" s="80"/>
      <c r="O211" s="80"/>
      <c r="P211" s="80"/>
      <c r="Q211" s="80"/>
      <c r="R211" s="110">
        <f>Forecasting!R207</f>
        <v>0</v>
      </c>
      <c r="S211" s="110">
        <f>Forecasting!S207</f>
        <v>0</v>
      </c>
      <c r="T211" s="110">
        <f>Forecasting!T207</f>
        <v>0</v>
      </c>
      <c r="U211" s="110">
        <f>Forecasting!U207</f>
        <v>0</v>
      </c>
      <c r="V211" s="110">
        <f>Forecasting!V207</f>
        <v>0</v>
      </c>
      <c r="W211" s="106" t="e">
        <f>+(Q211/M211)^(1/4)-1</f>
        <v>#DIV/0!</v>
      </c>
      <c r="X211" s="106" t="e">
        <f>+(V211/Q211)^(1/5)-1</f>
        <v>#DIV/0!</v>
      </c>
    </row>
    <row r="212" spans="1:24">
      <c r="A212" s="57"/>
      <c r="B212" s="57"/>
      <c r="C212" s="61" t="s">
        <v>892</v>
      </c>
      <c r="D212" s="61"/>
      <c r="E212" s="61"/>
      <c r="F212" s="61"/>
      <c r="G212" s="61"/>
      <c r="H212" s="61"/>
      <c r="I212" s="61"/>
      <c r="J212" s="61" t="s">
        <v>58</v>
      </c>
      <c r="K212" s="58"/>
      <c r="L212" s="59"/>
      <c r="M212" s="62" t="e">
        <v>#DIV/0!</v>
      </c>
      <c r="N212" s="62" t="e">
        <f t="shared" ref="N212:V212" si="203">N211/M211-1</f>
        <v>#DIV/0!</v>
      </c>
      <c r="O212" s="62" t="e">
        <f t="shared" si="203"/>
        <v>#DIV/0!</v>
      </c>
      <c r="P212" s="62" t="e">
        <f t="shared" si="203"/>
        <v>#DIV/0!</v>
      </c>
      <c r="Q212" s="62" t="e">
        <f t="shared" si="203"/>
        <v>#DIV/0!</v>
      </c>
      <c r="R212" s="62" t="e">
        <f t="shared" si="203"/>
        <v>#DIV/0!</v>
      </c>
      <c r="S212" s="62" t="e">
        <f t="shared" si="203"/>
        <v>#DIV/0!</v>
      </c>
      <c r="T212" s="62" t="e">
        <f t="shared" si="203"/>
        <v>#DIV/0!</v>
      </c>
      <c r="U212" s="62" t="e">
        <f t="shared" si="203"/>
        <v>#DIV/0!</v>
      </c>
      <c r="V212" s="62" t="e">
        <f t="shared" si="203"/>
        <v>#DIV/0!</v>
      </c>
      <c r="W212" s="259"/>
      <c r="X212" s="259"/>
    </row>
    <row r="213" spans="1:24">
      <c r="A213" s="55" t="str">
        <f>Home!$B$1</f>
        <v>Poland</v>
      </c>
      <c r="B213" s="56" t="s">
        <v>94</v>
      </c>
      <c r="C213" s="56" t="s">
        <v>130</v>
      </c>
      <c r="D213" s="56" t="s">
        <v>65</v>
      </c>
      <c r="E213" s="55" t="s">
        <v>165</v>
      </c>
      <c r="F213" s="57" t="s">
        <v>166</v>
      </c>
      <c r="G213" s="57" t="s">
        <v>15</v>
      </c>
      <c r="H213" s="57" t="s">
        <v>16</v>
      </c>
      <c r="I213" s="57"/>
      <c r="J213" s="57" t="s">
        <v>99</v>
      </c>
      <c r="K213" s="58"/>
      <c r="L213" s="80"/>
      <c r="M213" s="80"/>
      <c r="N213" s="80"/>
      <c r="O213" s="80"/>
      <c r="P213" s="80"/>
      <c r="Q213" s="80"/>
      <c r="R213" s="110">
        <f>Forecasting!R209</f>
        <v>0</v>
      </c>
      <c r="S213" s="110">
        <f>Forecasting!S209</f>
        <v>0</v>
      </c>
      <c r="T213" s="110">
        <f>Forecasting!T209</f>
        <v>0</v>
      </c>
      <c r="U213" s="110">
        <f>Forecasting!U209</f>
        <v>0</v>
      </c>
      <c r="V213" s="110">
        <f>Forecasting!V209</f>
        <v>0</v>
      </c>
      <c r="W213" s="106" t="e">
        <f>+(Q213/M213)^(1/4)-1</f>
        <v>#DIV/0!</v>
      </c>
      <c r="X213" s="106" t="e">
        <f>+(V213/Q213)^(1/5)-1</f>
        <v>#DIV/0!</v>
      </c>
    </row>
    <row r="214" spans="1:24">
      <c r="A214" s="57"/>
      <c r="B214" s="57"/>
      <c r="C214" s="61" t="s">
        <v>892</v>
      </c>
      <c r="D214" s="61"/>
      <c r="E214" s="61"/>
      <c r="F214" s="61"/>
      <c r="G214" s="61"/>
      <c r="H214" s="61"/>
      <c r="I214" s="61"/>
      <c r="J214" s="61" t="s">
        <v>58</v>
      </c>
      <c r="K214" s="58"/>
      <c r="L214" s="59"/>
      <c r="M214" s="62" t="e">
        <v>#DIV/0!</v>
      </c>
      <c r="N214" s="62" t="e">
        <f t="shared" ref="N214:V214" si="204">N213/M213-1</f>
        <v>#DIV/0!</v>
      </c>
      <c r="O214" s="62" t="e">
        <f t="shared" si="204"/>
        <v>#DIV/0!</v>
      </c>
      <c r="P214" s="62" t="e">
        <f t="shared" si="204"/>
        <v>#DIV/0!</v>
      </c>
      <c r="Q214" s="62" t="e">
        <f t="shared" si="204"/>
        <v>#DIV/0!</v>
      </c>
      <c r="R214" s="62" t="e">
        <f t="shared" si="204"/>
        <v>#DIV/0!</v>
      </c>
      <c r="S214" s="62" t="e">
        <f t="shared" si="204"/>
        <v>#DIV/0!</v>
      </c>
      <c r="T214" s="62" t="e">
        <f t="shared" si="204"/>
        <v>#DIV/0!</v>
      </c>
      <c r="U214" s="62" t="e">
        <f t="shared" si="204"/>
        <v>#DIV/0!</v>
      </c>
      <c r="V214" s="62" t="e">
        <f t="shared" si="204"/>
        <v>#DIV/0!</v>
      </c>
      <c r="W214" s="259"/>
      <c r="X214" s="259"/>
    </row>
    <row r="215" spans="1:24">
      <c r="A215" s="55" t="str">
        <f>Home!$B$1</f>
        <v>Poland</v>
      </c>
      <c r="B215" s="56" t="s">
        <v>94</v>
      </c>
      <c r="C215" s="56" t="s">
        <v>130</v>
      </c>
      <c r="D215" s="56" t="s">
        <v>65</v>
      </c>
      <c r="E215" s="55" t="s">
        <v>167</v>
      </c>
      <c r="F215" s="57" t="s">
        <v>168</v>
      </c>
      <c r="G215" s="57" t="s">
        <v>15</v>
      </c>
      <c r="H215" s="57" t="s">
        <v>16</v>
      </c>
      <c r="I215" s="57"/>
      <c r="J215" s="57" t="s">
        <v>99</v>
      </c>
      <c r="K215" s="58"/>
      <c r="L215" s="80"/>
      <c r="M215" s="80"/>
      <c r="N215" s="80"/>
      <c r="O215" s="80"/>
      <c r="P215" s="80"/>
      <c r="Q215" s="80"/>
      <c r="R215" s="110">
        <f>Forecasting!R211</f>
        <v>0</v>
      </c>
      <c r="S215" s="110">
        <f>Forecasting!S211</f>
        <v>0</v>
      </c>
      <c r="T215" s="110">
        <f>Forecasting!T211</f>
        <v>0</v>
      </c>
      <c r="U215" s="110">
        <f>Forecasting!U211</f>
        <v>0</v>
      </c>
      <c r="V215" s="110">
        <f>Forecasting!V211</f>
        <v>0</v>
      </c>
      <c r="W215" s="106" t="e">
        <f>+(Q215/M215)^(1/4)-1</f>
        <v>#DIV/0!</v>
      </c>
      <c r="X215" s="106" t="e">
        <f>+(V215/Q215)^(1/5)-1</f>
        <v>#DIV/0!</v>
      </c>
    </row>
    <row r="216" spans="1:24">
      <c r="A216" s="57"/>
      <c r="B216" s="57"/>
      <c r="C216" s="61" t="s">
        <v>892</v>
      </c>
      <c r="D216" s="61"/>
      <c r="E216" s="61"/>
      <c r="F216" s="61"/>
      <c r="G216" s="61"/>
      <c r="H216" s="61"/>
      <c r="I216" s="61"/>
      <c r="J216" s="61" t="s">
        <v>58</v>
      </c>
      <c r="K216" s="58"/>
      <c r="L216" s="59"/>
      <c r="M216" s="62" t="e">
        <v>#DIV/0!</v>
      </c>
      <c r="N216" s="62" t="e">
        <f t="shared" ref="N216:V216" si="205">N215/M215-1</f>
        <v>#DIV/0!</v>
      </c>
      <c r="O216" s="62" t="e">
        <f t="shared" si="205"/>
        <v>#DIV/0!</v>
      </c>
      <c r="P216" s="62" t="e">
        <f t="shared" si="205"/>
        <v>#DIV/0!</v>
      </c>
      <c r="Q216" s="62" t="e">
        <f t="shared" si="205"/>
        <v>#DIV/0!</v>
      </c>
      <c r="R216" s="62" t="e">
        <f t="shared" si="205"/>
        <v>#DIV/0!</v>
      </c>
      <c r="S216" s="62" t="e">
        <f t="shared" si="205"/>
        <v>#DIV/0!</v>
      </c>
      <c r="T216" s="62" t="e">
        <f t="shared" si="205"/>
        <v>#DIV/0!</v>
      </c>
      <c r="U216" s="62" t="e">
        <f t="shared" si="205"/>
        <v>#DIV/0!</v>
      </c>
      <c r="V216" s="62" t="e">
        <f t="shared" si="205"/>
        <v>#DIV/0!</v>
      </c>
      <c r="W216" s="259"/>
      <c r="X216" s="259"/>
    </row>
    <row r="217" spans="1:24">
      <c r="A217" s="55" t="str">
        <f>Home!$B$1</f>
        <v>Poland</v>
      </c>
      <c r="B217" s="56" t="s">
        <v>94</v>
      </c>
      <c r="C217" s="56" t="s">
        <v>130</v>
      </c>
      <c r="D217" s="56" t="s">
        <v>65</v>
      </c>
      <c r="E217" s="55" t="s">
        <v>169</v>
      </c>
      <c r="F217" s="57" t="s">
        <v>170</v>
      </c>
      <c r="G217" s="57" t="s">
        <v>15</v>
      </c>
      <c r="H217" s="57" t="s">
        <v>16</v>
      </c>
      <c r="I217" s="57"/>
      <c r="J217" s="57" t="s">
        <v>99</v>
      </c>
      <c r="K217" s="58"/>
      <c r="L217" s="80"/>
      <c r="M217" s="80"/>
      <c r="N217" s="80"/>
      <c r="O217" s="80"/>
      <c r="P217" s="80"/>
      <c r="Q217" s="80"/>
      <c r="R217" s="110">
        <f>Forecasting!R213</f>
        <v>0</v>
      </c>
      <c r="S217" s="110">
        <f>Forecasting!S213</f>
        <v>0</v>
      </c>
      <c r="T217" s="110">
        <f>Forecasting!T213</f>
        <v>0</v>
      </c>
      <c r="U217" s="110">
        <f>Forecasting!U213</f>
        <v>0</v>
      </c>
      <c r="V217" s="110">
        <f>Forecasting!V213</f>
        <v>0</v>
      </c>
      <c r="W217" s="106" t="e">
        <f>+(Q217/M217)^(1/4)-1</f>
        <v>#DIV/0!</v>
      </c>
      <c r="X217" s="106" t="e">
        <f>+(V217/Q217)^(1/5)-1</f>
        <v>#DIV/0!</v>
      </c>
    </row>
    <row r="218" spans="1:24">
      <c r="A218" s="57"/>
      <c r="B218" s="57"/>
      <c r="C218" s="61" t="s">
        <v>892</v>
      </c>
      <c r="D218" s="61"/>
      <c r="E218" s="61"/>
      <c r="F218" s="61"/>
      <c r="G218" s="61"/>
      <c r="H218" s="61"/>
      <c r="I218" s="61"/>
      <c r="J218" s="61" t="s">
        <v>58</v>
      </c>
      <c r="K218" s="58"/>
      <c r="L218" s="59"/>
      <c r="M218" s="62" t="e">
        <v>#DIV/0!</v>
      </c>
      <c r="N218" s="62" t="e">
        <f t="shared" ref="N218:V218" si="206">N217/M217-1</f>
        <v>#DIV/0!</v>
      </c>
      <c r="O218" s="62" t="e">
        <f t="shared" si="206"/>
        <v>#DIV/0!</v>
      </c>
      <c r="P218" s="62" t="e">
        <f t="shared" si="206"/>
        <v>#DIV/0!</v>
      </c>
      <c r="Q218" s="62" t="e">
        <f t="shared" si="206"/>
        <v>#DIV/0!</v>
      </c>
      <c r="R218" s="62" t="e">
        <f t="shared" si="206"/>
        <v>#DIV/0!</v>
      </c>
      <c r="S218" s="62" t="e">
        <f t="shared" si="206"/>
        <v>#DIV/0!</v>
      </c>
      <c r="T218" s="62" t="e">
        <f t="shared" si="206"/>
        <v>#DIV/0!</v>
      </c>
      <c r="U218" s="62" t="e">
        <f t="shared" si="206"/>
        <v>#DIV/0!</v>
      </c>
      <c r="V218" s="62" t="e">
        <f t="shared" si="206"/>
        <v>#DIV/0!</v>
      </c>
      <c r="W218" s="259"/>
      <c r="X218" s="259"/>
    </row>
    <row r="219" spans="1:24">
      <c r="A219" s="55" t="str">
        <f>Home!$B$1</f>
        <v>Poland</v>
      </c>
      <c r="B219" s="56" t="s">
        <v>94</v>
      </c>
      <c r="C219" s="56" t="s">
        <v>130</v>
      </c>
      <c r="D219" s="56" t="s">
        <v>65</v>
      </c>
      <c r="E219" s="55" t="s">
        <v>171</v>
      </c>
      <c r="F219" s="57" t="s">
        <v>172</v>
      </c>
      <c r="G219" s="57" t="s">
        <v>15</v>
      </c>
      <c r="H219" s="57" t="s">
        <v>16</v>
      </c>
      <c r="I219" s="57"/>
      <c r="J219" s="57" t="s">
        <v>99</v>
      </c>
      <c r="K219" s="58"/>
      <c r="L219" s="80"/>
      <c r="M219" s="80"/>
      <c r="N219" s="80"/>
      <c r="O219" s="80"/>
      <c r="P219" s="80"/>
      <c r="Q219" s="80"/>
      <c r="R219" s="110">
        <f>Forecasting!R215</f>
        <v>0</v>
      </c>
      <c r="S219" s="110">
        <f>Forecasting!S215</f>
        <v>0</v>
      </c>
      <c r="T219" s="110">
        <f>Forecasting!T215</f>
        <v>0</v>
      </c>
      <c r="U219" s="110">
        <f>Forecasting!U215</f>
        <v>0</v>
      </c>
      <c r="V219" s="110">
        <f>Forecasting!V215</f>
        <v>0</v>
      </c>
      <c r="W219" s="106" t="e">
        <f>+(Q219/M219)^(1/4)-1</f>
        <v>#DIV/0!</v>
      </c>
      <c r="X219" s="106" t="e">
        <f>+(V219/Q219)^(1/5)-1</f>
        <v>#DIV/0!</v>
      </c>
    </row>
    <row r="220" spans="1:24">
      <c r="A220" s="57"/>
      <c r="B220" s="57"/>
      <c r="C220" s="61" t="s">
        <v>892</v>
      </c>
      <c r="D220" s="61"/>
      <c r="E220" s="61"/>
      <c r="F220" s="61"/>
      <c r="G220" s="61"/>
      <c r="H220" s="61"/>
      <c r="I220" s="61"/>
      <c r="J220" s="61" t="s">
        <v>58</v>
      </c>
      <c r="K220" s="58"/>
      <c r="L220" s="59"/>
      <c r="M220" s="62" t="e">
        <v>#DIV/0!</v>
      </c>
      <c r="N220" s="62" t="e">
        <f t="shared" ref="N220:V220" si="207">N219/M219-1</f>
        <v>#DIV/0!</v>
      </c>
      <c r="O220" s="62" t="e">
        <f t="shared" si="207"/>
        <v>#DIV/0!</v>
      </c>
      <c r="P220" s="62" t="e">
        <f t="shared" si="207"/>
        <v>#DIV/0!</v>
      </c>
      <c r="Q220" s="62" t="e">
        <f t="shared" si="207"/>
        <v>#DIV/0!</v>
      </c>
      <c r="R220" s="62" t="e">
        <f t="shared" si="207"/>
        <v>#DIV/0!</v>
      </c>
      <c r="S220" s="62" t="e">
        <f t="shared" si="207"/>
        <v>#DIV/0!</v>
      </c>
      <c r="T220" s="62" t="e">
        <f t="shared" si="207"/>
        <v>#DIV/0!</v>
      </c>
      <c r="U220" s="62" t="e">
        <f t="shared" si="207"/>
        <v>#DIV/0!</v>
      </c>
      <c r="V220" s="62" t="e">
        <f t="shared" si="207"/>
        <v>#DIV/0!</v>
      </c>
      <c r="W220" s="259"/>
      <c r="X220" s="259"/>
    </row>
    <row r="221" spans="1:24">
      <c r="A221" s="55" t="str">
        <f>Home!$B$1</f>
        <v>Poland</v>
      </c>
      <c r="B221" s="56" t="s">
        <v>94</v>
      </c>
      <c r="C221" s="56" t="s">
        <v>130</v>
      </c>
      <c r="D221" s="56" t="s">
        <v>65</v>
      </c>
      <c r="E221" s="55" t="s">
        <v>173</v>
      </c>
      <c r="F221" s="57" t="s">
        <v>174</v>
      </c>
      <c r="G221" s="57" t="s">
        <v>15</v>
      </c>
      <c r="H221" s="57" t="s">
        <v>16</v>
      </c>
      <c r="I221" s="57"/>
      <c r="J221" s="57" t="s">
        <v>99</v>
      </c>
      <c r="K221" s="58"/>
      <c r="L221" s="80"/>
      <c r="M221" s="80"/>
      <c r="N221" s="80"/>
      <c r="O221" s="80"/>
      <c r="P221" s="80"/>
      <c r="Q221" s="80"/>
      <c r="R221" s="110">
        <f>Forecasting!R217</f>
        <v>0</v>
      </c>
      <c r="S221" s="110">
        <f>Forecasting!S217</f>
        <v>0</v>
      </c>
      <c r="T221" s="110">
        <f>Forecasting!T217</f>
        <v>0</v>
      </c>
      <c r="U221" s="110">
        <f>Forecasting!U217</f>
        <v>0</v>
      </c>
      <c r="V221" s="110">
        <f>Forecasting!V217</f>
        <v>0</v>
      </c>
      <c r="W221" s="106" t="e">
        <f>+(Q221/M221)^(1/4)-1</f>
        <v>#DIV/0!</v>
      </c>
      <c r="X221" s="106" t="e">
        <f>+(V221/Q221)^(1/5)-1</f>
        <v>#DIV/0!</v>
      </c>
    </row>
    <row r="222" spans="1:24">
      <c r="A222" s="57"/>
      <c r="B222" s="57"/>
      <c r="C222" s="61" t="s">
        <v>892</v>
      </c>
      <c r="D222" s="61"/>
      <c r="E222" s="61"/>
      <c r="F222" s="61"/>
      <c r="G222" s="61"/>
      <c r="H222" s="61"/>
      <c r="I222" s="61"/>
      <c r="J222" s="61" t="s">
        <v>58</v>
      </c>
      <c r="K222" s="58"/>
      <c r="L222" s="59"/>
      <c r="M222" s="62" t="e">
        <v>#DIV/0!</v>
      </c>
      <c r="N222" s="62" t="e">
        <f t="shared" ref="N222:V222" si="208">N221/M221-1</f>
        <v>#DIV/0!</v>
      </c>
      <c r="O222" s="62" t="e">
        <f t="shared" si="208"/>
        <v>#DIV/0!</v>
      </c>
      <c r="P222" s="62" t="e">
        <f t="shared" si="208"/>
        <v>#DIV/0!</v>
      </c>
      <c r="Q222" s="62" t="e">
        <f t="shared" si="208"/>
        <v>#DIV/0!</v>
      </c>
      <c r="R222" s="62" t="e">
        <f t="shared" si="208"/>
        <v>#DIV/0!</v>
      </c>
      <c r="S222" s="62" t="e">
        <f t="shared" si="208"/>
        <v>#DIV/0!</v>
      </c>
      <c r="T222" s="62" t="e">
        <f t="shared" si="208"/>
        <v>#DIV/0!</v>
      </c>
      <c r="U222" s="62" t="e">
        <f t="shared" si="208"/>
        <v>#DIV/0!</v>
      </c>
      <c r="V222" s="62" t="e">
        <f t="shared" si="208"/>
        <v>#DIV/0!</v>
      </c>
      <c r="W222" s="259"/>
      <c r="X222" s="259"/>
    </row>
    <row r="223" spans="1:24">
      <c r="A223" s="55" t="str">
        <f>Home!$B$1</f>
        <v>Poland</v>
      </c>
      <c r="B223" s="56" t="s">
        <v>94</v>
      </c>
      <c r="C223" s="56" t="s">
        <v>130</v>
      </c>
      <c r="D223" s="56" t="s">
        <v>65</v>
      </c>
      <c r="E223" s="55" t="s">
        <v>175</v>
      </c>
      <c r="F223" s="57" t="s">
        <v>176</v>
      </c>
      <c r="G223" s="57" t="s">
        <v>15</v>
      </c>
      <c r="H223" s="57" t="s">
        <v>16</v>
      </c>
      <c r="I223" s="57"/>
      <c r="J223" s="57" t="s">
        <v>99</v>
      </c>
      <c r="K223" s="58"/>
      <c r="L223" s="80"/>
      <c r="M223" s="80"/>
      <c r="N223" s="80"/>
      <c r="O223" s="80"/>
      <c r="P223" s="80"/>
      <c r="Q223" s="80"/>
      <c r="R223" s="110">
        <f>Forecasting!R219</f>
        <v>0</v>
      </c>
      <c r="S223" s="110">
        <f>Forecasting!S219</f>
        <v>0</v>
      </c>
      <c r="T223" s="110">
        <f>Forecasting!T219</f>
        <v>0</v>
      </c>
      <c r="U223" s="110">
        <f>Forecasting!U219</f>
        <v>0</v>
      </c>
      <c r="V223" s="110">
        <f>Forecasting!V219</f>
        <v>0</v>
      </c>
      <c r="W223" s="106" t="e">
        <f>+(Q223/M223)^(1/4)-1</f>
        <v>#DIV/0!</v>
      </c>
      <c r="X223" s="106" t="e">
        <f>+(V223/Q223)^(1/5)-1</f>
        <v>#DIV/0!</v>
      </c>
    </row>
    <row r="224" spans="1:24">
      <c r="A224" s="57"/>
      <c r="B224" s="57"/>
      <c r="C224" s="61" t="s">
        <v>892</v>
      </c>
      <c r="D224" s="61"/>
      <c r="E224" s="61"/>
      <c r="F224" s="61"/>
      <c r="G224" s="61"/>
      <c r="H224" s="61"/>
      <c r="I224" s="61"/>
      <c r="J224" s="61" t="s">
        <v>58</v>
      </c>
      <c r="K224" s="58"/>
      <c r="L224" s="59"/>
      <c r="M224" s="62" t="e">
        <v>#DIV/0!</v>
      </c>
      <c r="N224" s="62" t="e">
        <f t="shared" ref="N224:V224" si="209">N223/M223-1</f>
        <v>#DIV/0!</v>
      </c>
      <c r="O224" s="62" t="e">
        <f t="shared" si="209"/>
        <v>#DIV/0!</v>
      </c>
      <c r="P224" s="62" t="e">
        <f t="shared" si="209"/>
        <v>#DIV/0!</v>
      </c>
      <c r="Q224" s="62" t="e">
        <f t="shared" si="209"/>
        <v>#DIV/0!</v>
      </c>
      <c r="R224" s="62" t="e">
        <f t="shared" si="209"/>
        <v>#DIV/0!</v>
      </c>
      <c r="S224" s="62" t="e">
        <f t="shared" si="209"/>
        <v>#DIV/0!</v>
      </c>
      <c r="T224" s="62" t="e">
        <f t="shared" si="209"/>
        <v>#DIV/0!</v>
      </c>
      <c r="U224" s="62" t="e">
        <f t="shared" si="209"/>
        <v>#DIV/0!</v>
      </c>
      <c r="V224" s="62" t="e">
        <f t="shared" si="209"/>
        <v>#DIV/0!</v>
      </c>
      <c r="W224" s="259"/>
      <c r="X224" s="259"/>
    </row>
    <row r="225" spans="1:28">
      <c r="A225" s="55" t="str">
        <f>Home!$B$1</f>
        <v>Poland</v>
      </c>
      <c r="B225" s="56" t="s">
        <v>94</v>
      </c>
      <c r="C225" s="56" t="s">
        <v>130</v>
      </c>
      <c r="D225" s="56" t="s">
        <v>65</v>
      </c>
      <c r="E225" s="55" t="s">
        <v>177</v>
      </c>
      <c r="F225" s="57" t="s">
        <v>178</v>
      </c>
      <c r="G225" s="57" t="s">
        <v>15</v>
      </c>
      <c r="H225" s="57" t="s">
        <v>16</v>
      </c>
      <c r="I225" s="57"/>
      <c r="J225" s="57" t="s">
        <v>99</v>
      </c>
      <c r="K225" s="58"/>
      <c r="L225" s="80"/>
      <c r="M225" s="80"/>
      <c r="N225" s="80"/>
      <c r="O225" s="80"/>
      <c r="P225" s="80"/>
      <c r="Q225" s="80"/>
      <c r="R225" s="110">
        <f>Forecasting!R221</f>
        <v>0</v>
      </c>
      <c r="S225" s="110">
        <f>Forecasting!S221</f>
        <v>0</v>
      </c>
      <c r="T225" s="110">
        <f>Forecasting!T221</f>
        <v>0</v>
      </c>
      <c r="U225" s="110">
        <f>Forecasting!U221</f>
        <v>0</v>
      </c>
      <c r="V225" s="110">
        <f>Forecasting!V221</f>
        <v>0</v>
      </c>
      <c r="W225" s="106" t="e">
        <f>+(Q225/M225)^(1/4)-1</f>
        <v>#DIV/0!</v>
      </c>
      <c r="X225" s="106" t="e">
        <f>+(V225/Q225)^(1/5)-1</f>
        <v>#DIV/0!</v>
      </c>
    </row>
    <row r="226" spans="1:28" s="43" customFormat="1">
      <c r="A226" s="57"/>
      <c r="B226" s="57"/>
      <c r="C226" s="61" t="s">
        <v>892</v>
      </c>
      <c r="D226" s="61"/>
      <c r="E226" s="61"/>
      <c r="F226" s="61"/>
      <c r="G226" s="61"/>
      <c r="H226" s="61"/>
      <c r="I226" s="61"/>
      <c r="J226" s="61" t="s">
        <v>58</v>
      </c>
      <c r="K226" s="58"/>
      <c r="L226" s="59"/>
      <c r="M226" s="62" t="e">
        <v>#DIV/0!</v>
      </c>
      <c r="N226" s="62" t="e">
        <f t="shared" ref="N226:V226" si="210">N225/M225-1</f>
        <v>#DIV/0!</v>
      </c>
      <c r="O226" s="62" t="e">
        <f t="shared" si="210"/>
        <v>#DIV/0!</v>
      </c>
      <c r="P226" s="62" t="e">
        <f t="shared" si="210"/>
        <v>#DIV/0!</v>
      </c>
      <c r="Q226" s="62" t="e">
        <f t="shared" si="210"/>
        <v>#DIV/0!</v>
      </c>
      <c r="R226" s="62" t="e">
        <f t="shared" si="210"/>
        <v>#DIV/0!</v>
      </c>
      <c r="S226" s="62" t="e">
        <f t="shared" si="210"/>
        <v>#DIV/0!</v>
      </c>
      <c r="T226" s="62" t="e">
        <f t="shared" si="210"/>
        <v>#DIV/0!</v>
      </c>
      <c r="U226" s="62" t="e">
        <f t="shared" si="210"/>
        <v>#DIV/0!</v>
      </c>
      <c r="V226" s="62" t="e">
        <f t="shared" si="210"/>
        <v>#DIV/0!</v>
      </c>
      <c r="W226" s="259"/>
      <c r="X226" s="259"/>
      <c r="Y226" s="7"/>
      <c r="Z226" s="7"/>
      <c r="AA226" s="7"/>
      <c r="AB226" s="42"/>
    </row>
    <row r="227" spans="1:28">
      <c r="A227" s="55" t="str">
        <f>Home!$B$1</f>
        <v>Poland</v>
      </c>
      <c r="B227" s="56" t="s">
        <v>94</v>
      </c>
      <c r="C227" s="56" t="s">
        <v>130</v>
      </c>
      <c r="D227" s="56" t="s">
        <v>65</v>
      </c>
      <c r="E227" s="55" t="s">
        <v>179</v>
      </c>
      <c r="F227" s="57" t="s">
        <v>180</v>
      </c>
      <c r="G227" s="57" t="s">
        <v>15</v>
      </c>
      <c r="H227" s="57" t="s">
        <v>16</v>
      </c>
      <c r="I227" s="57"/>
      <c r="J227" s="57" t="s">
        <v>99</v>
      </c>
      <c r="K227" s="58"/>
      <c r="L227" s="80"/>
      <c r="M227" s="80"/>
      <c r="N227" s="80"/>
      <c r="O227" s="80"/>
      <c r="P227" s="80"/>
      <c r="Q227" s="80"/>
      <c r="R227" s="110">
        <f>Forecasting!R223</f>
        <v>0</v>
      </c>
      <c r="S227" s="110">
        <f>Forecasting!S223</f>
        <v>0</v>
      </c>
      <c r="T227" s="110">
        <f>Forecasting!T223</f>
        <v>0</v>
      </c>
      <c r="U227" s="110">
        <f>Forecasting!U223</f>
        <v>0</v>
      </c>
      <c r="V227" s="110">
        <f>Forecasting!V223</f>
        <v>0</v>
      </c>
      <c r="W227" s="106" t="e">
        <f>+(Q227/M227)^(1/4)-1</f>
        <v>#DIV/0!</v>
      </c>
      <c r="X227" s="106" t="e">
        <f>+(V227/Q227)^(1/5)-1</f>
        <v>#DIV/0!</v>
      </c>
    </row>
    <row r="228" spans="1:28">
      <c r="A228" s="57"/>
      <c r="B228" s="57"/>
      <c r="C228" s="61" t="s">
        <v>892</v>
      </c>
      <c r="D228" s="61"/>
      <c r="E228" s="61"/>
      <c r="F228" s="61"/>
      <c r="G228" s="61"/>
      <c r="H228" s="61"/>
      <c r="I228" s="61"/>
      <c r="J228" s="61" t="s">
        <v>58</v>
      </c>
      <c r="K228" s="58"/>
      <c r="L228" s="59"/>
      <c r="M228" s="62" t="e">
        <v>#DIV/0!</v>
      </c>
      <c r="N228" s="62" t="e">
        <f t="shared" ref="N228:V228" si="211">N227/M227-1</f>
        <v>#DIV/0!</v>
      </c>
      <c r="O228" s="62" t="e">
        <f t="shared" si="211"/>
        <v>#DIV/0!</v>
      </c>
      <c r="P228" s="62" t="e">
        <f t="shared" si="211"/>
        <v>#DIV/0!</v>
      </c>
      <c r="Q228" s="62" t="e">
        <f t="shared" si="211"/>
        <v>#DIV/0!</v>
      </c>
      <c r="R228" s="62" t="e">
        <f t="shared" si="211"/>
        <v>#DIV/0!</v>
      </c>
      <c r="S228" s="62" t="e">
        <f t="shared" si="211"/>
        <v>#DIV/0!</v>
      </c>
      <c r="T228" s="62" t="e">
        <f t="shared" si="211"/>
        <v>#DIV/0!</v>
      </c>
      <c r="U228" s="62" t="e">
        <f t="shared" si="211"/>
        <v>#DIV/0!</v>
      </c>
      <c r="V228" s="62" t="e">
        <f t="shared" si="211"/>
        <v>#DIV/0!</v>
      </c>
      <c r="W228" s="259"/>
      <c r="X228" s="259"/>
    </row>
    <row r="229" spans="1:28">
      <c r="A229" s="55" t="str">
        <f>Home!$B$1</f>
        <v>Poland</v>
      </c>
      <c r="B229" s="56" t="s">
        <v>94</v>
      </c>
      <c r="C229" s="56" t="s">
        <v>130</v>
      </c>
      <c r="D229" s="56" t="s">
        <v>65</v>
      </c>
      <c r="E229" s="55" t="s">
        <v>181</v>
      </c>
      <c r="F229" s="57" t="s">
        <v>182</v>
      </c>
      <c r="G229" s="57" t="s">
        <v>15</v>
      </c>
      <c r="H229" s="57" t="s">
        <v>16</v>
      </c>
      <c r="I229" s="57"/>
      <c r="J229" s="57" t="s">
        <v>99</v>
      </c>
      <c r="K229" s="58"/>
      <c r="L229" s="80"/>
      <c r="M229" s="80"/>
      <c r="N229" s="80"/>
      <c r="O229" s="80"/>
      <c r="P229" s="80"/>
      <c r="Q229" s="80"/>
      <c r="R229" s="110">
        <f>Forecasting!R225</f>
        <v>0</v>
      </c>
      <c r="S229" s="110">
        <f>Forecasting!S225</f>
        <v>0</v>
      </c>
      <c r="T229" s="110">
        <f>Forecasting!T225</f>
        <v>0</v>
      </c>
      <c r="U229" s="110">
        <f>Forecasting!U225</f>
        <v>0</v>
      </c>
      <c r="V229" s="110">
        <f>Forecasting!V225</f>
        <v>0</v>
      </c>
      <c r="W229" s="106" t="e">
        <f>+(Q229/M229)^(1/4)-1</f>
        <v>#DIV/0!</v>
      </c>
      <c r="X229" s="106" t="e">
        <f>+(V229/Q229)^(1/5)-1</f>
        <v>#DIV/0!</v>
      </c>
    </row>
    <row r="230" spans="1:28">
      <c r="A230" s="57"/>
      <c r="B230" s="57"/>
      <c r="C230" s="61" t="s">
        <v>892</v>
      </c>
      <c r="D230" s="61"/>
      <c r="E230" s="61"/>
      <c r="F230" s="61"/>
      <c r="G230" s="61"/>
      <c r="H230" s="61"/>
      <c r="I230" s="61"/>
      <c r="J230" s="61" t="s">
        <v>58</v>
      </c>
      <c r="K230" s="58"/>
      <c r="L230" s="59"/>
      <c r="M230" s="62" t="e">
        <v>#DIV/0!</v>
      </c>
      <c r="N230" s="62" t="e">
        <f t="shared" ref="N230:V230" si="212">N229/M229-1</f>
        <v>#DIV/0!</v>
      </c>
      <c r="O230" s="62" t="e">
        <f t="shared" si="212"/>
        <v>#DIV/0!</v>
      </c>
      <c r="P230" s="62" t="e">
        <f t="shared" si="212"/>
        <v>#DIV/0!</v>
      </c>
      <c r="Q230" s="62" t="e">
        <f t="shared" si="212"/>
        <v>#DIV/0!</v>
      </c>
      <c r="R230" s="62" t="e">
        <f t="shared" si="212"/>
        <v>#DIV/0!</v>
      </c>
      <c r="S230" s="62" t="e">
        <f t="shared" si="212"/>
        <v>#DIV/0!</v>
      </c>
      <c r="T230" s="62" t="e">
        <f t="shared" si="212"/>
        <v>#DIV/0!</v>
      </c>
      <c r="U230" s="62" t="e">
        <f t="shared" si="212"/>
        <v>#DIV/0!</v>
      </c>
      <c r="V230" s="62" t="e">
        <f t="shared" si="212"/>
        <v>#DIV/0!</v>
      </c>
      <c r="W230" s="259"/>
      <c r="X230" s="259"/>
    </row>
    <row r="231" spans="1:28">
      <c r="A231" s="55" t="str">
        <f>Home!$B$1</f>
        <v>Poland</v>
      </c>
      <c r="B231" s="56" t="s">
        <v>94</v>
      </c>
      <c r="C231" s="56" t="s">
        <v>130</v>
      </c>
      <c r="D231" s="56" t="s">
        <v>65</v>
      </c>
      <c r="E231" s="55" t="s">
        <v>183</v>
      </c>
      <c r="F231" s="57" t="s">
        <v>184</v>
      </c>
      <c r="G231" s="57" t="s">
        <v>15</v>
      </c>
      <c r="H231" s="57" t="s">
        <v>16</v>
      </c>
      <c r="I231" s="57"/>
      <c r="J231" s="57" t="s">
        <v>99</v>
      </c>
      <c r="K231" s="58"/>
      <c r="L231" s="80"/>
      <c r="M231" s="80"/>
      <c r="N231" s="80"/>
      <c r="O231" s="80"/>
      <c r="P231" s="80"/>
      <c r="Q231" s="80"/>
      <c r="R231" s="110">
        <f>Forecasting!R227</f>
        <v>0</v>
      </c>
      <c r="S231" s="110">
        <f>Forecasting!S227</f>
        <v>0</v>
      </c>
      <c r="T231" s="110">
        <f>Forecasting!T227</f>
        <v>0</v>
      </c>
      <c r="U231" s="110">
        <f>Forecasting!U227</f>
        <v>0</v>
      </c>
      <c r="V231" s="110">
        <f>Forecasting!V227</f>
        <v>0</v>
      </c>
      <c r="W231" s="106" t="e">
        <f>+(Q231/M231)^(1/4)-1</f>
        <v>#DIV/0!</v>
      </c>
      <c r="X231" s="106" t="e">
        <f>+(V231/Q231)^(1/5)-1</f>
        <v>#DIV/0!</v>
      </c>
    </row>
    <row r="232" spans="1:28">
      <c r="A232" s="57"/>
      <c r="B232" s="57"/>
      <c r="C232" s="61" t="s">
        <v>892</v>
      </c>
      <c r="D232" s="61"/>
      <c r="E232" s="61"/>
      <c r="F232" s="61"/>
      <c r="G232" s="61"/>
      <c r="H232" s="61"/>
      <c r="I232" s="61"/>
      <c r="J232" s="61" t="s">
        <v>58</v>
      </c>
      <c r="K232" s="58"/>
      <c r="L232" s="59"/>
      <c r="M232" s="62" t="e">
        <v>#DIV/0!</v>
      </c>
      <c r="N232" s="62" t="e">
        <f t="shared" ref="N232:V232" si="213">N231/M231-1</f>
        <v>#DIV/0!</v>
      </c>
      <c r="O232" s="62" t="e">
        <f t="shared" si="213"/>
        <v>#DIV/0!</v>
      </c>
      <c r="P232" s="62" t="e">
        <f t="shared" si="213"/>
        <v>#DIV/0!</v>
      </c>
      <c r="Q232" s="62" t="e">
        <f t="shared" si="213"/>
        <v>#DIV/0!</v>
      </c>
      <c r="R232" s="62" t="e">
        <f t="shared" si="213"/>
        <v>#DIV/0!</v>
      </c>
      <c r="S232" s="62" t="e">
        <f t="shared" si="213"/>
        <v>#DIV/0!</v>
      </c>
      <c r="T232" s="62" t="e">
        <f t="shared" si="213"/>
        <v>#DIV/0!</v>
      </c>
      <c r="U232" s="62" t="e">
        <f t="shared" si="213"/>
        <v>#DIV/0!</v>
      </c>
      <c r="V232" s="62" t="e">
        <f t="shared" si="213"/>
        <v>#DIV/0!</v>
      </c>
      <c r="W232" s="259"/>
      <c r="X232" s="259"/>
    </row>
    <row r="233" spans="1:28">
      <c r="A233" s="55" t="str">
        <f>Home!$B$1</f>
        <v>Poland</v>
      </c>
      <c r="B233" s="56" t="s">
        <v>94</v>
      </c>
      <c r="C233" s="56" t="s">
        <v>130</v>
      </c>
      <c r="D233" s="56" t="s">
        <v>65</v>
      </c>
      <c r="E233" s="55" t="s">
        <v>185</v>
      </c>
      <c r="F233" s="57" t="s">
        <v>186</v>
      </c>
      <c r="G233" s="57" t="s">
        <v>15</v>
      </c>
      <c r="H233" s="57" t="s">
        <v>16</v>
      </c>
      <c r="I233" s="57"/>
      <c r="J233" s="57" t="s">
        <v>99</v>
      </c>
      <c r="K233" s="58"/>
      <c r="L233" s="80"/>
      <c r="M233" s="80"/>
      <c r="N233" s="80"/>
      <c r="O233" s="80"/>
      <c r="P233" s="80"/>
      <c r="Q233" s="80"/>
      <c r="R233" s="110">
        <f>Forecasting!R229</f>
        <v>0</v>
      </c>
      <c r="S233" s="110">
        <f>Forecasting!S229</f>
        <v>0</v>
      </c>
      <c r="T233" s="110">
        <f>Forecasting!T229</f>
        <v>0</v>
      </c>
      <c r="U233" s="110">
        <f>Forecasting!U229</f>
        <v>0</v>
      </c>
      <c r="V233" s="110">
        <f>Forecasting!V229</f>
        <v>0</v>
      </c>
      <c r="W233" s="106" t="e">
        <f>+(Q233/M233)^(1/4)-1</f>
        <v>#DIV/0!</v>
      </c>
      <c r="X233" s="106" t="e">
        <f>+(V233/Q233)^(1/5)-1</f>
        <v>#DIV/0!</v>
      </c>
    </row>
    <row r="234" spans="1:28">
      <c r="A234" s="57"/>
      <c r="B234" s="57"/>
      <c r="C234" s="61" t="s">
        <v>892</v>
      </c>
      <c r="D234" s="61"/>
      <c r="E234" s="61"/>
      <c r="F234" s="61"/>
      <c r="G234" s="61"/>
      <c r="H234" s="61"/>
      <c r="I234" s="61"/>
      <c r="J234" s="61" t="s">
        <v>58</v>
      </c>
      <c r="K234" s="58"/>
      <c r="L234" s="59"/>
      <c r="M234" s="62" t="e">
        <v>#DIV/0!</v>
      </c>
      <c r="N234" s="62" t="e">
        <f t="shared" ref="N234:V234" si="214">N233/M233-1</f>
        <v>#DIV/0!</v>
      </c>
      <c r="O234" s="62" t="e">
        <f t="shared" si="214"/>
        <v>#DIV/0!</v>
      </c>
      <c r="P234" s="62" t="e">
        <f t="shared" si="214"/>
        <v>#DIV/0!</v>
      </c>
      <c r="Q234" s="62" t="e">
        <f t="shared" si="214"/>
        <v>#DIV/0!</v>
      </c>
      <c r="R234" s="62" t="e">
        <f t="shared" si="214"/>
        <v>#DIV/0!</v>
      </c>
      <c r="S234" s="62" t="e">
        <f t="shared" si="214"/>
        <v>#DIV/0!</v>
      </c>
      <c r="T234" s="62" t="e">
        <f t="shared" si="214"/>
        <v>#DIV/0!</v>
      </c>
      <c r="U234" s="62" t="e">
        <f t="shared" si="214"/>
        <v>#DIV/0!</v>
      </c>
      <c r="V234" s="62" t="e">
        <f t="shared" si="214"/>
        <v>#DIV/0!</v>
      </c>
      <c r="W234" s="259"/>
      <c r="X234" s="259"/>
    </row>
    <row r="235" spans="1:28">
      <c r="A235" s="55" t="str">
        <f>Home!$B$1</f>
        <v>Poland</v>
      </c>
      <c r="B235" s="56" t="s">
        <v>94</v>
      </c>
      <c r="C235" s="56" t="s">
        <v>130</v>
      </c>
      <c r="D235" s="56" t="s">
        <v>65</v>
      </c>
      <c r="E235" s="55" t="s">
        <v>187</v>
      </c>
      <c r="F235" s="57" t="s">
        <v>188</v>
      </c>
      <c r="G235" s="57" t="s">
        <v>15</v>
      </c>
      <c r="H235" s="57" t="s">
        <v>16</v>
      </c>
      <c r="I235" s="57"/>
      <c r="J235" s="57" t="s">
        <v>99</v>
      </c>
      <c r="K235" s="58"/>
      <c r="L235" s="80"/>
      <c r="M235" s="80"/>
      <c r="N235" s="80"/>
      <c r="O235" s="80"/>
      <c r="P235" s="80"/>
      <c r="Q235" s="80"/>
      <c r="R235" s="110">
        <f>Forecasting!R231</f>
        <v>0</v>
      </c>
      <c r="S235" s="110">
        <f>Forecasting!S231</f>
        <v>0</v>
      </c>
      <c r="T235" s="110">
        <f>Forecasting!T231</f>
        <v>0</v>
      </c>
      <c r="U235" s="110">
        <f>Forecasting!U231</f>
        <v>0</v>
      </c>
      <c r="V235" s="110">
        <f>Forecasting!V231</f>
        <v>0</v>
      </c>
      <c r="W235" s="106" t="e">
        <f>+(Q235/M235)^(1/4)-1</f>
        <v>#DIV/0!</v>
      </c>
      <c r="X235" s="106" t="e">
        <f>+(V235/Q235)^(1/5)-1</f>
        <v>#DIV/0!</v>
      </c>
    </row>
    <row r="236" spans="1:28">
      <c r="A236" s="57"/>
      <c r="B236" s="57"/>
      <c r="C236" s="61" t="s">
        <v>892</v>
      </c>
      <c r="D236" s="61"/>
      <c r="E236" s="61"/>
      <c r="F236" s="61"/>
      <c r="G236" s="61"/>
      <c r="H236" s="61"/>
      <c r="I236" s="61"/>
      <c r="J236" s="61" t="s">
        <v>58</v>
      </c>
      <c r="K236" s="58"/>
      <c r="L236" s="59"/>
      <c r="M236" s="62" t="e">
        <v>#DIV/0!</v>
      </c>
      <c r="N236" s="62" t="e">
        <f t="shared" ref="N236:V236" si="215">N235/M235-1</f>
        <v>#DIV/0!</v>
      </c>
      <c r="O236" s="62" t="e">
        <f t="shared" si="215"/>
        <v>#DIV/0!</v>
      </c>
      <c r="P236" s="62" t="e">
        <f t="shared" si="215"/>
        <v>#DIV/0!</v>
      </c>
      <c r="Q236" s="62" t="e">
        <f t="shared" si="215"/>
        <v>#DIV/0!</v>
      </c>
      <c r="R236" s="62" t="e">
        <f t="shared" si="215"/>
        <v>#DIV/0!</v>
      </c>
      <c r="S236" s="62" t="e">
        <f t="shared" si="215"/>
        <v>#DIV/0!</v>
      </c>
      <c r="T236" s="62" t="e">
        <f t="shared" si="215"/>
        <v>#DIV/0!</v>
      </c>
      <c r="U236" s="62" t="e">
        <f t="shared" si="215"/>
        <v>#DIV/0!</v>
      </c>
      <c r="V236" s="62" t="e">
        <f t="shared" si="215"/>
        <v>#DIV/0!</v>
      </c>
      <c r="W236" s="259"/>
      <c r="X236" s="259"/>
    </row>
    <row r="237" spans="1:28">
      <c r="A237" s="55" t="str">
        <f>Home!$B$1</f>
        <v>Poland</v>
      </c>
      <c r="B237" s="56" t="s">
        <v>94</v>
      </c>
      <c r="C237" s="56" t="s">
        <v>130</v>
      </c>
      <c r="D237" s="56" t="s">
        <v>65</v>
      </c>
      <c r="E237" s="55" t="s">
        <v>189</v>
      </c>
      <c r="F237" s="57" t="s">
        <v>190</v>
      </c>
      <c r="G237" s="57" t="s">
        <v>15</v>
      </c>
      <c r="H237" s="57" t="s">
        <v>16</v>
      </c>
      <c r="I237" s="57"/>
      <c r="J237" s="57" t="s">
        <v>99</v>
      </c>
      <c r="K237" s="58"/>
      <c r="L237" s="80"/>
      <c r="M237" s="80"/>
      <c r="N237" s="80"/>
      <c r="O237" s="80"/>
      <c r="P237" s="80"/>
      <c r="Q237" s="80"/>
      <c r="R237" s="110">
        <f>Forecasting!R233</f>
        <v>0</v>
      </c>
      <c r="S237" s="110">
        <f>Forecasting!S233</f>
        <v>0</v>
      </c>
      <c r="T237" s="110">
        <f>Forecasting!T233</f>
        <v>0</v>
      </c>
      <c r="U237" s="110">
        <f>Forecasting!U233</f>
        <v>0</v>
      </c>
      <c r="V237" s="110">
        <f>Forecasting!V233</f>
        <v>0</v>
      </c>
      <c r="W237" s="106" t="e">
        <f>+(Q237/M237)^(1/4)-1</f>
        <v>#DIV/0!</v>
      </c>
      <c r="X237" s="106" t="e">
        <f>+(V237/Q237)^(1/5)-1</f>
        <v>#DIV/0!</v>
      </c>
    </row>
    <row r="238" spans="1:28">
      <c r="A238" s="57"/>
      <c r="B238" s="57"/>
      <c r="C238" s="61" t="s">
        <v>892</v>
      </c>
      <c r="D238" s="61"/>
      <c r="E238" s="61"/>
      <c r="F238" s="61"/>
      <c r="G238" s="61"/>
      <c r="H238" s="61"/>
      <c r="I238" s="61"/>
      <c r="J238" s="61" t="s">
        <v>58</v>
      </c>
      <c r="K238" s="58"/>
      <c r="L238" s="59"/>
      <c r="M238" s="62" t="e">
        <v>#DIV/0!</v>
      </c>
      <c r="N238" s="62" t="e">
        <f t="shared" ref="N238:V238" si="216">N237/M237-1</f>
        <v>#DIV/0!</v>
      </c>
      <c r="O238" s="62" t="e">
        <f t="shared" si="216"/>
        <v>#DIV/0!</v>
      </c>
      <c r="P238" s="62" t="e">
        <f t="shared" si="216"/>
        <v>#DIV/0!</v>
      </c>
      <c r="Q238" s="62" t="e">
        <f t="shared" si="216"/>
        <v>#DIV/0!</v>
      </c>
      <c r="R238" s="62" t="e">
        <f t="shared" si="216"/>
        <v>#DIV/0!</v>
      </c>
      <c r="S238" s="62" t="e">
        <f t="shared" si="216"/>
        <v>#DIV/0!</v>
      </c>
      <c r="T238" s="62" t="e">
        <f t="shared" si="216"/>
        <v>#DIV/0!</v>
      </c>
      <c r="U238" s="62" t="e">
        <f t="shared" si="216"/>
        <v>#DIV/0!</v>
      </c>
      <c r="V238" s="62" t="e">
        <f t="shared" si="216"/>
        <v>#DIV/0!</v>
      </c>
      <c r="W238" s="259"/>
      <c r="X238" s="259"/>
    </row>
    <row r="239" spans="1:28">
      <c r="A239" s="55" t="str">
        <f>Home!$B$1</f>
        <v>Poland</v>
      </c>
      <c r="B239" s="56" t="s">
        <v>94</v>
      </c>
      <c r="C239" s="56" t="s">
        <v>130</v>
      </c>
      <c r="D239" s="56" t="s">
        <v>65</v>
      </c>
      <c r="E239" s="55" t="s">
        <v>191</v>
      </c>
      <c r="F239" s="57" t="s">
        <v>192</v>
      </c>
      <c r="G239" s="57" t="s">
        <v>15</v>
      </c>
      <c r="H239" s="57" t="s">
        <v>16</v>
      </c>
      <c r="I239" s="57"/>
      <c r="J239" s="57" t="s">
        <v>99</v>
      </c>
      <c r="K239" s="58"/>
      <c r="L239" s="80"/>
      <c r="M239" s="80"/>
      <c r="N239" s="80"/>
      <c r="O239" s="80"/>
      <c r="P239" s="80"/>
      <c r="Q239" s="80"/>
      <c r="R239" s="110">
        <f>Forecasting!R235</f>
        <v>0</v>
      </c>
      <c r="S239" s="110">
        <f>Forecasting!S235</f>
        <v>0</v>
      </c>
      <c r="T239" s="110">
        <f>Forecasting!T235</f>
        <v>0</v>
      </c>
      <c r="U239" s="110">
        <f>Forecasting!U235</f>
        <v>0</v>
      </c>
      <c r="V239" s="110">
        <f>Forecasting!V235</f>
        <v>0</v>
      </c>
      <c r="W239" s="106" t="e">
        <f>+(Q239/M239)^(1/4)-1</f>
        <v>#DIV/0!</v>
      </c>
      <c r="X239" s="106" t="e">
        <f>+(V239/Q239)^(1/5)-1</f>
        <v>#DIV/0!</v>
      </c>
    </row>
    <row r="240" spans="1:28">
      <c r="A240" s="57"/>
      <c r="B240" s="57"/>
      <c r="C240" s="61" t="s">
        <v>892</v>
      </c>
      <c r="D240" s="61"/>
      <c r="E240" s="61"/>
      <c r="F240" s="61"/>
      <c r="G240" s="61"/>
      <c r="H240" s="61"/>
      <c r="I240" s="61"/>
      <c r="J240" s="61" t="s">
        <v>58</v>
      </c>
      <c r="K240" s="58"/>
      <c r="L240" s="59"/>
      <c r="M240" s="62" t="e">
        <v>#DIV/0!</v>
      </c>
      <c r="N240" s="62" t="e">
        <f t="shared" ref="N240:V240" si="217">N239/M239-1</f>
        <v>#DIV/0!</v>
      </c>
      <c r="O240" s="62" t="e">
        <f t="shared" si="217"/>
        <v>#DIV/0!</v>
      </c>
      <c r="P240" s="62" t="e">
        <f t="shared" si="217"/>
        <v>#DIV/0!</v>
      </c>
      <c r="Q240" s="62" t="e">
        <f t="shared" si="217"/>
        <v>#DIV/0!</v>
      </c>
      <c r="R240" s="62" t="e">
        <f t="shared" si="217"/>
        <v>#DIV/0!</v>
      </c>
      <c r="S240" s="62" t="e">
        <f t="shared" si="217"/>
        <v>#DIV/0!</v>
      </c>
      <c r="T240" s="62" t="e">
        <f t="shared" si="217"/>
        <v>#DIV/0!</v>
      </c>
      <c r="U240" s="62" t="e">
        <f t="shared" si="217"/>
        <v>#DIV/0!</v>
      </c>
      <c r="V240" s="62" t="e">
        <f t="shared" si="217"/>
        <v>#DIV/0!</v>
      </c>
      <c r="W240" s="259"/>
      <c r="X240" s="259"/>
    </row>
    <row r="241" spans="1:24">
      <c r="A241" s="55" t="str">
        <f>Home!$B$1</f>
        <v>Poland</v>
      </c>
      <c r="B241" s="56" t="s">
        <v>94</v>
      </c>
      <c r="C241" s="56" t="s">
        <v>130</v>
      </c>
      <c r="D241" s="56" t="s">
        <v>65</v>
      </c>
      <c r="E241" s="55" t="s">
        <v>193</v>
      </c>
      <c r="F241" s="57" t="s">
        <v>194</v>
      </c>
      <c r="G241" s="57" t="s">
        <v>15</v>
      </c>
      <c r="H241" s="57" t="s">
        <v>16</v>
      </c>
      <c r="I241" s="57"/>
      <c r="J241" s="57" t="s">
        <v>99</v>
      </c>
      <c r="K241" s="58"/>
      <c r="L241" s="80"/>
      <c r="M241" s="80"/>
      <c r="N241" s="80"/>
      <c r="O241" s="80"/>
      <c r="P241" s="80"/>
      <c r="Q241" s="80"/>
      <c r="R241" s="110">
        <f>Forecasting!R237</f>
        <v>0</v>
      </c>
      <c r="S241" s="110">
        <f>Forecasting!S237</f>
        <v>0</v>
      </c>
      <c r="T241" s="110">
        <f>Forecasting!T237</f>
        <v>0</v>
      </c>
      <c r="U241" s="110">
        <f>Forecasting!U237</f>
        <v>0</v>
      </c>
      <c r="V241" s="110">
        <f>Forecasting!V237</f>
        <v>0</v>
      </c>
      <c r="W241" s="106" t="e">
        <f>+(Q241/M241)^(1/4)-1</f>
        <v>#DIV/0!</v>
      </c>
      <c r="X241" s="106" t="e">
        <f>+(V241/Q241)^(1/5)-1</f>
        <v>#DIV/0!</v>
      </c>
    </row>
    <row r="242" spans="1:24">
      <c r="A242" s="57"/>
      <c r="B242" s="57"/>
      <c r="C242" s="61" t="s">
        <v>892</v>
      </c>
      <c r="D242" s="61"/>
      <c r="E242" s="61"/>
      <c r="F242" s="61"/>
      <c r="G242" s="61"/>
      <c r="H242" s="61"/>
      <c r="I242" s="61"/>
      <c r="J242" s="61" t="s">
        <v>58</v>
      </c>
      <c r="K242" s="58"/>
      <c r="L242" s="59"/>
      <c r="M242" s="62" t="e">
        <v>#DIV/0!</v>
      </c>
      <c r="N242" s="62" t="e">
        <f t="shared" ref="N242:V242" si="218">N241/M241-1</f>
        <v>#DIV/0!</v>
      </c>
      <c r="O242" s="62" t="e">
        <f t="shared" si="218"/>
        <v>#DIV/0!</v>
      </c>
      <c r="P242" s="62" t="e">
        <f t="shared" si="218"/>
        <v>#DIV/0!</v>
      </c>
      <c r="Q242" s="62" t="e">
        <f t="shared" si="218"/>
        <v>#DIV/0!</v>
      </c>
      <c r="R242" s="62" t="e">
        <f t="shared" si="218"/>
        <v>#DIV/0!</v>
      </c>
      <c r="S242" s="62" t="e">
        <f t="shared" si="218"/>
        <v>#DIV/0!</v>
      </c>
      <c r="T242" s="62" t="e">
        <f t="shared" si="218"/>
        <v>#DIV/0!</v>
      </c>
      <c r="U242" s="62" t="e">
        <f t="shared" si="218"/>
        <v>#DIV/0!</v>
      </c>
      <c r="V242" s="62" t="e">
        <f t="shared" si="218"/>
        <v>#DIV/0!</v>
      </c>
      <c r="W242" s="259"/>
      <c r="X242" s="259"/>
    </row>
    <row r="243" spans="1:24">
      <c r="A243" s="55" t="str">
        <f>Home!$B$1</f>
        <v>Poland</v>
      </c>
      <c r="B243" s="56" t="s">
        <v>94</v>
      </c>
      <c r="C243" s="56" t="s">
        <v>130</v>
      </c>
      <c r="D243" s="56" t="s">
        <v>65</v>
      </c>
      <c r="E243" s="55" t="s">
        <v>195</v>
      </c>
      <c r="F243" s="57" t="s">
        <v>196</v>
      </c>
      <c r="G243" s="57" t="s">
        <v>15</v>
      </c>
      <c r="H243" s="57" t="s">
        <v>16</v>
      </c>
      <c r="I243" s="57"/>
      <c r="J243" s="57" t="s">
        <v>99</v>
      </c>
      <c r="K243" s="58"/>
      <c r="L243" s="80"/>
      <c r="M243" s="80"/>
      <c r="N243" s="80"/>
      <c r="O243" s="80"/>
      <c r="P243" s="80"/>
      <c r="Q243" s="80"/>
      <c r="R243" s="110">
        <f>Forecasting!R239</f>
        <v>0</v>
      </c>
      <c r="S243" s="110">
        <f>Forecasting!S239</f>
        <v>0</v>
      </c>
      <c r="T243" s="110">
        <f>Forecasting!T239</f>
        <v>0</v>
      </c>
      <c r="U243" s="110">
        <f>Forecasting!U239</f>
        <v>0</v>
      </c>
      <c r="V243" s="110">
        <f>Forecasting!V239</f>
        <v>0</v>
      </c>
      <c r="W243" s="106" t="e">
        <f>+(Q243/M243)^(1/4)-1</f>
        <v>#DIV/0!</v>
      </c>
      <c r="X243" s="106" t="e">
        <f>+(V243/Q243)^(1/5)-1</f>
        <v>#DIV/0!</v>
      </c>
    </row>
    <row r="244" spans="1:24">
      <c r="A244" s="57"/>
      <c r="B244" s="57"/>
      <c r="C244" s="61" t="s">
        <v>892</v>
      </c>
      <c r="D244" s="61"/>
      <c r="E244" s="61"/>
      <c r="F244" s="61"/>
      <c r="G244" s="61"/>
      <c r="H244" s="61"/>
      <c r="I244" s="61"/>
      <c r="J244" s="61" t="s">
        <v>58</v>
      </c>
      <c r="K244" s="58"/>
      <c r="L244" s="59"/>
      <c r="M244" s="62" t="e">
        <v>#DIV/0!</v>
      </c>
      <c r="N244" s="62" t="e">
        <f t="shared" ref="N244:V244" si="219">N243/M243-1</f>
        <v>#DIV/0!</v>
      </c>
      <c r="O244" s="62" t="e">
        <f t="shared" si="219"/>
        <v>#DIV/0!</v>
      </c>
      <c r="P244" s="62" t="e">
        <f t="shared" si="219"/>
        <v>#DIV/0!</v>
      </c>
      <c r="Q244" s="62" t="e">
        <f t="shared" si="219"/>
        <v>#DIV/0!</v>
      </c>
      <c r="R244" s="62" t="e">
        <f t="shared" si="219"/>
        <v>#DIV/0!</v>
      </c>
      <c r="S244" s="62" t="e">
        <f t="shared" si="219"/>
        <v>#DIV/0!</v>
      </c>
      <c r="T244" s="62" t="e">
        <f t="shared" si="219"/>
        <v>#DIV/0!</v>
      </c>
      <c r="U244" s="62" t="e">
        <f t="shared" si="219"/>
        <v>#DIV/0!</v>
      </c>
      <c r="V244" s="62" t="e">
        <f t="shared" si="219"/>
        <v>#DIV/0!</v>
      </c>
      <c r="W244" s="259"/>
      <c r="X244" s="259"/>
    </row>
    <row r="245" spans="1:24">
      <c r="A245" s="55" t="str">
        <f>Home!$B$1</f>
        <v>Poland</v>
      </c>
      <c r="B245" s="56" t="s">
        <v>94</v>
      </c>
      <c r="C245" s="56" t="s">
        <v>130</v>
      </c>
      <c r="D245" s="56" t="s">
        <v>65</v>
      </c>
      <c r="E245" s="55" t="s">
        <v>197</v>
      </c>
      <c r="F245" s="57" t="s">
        <v>198</v>
      </c>
      <c r="G245" s="57" t="s">
        <v>15</v>
      </c>
      <c r="H245" s="57" t="s">
        <v>16</v>
      </c>
      <c r="I245" s="57"/>
      <c r="J245" s="57" t="s">
        <v>99</v>
      </c>
      <c r="K245" s="58"/>
      <c r="L245" s="80"/>
      <c r="M245" s="80"/>
      <c r="N245" s="80"/>
      <c r="O245" s="80"/>
      <c r="P245" s="80"/>
      <c r="Q245" s="80"/>
      <c r="R245" s="110">
        <f>Forecasting!R241</f>
        <v>0</v>
      </c>
      <c r="S245" s="110">
        <f>Forecasting!S241</f>
        <v>0</v>
      </c>
      <c r="T245" s="110">
        <f>Forecasting!T241</f>
        <v>0</v>
      </c>
      <c r="U245" s="110">
        <f>Forecasting!U241</f>
        <v>0</v>
      </c>
      <c r="V245" s="110">
        <f>Forecasting!V241</f>
        <v>0</v>
      </c>
      <c r="W245" s="106" t="e">
        <f>+(Q245/M245)^(1/4)-1</f>
        <v>#DIV/0!</v>
      </c>
      <c r="X245" s="106" t="e">
        <f>+(V245/Q245)^(1/5)-1</f>
        <v>#DIV/0!</v>
      </c>
    </row>
    <row r="246" spans="1:24">
      <c r="A246" s="57"/>
      <c r="B246" s="57"/>
      <c r="C246" s="61" t="s">
        <v>892</v>
      </c>
      <c r="D246" s="61"/>
      <c r="E246" s="61"/>
      <c r="F246" s="61"/>
      <c r="G246" s="61"/>
      <c r="H246" s="61"/>
      <c r="I246" s="61"/>
      <c r="J246" s="61" t="s">
        <v>58</v>
      </c>
      <c r="K246" s="58"/>
      <c r="L246" s="59"/>
      <c r="M246" s="62" t="e">
        <v>#DIV/0!</v>
      </c>
      <c r="N246" s="62" t="e">
        <f t="shared" ref="N246:V246" si="220">N245/M245-1</f>
        <v>#DIV/0!</v>
      </c>
      <c r="O246" s="62" t="e">
        <f t="shared" si="220"/>
        <v>#DIV/0!</v>
      </c>
      <c r="P246" s="62" t="e">
        <f t="shared" si="220"/>
        <v>#DIV/0!</v>
      </c>
      <c r="Q246" s="62" t="e">
        <f t="shared" si="220"/>
        <v>#DIV/0!</v>
      </c>
      <c r="R246" s="62" t="e">
        <f t="shared" si="220"/>
        <v>#DIV/0!</v>
      </c>
      <c r="S246" s="62" t="e">
        <f t="shared" si="220"/>
        <v>#DIV/0!</v>
      </c>
      <c r="T246" s="62" t="e">
        <f t="shared" si="220"/>
        <v>#DIV/0!</v>
      </c>
      <c r="U246" s="62" t="e">
        <f t="shared" si="220"/>
        <v>#DIV/0!</v>
      </c>
      <c r="V246" s="62" t="e">
        <f t="shared" si="220"/>
        <v>#DIV/0!</v>
      </c>
      <c r="W246" s="259"/>
      <c r="X246" s="259"/>
    </row>
    <row r="247" spans="1:24">
      <c r="A247" s="55" t="str">
        <f>Home!$B$1</f>
        <v>Poland</v>
      </c>
      <c r="B247" s="56" t="s">
        <v>94</v>
      </c>
      <c r="C247" s="56" t="s">
        <v>130</v>
      </c>
      <c r="D247" s="56" t="s">
        <v>65</v>
      </c>
      <c r="E247" s="55" t="s">
        <v>199</v>
      </c>
      <c r="F247" s="57" t="s">
        <v>200</v>
      </c>
      <c r="G247" s="57" t="s">
        <v>15</v>
      </c>
      <c r="H247" s="57" t="s">
        <v>16</v>
      </c>
      <c r="I247" s="57"/>
      <c r="J247" s="57" t="s">
        <v>99</v>
      </c>
      <c r="K247" s="58"/>
      <c r="L247" s="80"/>
      <c r="M247" s="80"/>
      <c r="N247" s="80"/>
      <c r="O247" s="80"/>
      <c r="P247" s="80"/>
      <c r="Q247" s="80"/>
      <c r="R247" s="110">
        <f>Forecasting!R243</f>
        <v>0</v>
      </c>
      <c r="S247" s="110">
        <f>Forecasting!S243</f>
        <v>0</v>
      </c>
      <c r="T247" s="110">
        <f>Forecasting!T243</f>
        <v>0</v>
      </c>
      <c r="U247" s="110">
        <f>Forecasting!U243</f>
        <v>0</v>
      </c>
      <c r="V247" s="110">
        <f>Forecasting!V243</f>
        <v>0</v>
      </c>
      <c r="W247" s="106" t="e">
        <f>+(Q247/M247)^(1/4)-1</f>
        <v>#DIV/0!</v>
      </c>
      <c r="X247" s="106" t="e">
        <f>+(V247/Q247)^(1/5)-1</f>
        <v>#DIV/0!</v>
      </c>
    </row>
    <row r="248" spans="1:24">
      <c r="A248" s="57"/>
      <c r="B248" s="57"/>
      <c r="C248" s="61" t="s">
        <v>892</v>
      </c>
      <c r="D248" s="61"/>
      <c r="E248" s="61"/>
      <c r="F248" s="61"/>
      <c r="G248" s="61"/>
      <c r="H248" s="61"/>
      <c r="I248" s="61"/>
      <c r="J248" s="61" t="s">
        <v>58</v>
      </c>
      <c r="K248" s="58"/>
      <c r="L248" s="59"/>
      <c r="M248" s="62" t="e">
        <v>#DIV/0!</v>
      </c>
      <c r="N248" s="62" t="e">
        <f t="shared" ref="N248:V248" si="221">N247/M247-1</f>
        <v>#DIV/0!</v>
      </c>
      <c r="O248" s="62" t="e">
        <f t="shared" si="221"/>
        <v>#DIV/0!</v>
      </c>
      <c r="P248" s="62" t="e">
        <f t="shared" si="221"/>
        <v>#DIV/0!</v>
      </c>
      <c r="Q248" s="62" t="e">
        <f t="shared" si="221"/>
        <v>#DIV/0!</v>
      </c>
      <c r="R248" s="62" t="e">
        <f t="shared" si="221"/>
        <v>#DIV/0!</v>
      </c>
      <c r="S248" s="62" t="e">
        <f t="shared" si="221"/>
        <v>#DIV/0!</v>
      </c>
      <c r="T248" s="62" t="e">
        <f t="shared" si="221"/>
        <v>#DIV/0!</v>
      </c>
      <c r="U248" s="62" t="e">
        <f t="shared" si="221"/>
        <v>#DIV/0!</v>
      </c>
      <c r="V248" s="62" t="e">
        <f t="shared" si="221"/>
        <v>#DIV/0!</v>
      </c>
      <c r="W248" s="259"/>
      <c r="X248" s="259"/>
    </row>
    <row r="249" spans="1:24">
      <c r="A249" s="55" t="str">
        <f>Home!$B$1</f>
        <v>Poland</v>
      </c>
      <c r="B249" s="56" t="s">
        <v>94</v>
      </c>
      <c r="C249" s="56" t="s">
        <v>130</v>
      </c>
      <c r="D249" s="56" t="s">
        <v>65</v>
      </c>
      <c r="E249" s="55" t="s">
        <v>201</v>
      </c>
      <c r="F249" s="57" t="s">
        <v>202</v>
      </c>
      <c r="G249" s="57" t="s">
        <v>15</v>
      </c>
      <c r="H249" s="57" t="s">
        <v>16</v>
      </c>
      <c r="I249" s="57"/>
      <c r="J249" s="57" t="s">
        <v>99</v>
      </c>
      <c r="K249" s="58"/>
      <c r="L249" s="80"/>
      <c r="M249" s="80"/>
      <c r="N249" s="80"/>
      <c r="O249" s="80"/>
      <c r="P249" s="80"/>
      <c r="Q249" s="80"/>
      <c r="R249" s="110">
        <f>Forecasting!R245</f>
        <v>0</v>
      </c>
      <c r="S249" s="110">
        <f>Forecasting!S245</f>
        <v>0</v>
      </c>
      <c r="T249" s="110">
        <f>Forecasting!T245</f>
        <v>0</v>
      </c>
      <c r="U249" s="110">
        <f>Forecasting!U245</f>
        <v>0</v>
      </c>
      <c r="V249" s="110">
        <f>Forecasting!V245</f>
        <v>0</v>
      </c>
      <c r="W249" s="106" t="e">
        <f>+(Q249/M249)^(1/4)-1</f>
        <v>#DIV/0!</v>
      </c>
      <c r="X249" s="106" t="e">
        <f>+(V249/Q249)^(1/5)-1</f>
        <v>#DIV/0!</v>
      </c>
    </row>
    <row r="250" spans="1:24">
      <c r="A250" s="57"/>
      <c r="B250" s="57"/>
      <c r="C250" s="61" t="s">
        <v>892</v>
      </c>
      <c r="D250" s="61"/>
      <c r="E250" s="61"/>
      <c r="F250" s="61"/>
      <c r="G250" s="61"/>
      <c r="H250" s="61"/>
      <c r="I250" s="61"/>
      <c r="J250" s="61" t="s">
        <v>58</v>
      </c>
      <c r="K250" s="58"/>
      <c r="L250" s="59"/>
      <c r="M250" s="62" t="e">
        <v>#DIV/0!</v>
      </c>
      <c r="N250" s="62" t="e">
        <f t="shared" ref="N250:V250" si="222">N249/M249-1</f>
        <v>#DIV/0!</v>
      </c>
      <c r="O250" s="62" t="e">
        <f t="shared" si="222"/>
        <v>#DIV/0!</v>
      </c>
      <c r="P250" s="62" t="e">
        <f t="shared" si="222"/>
        <v>#DIV/0!</v>
      </c>
      <c r="Q250" s="62" t="e">
        <f t="shared" si="222"/>
        <v>#DIV/0!</v>
      </c>
      <c r="R250" s="62" t="e">
        <f t="shared" si="222"/>
        <v>#DIV/0!</v>
      </c>
      <c r="S250" s="62" t="e">
        <f t="shared" si="222"/>
        <v>#DIV/0!</v>
      </c>
      <c r="T250" s="62" t="e">
        <f t="shared" si="222"/>
        <v>#DIV/0!</v>
      </c>
      <c r="U250" s="62" t="e">
        <f t="shared" si="222"/>
        <v>#DIV/0!</v>
      </c>
      <c r="V250" s="62" t="e">
        <f t="shared" si="222"/>
        <v>#DIV/0!</v>
      </c>
      <c r="W250" s="259"/>
      <c r="X250" s="259"/>
    </row>
    <row r="251" spans="1:24">
      <c r="A251" s="55" t="str">
        <f>Home!$B$1</f>
        <v>Poland</v>
      </c>
      <c r="B251" s="56" t="s">
        <v>94</v>
      </c>
      <c r="C251" s="56" t="s">
        <v>130</v>
      </c>
      <c r="D251" s="56" t="s">
        <v>65</v>
      </c>
      <c r="E251" s="55" t="s">
        <v>203</v>
      </c>
      <c r="F251" s="57" t="s">
        <v>204</v>
      </c>
      <c r="G251" s="57" t="s">
        <v>15</v>
      </c>
      <c r="H251" s="57" t="s">
        <v>16</v>
      </c>
      <c r="I251" s="57"/>
      <c r="J251" s="57" t="s">
        <v>99</v>
      </c>
      <c r="K251" s="58"/>
      <c r="L251" s="80"/>
      <c r="M251" s="80"/>
      <c r="N251" s="80"/>
      <c r="O251" s="80"/>
      <c r="P251" s="80"/>
      <c r="Q251" s="80"/>
      <c r="R251" s="110">
        <f>Forecasting!R247</f>
        <v>0</v>
      </c>
      <c r="S251" s="110">
        <f>Forecasting!S247</f>
        <v>0</v>
      </c>
      <c r="T251" s="110">
        <f>Forecasting!T247</f>
        <v>0</v>
      </c>
      <c r="U251" s="110">
        <f>Forecasting!U247</f>
        <v>0</v>
      </c>
      <c r="V251" s="110">
        <f>Forecasting!V247</f>
        <v>0</v>
      </c>
      <c r="W251" s="106" t="e">
        <f>+(Q251/M251)^(1/4)-1</f>
        <v>#DIV/0!</v>
      </c>
      <c r="X251" s="106" t="e">
        <f>+(V251/Q251)^(1/5)-1</f>
        <v>#DIV/0!</v>
      </c>
    </row>
    <row r="252" spans="1:24">
      <c r="A252" s="57"/>
      <c r="B252" s="57"/>
      <c r="C252" s="61" t="s">
        <v>892</v>
      </c>
      <c r="D252" s="61"/>
      <c r="E252" s="61"/>
      <c r="F252" s="61"/>
      <c r="G252" s="61"/>
      <c r="H252" s="61"/>
      <c r="I252" s="61"/>
      <c r="J252" s="61" t="s">
        <v>58</v>
      </c>
      <c r="K252" s="58"/>
      <c r="L252" s="59"/>
      <c r="M252" s="62" t="e">
        <v>#DIV/0!</v>
      </c>
      <c r="N252" s="62" t="e">
        <f t="shared" ref="N252:V252" si="223">N251/M251-1</f>
        <v>#DIV/0!</v>
      </c>
      <c r="O252" s="62" t="e">
        <f t="shared" si="223"/>
        <v>#DIV/0!</v>
      </c>
      <c r="P252" s="62" t="e">
        <f t="shared" si="223"/>
        <v>#DIV/0!</v>
      </c>
      <c r="Q252" s="62" t="e">
        <f t="shared" si="223"/>
        <v>#DIV/0!</v>
      </c>
      <c r="R252" s="62" t="e">
        <f t="shared" si="223"/>
        <v>#DIV/0!</v>
      </c>
      <c r="S252" s="62" t="e">
        <f t="shared" si="223"/>
        <v>#DIV/0!</v>
      </c>
      <c r="T252" s="62" t="e">
        <f t="shared" si="223"/>
        <v>#DIV/0!</v>
      </c>
      <c r="U252" s="62" t="e">
        <f t="shared" si="223"/>
        <v>#DIV/0!</v>
      </c>
      <c r="V252" s="62" t="e">
        <f t="shared" si="223"/>
        <v>#DIV/0!</v>
      </c>
      <c r="W252" s="259"/>
      <c r="X252" s="259"/>
    </row>
    <row r="253" spans="1:24">
      <c r="A253" s="55" t="str">
        <f>Home!$B$1</f>
        <v>Poland</v>
      </c>
      <c r="B253" s="56" t="s">
        <v>94</v>
      </c>
      <c r="C253" s="56" t="s">
        <v>130</v>
      </c>
      <c r="D253" s="56" t="s">
        <v>65</v>
      </c>
      <c r="E253" s="55" t="s">
        <v>205</v>
      </c>
      <c r="F253" s="57" t="s">
        <v>206</v>
      </c>
      <c r="G253" s="57" t="s">
        <v>15</v>
      </c>
      <c r="H253" s="57" t="s">
        <v>16</v>
      </c>
      <c r="I253" s="57"/>
      <c r="J253" s="57" t="s">
        <v>99</v>
      </c>
      <c r="K253" s="58"/>
      <c r="L253" s="80"/>
      <c r="M253" s="80"/>
      <c r="N253" s="80"/>
      <c r="O253" s="80"/>
      <c r="P253" s="80"/>
      <c r="Q253" s="80"/>
      <c r="R253" s="110">
        <f>Forecasting!R249</f>
        <v>0</v>
      </c>
      <c r="S253" s="110">
        <f>Forecasting!S249</f>
        <v>0</v>
      </c>
      <c r="T253" s="110">
        <f>Forecasting!T249</f>
        <v>0</v>
      </c>
      <c r="U253" s="110">
        <f>Forecasting!U249</f>
        <v>0</v>
      </c>
      <c r="V253" s="110">
        <f>Forecasting!V249</f>
        <v>0</v>
      </c>
      <c r="W253" s="106" t="e">
        <f>+(Q253/M253)^(1/4)-1</f>
        <v>#DIV/0!</v>
      </c>
      <c r="X253" s="106" t="e">
        <f>+(V253/Q253)^(1/5)-1</f>
        <v>#DIV/0!</v>
      </c>
    </row>
    <row r="254" spans="1:24">
      <c r="A254" s="57"/>
      <c r="B254" s="57"/>
      <c r="C254" s="61" t="s">
        <v>892</v>
      </c>
      <c r="D254" s="61"/>
      <c r="E254" s="61"/>
      <c r="F254" s="61"/>
      <c r="G254" s="61"/>
      <c r="H254" s="61"/>
      <c r="I254" s="61"/>
      <c r="J254" s="61" t="s">
        <v>58</v>
      </c>
      <c r="K254" s="58"/>
      <c r="L254" s="59"/>
      <c r="M254" s="62" t="e">
        <v>#DIV/0!</v>
      </c>
      <c r="N254" s="62" t="e">
        <f t="shared" ref="N254:V254" si="224">N253/M253-1</f>
        <v>#DIV/0!</v>
      </c>
      <c r="O254" s="62" t="e">
        <f t="shared" si="224"/>
        <v>#DIV/0!</v>
      </c>
      <c r="P254" s="62" t="e">
        <f t="shared" si="224"/>
        <v>#DIV/0!</v>
      </c>
      <c r="Q254" s="62" t="e">
        <f t="shared" si="224"/>
        <v>#DIV/0!</v>
      </c>
      <c r="R254" s="62" t="e">
        <f t="shared" si="224"/>
        <v>#DIV/0!</v>
      </c>
      <c r="S254" s="62" t="e">
        <f t="shared" si="224"/>
        <v>#DIV/0!</v>
      </c>
      <c r="T254" s="62" t="e">
        <f t="shared" si="224"/>
        <v>#DIV/0!</v>
      </c>
      <c r="U254" s="62" t="e">
        <f t="shared" si="224"/>
        <v>#DIV/0!</v>
      </c>
      <c r="V254" s="62" t="e">
        <f t="shared" si="224"/>
        <v>#DIV/0!</v>
      </c>
      <c r="W254" s="259"/>
      <c r="X254" s="259"/>
    </row>
    <row r="255" spans="1:24">
      <c r="A255" s="55" t="str">
        <f>Home!$B$1</f>
        <v>Poland</v>
      </c>
      <c r="B255" s="56" t="s">
        <v>94</v>
      </c>
      <c r="C255" s="56" t="s">
        <v>130</v>
      </c>
      <c r="D255" s="56" t="s">
        <v>65</v>
      </c>
      <c r="E255" s="55" t="s">
        <v>207</v>
      </c>
      <c r="F255" s="57" t="s">
        <v>208</v>
      </c>
      <c r="G255" s="57" t="s">
        <v>15</v>
      </c>
      <c r="H255" s="57" t="s">
        <v>16</v>
      </c>
      <c r="I255" s="57"/>
      <c r="J255" s="57" t="s">
        <v>99</v>
      </c>
      <c r="K255" s="58"/>
      <c r="L255" s="80"/>
      <c r="M255" s="80"/>
      <c r="N255" s="80"/>
      <c r="O255" s="80"/>
      <c r="P255" s="80"/>
      <c r="Q255" s="80"/>
      <c r="R255" s="110">
        <f>Forecasting!R251</f>
        <v>0</v>
      </c>
      <c r="S255" s="110">
        <f>Forecasting!S251</f>
        <v>0</v>
      </c>
      <c r="T255" s="110">
        <f>Forecasting!T251</f>
        <v>0</v>
      </c>
      <c r="U255" s="110">
        <f>Forecasting!U251</f>
        <v>0</v>
      </c>
      <c r="V255" s="110">
        <f>Forecasting!V251</f>
        <v>0</v>
      </c>
      <c r="W255" s="106" t="e">
        <f>+(Q255/M255)^(1/4)-1</f>
        <v>#DIV/0!</v>
      </c>
      <c r="X255" s="106" t="e">
        <f>+(V255/Q255)^(1/5)-1</f>
        <v>#DIV/0!</v>
      </c>
    </row>
    <row r="256" spans="1:24">
      <c r="A256" s="57"/>
      <c r="B256" s="57"/>
      <c r="C256" s="61" t="s">
        <v>892</v>
      </c>
      <c r="D256" s="61"/>
      <c r="E256" s="61"/>
      <c r="F256" s="61"/>
      <c r="G256" s="61"/>
      <c r="H256" s="61"/>
      <c r="I256" s="61"/>
      <c r="J256" s="61" t="s">
        <v>58</v>
      </c>
      <c r="K256" s="58"/>
      <c r="L256" s="59"/>
      <c r="M256" s="62" t="e">
        <v>#DIV/0!</v>
      </c>
      <c r="N256" s="62" t="e">
        <f t="shared" ref="N256:V256" si="225">N255/M255-1</f>
        <v>#DIV/0!</v>
      </c>
      <c r="O256" s="62" t="e">
        <f t="shared" si="225"/>
        <v>#DIV/0!</v>
      </c>
      <c r="P256" s="62" t="e">
        <f t="shared" si="225"/>
        <v>#DIV/0!</v>
      </c>
      <c r="Q256" s="62" t="e">
        <f t="shared" si="225"/>
        <v>#DIV/0!</v>
      </c>
      <c r="R256" s="62" t="e">
        <f t="shared" si="225"/>
        <v>#DIV/0!</v>
      </c>
      <c r="S256" s="62" t="e">
        <f t="shared" si="225"/>
        <v>#DIV/0!</v>
      </c>
      <c r="T256" s="62" t="e">
        <f t="shared" si="225"/>
        <v>#DIV/0!</v>
      </c>
      <c r="U256" s="62" t="e">
        <f t="shared" si="225"/>
        <v>#DIV/0!</v>
      </c>
      <c r="V256" s="62" t="e">
        <f t="shared" si="225"/>
        <v>#DIV/0!</v>
      </c>
      <c r="W256" s="259"/>
      <c r="X256" s="259"/>
    </row>
    <row r="257" spans="1:28">
      <c r="A257" s="55" t="str">
        <f>Home!$B$1</f>
        <v>Poland</v>
      </c>
      <c r="B257" s="56" t="s">
        <v>94</v>
      </c>
      <c r="C257" s="56" t="s">
        <v>130</v>
      </c>
      <c r="D257" s="56" t="s">
        <v>65</v>
      </c>
      <c r="E257" s="55" t="s">
        <v>209</v>
      </c>
      <c r="F257" s="57" t="s">
        <v>210</v>
      </c>
      <c r="G257" s="57" t="s">
        <v>15</v>
      </c>
      <c r="H257" s="57" t="s">
        <v>16</v>
      </c>
      <c r="I257" s="57"/>
      <c r="J257" s="57" t="s">
        <v>99</v>
      </c>
      <c r="K257" s="58"/>
      <c r="L257" s="80"/>
      <c r="M257" s="80"/>
      <c r="N257" s="80"/>
      <c r="O257" s="80"/>
      <c r="P257" s="80"/>
      <c r="Q257" s="80"/>
      <c r="R257" s="110">
        <f>Forecasting!R253</f>
        <v>0</v>
      </c>
      <c r="S257" s="110">
        <f>Forecasting!S253</f>
        <v>0</v>
      </c>
      <c r="T257" s="110">
        <f>Forecasting!T253</f>
        <v>0</v>
      </c>
      <c r="U257" s="110">
        <f>Forecasting!U253</f>
        <v>0</v>
      </c>
      <c r="V257" s="110">
        <f>Forecasting!V253</f>
        <v>0</v>
      </c>
      <c r="W257" s="106" t="e">
        <f>+(Q257/M257)^(1/4)-1</f>
        <v>#DIV/0!</v>
      </c>
      <c r="X257" s="106" t="e">
        <f>+(V257/Q257)^(1/5)-1</f>
        <v>#DIV/0!</v>
      </c>
    </row>
    <row r="258" spans="1:28">
      <c r="A258" s="57"/>
      <c r="B258" s="57"/>
      <c r="C258" s="61" t="s">
        <v>892</v>
      </c>
      <c r="D258" s="61"/>
      <c r="E258" s="61"/>
      <c r="F258" s="61"/>
      <c r="G258" s="61"/>
      <c r="H258" s="61"/>
      <c r="I258" s="61"/>
      <c r="J258" s="61" t="s">
        <v>58</v>
      </c>
      <c r="K258" s="58"/>
      <c r="L258" s="59"/>
      <c r="M258" s="62" t="e">
        <v>#DIV/0!</v>
      </c>
      <c r="N258" s="62" t="e">
        <f t="shared" ref="N258:V258" si="226">N257/M257-1</f>
        <v>#DIV/0!</v>
      </c>
      <c r="O258" s="62" t="e">
        <f t="shared" si="226"/>
        <v>#DIV/0!</v>
      </c>
      <c r="P258" s="62" t="e">
        <f t="shared" si="226"/>
        <v>#DIV/0!</v>
      </c>
      <c r="Q258" s="62" t="e">
        <f t="shared" si="226"/>
        <v>#DIV/0!</v>
      </c>
      <c r="R258" s="62" t="e">
        <f t="shared" si="226"/>
        <v>#DIV/0!</v>
      </c>
      <c r="S258" s="62" t="e">
        <f t="shared" si="226"/>
        <v>#DIV/0!</v>
      </c>
      <c r="T258" s="62" t="e">
        <f t="shared" si="226"/>
        <v>#DIV/0!</v>
      </c>
      <c r="U258" s="62" t="e">
        <f t="shared" si="226"/>
        <v>#DIV/0!</v>
      </c>
      <c r="V258" s="62" t="e">
        <f t="shared" si="226"/>
        <v>#DIV/0!</v>
      </c>
      <c r="W258" s="259"/>
      <c r="X258" s="259"/>
    </row>
    <row r="259" spans="1:28">
      <c r="A259" s="55" t="str">
        <f>Home!$B$1</f>
        <v>Poland</v>
      </c>
      <c r="B259" s="56" t="s">
        <v>94</v>
      </c>
      <c r="C259" s="56" t="s">
        <v>130</v>
      </c>
      <c r="D259" s="56" t="s">
        <v>65</v>
      </c>
      <c r="E259" s="55" t="s">
        <v>211</v>
      </c>
      <c r="F259" s="57" t="s">
        <v>212</v>
      </c>
      <c r="G259" s="57" t="s">
        <v>15</v>
      </c>
      <c r="H259" s="57" t="s">
        <v>16</v>
      </c>
      <c r="I259" s="57"/>
      <c r="J259" s="57" t="s">
        <v>99</v>
      </c>
      <c r="K259" s="58"/>
      <c r="L259" s="80"/>
      <c r="M259" s="80"/>
      <c r="N259" s="80"/>
      <c r="O259" s="80"/>
      <c r="P259" s="80"/>
      <c r="Q259" s="80"/>
      <c r="R259" s="110">
        <f>Forecasting!R255</f>
        <v>0</v>
      </c>
      <c r="S259" s="110">
        <f>Forecasting!S255</f>
        <v>0</v>
      </c>
      <c r="T259" s="110">
        <f>Forecasting!T255</f>
        <v>0</v>
      </c>
      <c r="U259" s="110">
        <f>Forecasting!U255</f>
        <v>0</v>
      </c>
      <c r="V259" s="110">
        <f>Forecasting!V255</f>
        <v>0</v>
      </c>
      <c r="W259" s="106" t="e">
        <f>+(Q259/M259)^(1/4)-1</f>
        <v>#DIV/0!</v>
      </c>
      <c r="X259" s="106" t="e">
        <f>+(V259/Q259)^(1/5)-1</f>
        <v>#DIV/0!</v>
      </c>
    </row>
    <row r="260" spans="1:28">
      <c r="A260" s="57"/>
      <c r="B260" s="57"/>
      <c r="C260" s="61" t="s">
        <v>892</v>
      </c>
      <c r="D260" s="61"/>
      <c r="E260" s="61"/>
      <c r="F260" s="61"/>
      <c r="G260" s="61"/>
      <c r="H260" s="61"/>
      <c r="I260" s="61"/>
      <c r="J260" s="61" t="s">
        <v>58</v>
      </c>
      <c r="K260" s="58"/>
      <c r="L260" s="59"/>
      <c r="M260" s="62" t="e">
        <v>#DIV/0!</v>
      </c>
      <c r="N260" s="62" t="e">
        <f t="shared" ref="N260:V260" si="227">N259/M259-1</f>
        <v>#DIV/0!</v>
      </c>
      <c r="O260" s="62" t="e">
        <f t="shared" si="227"/>
        <v>#DIV/0!</v>
      </c>
      <c r="P260" s="62" t="e">
        <f t="shared" si="227"/>
        <v>#DIV/0!</v>
      </c>
      <c r="Q260" s="62" t="e">
        <f t="shared" si="227"/>
        <v>#DIV/0!</v>
      </c>
      <c r="R260" s="62" t="e">
        <f t="shared" si="227"/>
        <v>#DIV/0!</v>
      </c>
      <c r="S260" s="62" t="e">
        <f t="shared" si="227"/>
        <v>#DIV/0!</v>
      </c>
      <c r="T260" s="62" t="e">
        <f t="shared" si="227"/>
        <v>#DIV/0!</v>
      </c>
      <c r="U260" s="62" t="e">
        <f t="shared" si="227"/>
        <v>#DIV/0!</v>
      </c>
      <c r="V260" s="62" t="e">
        <f t="shared" si="227"/>
        <v>#DIV/0!</v>
      </c>
      <c r="W260" s="259"/>
      <c r="X260" s="259"/>
    </row>
    <row r="261" spans="1:28">
      <c r="A261" s="55" t="str">
        <f>Home!$B$1</f>
        <v>Poland</v>
      </c>
      <c r="B261" s="56" t="s">
        <v>94</v>
      </c>
      <c r="C261" s="56" t="s">
        <v>130</v>
      </c>
      <c r="D261" s="56" t="s">
        <v>65</v>
      </c>
      <c r="E261" s="55" t="s">
        <v>213</v>
      </c>
      <c r="F261" s="57" t="s">
        <v>214</v>
      </c>
      <c r="G261" s="57" t="s">
        <v>15</v>
      </c>
      <c r="H261" s="57" t="s">
        <v>16</v>
      </c>
      <c r="I261" s="57"/>
      <c r="J261" s="57" t="s">
        <v>99</v>
      </c>
      <c r="K261" s="58"/>
      <c r="L261" s="80"/>
      <c r="M261" s="80"/>
      <c r="N261" s="80"/>
      <c r="O261" s="80"/>
      <c r="P261" s="80"/>
      <c r="Q261" s="80"/>
      <c r="R261" s="110">
        <f>Forecasting!R257</f>
        <v>0</v>
      </c>
      <c r="S261" s="110">
        <f>Forecasting!S257</f>
        <v>0</v>
      </c>
      <c r="T261" s="110">
        <f>Forecasting!T257</f>
        <v>0</v>
      </c>
      <c r="U261" s="110">
        <f>Forecasting!U257</f>
        <v>0</v>
      </c>
      <c r="V261" s="110">
        <f>Forecasting!V257</f>
        <v>0</v>
      </c>
      <c r="W261" s="106" t="e">
        <f>+(Q261/M261)^(1/4)-1</f>
        <v>#DIV/0!</v>
      </c>
      <c r="X261" s="106" t="e">
        <f>+(V261/Q261)^(1/5)-1</f>
        <v>#DIV/0!</v>
      </c>
    </row>
    <row r="262" spans="1:28">
      <c r="A262" s="57"/>
      <c r="B262" s="57"/>
      <c r="C262" s="61" t="s">
        <v>892</v>
      </c>
      <c r="D262" s="61"/>
      <c r="E262" s="61"/>
      <c r="F262" s="61"/>
      <c r="G262" s="61"/>
      <c r="H262" s="61"/>
      <c r="I262" s="61"/>
      <c r="J262" s="61" t="s">
        <v>58</v>
      </c>
      <c r="K262" s="58"/>
      <c r="L262" s="59"/>
      <c r="M262" s="62" t="e">
        <v>#DIV/0!</v>
      </c>
      <c r="N262" s="62" t="e">
        <f t="shared" ref="N262:V262" si="228">N261/M261-1</f>
        <v>#DIV/0!</v>
      </c>
      <c r="O262" s="62" t="e">
        <f t="shared" si="228"/>
        <v>#DIV/0!</v>
      </c>
      <c r="P262" s="62" t="e">
        <f t="shared" si="228"/>
        <v>#DIV/0!</v>
      </c>
      <c r="Q262" s="62" t="e">
        <f t="shared" si="228"/>
        <v>#DIV/0!</v>
      </c>
      <c r="R262" s="62" t="e">
        <f t="shared" si="228"/>
        <v>#DIV/0!</v>
      </c>
      <c r="S262" s="62" t="e">
        <f t="shared" si="228"/>
        <v>#DIV/0!</v>
      </c>
      <c r="T262" s="62" t="e">
        <f t="shared" si="228"/>
        <v>#DIV/0!</v>
      </c>
      <c r="U262" s="62" t="e">
        <f t="shared" si="228"/>
        <v>#DIV/0!</v>
      </c>
      <c r="V262" s="62" t="e">
        <f t="shared" si="228"/>
        <v>#DIV/0!</v>
      </c>
      <c r="W262" s="259"/>
      <c r="X262" s="259"/>
    </row>
    <row r="263" spans="1:28">
      <c r="A263" s="55" t="str">
        <f>Home!$B$1</f>
        <v>Poland</v>
      </c>
      <c r="B263" s="56" t="s">
        <v>94</v>
      </c>
      <c r="C263" s="56" t="s">
        <v>130</v>
      </c>
      <c r="D263" s="56" t="s">
        <v>65</v>
      </c>
      <c r="E263" s="55" t="s">
        <v>215</v>
      </c>
      <c r="F263" s="57" t="s">
        <v>216</v>
      </c>
      <c r="G263" s="57" t="s">
        <v>15</v>
      </c>
      <c r="H263" s="57" t="s">
        <v>16</v>
      </c>
      <c r="I263" s="57"/>
      <c r="J263" s="57" t="s">
        <v>99</v>
      </c>
      <c r="K263" s="58"/>
      <c r="L263" s="80"/>
      <c r="M263" s="80"/>
      <c r="N263" s="80"/>
      <c r="O263" s="80"/>
      <c r="P263" s="80"/>
      <c r="Q263" s="80"/>
      <c r="R263" s="110">
        <f>Forecasting!R259</f>
        <v>0</v>
      </c>
      <c r="S263" s="110">
        <f>Forecasting!S259</f>
        <v>0</v>
      </c>
      <c r="T263" s="110">
        <f>Forecasting!T259</f>
        <v>0</v>
      </c>
      <c r="U263" s="110">
        <f>Forecasting!U259</f>
        <v>0</v>
      </c>
      <c r="V263" s="110">
        <f>Forecasting!V259</f>
        <v>0</v>
      </c>
      <c r="W263" s="106" t="e">
        <f>+(Q263/M263)^(1/4)-1</f>
        <v>#DIV/0!</v>
      </c>
      <c r="X263" s="106" t="e">
        <f>+(V263/Q263)^(1/5)-1</f>
        <v>#DIV/0!</v>
      </c>
    </row>
    <row r="264" spans="1:28">
      <c r="A264" s="57"/>
      <c r="B264" s="57"/>
      <c r="C264" s="61" t="s">
        <v>892</v>
      </c>
      <c r="D264" s="61"/>
      <c r="E264" s="61"/>
      <c r="F264" s="61"/>
      <c r="G264" s="61"/>
      <c r="H264" s="61"/>
      <c r="I264" s="61"/>
      <c r="J264" s="61" t="s">
        <v>58</v>
      </c>
      <c r="K264" s="58"/>
      <c r="L264" s="59"/>
      <c r="M264" s="62" t="e">
        <v>#DIV/0!</v>
      </c>
      <c r="N264" s="62" t="e">
        <f t="shared" ref="N264:V264" si="229">N263/M263-1</f>
        <v>#DIV/0!</v>
      </c>
      <c r="O264" s="62" t="e">
        <f t="shared" si="229"/>
        <v>#DIV/0!</v>
      </c>
      <c r="P264" s="62" t="e">
        <f t="shared" si="229"/>
        <v>#DIV/0!</v>
      </c>
      <c r="Q264" s="62" t="e">
        <f t="shared" si="229"/>
        <v>#DIV/0!</v>
      </c>
      <c r="R264" s="62" t="e">
        <f t="shared" si="229"/>
        <v>#DIV/0!</v>
      </c>
      <c r="S264" s="62" t="e">
        <f t="shared" si="229"/>
        <v>#DIV/0!</v>
      </c>
      <c r="T264" s="62" t="e">
        <f t="shared" si="229"/>
        <v>#DIV/0!</v>
      </c>
      <c r="U264" s="62" t="e">
        <f t="shared" si="229"/>
        <v>#DIV/0!</v>
      </c>
      <c r="V264" s="62" t="e">
        <f t="shared" si="229"/>
        <v>#DIV/0!</v>
      </c>
      <c r="W264" s="259"/>
      <c r="X264" s="259"/>
    </row>
    <row r="265" spans="1:28">
      <c r="A265" s="55" t="str">
        <f>Home!$B$1</f>
        <v>Poland</v>
      </c>
      <c r="B265" s="56" t="s">
        <v>94</v>
      </c>
      <c r="C265" s="56" t="s">
        <v>130</v>
      </c>
      <c r="D265" s="56" t="s">
        <v>65</v>
      </c>
      <c r="E265" s="55" t="s">
        <v>217</v>
      </c>
      <c r="F265" s="57" t="s">
        <v>218</v>
      </c>
      <c r="G265" s="57" t="s">
        <v>15</v>
      </c>
      <c r="H265" s="57" t="s">
        <v>16</v>
      </c>
      <c r="I265" s="57"/>
      <c r="J265" s="57" t="s">
        <v>99</v>
      </c>
      <c r="K265" s="58"/>
      <c r="L265" s="80"/>
      <c r="M265" s="80"/>
      <c r="N265" s="80"/>
      <c r="O265" s="80"/>
      <c r="P265" s="80"/>
      <c r="Q265" s="80"/>
      <c r="R265" s="110">
        <f>Forecasting!R261</f>
        <v>0</v>
      </c>
      <c r="S265" s="110">
        <f>Forecasting!S261</f>
        <v>0</v>
      </c>
      <c r="T265" s="110">
        <f>Forecasting!T261</f>
        <v>0</v>
      </c>
      <c r="U265" s="110">
        <f>Forecasting!U261</f>
        <v>0</v>
      </c>
      <c r="V265" s="110">
        <f>Forecasting!V261</f>
        <v>0</v>
      </c>
      <c r="W265" s="106" t="e">
        <f>+(Q265/M265)^(1/4)-1</f>
        <v>#DIV/0!</v>
      </c>
      <c r="X265" s="106" t="e">
        <f>+(V265/Q265)^(1/5)-1</f>
        <v>#DIV/0!</v>
      </c>
    </row>
    <row r="266" spans="1:28">
      <c r="A266" s="57"/>
      <c r="B266" s="57"/>
      <c r="C266" s="61" t="s">
        <v>892</v>
      </c>
      <c r="D266" s="61"/>
      <c r="E266" s="61"/>
      <c r="F266" s="61"/>
      <c r="G266" s="61"/>
      <c r="H266" s="61"/>
      <c r="I266" s="61"/>
      <c r="J266" s="61" t="s">
        <v>58</v>
      </c>
      <c r="K266" s="58"/>
      <c r="L266" s="59"/>
      <c r="M266" s="62" t="e">
        <v>#DIV/0!</v>
      </c>
      <c r="N266" s="62" t="e">
        <f t="shared" ref="N266:V266" si="230">N265/M265-1</f>
        <v>#DIV/0!</v>
      </c>
      <c r="O266" s="62" t="e">
        <f t="shared" si="230"/>
        <v>#DIV/0!</v>
      </c>
      <c r="P266" s="62" t="e">
        <f t="shared" si="230"/>
        <v>#DIV/0!</v>
      </c>
      <c r="Q266" s="62" t="e">
        <f t="shared" si="230"/>
        <v>#DIV/0!</v>
      </c>
      <c r="R266" s="62" t="e">
        <f t="shared" si="230"/>
        <v>#DIV/0!</v>
      </c>
      <c r="S266" s="62" t="e">
        <f t="shared" si="230"/>
        <v>#DIV/0!</v>
      </c>
      <c r="T266" s="62" t="e">
        <f t="shared" si="230"/>
        <v>#DIV/0!</v>
      </c>
      <c r="U266" s="62" t="e">
        <f t="shared" si="230"/>
        <v>#DIV/0!</v>
      </c>
      <c r="V266" s="62" t="e">
        <f t="shared" si="230"/>
        <v>#DIV/0!</v>
      </c>
      <c r="W266" s="259"/>
      <c r="X266" s="259"/>
    </row>
    <row r="267" spans="1:28">
      <c r="A267" s="55" t="str">
        <f>Home!$B$1</f>
        <v>Poland</v>
      </c>
      <c r="B267" s="56" t="s">
        <v>94</v>
      </c>
      <c r="C267" s="56" t="s">
        <v>130</v>
      </c>
      <c r="D267" s="56" t="s">
        <v>65</v>
      </c>
      <c r="E267" s="55" t="s">
        <v>219</v>
      </c>
      <c r="F267" s="57" t="s">
        <v>220</v>
      </c>
      <c r="G267" s="57" t="s">
        <v>15</v>
      </c>
      <c r="H267" s="57" t="s">
        <v>16</v>
      </c>
      <c r="I267" s="57"/>
      <c r="J267" s="57" t="s">
        <v>99</v>
      </c>
      <c r="K267" s="58">
        <v>89.016999999999996</v>
      </c>
      <c r="L267" s="80"/>
      <c r="M267" s="80"/>
      <c r="N267" s="80"/>
      <c r="O267" s="80"/>
      <c r="P267" s="80"/>
      <c r="Q267" s="80"/>
      <c r="R267" s="110">
        <f>Forecasting!R263</f>
        <v>0</v>
      </c>
      <c r="S267" s="110">
        <f>Forecasting!S263</f>
        <v>0</v>
      </c>
      <c r="T267" s="110">
        <f>Forecasting!T263</f>
        <v>0</v>
      </c>
      <c r="U267" s="110">
        <f>Forecasting!U263</f>
        <v>0</v>
      </c>
      <c r="V267" s="110">
        <f>Forecasting!V263</f>
        <v>0</v>
      </c>
      <c r="W267" s="106" t="e">
        <f>+(Q267/M267)^(1/4)-1</f>
        <v>#DIV/0!</v>
      </c>
      <c r="X267" s="106" t="e">
        <f>+(V267/Q267)^(1/5)-1</f>
        <v>#DIV/0!</v>
      </c>
      <c r="Z267" s="12"/>
    </row>
    <row r="268" spans="1:28">
      <c r="A268" s="57"/>
      <c r="B268" s="57"/>
      <c r="C268" s="61" t="s">
        <v>892</v>
      </c>
      <c r="D268" s="61"/>
      <c r="E268" s="61"/>
      <c r="F268" s="61"/>
      <c r="G268" s="61"/>
      <c r="H268" s="61"/>
      <c r="I268" s="61"/>
      <c r="J268" s="61" t="s">
        <v>58</v>
      </c>
      <c r="K268" s="58"/>
      <c r="L268" s="59"/>
      <c r="M268" s="62" t="e">
        <v>#DIV/0!</v>
      </c>
      <c r="N268" s="62" t="e">
        <f t="shared" ref="N268:V268" si="231">N267/M267-1</f>
        <v>#DIV/0!</v>
      </c>
      <c r="O268" s="62" t="e">
        <f t="shared" si="231"/>
        <v>#DIV/0!</v>
      </c>
      <c r="P268" s="62" t="e">
        <f t="shared" si="231"/>
        <v>#DIV/0!</v>
      </c>
      <c r="Q268" s="62" t="e">
        <f t="shared" si="231"/>
        <v>#DIV/0!</v>
      </c>
      <c r="R268" s="62" t="e">
        <f t="shared" si="231"/>
        <v>#DIV/0!</v>
      </c>
      <c r="S268" s="62" t="e">
        <f t="shared" si="231"/>
        <v>#DIV/0!</v>
      </c>
      <c r="T268" s="62" t="e">
        <f t="shared" si="231"/>
        <v>#DIV/0!</v>
      </c>
      <c r="U268" s="62" t="e">
        <f t="shared" si="231"/>
        <v>#DIV/0!</v>
      </c>
      <c r="V268" s="62" t="e">
        <f t="shared" si="231"/>
        <v>#DIV/0!</v>
      </c>
      <c r="W268" s="259"/>
      <c r="X268" s="259"/>
    </row>
    <row r="269" spans="1:28" s="43" customFormat="1">
      <c r="A269" s="55" t="str">
        <f>Home!$B$1</f>
        <v>Poland</v>
      </c>
      <c r="B269" s="56" t="s">
        <v>94</v>
      </c>
      <c r="C269" s="56" t="s">
        <v>130</v>
      </c>
      <c r="D269" s="56" t="s">
        <v>65</v>
      </c>
      <c r="E269" s="55" t="s">
        <v>222</v>
      </c>
      <c r="F269" s="57" t="s">
        <v>223</v>
      </c>
      <c r="G269" s="57" t="s">
        <v>15</v>
      </c>
      <c r="H269" s="57" t="s">
        <v>16</v>
      </c>
      <c r="I269" s="57"/>
      <c r="J269" s="57" t="s">
        <v>99</v>
      </c>
      <c r="K269" s="58"/>
      <c r="L269" s="80"/>
      <c r="M269" s="80"/>
      <c r="N269" s="80"/>
      <c r="O269" s="80"/>
      <c r="P269" s="80"/>
      <c r="Q269" s="80"/>
      <c r="R269" s="110">
        <f>Forecasting!R265</f>
        <v>0</v>
      </c>
      <c r="S269" s="110">
        <f>Forecasting!S265</f>
        <v>0</v>
      </c>
      <c r="T269" s="110">
        <f>Forecasting!T265</f>
        <v>0</v>
      </c>
      <c r="U269" s="110">
        <f>Forecasting!U265</f>
        <v>0</v>
      </c>
      <c r="V269" s="110">
        <f>Forecasting!V265</f>
        <v>0</v>
      </c>
      <c r="W269" s="106" t="e">
        <f>+(Q269/M269)^(1/4)-1</f>
        <v>#DIV/0!</v>
      </c>
      <c r="X269" s="106" t="e">
        <f>+(V269/Q269)^(1/5)-1</f>
        <v>#DIV/0!</v>
      </c>
      <c r="Y269" s="7"/>
      <c r="Z269" s="7"/>
      <c r="AA269" s="7"/>
      <c r="AB269" s="42"/>
    </row>
    <row r="270" spans="1:28">
      <c r="A270" s="57"/>
      <c r="B270" s="57"/>
      <c r="C270" s="61" t="s">
        <v>892</v>
      </c>
      <c r="D270" s="61"/>
      <c r="E270" s="61"/>
      <c r="F270" s="61"/>
      <c r="G270" s="61"/>
      <c r="H270" s="61"/>
      <c r="I270" s="61"/>
      <c r="J270" s="61" t="s">
        <v>58</v>
      </c>
      <c r="K270" s="58"/>
      <c r="L270" s="59"/>
      <c r="M270" s="62" t="e">
        <v>#DIV/0!</v>
      </c>
      <c r="N270" s="62" t="e">
        <f t="shared" ref="N270:V270" si="232">N269/M269-1</f>
        <v>#DIV/0!</v>
      </c>
      <c r="O270" s="62" t="e">
        <f t="shared" si="232"/>
        <v>#DIV/0!</v>
      </c>
      <c r="P270" s="62" t="e">
        <f t="shared" si="232"/>
        <v>#DIV/0!</v>
      </c>
      <c r="Q270" s="62" t="e">
        <f t="shared" si="232"/>
        <v>#DIV/0!</v>
      </c>
      <c r="R270" s="62" t="e">
        <f t="shared" si="232"/>
        <v>#DIV/0!</v>
      </c>
      <c r="S270" s="62" t="e">
        <f t="shared" si="232"/>
        <v>#DIV/0!</v>
      </c>
      <c r="T270" s="62" t="e">
        <f t="shared" si="232"/>
        <v>#DIV/0!</v>
      </c>
      <c r="U270" s="62" t="e">
        <f t="shared" si="232"/>
        <v>#DIV/0!</v>
      </c>
      <c r="V270" s="62" t="e">
        <f t="shared" si="232"/>
        <v>#DIV/0!</v>
      </c>
      <c r="W270" s="259"/>
      <c r="X270" s="259"/>
    </row>
    <row r="271" spans="1:28">
      <c r="A271" s="55" t="str">
        <f>Home!$B$1</f>
        <v>Poland</v>
      </c>
      <c r="B271" s="56" t="s">
        <v>94</v>
      </c>
      <c r="C271" s="56" t="s">
        <v>130</v>
      </c>
      <c r="D271" s="56" t="s">
        <v>65</v>
      </c>
      <c r="E271" s="55" t="s">
        <v>224</v>
      </c>
      <c r="F271" s="57" t="s">
        <v>225</v>
      </c>
      <c r="G271" s="57" t="s">
        <v>15</v>
      </c>
      <c r="H271" s="57" t="s">
        <v>16</v>
      </c>
      <c r="I271" s="57"/>
      <c r="J271" s="57" t="s">
        <v>99</v>
      </c>
      <c r="K271" s="58"/>
      <c r="L271" s="80"/>
      <c r="M271" s="80"/>
      <c r="N271" s="80"/>
      <c r="O271" s="80"/>
      <c r="P271" s="80"/>
      <c r="Q271" s="80"/>
      <c r="R271" s="110">
        <f>Forecasting!R267</f>
        <v>0</v>
      </c>
      <c r="S271" s="110">
        <f>Forecasting!S267</f>
        <v>0</v>
      </c>
      <c r="T271" s="110">
        <f>Forecasting!T267</f>
        <v>0</v>
      </c>
      <c r="U271" s="110">
        <f>Forecasting!U267</f>
        <v>0</v>
      </c>
      <c r="V271" s="110">
        <f>Forecasting!V267</f>
        <v>0</v>
      </c>
      <c r="W271" s="106" t="e">
        <f>+(Q271/M271)^(1/4)-1</f>
        <v>#DIV/0!</v>
      </c>
      <c r="X271" s="106" t="e">
        <f>+(V271/Q271)^(1/5)-1</f>
        <v>#DIV/0!</v>
      </c>
    </row>
    <row r="272" spans="1:28">
      <c r="A272" s="57"/>
      <c r="B272" s="57"/>
      <c r="C272" s="61" t="s">
        <v>892</v>
      </c>
      <c r="D272" s="61"/>
      <c r="E272" s="61"/>
      <c r="F272" s="61"/>
      <c r="G272" s="61"/>
      <c r="H272" s="61"/>
      <c r="I272" s="61"/>
      <c r="J272" s="61" t="s">
        <v>58</v>
      </c>
      <c r="K272" s="58"/>
      <c r="L272" s="59"/>
      <c r="M272" s="62" t="e">
        <v>#DIV/0!</v>
      </c>
      <c r="N272" s="62" t="e">
        <f t="shared" ref="N272:V272" si="233">N271/M271-1</f>
        <v>#DIV/0!</v>
      </c>
      <c r="O272" s="62" t="e">
        <f t="shared" si="233"/>
        <v>#DIV/0!</v>
      </c>
      <c r="P272" s="62" t="e">
        <f t="shared" si="233"/>
        <v>#DIV/0!</v>
      </c>
      <c r="Q272" s="62" t="e">
        <f t="shared" si="233"/>
        <v>#DIV/0!</v>
      </c>
      <c r="R272" s="62" t="e">
        <f t="shared" si="233"/>
        <v>#DIV/0!</v>
      </c>
      <c r="S272" s="62" t="e">
        <f t="shared" si="233"/>
        <v>#DIV/0!</v>
      </c>
      <c r="T272" s="62" t="e">
        <f t="shared" si="233"/>
        <v>#DIV/0!</v>
      </c>
      <c r="U272" s="62" t="e">
        <f t="shared" si="233"/>
        <v>#DIV/0!</v>
      </c>
      <c r="V272" s="62" t="e">
        <f t="shared" si="233"/>
        <v>#DIV/0!</v>
      </c>
      <c r="W272" s="259"/>
      <c r="X272" s="259"/>
    </row>
    <row r="273" spans="1:24">
      <c r="A273" s="55" t="str">
        <f>Home!$B$1</f>
        <v>Poland</v>
      </c>
      <c r="B273" s="56" t="s">
        <v>94</v>
      </c>
      <c r="C273" s="56" t="s">
        <v>130</v>
      </c>
      <c r="D273" s="56" t="s">
        <v>65</v>
      </c>
      <c r="E273" s="55" t="s">
        <v>226</v>
      </c>
      <c r="F273" s="57" t="s">
        <v>227</v>
      </c>
      <c r="G273" s="57" t="s">
        <v>15</v>
      </c>
      <c r="H273" s="57" t="s">
        <v>16</v>
      </c>
      <c r="I273" s="57"/>
      <c r="J273" s="57" t="s">
        <v>99</v>
      </c>
      <c r="K273" s="58"/>
      <c r="L273" s="80"/>
      <c r="M273" s="80"/>
      <c r="N273" s="80"/>
      <c r="O273" s="80"/>
      <c r="P273" s="80"/>
      <c r="Q273" s="80"/>
      <c r="R273" s="110">
        <f>Forecasting!R269</f>
        <v>0</v>
      </c>
      <c r="S273" s="110">
        <f>Forecasting!S269</f>
        <v>0</v>
      </c>
      <c r="T273" s="110">
        <f>Forecasting!T269</f>
        <v>0</v>
      </c>
      <c r="U273" s="110">
        <f>Forecasting!U269</f>
        <v>0</v>
      </c>
      <c r="V273" s="110">
        <f>Forecasting!V269</f>
        <v>0</v>
      </c>
      <c r="W273" s="106" t="e">
        <f>+(Q273/M273)^(1/4)-1</f>
        <v>#DIV/0!</v>
      </c>
      <c r="X273" s="106" t="e">
        <f>+(V273/Q273)^(1/5)-1</f>
        <v>#DIV/0!</v>
      </c>
    </row>
    <row r="274" spans="1:24">
      <c r="A274" s="57"/>
      <c r="B274" s="57"/>
      <c r="C274" s="61" t="s">
        <v>892</v>
      </c>
      <c r="D274" s="61"/>
      <c r="E274" s="61"/>
      <c r="F274" s="61"/>
      <c r="G274" s="61"/>
      <c r="H274" s="61"/>
      <c r="I274" s="61"/>
      <c r="J274" s="61" t="s">
        <v>58</v>
      </c>
      <c r="K274" s="58"/>
      <c r="L274" s="59"/>
      <c r="M274" s="62" t="e">
        <v>#DIV/0!</v>
      </c>
      <c r="N274" s="62" t="e">
        <f t="shared" ref="N274:V274" si="234">N273/M273-1</f>
        <v>#DIV/0!</v>
      </c>
      <c r="O274" s="62" t="e">
        <f t="shared" si="234"/>
        <v>#DIV/0!</v>
      </c>
      <c r="P274" s="62" t="e">
        <f t="shared" si="234"/>
        <v>#DIV/0!</v>
      </c>
      <c r="Q274" s="62" t="e">
        <f t="shared" si="234"/>
        <v>#DIV/0!</v>
      </c>
      <c r="R274" s="62" t="e">
        <f t="shared" si="234"/>
        <v>#DIV/0!</v>
      </c>
      <c r="S274" s="62" t="e">
        <f t="shared" si="234"/>
        <v>#DIV/0!</v>
      </c>
      <c r="T274" s="62" t="e">
        <f t="shared" si="234"/>
        <v>#DIV/0!</v>
      </c>
      <c r="U274" s="62" t="e">
        <f t="shared" si="234"/>
        <v>#DIV/0!</v>
      </c>
      <c r="V274" s="62" t="e">
        <f t="shared" si="234"/>
        <v>#DIV/0!</v>
      </c>
      <c r="W274" s="259"/>
      <c r="X274" s="259"/>
    </row>
    <row r="275" spans="1:24">
      <c r="A275" s="55" t="str">
        <f>Home!$B$1</f>
        <v>Poland</v>
      </c>
      <c r="B275" s="56" t="s">
        <v>94</v>
      </c>
      <c r="C275" s="56" t="s">
        <v>130</v>
      </c>
      <c r="D275" s="56" t="s">
        <v>65</v>
      </c>
      <c r="E275" s="55" t="s">
        <v>228</v>
      </c>
      <c r="F275" s="57" t="s">
        <v>229</v>
      </c>
      <c r="G275" s="57" t="s">
        <v>15</v>
      </c>
      <c r="H275" s="57" t="s">
        <v>16</v>
      </c>
      <c r="I275" s="57"/>
      <c r="J275" s="57" t="s">
        <v>99</v>
      </c>
      <c r="K275" s="58"/>
      <c r="L275" s="80"/>
      <c r="M275" s="80"/>
      <c r="N275" s="80"/>
      <c r="O275" s="80"/>
      <c r="P275" s="80"/>
      <c r="Q275" s="80"/>
      <c r="R275" s="110">
        <f>Forecasting!R271</f>
        <v>0</v>
      </c>
      <c r="S275" s="110">
        <f>Forecasting!S271</f>
        <v>0</v>
      </c>
      <c r="T275" s="110">
        <f>Forecasting!T271</f>
        <v>0</v>
      </c>
      <c r="U275" s="110">
        <f>Forecasting!U271</f>
        <v>0</v>
      </c>
      <c r="V275" s="110">
        <f>Forecasting!V271</f>
        <v>0</v>
      </c>
      <c r="W275" s="106" t="e">
        <f>+(Q275/M275)^(1/4)-1</f>
        <v>#DIV/0!</v>
      </c>
      <c r="X275" s="106" t="e">
        <f>+(V275/Q275)^(1/5)-1</f>
        <v>#DIV/0!</v>
      </c>
    </row>
    <row r="276" spans="1:24">
      <c r="A276" s="57"/>
      <c r="B276" s="57"/>
      <c r="C276" s="61" t="s">
        <v>892</v>
      </c>
      <c r="D276" s="61"/>
      <c r="E276" s="61"/>
      <c r="F276" s="61"/>
      <c r="G276" s="61"/>
      <c r="H276" s="61"/>
      <c r="I276" s="61"/>
      <c r="J276" s="61" t="s">
        <v>58</v>
      </c>
      <c r="K276" s="58"/>
      <c r="L276" s="59"/>
      <c r="M276" s="62" t="e">
        <v>#DIV/0!</v>
      </c>
      <c r="N276" s="62" t="e">
        <f t="shared" ref="N276:V276" si="235">N275/M275-1</f>
        <v>#DIV/0!</v>
      </c>
      <c r="O276" s="62" t="e">
        <f t="shared" si="235"/>
        <v>#DIV/0!</v>
      </c>
      <c r="P276" s="62" t="e">
        <f t="shared" si="235"/>
        <v>#DIV/0!</v>
      </c>
      <c r="Q276" s="62" t="e">
        <f t="shared" si="235"/>
        <v>#DIV/0!</v>
      </c>
      <c r="R276" s="62" t="e">
        <f t="shared" si="235"/>
        <v>#DIV/0!</v>
      </c>
      <c r="S276" s="62" t="e">
        <f t="shared" si="235"/>
        <v>#DIV/0!</v>
      </c>
      <c r="T276" s="62" t="e">
        <f t="shared" si="235"/>
        <v>#DIV/0!</v>
      </c>
      <c r="U276" s="62" t="e">
        <f t="shared" si="235"/>
        <v>#DIV/0!</v>
      </c>
      <c r="V276" s="62" t="e">
        <f t="shared" si="235"/>
        <v>#DIV/0!</v>
      </c>
      <c r="W276" s="259"/>
      <c r="X276" s="259"/>
    </row>
    <row r="277" spans="1:24">
      <c r="A277" s="55" t="str">
        <f>Home!$B$1</f>
        <v>Poland</v>
      </c>
      <c r="B277" s="56" t="s">
        <v>94</v>
      </c>
      <c r="C277" s="56" t="s">
        <v>130</v>
      </c>
      <c r="D277" s="56" t="s">
        <v>65</v>
      </c>
      <c r="E277" s="55" t="s">
        <v>230</v>
      </c>
      <c r="F277" s="57" t="s">
        <v>231</v>
      </c>
      <c r="G277" s="57" t="s">
        <v>15</v>
      </c>
      <c r="H277" s="57" t="s">
        <v>16</v>
      </c>
      <c r="I277" s="57"/>
      <c r="J277" s="57" t="s">
        <v>99</v>
      </c>
      <c r="K277" s="58"/>
      <c r="L277" s="80"/>
      <c r="M277" s="80"/>
      <c r="N277" s="80"/>
      <c r="O277" s="80"/>
      <c r="P277" s="80"/>
      <c r="Q277" s="80"/>
      <c r="R277" s="110">
        <f>Forecasting!R273</f>
        <v>0</v>
      </c>
      <c r="S277" s="110">
        <f>Forecasting!S273</f>
        <v>0</v>
      </c>
      <c r="T277" s="110">
        <f>Forecasting!T273</f>
        <v>0</v>
      </c>
      <c r="U277" s="110">
        <f>Forecasting!U273</f>
        <v>0</v>
      </c>
      <c r="V277" s="110">
        <f>Forecasting!V273</f>
        <v>0</v>
      </c>
      <c r="W277" s="106" t="e">
        <f>+(Q277/M277)^(1/4)-1</f>
        <v>#DIV/0!</v>
      </c>
      <c r="X277" s="106" t="e">
        <f>+(V277/Q277)^(1/5)-1</f>
        <v>#DIV/0!</v>
      </c>
    </row>
    <row r="278" spans="1:24">
      <c r="A278" s="57"/>
      <c r="B278" s="57"/>
      <c r="C278" s="61" t="s">
        <v>892</v>
      </c>
      <c r="D278" s="61"/>
      <c r="E278" s="61"/>
      <c r="F278" s="61"/>
      <c r="G278" s="61"/>
      <c r="H278" s="61"/>
      <c r="I278" s="61"/>
      <c r="J278" s="61" t="s">
        <v>58</v>
      </c>
      <c r="K278" s="58"/>
      <c r="L278" s="59"/>
      <c r="M278" s="62" t="e">
        <v>#DIV/0!</v>
      </c>
      <c r="N278" s="62" t="e">
        <f t="shared" ref="N278:V278" si="236">N277/M277-1</f>
        <v>#DIV/0!</v>
      </c>
      <c r="O278" s="62" t="e">
        <f t="shared" si="236"/>
        <v>#DIV/0!</v>
      </c>
      <c r="P278" s="62" t="e">
        <f t="shared" si="236"/>
        <v>#DIV/0!</v>
      </c>
      <c r="Q278" s="62" t="e">
        <f t="shared" si="236"/>
        <v>#DIV/0!</v>
      </c>
      <c r="R278" s="62" t="e">
        <f t="shared" si="236"/>
        <v>#DIV/0!</v>
      </c>
      <c r="S278" s="62" t="e">
        <f t="shared" si="236"/>
        <v>#DIV/0!</v>
      </c>
      <c r="T278" s="62" t="e">
        <f t="shared" si="236"/>
        <v>#DIV/0!</v>
      </c>
      <c r="U278" s="62" t="e">
        <f t="shared" si="236"/>
        <v>#DIV/0!</v>
      </c>
      <c r="V278" s="62" t="e">
        <f t="shared" si="236"/>
        <v>#DIV/0!</v>
      </c>
      <c r="W278" s="259"/>
      <c r="X278" s="259"/>
    </row>
    <row r="279" spans="1:24">
      <c r="A279" s="55" t="str">
        <f>Home!$B$1</f>
        <v>Poland</v>
      </c>
      <c r="B279" s="56" t="s">
        <v>94</v>
      </c>
      <c r="C279" s="56" t="s">
        <v>130</v>
      </c>
      <c r="D279" s="56" t="s">
        <v>65</v>
      </c>
      <c r="E279" s="55" t="s">
        <v>232</v>
      </c>
      <c r="F279" s="57" t="s">
        <v>233</v>
      </c>
      <c r="G279" s="57" t="s">
        <v>15</v>
      </c>
      <c r="H279" s="57" t="s">
        <v>16</v>
      </c>
      <c r="I279" s="57"/>
      <c r="J279" s="57" t="s">
        <v>99</v>
      </c>
      <c r="K279" s="58"/>
      <c r="L279" s="80"/>
      <c r="M279" s="80"/>
      <c r="N279" s="80"/>
      <c r="O279" s="80"/>
      <c r="P279" s="80"/>
      <c r="Q279" s="80"/>
      <c r="R279" s="110">
        <f>Forecasting!R275</f>
        <v>0</v>
      </c>
      <c r="S279" s="110">
        <f>Forecasting!S275</f>
        <v>0</v>
      </c>
      <c r="T279" s="110">
        <f>Forecasting!T275</f>
        <v>0</v>
      </c>
      <c r="U279" s="110">
        <f>Forecasting!U275</f>
        <v>0</v>
      </c>
      <c r="V279" s="110">
        <f>Forecasting!V275</f>
        <v>0</v>
      </c>
      <c r="W279" s="106" t="e">
        <f>+(Q279/M279)^(1/4)-1</f>
        <v>#DIV/0!</v>
      </c>
      <c r="X279" s="106" t="e">
        <f>+(V279/Q279)^(1/5)-1</f>
        <v>#DIV/0!</v>
      </c>
    </row>
    <row r="280" spans="1:24">
      <c r="A280" s="57"/>
      <c r="B280" s="57"/>
      <c r="C280" s="61" t="s">
        <v>892</v>
      </c>
      <c r="D280" s="61"/>
      <c r="E280" s="61"/>
      <c r="F280" s="61"/>
      <c r="G280" s="61"/>
      <c r="H280" s="61"/>
      <c r="I280" s="61"/>
      <c r="J280" s="61" t="s">
        <v>58</v>
      </c>
      <c r="K280" s="58"/>
      <c r="L280" s="59"/>
      <c r="M280" s="62" t="e">
        <v>#DIV/0!</v>
      </c>
      <c r="N280" s="62" t="e">
        <f t="shared" ref="N280:V280" si="237">N279/M279-1</f>
        <v>#DIV/0!</v>
      </c>
      <c r="O280" s="62" t="e">
        <f t="shared" si="237"/>
        <v>#DIV/0!</v>
      </c>
      <c r="P280" s="62" t="e">
        <f t="shared" si="237"/>
        <v>#DIV/0!</v>
      </c>
      <c r="Q280" s="62" t="e">
        <f t="shared" si="237"/>
        <v>#DIV/0!</v>
      </c>
      <c r="R280" s="62" t="e">
        <f t="shared" si="237"/>
        <v>#DIV/0!</v>
      </c>
      <c r="S280" s="62" t="e">
        <f t="shared" si="237"/>
        <v>#DIV/0!</v>
      </c>
      <c r="T280" s="62" t="e">
        <f t="shared" si="237"/>
        <v>#DIV/0!</v>
      </c>
      <c r="U280" s="62" t="e">
        <f t="shared" si="237"/>
        <v>#DIV/0!</v>
      </c>
      <c r="V280" s="62" t="e">
        <f t="shared" si="237"/>
        <v>#DIV/0!</v>
      </c>
      <c r="W280" s="259"/>
      <c r="X280" s="259"/>
    </row>
    <row r="281" spans="1:24">
      <c r="A281" s="55" t="str">
        <f>Home!$B$1</f>
        <v>Poland</v>
      </c>
      <c r="B281" s="56" t="s">
        <v>94</v>
      </c>
      <c r="C281" s="56" t="s">
        <v>130</v>
      </c>
      <c r="D281" s="56" t="s">
        <v>65</v>
      </c>
      <c r="E281" s="55" t="s">
        <v>234</v>
      </c>
      <c r="F281" s="57" t="s">
        <v>235</v>
      </c>
      <c r="G281" s="57" t="s">
        <v>15</v>
      </c>
      <c r="H281" s="57" t="s">
        <v>16</v>
      </c>
      <c r="I281" s="57"/>
      <c r="J281" s="57" t="s">
        <v>99</v>
      </c>
      <c r="K281" s="58"/>
      <c r="L281" s="80"/>
      <c r="M281" s="80"/>
      <c r="N281" s="80"/>
      <c r="O281" s="80"/>
      <c r="P281" s="80"/>
      <c r="Q281" s="80"/>
      <c r="R281" s="110">
        <f>Forecasting!R277</f>
        <v>0</v>
      </c>
      <c r="S281" s="110">
        <f>Forecasting!S277</f>
        <v>0</v>
      </c>
      <c r="T281" s="110">
        <f>Forecasting!T277</f>
        <v>0</v>
      </c>
      <c r="U281" s="110">
        <f>Forecasting!U277</f>
        <v>0</v>
      </c>
      <c r="V281" s="110">
        <f>Forecasting!V277</f>
        <v>0</v>
      </c>
      <c r="W281" s="106" t="e">
        <f>+(Q281/M281)^(1/4)-1</f>
        <v>#DIV/0!</v>
      </c>
      <c r="X281" s="106" t="e">
        <f>+(V281/Q281)^(1/5)-1</f>
        <v>#DIV/0!</v>
      </c>
    </row>
    <row r="282" spans="1:24">
      <c r="A282" s="57"/>
      <c r="B282" s="57"/>
      <c r="C282" s="61" t="s">
        <v>892</v>
      </c>
      <c r="D282" s="61"/>
      <c r="E282" s="61"/>
      <c r="F282" s="61"/>
      <c r="G282" s="61"/>
      <c r="H282" s="61"/>
      <c r="I282" s="61"/>
      <c r="J282" s="61" t="s">
        <v>58</v>
      </c>
      <c r="K282" s="58"/>
      <c r="L282" s="59"/>
      <c r="M282" s="62" t="e">
        <v>#DIV/0!</v>
      </c>
      <c r="N282" s="62" t="e">
        <f t="shared" ref="N282:V282" si="238">N281/M281-1</f>
        <v>#DIV/0!</v>
      </c>
      <c r="O282" s="62" t="e">
        <f t="shared" si="238"/>
        <v>#DIV/0!</v>
      </c>
      <c r="P282" s="62" t="e">
        <f t="shared" si="238"/>
        <v>#DIV/0!</v>
      </c>
      <c r="Q282" s="62" t="e">
        <f t="shared" si="238"/>
        <v>#DIV/0!</v>
      </c>
      <c r="R282" s="62" t="e">
        <f t="shared" si="238"/>
        <v>#DIV/0!</v>
      </c>
      <c r="S282" s="62" t="e">
        <f t="shared" si="238"/>
        <v>#DIV/0!</v>
      </c>
      <c r="T282" s="62" t="e">
        <f t="shared" si="238"/>
        <v>#DIV/0!</v>
      </c>
      <c r="U282" s="62" t="e">
        <f t="shared" si="238"/>
        <v>#DIV/0!</v>
      </c>
      <c r="V282" s="62" t="e">
        <f t="shared" si="238"/>
        <v>#DIV/0!</v>
      </c>
      <c r="W282" s="259"/>
      <c r="X282" s="259"/>
    </row>
    <row r="283" spans="1:24">
      <c r="A283" s="55" t="str">
        <f>Home!$B$1</f>
        <v>Poland</v>
      </c>
      <c r="B283" s="56" t="s">
        <v>94</v>
      </c>
      <c r="C283" s="56" t="s">
        <v>130</v>
      </c>
      <c r="D283" s="56" t="s">
        <v>65</v>
      </c>
      <c r="E283" s="55" t="s">
        <v>236</v>
      </c>
      <c r="F283" s="57" t="s">
        <v>237</v>
      </c>
      <c r="G283" s="57" t="s">
        <v>15</v>
      </c>
      <c r="H283" s="57" t="s">
        <v>16</v>
      </c>
      <c r="I283" s="57"/>
      <c r="J283" s="57" t="s">
        <v>99</v>
      </c>
      <c r="K283" s="58"/>
      <c r="L283" s="80"/>
      <c r="M283" s="80"/>
      <c r="N283" s="80"/>
      <c r="O283" s="80"/>
      <c r="P283" s="80"/>
      <c r="Q283" s="80"/>
      <c r="R283" s="110">
        <f>Forecasting!R279</f>
        <v>0</v>
      </c>
      <c r="S283" s="110">
        <f>Forecasting!S279</f>
        <v>0</v>
      </c>
      <c r="T283" s="110">
        <f>Forecasting!T279</f>
        <v>0</v>
      </c>
      <c r="U283" s="110">
        <f>Forecasting!U279</f>
        <v>0</v>
      </c>
      <c r="V283" s="110">
        <f>Forecasting!V279</f>
        <v>0</v>
      </c>
      <c r="W283" s="106" t="e">
        <f>+(Q283/M283)^(1/4)-1</f>
        <v>#DIV/0!</v>
      </c>
      <c r="X283" s="106" t="e">
        <f>+(V283/Q283)^(1/5)-1</f>
        <v>#DIV/0!</v>
      </c>
    </row>
    <row r="284" spans="1:24">
      <c r="A284" s="57"/>
      <c r="B284" s="57"/>
      <c r="C284" s="61" t="s">
        <v>892</v>
      </c>
      <c r="D284" s="61"/>
      <c r="E284" s="61"/>
      <c r="F284" s="61"/>
      <c r="G284" s="61"/>
      <c r="H284" s="61"/>
      <c r="I284" s="61"/>
      <c r="J284" s="61" t="s">
        <v>58</v>
      </c>
      <c r="K284" s="58"/>
      <c r="L284" s="59"/>
      <c r="M284" s="62" t="e">
        <v>#DIV/0!</v>
      </c>
      <c r="N284" s="62" t="e">
        <f t="shared" ref="N284:V284" si="239">N283/M283-1</f>
        <v>#DIV/0!</v>
      </c>
      <c r="O284" s="62" t="e">
        <f t="shared" si="239"/>
        <v>#DIV/0!</v>
      </c>
      <c r="P284" s="62" t="e">
        <f t="shared" si="239"/>
        <v>#DIV/0!</v>
      </c>
      <c r="Q284" s="62" t="e">
        <f t="shared" si="239"/>
        <v>#DIV/0!</v>
      </c>
      <c r="R284" s="62" t="e">
        <f t="shared" si="239"/>
        <v>#DIV/0!</v>
      </c>
      <c r="S284" s="62" t="e">
        <f t="shared" si="239"/>
        <v>#DIV/0!</v>
      </c>
      <c r="T284" s="62" t="e">
        <f t="shared" si="239"/>
        <v>#DIV/0!</v>
      </c>
      <c r="U284" s="62" t="e">
        <f t="shared" si="239"/>
        <v>#DIV/0!</v>
      </c>
      <c r="V284" s="62" t="e">
        <f t="shared" si="239"/>
        <v>#DIV/0!</v>
      </c>
      <c r="W284" s="259"/>
      <c r="X284" s="259"/>
    </row>
    <row r="285" spans="1:24">
      <c r="A285" s="55" t="str">
        <f>Home!$B$1</f>
        <v>Poland</v>
      </c>
      <c r="B285" s="56" t="s">
        <v>94</v>
      </c>
      <c r="C285" s="56" t="s">
        <v>130</v>
      </c>
      <c r="D285" s="56" t="s">
        <v>65</v>
      </c>
      <c r="E285" s="55" t="s">
        <v>238</v>
      </c>
      <c r="F285" s="57" t="s">
        <v>239</v>
      </c>
      <c r="G285" s="57" t="s">
        <v>15</v>
      </c>
      <c r="H285" s="57" t="s">
        <v>16</v>
      </c>
      <c r="I285" s="57"/>
      <c r="J285" s="57" t="s">
        <v>99</v>
      </c>
      <c r="K285" s="58"/>
      <c r="L285" s="80"/>
      <c r="M285" s="80"/>
      <c r="N285" s="80"/>
      <c r="O285" s="80"/>
      <c r="P285" s="80"/>
      <c r="Q285" s="80"/>
      <c r="R285" s="110">
        <f>Forecasting!R281</f>
        <v>0</v>
      </c>
      <c r="S285" s="110">
        <f>Forecasting!S281</f>
        <v>0</v>
      </c>
      <c r="T285" s="110">
        <f>Forecasting!T281</f>
        <v>0</v>
      </c>
      <c r="U285" s="110">
        <f>Forecasting!U281</f>
        <v>0</v>
      </c>
      <c r="V285" s="110">
        <f>Forecasting!V281</f>
        <v>0</v>
      </c>
      <c r="W285" s="106" t="e">
        <f>+(Q285/M285)^(1/4)-1</f>
        <v>#DIV/0!</v>
      </c>
      <c r="X285" s="106" t="e">
        <f>+(V285/Q285)^(1/5)-1</f>
        <v>#DIV/0!</v>
      </c>
    </row>
    <row r="286" spans="1:24">
      <c r="A286" s="57"/>
      <c r="B286" s="57"/>
      <c r="C286" s="61" t="s">
        <v>892</v>
      </c>
      <c r="D286" s="61"/>
      <c r="E286" s="61"/>
      <c r="F286" s="61"/>
      <c r="G286" s="61"/>
      <c r="H286" s="61"/>
      <c r="I286" s="61"/>
      <c r="J286" s="61" t="s">
        <v>58</v>
      </c>
      <c r="K286" s="58"/>
      <c r="L286" s="59"/>
      <c r="M286" s="62" t="e">
        <v>#DIV/0!</v>
      </c>
      <c r="N286" s="62" t="e">
        <f t="shared" ref="N286:V286" si="240">N285/M285-1</f>
        <v>#DIV/0!</v>
      </c>
      <c r="O286" s="62" t="e">
        <f t="shared" si="240"/>
        <v>#DIV/0!</v>
      </c>
      <c r="P286" s="62" t="e">
        <f t="shared" si="240"/>
        <v>#DIV/0!</v>
      </c>
      <c r="Q286" s="62" t="e">
        <f t="shared" si="240"/>
        <v>#DIV/0!</v>
      </c>
      <c r="R286" s="62" t="e">
        <f t="shared" si="240"/>
        <v>#DIV/0!</v>
      </c>
      <c r="S286" s="62" t="e">
        <f t="shared" si="240"/>
        <v>#DIV/0!</v>
      </c>
      <c r="T286" s="62" t="e">
        <f t="shared" si="240"/>
        <v>#DIV/0!</v>
      </c>
      <c r="U286" s="62" t="e">
        <f t="shared" si="240"/>
        <v>#DIV/0!</v>
      </c>
      <c r="V286" s="62" t="e">
        <f t="shared" si="240"/>
        <v>#DIV/0!</v>
      </c>
      <c r="W286" s="259"/>
      <c r="X286" s="259"/>
    </row>
    <row r="287" spans="1:24">
      <c r="A287" s="55" t="str">
        <f>Home!$B$1</f>
        <v>Poland</v>
      </c>
      <c r="B287" s="56" t="s">
        <v>94</v>
      </c>
      <c r="C287" s="56" t="s">
        <v>130</v>
      </c>
      <c r="D287" s="56" t="s">
        <v>65</v>
      </c>
      <c r="E287" s="55" t="s">
        <v>240</v>
      </c>
      <c r="F287" s="57" t="s">
        <v>241</v>
      </c>
      <c r="G287" s="57" t="s">
        <v>15</v>
      </c>
      <c r="H287" s="57" t="s">
        <v>16</v>
      </c>
      <c r="I287" s="57"/>
      <c r="J287" s="57" t="s">
        <v>99</v>
      </c>
      <c r="K287" s="58"/>
      <c r="L287" s="80"/>
      <c r="M287" s="80"/>
      <c r="N287" s="80"/>
      <c r="O287" s="80"/>
      <c r="P287" s="80"/>
      <c r="Q287" s="80"/>
      <c r="R287" s="110">
        <f>Forecasting!R283</f>
        <v>0</v>
      </c>
      <c r="S287" s="110">
        <f>Forecasting!S283</f>
        <v>0</v>
      </c>
      <c r="T287" s="110">
        <f>Forecasting!T283</f>
        <v>0</v>
      </c>
      <c r="U287" s="110">
        <f>Forecasting!U283</f>
        <v>0</v>
      </c>
      <c r="V287" s="110">
        <f>Forecasting!V283</f>
        <v>0</v>
      </c>
      <c r="W287" s="106" t="e">
        <f>+(Q287/M287)^(1/4)-1</f>
        <v>#DIV/0!</v>
      </c>
      <c r="X287" s="106" t="e">
        <f>+(V287/Q287)^(1/5)-1</f>
        <v>#DIV/0!</v>
      </c>
    </row>
    <row r="288" spans="1:24">
      <c r="A288" s="57"/>
      <c r="B288" s="57"/>
      <c r="C288" s="61" t="s">
        <v>892</v>
      </c>
      <c r="D288" s="61"/>
      <c r="E288" s="61"/>
      <c r="F288" s="61"/>
      <c r="G288" s="61"/>
      <c r="H288" s="61"/>
      <c r="I288" s="61"/>
      <c r="J288" s="61" t="s">
        <v>58</v>
      </c>
      <c r="K288" s="58"/>
      <c r="L288" s="59"/>
      <c r="M288" s="62" t="e">
        <v>#DIV/0!</v>
      </c>
      <c r="N288" s="62" t="e">
        <f t="shared" ref="N288:V288" si="241">N287/M287-1</f>
        <v>#DIV/0!</v>
      </c>
      <c r="O288" s="62" t="e">
        <f t="shared" si="241"/>
        <v>#DIV/0!</v>
      </c>
      <c r="P288" s="62" t="e">
        <f t="shared" si="241"/>
        <v>#DIV/0!</v>
      </c>
      <c r="Q288" s="62" t="e">
        <f t="shared" si="241"/>
        <v>#DIV/0!</v>
      </c>
      <c r="R288" s="62" t="e">
        <f t="shared" si="241"/>
        <v>#DIV/0!</v>
      </c>
      <c r="S288" s="62" t="e">
        <f t="shared" si="241"/>
        <v>#DIV/0!</v>
      </c>
      <c r="T288" s="62" t="e">
        <f t="shared" si="241"/>
        <v>#DIV/0!</v>
      </c>
      <c r="U288" s="62" t="e">
        <f t="shared" si="241"/>
        <v>#DIV/0!</v>
      </c>
      <c r="V288" s="62" t="e">
        <f t="shared" si="241"/>
        <v>#DIV/0!</v>
      </c>
      <c r="W288" s="259"/>
      <c r="X288" s="259"/>
    </row>
    <row r="289" spans="1:26">
      <c r="A289" s="55" t="str">
        <f>Home!$B$1</f>
        <v>Poland</v>
      </c>
      <c r="B289" s="84" t="s">
        <v>94</v>
      </c>
      <c r="C289" s="84" t="s">
        <v>130</v>
      </c>
      <c r="D289" s="84" t="s">
        <v>65</v>
      </c>
      <c r="E289" s="97" t="s">
        <v>877</v>
      </c>
      <c r="F289" s="84" t="s">
        <v>882</v>
      </c>
      <c r="G289" s="57"/>
      <c r="H289" s="57"/>
      <c r="I289" s="57"/>
      <c r="J289" s="57" t="s">
        <v>99</v>
      </c>
      <c r="K289" s="58"/>
      <c r="L289" s="361">
        <f>'Seasonality&amp; Avg.stay'!B204</f>
        <v>52.253451508886499</v>
      </c>
      <c r="M289" s="361">
        <f>'Seasonality&amp; Avg.stay'!C204</f>
        <v>42.750283164627255</v>
      </c>
      <c r="N289" s="361">
        <f>'Seasonality&amp; Avg.stay'!D204</f>
        <v>39.565883515656104</v>
      </c>
      <c r="O289" s="361">
        <f>'Seasonality&amp; Avg.stay'!E204</f>
        <v>44.038197332752539</v>
      </c>
      <c r="P289" s="361">
        <f>'Seasonality&amp; Avg.stay'!F204</f>
        <v>46.305151599135741</v>
      </c>
      <c r="Q289" s="361">
        <f>'Seasonality&amp; Avg.stay'!G204</f>
        <v>54.452575819274571</v>
      </c>
      <c r="R289" s="110">
        <f>Forecasting!R285</f>
        <v>0</v>
      </c>
      <c r="S289" s="110">
        <f>Forecasting!S285</f>
        <v>0</v>
      </c>
      <c r="T289" s="110">
        <f>Forecasting!T285</f>
        <v>0</v>
      </c>
      <c r="U289" s="110">
        <f>Forecasting!U285</f>
        <v>0</v>
      </c>
      <c r="V289" s="110">
        <f>Forecasting!V285</f>
        <v>0</v>
      </c>
      <c r="W289" s="106">
        <f>+(Q289/M289)^(1/4)-1</f>
        <v>6.2355469466307545E-2</v>
      </c>
      <c r="X289" s="106">
        <f>+(V289/Q289)^(1/5)-1</f>
        <v>-1</v>
      </c>
    </row>
    <row r="290" spans="1:26">
      <c r="A290" s="57"/>
      <c r="B290" s="57"/>
      <c r="C290" s="61" t="s">
        <v>892</v>
      </c>
      <c r="D290" s="61"/>
      <c r="E290" s="61"/>
      <c r="F290" s="61"/>
      <c r="G290" s="61"/>
      <c r="H290" s="61"/>
      <c r="I290" s="61"/>
      <c r="J290" s="61" t="s">
        <v>58</v>
      </c>
      <c r="K290" s="58"/>
      <c r="L290" s="59"/>
      <c r="M290" s="62">
        <v>8.1167050564878718E-3</v>
      </c>
      <c r="N290" s="62">
        <f t="shared" ref="N290:V290" si="242">N289/M289-1</f>
        <v>-7.4488387286426483E-2</v>
      </c>
      <c r="O290" s="62">
        <f t="shared" si="242"/>
        <v>0.11303460000651211</v>
      </c>
      <c r="P290" s="62">
        <f t="shared" si="242"/>
        <v>5.1476999597737771E-2</v>
      </c>
      <c r="Q290" s="62">
        <f t="shared" si="242"/>
        <v>0.17595070826397841</v>
      </c>
      <c r="R290" s="62">
        <f t="shared" si="242"/>
        <v>-1</v>
      </c>
      <c r="S290" s="62" t="e">
        <f t="shared" si="242"/>
        <v>#DIV/0!</v>
      </c>
      <c r="T290" s="62" t="e">
        <f t="shared" si="242"/>
        <v>#DIV/0!</v>
      </c>
      <c r="U290" s="62" t="e">
        <f t="shared" si="242"/>
        <v>#DIV/0!</v>
      </c>
      <c r="V290" s="62" t="e">
        <f t="shared" si="242"/>
        <v>#DIV/0!</v>
      </c>
      <c r="W290" s="259"/>
      <c r="X290" s="259"/>
    </row>
    <row r="291" spans="1:26">
      <c r="A291" s="55" t="str">
        <f>Home!$B$1</f>
        <v>Poland</v>
      </c>
      <c r="B291" s="56" t="s">
        <v>94</v>
      </c>
      <c r="C291" s="56" t="s">
        <v>130</v>
      </c>
      <c r="D291" s="55" t="s">
        <v>67</v>
      </c>
      <c r="E291" s="57"/>
      <c r="F291" s="57" t="s">
        <v>242</v>
      </c>
      <c r="G291" s="57" t="s">
        <v>15</v>
      </c>
      <c r="H291" s="57" t="s">
        <v>16</v>
      </c>
      <c r="I291" s="57"/>
      <c r="J291" s="57" t="s">
        <v>99</v>
      </c>
      <c r="K291" s="86">
        <f>SUM(K292:K335)</f>
        <v>5140.4319999999998</v>
      </c>
      <c r="L291" s="80">
        <f>SUM(L293,L295,L297,L299,L301,L303,L305,L307,L309,L311,L313,L315,L317,L319,L321,L323,L325,L327,L329,L331,L333,L335,L337,L339,L341,L343,L345,L347,L349,L351,L353,L355,L357,L359,L361,L363,L365,L367,L369,L371,L373,L375,L377,L379,L381)</f>
        <v>822.5044258198086</v>
      </c>
      <c r="M291" s="80">
        <f t="shared" ref="M291:Q291" si="243">SUM(M293,M295,M297,M299,M301,M303,M305,M307,M309,M311,M313,M315,M317,M319,M321,M323,M325,M327,M329,M331,M333,M335,M337,M339,M341,M343,M345,M347,M349,M351,M353,M355,M357,M359,M361,M363,M365,M367,M369,M371,M373,M375,M377,M379,M381)</f>
        <v>680.70556323375399</v>
      </c>
      <c r="N291" s="80">
        <f t="shared" si="243"/>
        <v>569.82233984634695</v>
      </c>
      <c r="O291" s="80">
        <f t="shared" si="243"/>
        <v>687.95073261616017</v>
      </c>
      <c r="P291" s="80">
        <f t="shared" si="243"/>
        <v>717.14721461239287</v>
      </c>
      <c r="Q291" s="80">
        <f t="shared" si="243"/>
        <v>809.28505767630531</v>
      </c>
      <c r="R291" s="110">
        <f>Forecasting!R287</f>
        <v>859.38032672872509</v>
      </c>
      <c r="S291" s="110">
        <f>Forecasting!S287</f>
        <v>916.68214928064015</v>
      </c>
      <c r="T291" s="110">
        <f>Forecasting!T287</f>
        <v>963.67209586129081</v>
      </c>
      <c r="U291" s="110">
        <f>Forecasting!U287</f>
        <v>1009.6260463186787</v>
      </c>
      <c r="V291" s="110">
        <f>Forecasting!V287</f>
        <v>1049.6500428244997</v>
      </c>
      <c r="W291" s="106">
        <f>+(Q291/M291)^(1/4)-1</f>
        <v>4.4204487942453907E-2</v>
      </c>
      <c r="X291" s="106">
        <f>+(V291/Q291)^(1/5)-1</f>
        <v>5.3388568913122381E-2</v>
      </c>
      <c r="Z291" s="12"/>
    </row>
    <row r="292" spans="1:26">
      <c r="A292" s="57"/>
      <c r="B292" s="57"/>
      <c r="C292" s="61" t="s">
        <v>892</v>
      </c>
      <c r="D292" s="61"/>
      <c r="E292" s="61"/>
      <c r="F292" s="61"/>
      <c r="G292" s="61"/>
      <c r="H292" s="61"/>
      <c r="I292" s="61"/>
      <c r="J292" s="61" t="s">
        <v>58</v>
      </c>
      <c r="K292" s="58"/>
      <c r="L292" s="59"/>
      <c r="M292" s="62">
        <f t="shared" ref="M292:V292" si="244">M291/L291-1</f>
        <v>-0.17239890526390844</v>
      </c>
      <c r="N292" s="62">
        <f t="shared" si="244"/>
        <v>-0.1628945455662888</v>
      </c>
      <c r="O292" s="62">
        <f t="shared" si="244"/>
        <v>0.2073074088349478</v>
      </c>
      <c r="P292" s="62">
        <f t="shared" si="244"/>
        <v>4.2439786182367101E-2</v>
      </c>
      <c r="Q292" s="62">
        <f t="shared" si="244"/>
        <v>0.12847828337967049</v>
      </c>
      <c r="R292" s="62">
        <f t="shared" si="244"/>
        <v>6.1900647463154712E-2</v>
      </c>
      <c r="S292" s="62">
        <f t="shared" si="244"/>
        <v>6.6678071128341232E-2</v>
      </c>
      <c r="T292" s="62">
        <f t="shared" si="244"/>
        <v>5.1260894103289489E-2</v>
      </c>
      <c r="U292" s="62">
        <f t="shared" si="244"/>
        <v>4.7686293558511839E-2</v>
      </c>
      <c r="V292" s="62">
        <f t="shared" si="244"/>
        <v>3.9642396956533821E-2</v>
      </c>
      <c r="W292" s="259"/>
      <c r="X292" s="259"/>
    </row>
    <row r="293" spans="1:26">
      <c r="A293" s="55" t="str">
        <f>Home!$B$1</f>
        <v>Poland</v>
      </c>
      <c r="B293" s="56" t="s">
        <v>94</v>
      </c>
      <c r="C293" s="56" t="s">
        <v>130</v>
      </c>
      <c r="D293" s="56" t="s">
        <v>67</v>
      </c>
      <c r="E293" s="55" t="s">
        <v>244</v>
      </c>
      <c r="F293" s="57" t="s">
        <v>245</v>
      </c>
      <c r="G293" s="57" t="s">
        <v>15</v>
      </c>
      <c r="H293" s="57" t="s">
        <v>16</v>
      </c>
      <c r="I293" s="57"/>
      <c r="J293" s="57" t="s">
        <v>99</v>
      </c>
      <c r="K293" s="58"/>
      <c r="L293" s="80"/>
      <c r="M293" s="80"/>
      <c r="N293" s="80"/>
      <c r="O293" s="80"/>
      <c r="P293" s="80"/>
      <c r="Q293" s="80"/>
      <c r="R293" s="110">
        <f>Forecasting!R299</f>
        <v>0</v>
      </c>
      <c r="S293" s="110">
        <f>Forecasting!S299</f>
        <v>0</v>
      </c>
      <c r="T293" s="110">
        <f>Forecasting!T299</f>
        <v>0</v>
      </c>
      <c r="U293" s="110">
        <f>Forecasting!U299</f>
        <v>0</v>
      </c>
      <c r="V293" s="110">
        <f>Forecasting!V299</f>
        <v>0</v>
      </c>
      <c r="W293" s="106" t="e">
        <f>+(Q293/M293)^(1/4)-1</f>
        <v>#DIV/0!</v>
      </c>
      <c r="X293" s="106" t="e">
        <f>+(V293/Q293)^(1/5)-1</f>
        <v>#DIV/0!</v>
      </c>
    </row>
    <row r="294" spans="1:26">
      <c r="A294" s="57"/>
      <c r="B294" s="57"/>
      <c r="C294" s="61" t="s">
        <v>892</v>
      </c>
      <c r="D294" s="61"/>
      <c r="E294" s="61"/>
      <c r="F294" s="61"/>
      <c r="G294" s="61"/>
      <c r="H294" s="61"/>
      <c r="I294" s="61"/>
      <c r="J294" s="61" t="s">
        <v>58</v>
      </c>
      <c r="K294" s="58"/>
      <c r="L294" s="59"/>
      <c r="M294" s="62" t="e">
        <v>#DIV/0!</v>
      </c>
      <c r="N294" s="62" t="e">
        <f t="shared" ref="N294:V294" si="245">N293/M293-1</f>
        <v>#DIV/0!</v>
      </c>
      <c r="O294" s="62" t="e">
        <f t="shared" si="245"/>
        <v>#DIV/0!</v>
      </c>
      <c r="P294" s="62" t="e">
        <f t="shared" si="245"/>
        <v>#DIV/0!</v>
      </c>
      <c r="Q294" s="62" t="e">
        <f t="shared" si="245"/>
        <v>#DIV/0!</v>
      </c>
      <c r="R294" s="62" t="e">
        <f t="shared" si="245"/>
        <v>#DIV/0!</v>
      </c>
      <c r="S294" s="62" t="e">
        <f t="shared" si="245"/>
        <v>#DIV/0!</v>
      </c>
      <c r="T294" s="62" t="e">
        <f t="shared" si="245"/>
        <v>#DIV/0!</v>
      </c>
      <c r="U294" s="62" t="e">
        <f t="shared" si="245"/>
        <v>#DIV/0!</v>
      </c>
      <c r="V294" s="62" t="e">
        <f t="shared" si="245"/>
        <v>#DIV/0!</v>
      </c>
      <c r="W294" s="259"/>
      <c r="X294" s="259"/>
    </row>
    <row r="295" spans="1:26">
      <c r="A295" s="55" t="str">
        <f>Home!$B$1</f>
        <v>Poland</v>
      </c>
      <c r="B295" s="56" t="s">
        <v>94</v>
      </c>
      <c r="C295" s="56" t="s">
        <v>130</v>
      </c>
      <c r="D295" s="56" t="s">
        <v>67</v>
      </c>
      <c r="E295" s="55" t="s">
        <v>246</v>
      </c>
      <c r="F295" s="57" t="s">
        <v>247</v>
      </c>
      <c r="G295" s="57" t="s">
        <v>15</v>
      </c>
      <c r="H295" s="57" t="s">
        <v>16</v>
      </c>
      <c r="I295" s="57"/>
      <c r="J295" s="57" t="s">
        <v>99</v>
      </c>
      <c r="K295" s="58">
        <v>603.27499999999998</v>
      </c>
      <c r="L295" s="361">
        <f>'Seasonality&amp; Avg.stay'!B189</f>
        <v>49.677788357336922</v>
      </c>
      <c r="M295" s="361">
        <f>'Seasonality&amp; Avg.stay'!C189</f>
        <v>45.169744141863092</v>
      </c>
      <c r="N295" s="361">
        <f>'Seasonality&amp; Avg.stay'!D189</f>
        <v>38.7974395836303</v>
      </c>
      <c r="O295" s="361">
        <f>'Seasonality&amp; Avg.stay'!E189</f>
        <v>46.422554390896288</v>
      </c>
      <c r="P295" s="361">
        <f>'Seasonality&amp; Avg.stay'!F189</f>
        <v>49.22683365206322</v>
      </c>
      <c r="Q295" s="361">
        <f>'Seasonality&amp; Avg.stay'!G189</f>
        <v>49.596015299292795</v>
      </c>
      <c r="R295" s="110">
        <f>Forecasting!R301</f>
        <v>0</v>
      </c>
      <c r="S295" s="110">
        <f>Forecasting!S301</f>
        <v>0</v>
      </c>
      <c r="T295" s="110">
        <f>Forecasting!T301</f>
        <v>0</v>
      </c>
      <c r="U295" s="110">
        <f>Forecasting!U301</f>
        <v>0</v>
      </c>
      <c r="V295" s="110">
        <f>Forecasting!V301</f>
        <v>0</v>
      </c>
      <c r="W295" s="106">
        <f>+(Q295/M295)^(1/4)-1</f>
        <v>2.3645988123235151E-2</v>
      </c>
      <c r="X295" s="106">
        <f>+(V295/Q295)^(1/5)-1</f>
        <v>-1</v>
      </c>
      <c r="Z295" s="12"/>
    </row>
    <row r="296" spans="1:26">
      <c r="A296" s="57"/>
      <c r="B296" s="57"/>
      <c r="C296" s="61" t="s">
        <v>892</v>
      </c>
      <c r="D296" s="61"/>
      <c r="E296" s="61"/>
      <c r="F296" s="61"/>
      <c r="G296" s="61"/>
      <c r="H296" s="61"/>
      <c r="I296" s="61"/>
      <c r="J296" s="61" t="s">
        <v>58</v>
      </c>
      <c r="K296" s="58"/>
      <c r="L296" s="59"/>
      <c r="M296" s="62">
        <f t="shared" ref="M296:V296" si="246">M295/L295-1</f>
        <v>-9.0745670540867351E-2</v>
      </c>
      <c r="N296" s="62">
        <f t="shared" si="246"/>
        <v>-0.14107462150371075</v>
      </c>
      <c r="O296" s="62">
        <f t="shared" si="246"/>
        <v>0.19653654697572454</v>
      </c>
      <c r="P296" s="62">
        <f t="shared" si="246"/>
        <v>6.0407689709484513E-2</v>
      </c>
      <c r="Q296" s="62">
        <f t="shared" si="246"/>
        <v>7.4996017383315294E-3</v>
      </c>
      <c r="R296" s="62">
        <f t="shared" si="246"/>
        <v>-1</v>
      </c>
      <c r="S296" s="62" t="e">
        <f t="shared" si="246"/>
        <v>#DIV/0!</v>
      </c>
      <c r="T296" s="62" t="e">
        <f t="shared" si="246"/>
        <v>#DIV/0!</v>
      </c>
      <c r="U296" s="62" t="e">
        <f t="shared" si="246"/>
        <v>#DIV/0!</v>
      </c>
      <c r="V296" s="62" t="e">
        <f t="shared" si="246"/>
        <v>#DIV/0!</v>
      </c>
      <c r="W296" s="259"/>
      <c r="X296" s="259"/>
    </row>
    <row r="297" spans="1:26">
      <c r="A297" s="55" t="str">
        <f>Home!$B$1</f>
        <v>Poland</v>
      </c>
      <c r="B297" s="56" t="s">
        <v>94</v>
      </c>
      <c r="C297" s="56" t="s">
        <v>130</v>
      </c>
      <c r="D297" s="56" t="s">
        <v>67</v>
      </c>
      <c r="E297" s="55" t="s">
        <v>248</v>
      </c>
      <c r="F297" s="57" t="s">
        <v>249</v>
      </c>
      <c r="G297" s="57" t="s">
        <v>15</v>
      </c>
      <c r="H297" s="57" t="s">
        <v>16</v>
      </c>
      <c r="I297" s="57"/>
      <c r="J297" s="57" t="s">
        <v>99</v>
      </c>
      <c r="K297" s="58"/>
      <c r="L297" s="80"/>
      <c r="M297" s="80"/>
      <c r="N297" s="80"/>
      <c r="O297" s="80"/>
      <c r="P297" s="80"/>
      <c r="Q297" s="80"/>
      <c r="R297" s="110">
        <f>Forecasting!R303</f>
        <v>0</v>
      </c>
      <c r="S297" s="110">
        <f>Forecasting!S303</f>
        <v>0</v>
      </c>
      <c r="T297" s="110">
        <f>Forecasting!T303</f>
        <v>0</v>
      </c>
      <c r="U297" s="110">
        <f>Forecasting!U303</f>
        <v>0</v>
      </c>
      <c r="V297" s="110">
        <f>Forecasting!V303</f>
        <v>0</v>
      </c>
      <c r="W297" s="106" t="e">
        <f>+(Q297/M297)^(1/4)-1</f>
        <v>#DIV/0!</v>
      </c>
      <c r="X297" s="106" t="e">
        <f>+(V297/Q297)^(1/5)-1</f>
        <v>#DIV/0!</v>
      </c>
    </row>
    <row r="298" spans="1:26">
      <c r="A298" s="57"/>
      <c r="B298" s="57"/>
      <c r="C298" s="61" t="s">
        <v>892</v>
      </c>
      <c r="D298" s="61"/>
      <c r="E298" s="61"/>
      <c r="F298" s="61"/>
      <c r="G298" s="61"/>
      <c r="H298" s="61"/>
      <c r="I298" s="61"/>
      <c r="J298" s="61" t="s">
        <v>58</v>
      </c>
      <c r="K298" s="58"/>
      <c r="L298" s="59"/>
      <c r="M298" s="62" t="e">
        <v>#DIV/0!</v>
      </c>
      <c r="N298" s="62" t="e">
        <f t="shared" ref="N298:V298" si="247">N297/M297-1</f>
        <v>#DIV/0!</v>
      </c>
      <c r="O298" s="62" t="e">
        <f t="shared" si="247"/>
        <v>#DIV/0!</v>
      </c>
      <c r="P298" s="62" t="e">
        <f t="shared" si="247"/>
        <v>#DIV/0!</v>
      </c>
      <c r="Q298" s="62" t="e">
        <f t="shared" si="247"/>
        <v>#DIV/0!</v>
      </c>
      <c r="R298" s="62" t="e">
        <f t="shared" si="247"/>
        <v>#DIV/0!</v>
      </c>
      <c r="S298" s="62" t="e">
        <f t="shared" si="247"/>
        <v>#DIV/0!</v>
      </c>
      <c r="T298" s="62" t="e">
        <f t="shared" si="247"/>
        <v>#DIV/0!</v>
      </c>
      <c r="U298" s="62" t="e">
        <f t="shared" si="247"/>
        <v>#DIV/0!</v>
      </c>
      <c r="V298" s="62" t="e">
        <f t="shared" si="247"/>
        <v>#DIV/0!</v>
      </c>
      <c r="W298" s="259"/>
      <c r="X298" s="259"/>
    </row>
    <row r="299" spans="1:26">
      <c r="A299" s="55" t="str">
        <f>Home!$B$1</f>
        <v>Poland</v>
      </c>
      <c r="B299" s="56" t="s">
        <v>94</v>
      </c>
      <c r="C299" s="56" t="s">
        <v>130</v>
      </c>
      <c r="D299" s="56" t="s">
        <v>67</v>
      </c>
      <c r="E299" s="55" t="s">
        <v>250</v>
      </c>
      <c r="F299" s="57" t="s">
        <v>251</v>
      </c>
      <c r="G299" s="57" t="s">
        <v>15</v>
      </c>
      <c r="H299" s="57" t="s">
        <v>16</v>
      </c>
      <c r="I299" s="57"/>
      <c r="J299" s="57" t="s">
        <v>99</v>
      </c>
      <c r="K299" s="58"/>
      <c r="L299" s="80"/>
      <c r="M299" s="80"/>
      <c r="N299" s="80"/>
      <c r="O299" s="80"/>
      <c r="P299" s="80"/>
      <c r="Q299" s="80"/>
      <c r="R299" s="110">
        <f>Forecasting!R305</f>
        <v>0</v>
      </c>
      <c r="S299" s="110">
        <f>Forecasting!S305</f>
        <v>0</v>
      </c>
      <c r="T299" s="110">
        <f>Forecasting!T305</f>
        <v>0</v>
      </c>
      <c r="U299" s="110">
        <f>Forecasting!U305</f>
        <v>0</v>
      </c>
      <c r="V299" s="110">
        <f>Forecasting!V305</f>
        <v>0</v>
      </c>
      <c r="W299" s="106" t="e">
        <f>+(Q299/M299)^(1/4)-1</f>
        <v>#DIV/0!</v>
      </c>
      <c r="X299" s="106" t="e">
        <f>+(V299/Q299)^(1/5)-1</f>
        <v>#DIV/0!</v>
      </c>
    </row>
    <row r="300" spans="1:26">
      <c r="A300" s="57"/>
      <c r="B300" s="57"/>
      <c r="C300" s="61" t="s">
        <v>892</v>
      </c>
      <c r="D300" s="61"/>
      <c r="E300" s="61"/>
      <c r="F300" s="61"/>
      <c r="G300" s="61"/>
      <c r="H300" s="61"/>
      <c r="I300" s="61"/>
      <c r="J300" s="61" t="s">
        <v>58</v>
      </c>
      <c r="K300" s="58"/>
      <c r="L300" s="59"/>
      <c r="M300" s="62" t="e">
        <v>#DIV/0!</v>
      </c>
      <c r="N300" s="62" t="e">
        <f t="shared" ref="N300:V300" si="248">N299/M299-1</f>
        <v>#DIV/0!</v>
      </c>
      <c r="O300" s="62" t="e">
        <f t="shared" si="248"/>
        <v>#DIV/0!</v>
      </c>
      <c r="P300" s="62" t="e">
        <f t="shared" si="248"/>
        <v>#DIV/0!</v>
      </c>
      <c r="Q300" s="62" t="e">
        <f t="shared" si="248"/>
        <v>#DIV/0!</v>
      </c>
      <c r="R300" s="62" t="e">
        <f t="shared" si="248"/>
        <v>#DIV/0!</v>
      </c>
      <c r="S300" s="62" t="e">
        <f t="shared" si="248"/>
        <v>#DIV/0!</v>
      </c>
      <c r="T300" s="62" t="e">
        <f t="shared" si="248"/>
        <v>#DIV/0!</v>
      </c>
      <c r="U300" s="62" t="e">
        <f t="shared" si="248"/>
        <v>#DIV/0!</v>
      </c>
      <c r="V300" s="62" t="e">
        <f t="shared" si="248"/>
        <v>#DIV/0!</v>
      </c>
      <c r="W300" s="259"/>
      <c r="X300" s="259"/>
    </row>
    <row r="301" spans="1:26">
      <c r="A301" s="55" t="str">
        <f>Home!$B$1</f>
        <v>Poland</v>
      </c>
      <c r="B301" s="56" t="s">
        <v>94</v>
      </c>
      <c r="C301" s="56" t="s">
        <v>130</v>
      </c>
      <c r="D301" s="56" t="s">
        <v>67</v>
      </c>
      <c r="E301" s="55" t="s">
        <v>252</v>
      </c>
      <c r="F301" s="57" t="s">
        <v>253</v>
      </c>
      <c r="G301" s="57" t="s">
        <v>15</v>
      </c>
      <c r="H301" s="57" t="s">
        <v>16</v>
      </c>
      <c r="I301" s="57"/>
      <c r="J301" s="57" t="s">
        <v>99</v>
      </c>
      <c r="K301" s="58"/>
      <c r="L301" s="80"/>
      <c r="M301" s="80"/>
      <c r="N301" s="80"/>
      <c r="O301" s="80"/>
      <c r="P301" s="80"/>
      <c r="Q301" s="80"/>
      <c r="R301" s="110">
        <f>Forecasting!R307</f>
        <v>0</v>
      </c>
      <c r="S301" s="110">
        <f>Forecasting!S307</f>
        <v>0</v>
      </c>
      <c r="T301" s="110">
        <f>Forecasting!T307</f>
        <v>0</v>
      </c>
      <c r="U301" s="110">
        <f>Forecasting!U307</f>
        <v>0</v>
      </c>
      <c r="V301" s="110">
        <f>Forecasting!V307</f>
        <v>0</v>
      </c>
      <c r="W301" s="106" t="e">
        <f>+(Q301/M301)^(1/4)-1</f>
        <v>#DIV/0!</v>
      </c>
      <c r="X301" s="106" t="e">
        <f>+(V301/Q301)^(1/5)-1</f>
        <v>#DIV/0!</v>
      </c>
    </row>
    <row r="302" spans="1:26">
      <c r="A302" s="57"/>
      <c r="B302" s="57"/>
      <c r="C302" s="61" t="s">
        <v>892</v>
      </c>
      <c r="D302" s="61"/>
      <c r="E302" s="61"/>
      <c r="F302" s="61"/>
      <c r="G302" s="61"/>
      <c r="H302" s="61"/>
      <c r="I302" s="61"/>
      <c r="J302" s="61" t="s">
        <v>58</v>
      </c>
      <c r="K302" s="58"/>
      <c r="L302" s="59"/>
      <c r="M302" s="62" t="e">
        <v>#DIV/0!</v>
      </c>
      <c r="N302" s="62" t="e">
        <f t="shared" ref="N302:V302" si="249">N301/M301-1</f>
        <v>#DIV/0!</v>
      </c>
      <c r="O302" s="62" t="e">
        <f t="shared" si="249"/>
        <v>#DIV/0!</v>
      </c>
      <c r="P302" s="62" t="e">
        <f t="shared" si="249"/>
        <v>#DIV/0!</v>
      </c>
      <c r="Q302" s="62" t="e">
        <f t="shared" si="249"/>
        <v>#DIV/0!</v>
      </c>
      <c r="R302" s="62" t="e">
        <f t="shared" si="249"/>
        <v>#DIV/0!</v>
      </c>
      <c r="S302" s="62" t="e">
        <f t="shared" si="249"/>
        <v>#DIV/0!</v>
      </c>
      <c r="T302" s="62" t="e">
        <f t="shared" si="249"/>
        <v>#DIV/0!</v>
      </c>
      <c r="U302" s="62" t="e">
        <f t="shared" si="249"/>
        <v>#DIV/0!</v>
      </c>
      <c r="V302" s="62" t="e">
        <f t="shared" si="249"/>
        <v>#DIV/0!</v>
      </c>
      <c r="W302" s="259"/>
      <c r="X302" s="259"/>
    </row>
    <row r="303" spans="1:26">
      <c r="A303" s="55" t="str">
        <f>Home!$B$1</f>
        <v>Poland</v>
      </c>
      <c r="B303" s="56" t="s">
        <v>94</v>
      </c>
      <c r="C303" s="56" t="s">
        <v>130</v>
      </c>
      <c r="D303" s="56" t="s">
        <v>67</v>
      </c>
      <c r="E303" s="55" t="s">
        <v>254</v>
      </c>
      <c r="F303" s="57" t="s">
        <v>255</v>
      </c>
      <c r="G303" s="57" t="s">
        <v>15</v>
      </c>
      <c r="H303" s="57" t="s">
        <v>16</v>
      </c>
      <c r="I303" s="57"/>
      <c r="J303" s="57" t="s">
        <v>99</v>
      </c>
      <c r="K303" s="58"/>
      <c r="L303" s="80"/>
      <c r="M303" s="80"/>
      <c r="N303" s="80"/>
      <c r="O303" s="80"/>
      <c r="P303" s="80"/>
      <c r="Q303" s="80"/>
      <c r="R303" s="110">
        <f>Forecasting!R309</f>
        <v>0</v>
      </c>
      <c r="S303" s="110">
        <f>Forecasting!S309</f>
        <v>0</v>
      </c>
      <c r="T303" s="110">
        <f>Forecasting!T309</f>
        <v>0</v>
      </c>
      <c r="U303" s="110">
        <f>Forecasting!U309</f>
        <v>0</v>
      </c>
      <c r="V303" s="110">
        <f>Forecasting!V309</f>
        <v>0</v>
      </c>
      <c r="W303" s="106" t="e">
        <f>+(Q303/M303)^(1/4)-1</f>
        <v>#DIV/0!</v>
      </c>
      <c r="X303" s="106" t="e">
        <f>+(V303/Q303)^(1/5)-1</f>
        <v>#DIV/0!</v>
      </c>
    </row>
    <row r="304" spans="1:26">
      <c r="A304" s="57"/>
      <c r="B304" s="57"/>
      <c r="C304" s="61" t="s">
        <v>892</v>
      </c>
      <c r="D304" s="61"/>
      <c r="E304" s="61"/>
      <c r="F304" s="61"/>
      <c r="G304" s="61"/>
      <c r="H304" s="61"/>
      <c r="I304" s="61"/>
      <c r="J304" s="61" t="s">
        <v>58</v>
      </c>
      <c r="K304" s="58"/>
      <c r="L304" s="59"/>
      <c r="M304" s="62" t="e">
        <v>#DIV/0!</v>
      </c>
      <c r="N304" s="62" t="e">
        <f t="shared" ref="N304:V304" si="250">N303/M303-1</f>
        <v>#DIV/0!</v>
      </c>
      <c r="O304" s="62" t="e">
        <f t="shared" si="250"/>
        <v>#DIV/0!</v>
      </c>
      <c r="P304" s="62" t="e">
        <f t="shared" si="250"/>
        <v>#DIV/0!</v>
      </c>
      <c r="Q304" s="62" t="e">
        <f t="shared" si="250"/>
        <v>#DIV/0!</v>
      </c>
      <c r="R304" s="62" t="e">
        <f t="shared" si="250"/>
        <v>#DIV/0!</v>
      </c>
      <c r="S304" s="62" t="e">
        <f t="shared" si="250"/>
        <v>#DIV/0!</v>
      </c>
      <c r="T304" s="62" t="e">
        <f t="shared" si="250"/>
        <v>#DIV/0!</v>
      </c>
      <c r="U304" s="62" t="e">
        <f t="shared" si="250"/>
        <v>#DIV/0!</v>
      </c>
      <c r="V304" s="62" t="e">
        <f t="shared" si="250"/>
        <v>#DIV/0!</v>
      </c>
      <c r="W304" s="259"/>
      <c r="X304" s="259"/>
    </row>
    <row r="305" spans="1:26">
      <c r="A305" s="55" t="str">
        <f>Home!$B$1</f>
        <v>Poland</v>
      </c>
      <c r="B305" s="56" t="s">
        <v>94</v>
      </c>
      <c r="C305" s="56" t="s">
        <v>130</v>
      </c>
      <c r="D305" s="56" t="s">
        <v>67</v>
      </c>
      <c r="E305" s="55" t="s">
        <v>256</v>
      </c>
      <c r="F305" s="57" t="s">
        <v>257</v>
      </c>
      <c r="G305" s="57" t="s">
        <v>15</v>
      </c>
      <c r="H305" s="57" t="s">
        <v>16</v>
      </c>
      <c r="I305" s="57"/>
      <c r="J305" s="57" t="s">
        <v>99</v>
      </c>
      <c r="K305" s="58"/>
      <c r="L305" s="80"/>
      <c r="M305" s="80"/>
      <c r="N305" s="80"/>
      <c r="O305" s="80"/>
      <c r="P305" s="80"/>
      <c r="Q305" s="80"/>
      <c r="R305" s="110">
        <f>Forecasting!R311</f>
        <v>0</v>
      </c>
      <c r="S305" s="110">
        <f>Forecasting!S311</f>
        <v>0</v>
      </c>
      <c r="T305" s="110">
        <f>Forecasting!T311</f>
        <v>0</v>
      </c>
      <c r="U305" s="110">
        <f>Forecasting!U311</f>
        <v>0</v>
      </c>
      <c r="V305" s="110">
        <f>Forecasting!V311</f>
        <v>0</v>
      </c>
      <c r="W305" s="106" t="e">
        <f>+(Q305/M305)^(1/4)-1</f>
        <v>#DIV/0!</v>
      </c>
      <c r="X305" s="106" t="e">
        <f>+(V305/Q305)^(1/5)-1</f>
        <v>#DIV/0!</v>
      </c>
    </row>
    <row r="306" spans="1:26">
      <c r="A306" s="57"/>
      <c r="B306" s="57"/>
      <c r="C306" s="61" t="s">
        <v>892</v>
      </c>
      <c r="D306" s="61"/>
      <c r="E306" s="61"/>
      <c r="F306" s="61"/>
      <c r="G306" s="61"/>
      <c r="H306" s="61"/>
      <c r="I306" s="61"/>
      <c r="J306" s="61" t="s">
        <v>58</v>
      </c>
      <c r="K306" s="58"/>
      <c r="L306" s="59"/>
      <c r="M306" s="62" t="e">
        <v>#DIV/0!</v>
      </c>
      <c r="N306" s="62" t="e">
        <f t="shared" ref="N306:V306" si="251">N305/M305-1</f>
        <v>#DIV/0!</v>
      </c>
      <c r="O306" s="62" t="e">
        <f t="shared" si="251"/>
        <v>#DIV/0!</v>
      </c>
      <c r="P306" s="62" t="e">
        <f t="shared" si="251"/>
        <v>#DIV/0!</v>
      </c>
      <c r="Q306" s="62" t="e">
        <f t="shared" si="251"/>
        <v>#DIV/0!</v>
      </c>
      <c r="R306" s="62" t="e">
        <f t="shared" si="251"/>
        <v>#DIV/0!</v>
      </c>
      <c r="S306" s="62" t="e">
        <f t="shared" si="251"/>
        <v>#DIV/0!</v>
      </c>
      <c r="T306" s="62" t="e">
        <f t="shared" si="251"/>
        <v>#DIV/0!</v>
      </c>
      <c r="U306" s="62" t="e">
        <f t="shared" si="251"/>
        <v>#DIV/0!</v>
      </c>
      <c r="V306" s="62" t="e">
        <f t="shared" si="251"/>
        <v>#DIV/0!</v>
      </c>
      <c r="W306" s="259"/>
      <c r="X306" s="259"/>
    </row>
    <row r="307" spans="1:26">
      <c r="A307" s="55" t="str">
        <f>Home!$B$1</f>
        <v>Poland</v>
      </c>
      <c r="B307" s="56" t="s">
        <v>94</v>
      </c>
      <c r="C307" s="56" t="s">
        <v>130</v>
      </c>
      <c r="D307" s="56" t="s">
        <v>67</v>
      </c>
      <c r="E307" s="55" t="s">
        <v>258</v>
      </c>
      <c r="F307" s="57" t="s">
        <v>259</v>
      </c>
      <c r="G307" s="57" t="s">
        <v>15</v>
      </c>
      <c r="H307" s="57" t="s">
        <v>16</v>
      </c>
      <c r="I307" s="57"/>
      <c r="J307" s="57" t="s">
        <v>99</v>
      </c>
      <c r="K307" s="58">
        <v>320.45</v>
      </c>
      <c r="L307" s="80"/>
      <c r="M307" s="80"/>
      <c r="N307" s="80"/>
      <c r="O307" s="80"/>
      <c r="P307" s="80"/>
      <c r="Q307" s="80"/>
      <c r="R307" s="110">
        <f>Forecasting!R313</f>
        <v>0</v>
      </c>
      <c r="S307" s="110">
        <f>Forecasting!S313</f>
        <v>0</v>
      </c>
      <c r="T307" s="110">
        <f>Forecasting!T313</f>
        <v>0</v>
      </c>
      <c r="U307" s="110">
        <f>Forecasting!U313</f>
        <v>0</v>
      </c>
      <c r="V307" s="110">
        <f>Forecasting!V313</f>
        <v>0</v>
      </c>
      <c r="W307" s="106" t="e">
        <f>+(Q307/M307)^(1/4)-1</f>
        <v>#DIV/0!</v>
      </c>
      <c r="X307" s="106" t="e">
        <f>+(V307/Q307)^(1/5)-1</f>
        <v>#DIV/0!</v>
      </c>
      <c r="Z307" s="12"/>
    </row>
    <row r="308" spans="1:26">
      <c r="A308" s="57"/>
      <c r="B308" s="57"/>
      <c r="C308" s="61" t="s">
        <v>892</v>
      </c>
      <c r="D308" s="61"/>
      <c r="E308" s="61"/>
      <c r="F308" s="61"/>
      <c r="G308" s="61"/>
      <c r="H308" s="61"/>
      <c r="I308" s="61"/>
      <c r="J308" s="61" t="s">
        <v>58</v>
      </c>
      <c r="K308" s="58"/>
      <c r="L308" s="59"/>
      <c r="M308" s="62" t="e">
        <v>#DIV/0!</v>
      </c>
      <c r="N308" s="62" t="e">
        <f t="shared" ref="N308:V308" si="252">N307/M307-1</f>
        <v>#DIV/0!</v>
      </c>
      <c r="O308" s="62" t="e">
        <f t="shared" si="252"/>
        <v>#DIV/0!</v>
      </c>
      <c r="P308" s="62" t="e">
        <f t="shared" si="252"/>
        <v>#DIV/0!</v>
      </c>
      <c r="Q308" s="62" t="e">
        <f t="shared" si="252"/>
        <v>#DIV/0!</v>
      </c>
      <c r="R308" s="62" t="e">
        <f t="shared" si="252"/>
        <v>#DIV/0!</v>
      </c>
      <c r="S308" s="62" t="e">
        <f t="shared" si="252"/>
        <v>#DIV/0!</v>
      </c>
      <c r="T308" s="62" t="e">
        <f t="shared" si="252"/>
        <v>#DIV/0!</v>
      </c>
      <c r="U308" s="62" t="e">
        <f t="shared" si="252"/>
        <v>#DIV/0!</v>
      </c>
      <c r="V308" s="62" t="e">
        <f t="shared" si="252"/>
        <v>#DIV/0!</v>
      </c>
      <c r="W308" s="259"/>
      <c r="X308" s="259"/>
    </row>
    <row r="309" spans="1:26">
      <c r="A309" s="55" t="str">
        <f>Home!$B$1</f>
        <v>Poland</v>
      </c>
      <c r="B309" s="56" t="s">
        <v>94</v>
      </c>
      <c r="C309" s="56" t="s">
        <v>130</v>
      </c>
      <c r="D309" s="56" t="s">
        <v>67</v>
      </c>
      <c r="E309" s="55" t="s">
        <v>260</v>
      </c>
      <c r="F309" s="57" t="s">
        <v>261</v>
      </c>
      <c r="G309" s="57" t="s">
        <v>15</v>
      </c>
      <c r="H309" s="57" t="s">
        <v>16</v>
      </c>
      <c r="I309" s="57"/>
      <c r="J309" s="57" t="s">
        <v>99</v>
      </c>
      <c r="K309" s="58">
        <v>137.27799999999999</v>
      </c>
      <c r="L309" s="80"/>
      <c r="M309" s="80"/>
      <c r="N309" s="80"/>
      <c r="O309" s="80"/>
      <c r="P309" s="80"/>
      <c r="Q309" s="80"/>
      <c r="R309" s="110">
        <f>Forecasting!R315</f>
        <v>0</v>
      </c>
      <c r="S309" s="110">
        <f>Forecasting!S315</f>
        <v>0</v>
      </c>
      <c r="T309" s="110">
        <f>Forecasting!T315</f>
        <v>0</v>
      </c>
      <c r="U309" s="110">
        <f>Forecasting!U315</f>
        <v>0</v>
      </c>
      <c r="V309" s="110">
        <f>Forecasting!V315</f>
        <v>0</v>
      </c>
      <c r="W309" s="106" t="e">
        <f>+(Q309/M309)^(1/4)-1</f>
        <v>#DIV/0!</v>
      </c>
      <c r="X309" s="106" t="e">
        <f>+(V309/Q309)^(1/5)-1</f>
        <v>#DIV/0!</v>
      </c>
      <c r="Z309" s="12"/>
    </row>
    <row r="310" spans="1:26">
      <c r="A310" s="57"/>
      <c r="B310" s="57"/>
      <c r="C310" s="61" t="s">
        <v>892</v>
      </c>
      <c r="D310" s="61"/>
      <c r="E310" s="61"/>
      <c r="F310" s="61"/>
      <c r="G310" s="61"/>
      <c r="H310" s="61"/>
      <c r="I310" s="61"/>
      <c r="J310" s="61" t="s">
        <v>58</v>
      </c>
      <c r="K310" s="58"/>
      <c r="L310" s="59"/>
      <c r="M310" s="62" t="e">
        <v>#DIV/0!</v>
      </c>
      <c r="N310" s="62" t="e">
        <f t="shared" ref="N310:V310" si="253">N309/M309-1</f>
        <v>#DIV/0!</v>
      </c>
      <c r="O310" s="62" t="e">
        <f t="shared" si="253"/>
        <v>#DIV/0!</v>
      </c>
      <c r="P310" s="62" t="e">
        <f t="shared" si="253"/>
        <v>#DIV/0!</v>
      </c>
      <c r="Q310" s="62" t="e">
        <f t="shared" si="253"/>
        <v>#DIV/0!</v>
      </c>
      <c r="R310" s="62" t="e">
        <f t="shared" si="253"/>
        <v>#DIV/0!</v>
      </c>
      <c r="S310" s="62" t="e">
        <f t="shared" si="253"/>
        <v>#DIV/0!</v>
      </c>
      <c r="T310" s="62" t="e">
        <f t="shared" si="253"/>
        <v>#DIV/0!</v>
      </c>
      <c r="U310" s="62" t="e">
        <f t="shared" si="253"/>
        <v>#DIV/0!</v>
      </c>
      <c r="V310" s="62" t="e">
        <f t="shared" si="253"/>
        <v>#DIV/0!</v>
      </c>
      <c r="W310" s="259"/>
      <c r="X310" s="259"/>
    </row>
    <row r="311" spans="1:26">
      <c r="A311" s="55" t="str">
        <f>Home!$B$1</f>
        <v>Poland</v>
      </c>
      <c r="B311" s="56" t="s">
        <v>94</v>
      </c>
      <c r="C311" s="56" t="s">
        <v>130</v>
      </c>
      <c r="D311" s="56" t="s">
        <v>67</v>
      </c>
      <c r="E311" s="55" t="s">
        <v>262</v>
      </c>
      <c r="F311" s="57" t="s">
        <v>263</v>
      </c>
      <c r="G311" s="57" t="s">
        <v>15</v>
      </c>
      <c r="H311" s="57" t="s">
        <v>16</v>
      </c>
      <c r="I311" s="57"/>
      <c r="J311" s="57" t="s">
        <v>99</v>
      </c>
      <c r="K311" s="58"/>
      <c r="L311" s="80"/>
      <c r="M311" s="80"/>
      <c r="N311" s="80"/>
      <c r="O311" s="80"/>
      <c r="P311" s="80"/>
      <c r="Q311" s="80"/>
      <c r="R311" s="110">
        <f>Forecasting!R317</f>
        <v>0</v>
      </c>
      <c r="S311" s="110">
        <f>Forecasting!S317</f>
        <v>0</v>
      </c>
      <c r="T311" s="110">
        <f>Forecasting!T317</f>
        <v>0</v>
      </c>
      <c r="U311" s="110">
        <f>Forecasting!U317</f>
        <v>0</v>
      </c>
      <c r="V311" s="110">
        <f>Forecasting!V317</f>
        <v>0</v>
      </c>
      <c r="W311" s="106" t="e">
        <f>+(Q311/M311)^(1/4)-1</f>
        <v>#DIV/0!</v>
      </c>
      <c r="X311" s="106" t="e">
        <f>+(V311/Q311)^(1/5)-1</f>
        <v>#DIV/0!</v>
      </c>
    </row>
    <row r="312" spans="1:26">
      <c r="A312" s="57"/>
      <c r="B312" s="57"/>
      <c r="C312" s="61" t="s">
        <v>892</v>
      </c>
      <c r="D312" s="61"/>
      <c r="E312" s="61"/>
      <c r="F312" s="61"/>
      <c r="G312" s="61"/>
      <c r="H312" s="61"/>
      <c r="I312" s="61"/>
      <c r="J312" s="61" t="s">
        <v>58</v>
      </c>
      <c r="K312" s="58"/>
      <c r="L312" s="59"/>
      <c r="M312" s="62" t="e">
        <v>#DIV/0!</v>
      </c>
      <c r="N312" s="62" t="e">
        <f t="shared" ref="N312:V312" si="254">N311/M311-1</f>
        <v>#DIV/0!</v>
      </c>
      <c r="O312" s="62" t="e">
        <f t="shared" si="254"/>
        <v>#DIV/0!</v>
      </c>
      <c r="P312" s="62" t="e">
        <f t="shared" si="254"/>
        <v>#DIV/0!</v>
      </c>
      <c r="Q312" s="62" t="e">
        <f t="shared" si="254"/>
        <v>#DIV/0!</v>
      </c>
      <c r="R312" s="62" t="e">
        <f t="shared" si="254"/>
        <v>#DIV/0!</v>
      </c>
      <c r="S312" s="62" t="e">
        <f t="shared" si="254"/>
        <v>#DIV/0!</v>
      </c>
      <c r="T312" s="62" t="e">
        <f t="shared" si="254"/>
        <v>#DIV/0!</v>
      </c>
      <c r="U312" s="62" t="e">
        <f t="shared" si="254"/>
        <v>#DIV/0!</v>
      </c>
      <c r="V312" s="62" t="e">
        <f t="shared" si="254"/>
        <v>#DIV/0!</v>
      </c>
      <c r="W312" s="259"/>
      <c r="X312" s="259"/>
    </row>
    <row r="313" spans="1:26">
      <c r="A313" s="55" t="str">
        <f>Home!$B$1</f>
        <v>Poland</v>
      </c>
      <c r="B313" s="56" t="s">
        <v>94</v>
      </c>
      <c r="C313" s="56" t="s">
        <v>130</v>
      </c>
      <c r="D313" s="56" t="s">
        <v>67</v>
      </c>
      <c r="E313" s="55" t="s">
        <v>264</v>
      </c>
      <c r="F313" s="57" t="s">
        <v>265</v>
      </c>
      <c r="G313" s="57" t="s">
        <v>15</v>
      </c>
      <c r="H313" s="57" t="s">
        <v>16</v>
      </c>
      <c r="I313" s="57"/>
      <c r="J313" s="57" t="s">
        <v>99</v>
      </c>
      <c r="K313" s="58"/>
      <c r="L313" s="80"/>
      <c r="M313" s="80"/>
      <c r="N313" s="80"/>
      <c r="O313" s="80"/>
      <c r="P313" s="80"/>
      <c r="Q313" s="80"/>
      <c r="R313" s="110">
        <f>Forecasting!R319</f>
        <v>0</v>
      </c>
      <c r="S313" s="110">
        <f>Forecasting!S319</f>
        <v>0</v>
      </c>
      <c r="T313" s="110">
        <f>Forecasting!T319</f>
        <v>0</v>
      </c>
      <c r="U313" s="110">
        <f>Forecasting!U319</f>
        <v>0</v>
      </c>
      <c r="V313" s="110">
        <f>Forecasting!V319</f>
        <v>0</v>
      </c>
      <c r="W313" s="106" t="e">
        <f>+(Q313/M313)^(1/4)-1</f>
        <v>#DIV/0!</v>
      </c>
      <c r="X313" s="106" t="e">
        <f>+(V313/Q313)^(1/5)-1</f>
        <v>#DIV/0!</v>
      </c>
    </row>
    <row r="314" spans="1:26">
      <c r="A314" s="57"/>
      <c r="B314" s="57"/>
      <c r="C314" s="61" t="s">
        <v>892</v>
      </c>
      <c r="D314" s="61"/>
      <c r="E314" s="61"/>
      <c r="F314" s="61"/>
      <c r="G314" s="61"/>
      <c r="H314" s="61"/>
      <c r="I314" s="61"/>
      <c r="J314" s="61" t="s">
        <v>58</v>
      </c>
      <c r="K314" s="58"/>
      <c r="L314" s="59"/>
      <c r="M314" s="62" t="e">
        <v>#DIV/0!</v>
      </c>
      <c r="N314" s="62" t="e">
        <f t="shared" ref="N314:V314" si="255">N313/M313-1</f>
        <v>#DIV/0!</v>
      </c>
      <c r="O314" s="62" t="e">
        <f t="shared" si="255"/>
        <v>#DIV/0!</v>
      </c>
      <c r="P314" s="62" t="e">
        <f t="shared" si="255"/>
        <v>#DIV/0!</v>
      </c>
      <c r="Q314" s="62" t="e">
        <f t="shared" si="255"/>
        <v>#DIV/0!</v>
      </c>
      <c r="R314" s="62" t="e">
        <f t="shared" si="255"/>
        <v>#DIV/0!</v>
      </c>
      <c r="S314" s="62" t="e">
        <f t="shared" si="255"/>
        <v>#DIV/0!</v>
      </c>
      <c r="T314" s="62" t="e">
        <f t="shared" si="255"/>
        <v>#DIV/0!</v>
      </c>
      <c r="U314" s="62" t="e">
        <f t="shared" si="255"/>
        <v>#DIV/0!</v>
      </c>
      <c r="V314" s="62" t="e">
        <f t="shared" si="255"/>
        <v>#DIV/0!</v>
      </c>
      <c r="W314" s="259"/>
      <c r="X314" s="259"/>
    </row>
    <row r="315" spans="1:26">
      <c r="A315" s="55" t="str">
        <f>Home!$B$1</f>
        <v>Poland</v>
      </c>
      <c r="B315" s="56" t="s">
        <v>94</v>
      </c>
      <c r="C315" s="56" t="s">
        <v>130</v>
      </c>
      <c r="D315" s="56" t="s">
        <v>67</v>
      </c>
      <c r="E315" s="55" t="s">
        <v>266</v>
      </c>
      <c r="F315" s="57" t="s">
        <v>267</v>
      </c>
      <c r="G315" s="57" t="s">
        <v>15</v>
      </c>
      <c r="H315" s="57" t="s">
        <v>16</v>
      </c>
      <c r="I315" s="57"/>
      <c r="J315" s="57" t="s">
        <v>99</v>
      </c>
      <c r="K315" s="58"/>
      <c r="L315" s="80"/>
      <c r="M315" s="80"/>
      <c r="N315" s="80"/>
      <c r="O315" s="80"/>
      <c r="P315" s="80"/>
      <c r="Q315" s="80"/>
      <c r="R315" s="110">
        <f>Forecasting!R321</f>
        <v>0</v>
      </c>
      <c r="S315" s="110">
        <f>Forecasting!S321</f>
        <v>0</v>
      </c>
      <c r="T315" s="110">
        <f>Forecasting!T321</f>
        <v>0</v>
      </c>
      <c r="U315" s="110">
        <f>Forecasting!U321</f>
        <v>0</v>
      </c>
      <c r="V315" s="110">
        <f>Forecasting!V321</f>
        <v>0</v>
      </c>
      <c r="W315" s="106" t="e">
        <f>+(Q315/M315)^(1/4)-1</f>
        <v>#DIV/0!</v>
      </c>
      <c r="X315" s="106" t="e">
        <f>+(V315/Q315)^(1/5)-1</f>
        <v>#DIV/0!</v>
      </c>
    </row>
    <row r="316" spans="1:26">
      <c r="A316" s="57"/>
      <c r="B316" s="57"/>
      <c r="C316" s="61" t="s">
        <v>892</v>
      </c>
      <c r="D316" s="61"/>
      <c r="E316" s="61"/>
      <c r="F316" s="61"/>
      <c r="G316" s="61"/>
      <c r="H316" s="61"/>
      <c r="I316" s="61"/>
      <c r="J316" s="61" t="s">
        <v>58</v>
      </c>
      <c r="K316" s="58"/>
      <c r="L316" s="59"/>
      <c r="M316" s="62" t="e">
        <v>#DIV/0!</v>
      </c>
      <c r="N316" s="62" t="e">
        <f t="shared" ref="N316:V316" si="256">N315/M315-1</f>
        <v>#DIV/0!</v>
      </c>
      <c r="O316" s="62" t="e">
        <f t="shared" si="256"/>
        <v>#DIV/0!</v>
      </c>
      <c r="P316" s="62" t="e">
        <f t="shared" si="256"/>
        <v>#DIV/0!</v>
      </c>
      <c r="Q316" s="62" t="e">
        <f t="shared" si="256"/>
        <v>#DIV/0!</v>
      </c>
      <c r="R316" s="62" t="e">
        <f t="shared" si="256"/>
        <v>#DIV/0!</v>
      </c>
      <c r="S316" s="62" t="e">
        <f t="shared" si="256"/>
        <v>#DIV/0!</v>
      </c>
      <c r="T316" s="62" t="e">
        <f t="shared" si="256"/>
        <v>#DIV/0!</v>
      </c>
      <c r="U316" s="62" t="e">
        <f t="shared" si="256"/>
        <v>#DIV/0!</v>
      </c>
      <c r="V316" s="62" t="e">
        <f t="shared" si="256"/>
        <v>#DIV/0!</v>
      </c>
      <c r="W316" s="259"/>
      <c r="X316" s="259"/>
    </row>
    <row r="317" spans="1:26">
      <c r="A317" s="55" t="str">
        <f>Home!$B$1</f>
        <v>Poland</v>
      </c>
      <c r="B317" s="56" t="s">
        <v>94</v>
      </c>
      <c r="C317" s="56" t="s">
        <v>130</v>
      </c>
      <c r="D317" s="56" t="s">
        <v>67</v>
      </c>
      <c r="E317" s="55" t="s">
        <v>268</v>
      </c>
      <c r="F317" s="57" t="s">
        <v>269</v>
      </c>
      <c r="G317" s="57" t="s">
        <v>15</v>
      </c>
      <c r="H317" s="57" t="s">
        <v>16</v>
      </c>
      <c r="I317" s="57"/>
      <c r="J317" s="57" t="s">
        <v>99</v>
      </c>
      <c r="K317" s="58"/>
      <c r="L317" s="80"/>
      <c r="M317" s="80"/>
      <c r="N317" s="80"/>
      <c r="O317" s="80"/>
      <c r="P317" s="80"/>
      <c r="Q317" s="80"/>
      <c r="R317" s="110">
        <f>Forecasting!R323</f>
        <v>0</v>
      </c>
      <c r="S317" s="110">
        <f>Forecasting!S323</f>
        <v>0</v>
      </c>
      <c r="T317" s="110">
        <f>Forecasting!T323</f>
        <v>0</v>
      </c>
      <c r="U317" s="110">
        <f>Forecasting!U323</f>
        <v>0</v>
      </c>
      <c r="V317" s="110">
        <f>Forecasting!V323</f>
        <v>0</v>
      </c>
      <c r="W317" s="106" t="e">
        <f>+(Q317/M317)^(1/4)-1</f>
        <v>#DIV/0!</v>
      </c>
      <c r="X317" s="106" t="e">
        <f>+(V317/Q317)^(1/5)-1</f>
        <v>#DIV/0!</v>
      </c>
    </row>
    <row r="318" spans="1:26">
      <c r="A318" s="57"/>
      <c r="B318" s="57"/>
      <c r="C318" s="61" t="s">
        <v>892</v>
      </c>
      <c r="D318" s="61"/>
      <c r="E318" s="61"/>
      <c r="F318" s="61"/>
      <c r="G318" s="61"/>
      <c r="H318" s="61"/>
      <c r="I318" s="61"/>
      <c r="J318" s="61" t="s">
        <v>58</v>
      </c>
      <c r="K318" s="58"/>
      <c r="L318" s="59"/>
      <c r="M318" s="62" t="e">
        <v>#DIV/0!</v>
      </c>
      <c r="N318" s="62" t="e">
        <f t="shared" ref="N318:V318" si="257">N317/M317-1</f>
        <v>#DIV/0!</v>
      </c>
      <c r="O318" s="62" t="e">
        <f t="shared" si="257"/>
        <v>#DIV/0!</v>
      </c>
      <c r="P318" s="62" t="e">
        <f t="shared" si="257"/>
        <v>#DIV/0!</v>
      </c>
      <c r="Q318" s="62" t="e">
        <f t="shared" si="257"/>
        <v>#DIV/0!</v>
      </c>
      <c r="R318" s="62" t="e">
        <f t="shared" si="257"/>
        <v>#DIV/0!</v>
      </c>
      <c r="S318" s="62" t="e">
        <f t="shared" si="257"/>
        <v>#DIV/0!</v>
      </c>
      <c r="T318" s="62" t="e">
        <f t="shared" si="257"/>
        <v>#DIV/0!</v>
      </c>
      <c r="U318" s="62" t="e">
        <f t="shared" si="257"/>
        <v>#DIV/0!</v>
      </c>
      <c r="V318" s="62" t="e">
        <f t="shared" si="257"/>
        <v>#DIV/0!</v>
      </c>
      <c r="W318" s="259"/>
      <c r="X318" s="259"/>
    </row>
    <row r="319" spans="1:26">
      <c r="A319" s="55" t="str">
        <f>Home!$B$1</f>
        <v>Poland</v>
      </c>
      <c r="B319" s="56" t="s">
        <v>94</v>
      </c>
      <c r="C319" s="56" t="s">
        <v>130</v>
      </c>
      <c r="D319" s="56" t="s">
        <v>67</v>
      </c>
      <c r="E319" s="55" t="s">
        <v>270</v>
      </c>
      <c r="F319" s="57" t="s">
        <v>271</v>
      </c>
      <c r="G319" s="57" t="s">
        <v>15</v>
      </c>
      <c r="H319" s="57" t="s">
        <v>16</v>
      </c>
      <c r="I319" s="57"/>
      <c r="J319" s="57" t="s">
        <v>99</v>
      </c>
      <c r="K319" s="58"/>
      <c r="L319" s="80"/>
      <c r="M319" s="80"/>
      <c r="N319" s="80"/>
      <c r="O319" s="80"/>
      <c r="P319" s="80"/>
      <c r="Q319" s="80"/>
      <c r="R319" s="110">
        <f>Forecasting!R325</f>
        <v>0</v>
      </c>
      <c r="S319" s="110">
        <f>Forecasting!S325</f>
        <v>0</v>
      </c>
      <c r="T319" s="110">
        <f>Forecasting!T325</f>
        <v>0</v>
      </c>
      <c r="U319" s="110">
        <f>Forecasting!U325</f>
        <v>0</v>
      </c>
      <c r="V319" s="110">
        <f>Forecasting!V325</f>
        <v>0</v>
      </c>
      <c r="W319" s="106" t="e">
        <f>+(Q319/M319)^(1/4)-1</f>
        <v>#DIV/0!</v>
      </c>
      <c r="X319" s="106" t="e">
        <f>+(V319/Q319)^(1/5)-1</f>
        <v>#DIV/0!</v>
      </c>
    </row>
    <row r="320" spans="1:26">
      <c r="A320" s="57"/>
      <c r="B320" s="57"/>
      <c r="C320" s="61" t="s">
        <v>892</v>
      </c>
      <c r="D320" s="61"/>
      <c r="E320" s="61"/>
      <c r="F320" s="61"/>
      <c r="G320" s="61"/>
      <c r="H320" s="61"/>
      <c r="I320" s="61"/>
      <c r="J320" s="61" t="s">
        <v>58</v>
      </c>
      <c r="K320" s="58"/>
      <c r="L320" s="59"/>
      <c r="M320" s="62" t="e">
        <v>#DIV/0!</v>
      </c>
      <c r="N320" s="62" t="e">
        <f t="shared" ref="N320:V320" si="258">N319/M319-1</f>
        <v>#DIV/0!</v>
      </c>
      <c r="O320" s="62" t="e">
        <f t="shared" si="258"/>
        <v>#DIV/0!</v>
      </c>
      <c r="P320" s="62" t="e">
        <f t="shared" si="258"/>
        <v>#DIV/0!</v>
      </c>
      <c r="Q320" s="62" t="e">
        <f t="shared" si="258"/>
        <v>#DIV/0!</v>
      </c>
      <c r="R320" s="62" t="e">
        <f t="shared" si="258"/>
        <v>#DIV/0!</v>
      </c>
      <c r="S320" s="62" t="e">
        <f t="shared" si="258"/>
        <v>#DIV/0!</v>
      </c>
      <c r="T320" s="62" t="e">
        <f t="shared" si="258"/>
        <v>#DIV/0!</v>
      </c>
      <c r="U320" s="62" t="e">
        <f t="shared" si="258"/>
        <v>#DIV/0!</v>
      </c>
      <c r="V320" s="62" t="e">
        <f t="shared" si="258"/>
        <v>#DIV/0!</v>
      </c>
      <c r="W320" s="259"/>
      <c r="X320" s="259"/>
    </row>
    <row r="321" spans="1:26">
      <c r="A321" s="55" t="str">
        <f>Home!$B$1</f>
        <v>Poland</v>
      </c>
      <c r="B321" s="56" t="s">
        <v>94</v>
      </c>
      <c r="C321" s="56" t="s">
        <v>130</v>
      </c>
      <c r="D321" s="56" t="s">
        <v>67</v>
      </c>
      <c r="E321" s="55" t="s">
        <v>272</v>
      </c>
      <c r="F321" s="57" t="s">
        <v>273</v>
      </c>
      <c r="G321" s="57" t="s">
        <v>15</v>
      </c>
      <c r="H321" s="57" t="s">
        <v>16</v>
      </c>
      <c r="I321" s="57"/>
      <c r="J321" s="57" t="s">
        <v>99</v>
      </c>
      <c r="K321" s="58">
        <v>406.84500000000003</v>
      </c>
      <c r="L321" s="80"/>
      <c r="M321" s="80"/>
      <c r="N321" s="80"/>
      <c r="O321" s="80"/>
      <c r="P321" s="80"/>
      <c r="Q321" s="80"/>
      <c r="R321" s="110">
        <f>Forecasting!R327</f>
        <v>0</v>
      </c>
      <c r="S321" s="110">
        <f>Forecasting!S327</f>
        <v>0</v>
      </c>
      <c r="T321" s="110">
        <f>Forecasting!T327</f>
        <v>0</v>
      </c>
      <c r="U321" s="110">
        <f>Forecasting!U327</f>
        <v>0</v>
      </c>
      <c r="V321" s="110">
        <f>Forecasting!V327</f>
        <v>0</v>
      </c>
      <c r="W321" s="106" t="e">
        <f>+(Q321/M321)^(1/4)-1</f>
        <v>#DIV/0!</v>
      </c>
      <c r="X321" s="106" t="e">
        <f>+(V321/Q321)^(1/5)-1</f>
        <v>#DIV/0!</v>
      </c>
      <c r="Z321" s="12"/>
    </row>
    <row r="322" spans="1:26">
      <c r="A322" s="57"/>
      <c r="B322" s="57"/>
      <c r="C322" s="61" t="s">
        <v>892</v>
      </c>
      <c r="D322" s="61"/>
      <c r="E322" s="61"/>
      <c r="F322" s="61"/>
      <c r="G322" s="61"/>
      <c r="H322" s="61"/>
      <c r="I322" s="61"/>
      <c r="J322" s="61" t="s">
        <v>58</v>
      </c>
      <c r="K322" s="58"/>
      <c r="L322" s="59"/>
      <c r="M322" s="62" t="e">
        <v>#DIV/0!</v>
      </c>
      <c r="N322" s="62" t="e">
        <f t="shared" ref="N322:V322" si="259">N321/M321-1</f>
        <v>#DIV/0!</v>
      </c>
      <c r="O322" s="62" t="e">
        <f t="shared" si="259"/>
        <v>#DIV/0!</v>
      </c>
      <c r="P322" s="62" t="e">
        <f t="shared" si="259"/>
        <v>#DIV/0!</v>
      </c>
      <c r="Q322" s="62" t="e">
        <f t="shared" si="259"/>
        <v>#DIV/0!</v>
      </c>
      <c r="R322" s="62" t="e">
        <f t="shared" si="259"/>
        <v>#DIV/0!</v>
      </c>
      <c r="S322" s="62" t="e">
        <f t="shared" si="259"/>
        <v>#DIV/0!</v>
      </c>
      <c r="T322" s="62" t="e">
        <f t="shared" si="259"/>
        <v>#DIV/0!</v>
      </c>
      <c r="U322" s="62" t="e">
        <f t="shared" si="259"/>
        <v>#DIV/0!</v>
      </c>
      <c r="V322" s="62" t="e">
        <f t="shared" si="259"/>
        <v>#DIV/0!</v>
      </c>
      <c r="W322" s="259"/>
      <c r="X322" s="259"/>
    </row>
    <row r="323" spans="1:26">
      <c r="A323" s="55" t="str">
        <f>Home!$B$1</f>
        <v>Poland</v>
      </c>
      <c r="B323" s="56" t="s">
        <v>94</v>
      </c>
      <c r="C323" s="56" t="s">
        <v>130</v>
      </c>
      <c r="D323" s="56" t="s">
        <v>67</v>
      </c>
      <c r="E323" s="55" t="s">
        <v>274</v>
      </c>
      <c r="F323" s="57" t="s">
        <v>275</v>
      </c>
      <c r="G323" s="57" t="s">
        <v>15</v>
      </c>
      <c r="H323" s="57" t="s">
        <v>16</v>
      </c>
      <c r="I323" s="57"/>
      <c r="J323" s="57" t="s">
        <v>99</v>
      </c>
      <c r="K323" s="58"/>
      <c r="L323" s="80"/>
      <c r="M323" s="80"/>
      <c r="N323" s="80"/>
      <c r="O323" s="80"/>
      <c r="P323" s="80"/>
      <c r="Q323" s="80"/>
      <c r="R323" s="110">
        <f>Forecasting!R329</f>
        <v>0</v>
      </c>
      <c r="S323" s="110">
        <f>Forecasting!S329</f>
        <v>0</v>
      </c>
      <c r="T323" s="110">
        <f>Forecasting!T329</f>
        <v>0</v>
      </c>
      <c r="U323" s="110">
        <f>Forecasting!U329</f>
        <v>0</v>
      </c>
      <c r="V323" s="110">
        <f>Forecasting!V329</f>
        <v>0</v>
      </c>
      <c r="W323" s="106" t="e">
        <f>+(Q323/M323)^(1/4)-1</f>
        <v>#DIV/0!</v>
      </c>
      <c r="X323" s="106" t="e">
        <f>+(V323/Q323)^(1/5)-1</f>
        <v>#DIV/0!</v>
      </c>
    </row>
    <row r="324" spans="1:26">
      <c r="A324" s="57"/>
      <c r="B324" s="57"/>
      <c r="C324" s="61" t="s">
        <v>892</v>
      </c>
      <c r="D324" s="61"/>
      <c r="E324" s="61"/>
      <c r="F324" s="61"/>
      <c r="G324" s="61"/>
      <c r="H324" s="61"/>
      <c r="I324" s="61"/>
      <c r="J324" s="61" t="s">
        <v>58</v>
      </c>
      <c r="K324" s="58"/>
      <c r="L324" s="59"/>
      <c r="M324" s="62" t="e">
        <v>#DIV/0!</v>
      </c>
      <c r="N324" s="62" t="e">
        <f t="shared" ref="N324:V324" si="260">N323/M323-1</f>
        <v>#DIV/0!</v>
      </c>
      <c r="O324" s="62" t="e">
        <f t="shared" si="260"/>
        <v>#DIV/0!</v>
      </c>
      <c r="P324" s="62" t="e">
        <f t="shared" si="260"/>
        <v>#DIV/0!</v>
      </c>
      <c r="Q324" s="62" t="e">
        <f t="shared" si="260"/>
        <v>#DIV/0!</v>
      </c>
      <c r="R324" s="62" t="e">
        <f t="shared" si="260"/>
        <v>#DIV/0!</v>
      </c>
      <c r="S324" s="62" t="e">
        <f t="shared" si="260"/>
        <v>#DIV/0!</v>
      </c>
      <c r="T324" s="62" t="e">
        <f t="shared" si="260"/>
        <v>#DIV/0!</v>
      </c>
      <c r="U324" s="62" t="e">
        <f t="shared" si="260"/>
        <v>#DIV/0!</v>
      </c>
      <c r="V324" s="62" t="e">
        <f t="shared" si="260"/>
        <v>#DIV/0!</v>
      </c>
      <c r="W324" s="259"/>
      <c r="X324" s="259"/>
    </row>
    <row r="325" spans="1:26">
      <c r="A325" s="55" t="str">
        <f>Home!$B$1</f>
        <v>Poland</v>
      </c>
      <c r="B325" s="56" t="s">
        <v>94</v>
      </c>
      <c r="C325" s="56" t="s">
        <v>130</v>
      </c>
      <c r="D325" s="56" t="s">
        <v>67</v>
      </c>
      <c r="E325" s="55" t="s">
        <v>276</v>
      </c>
      <c r="F325" s="57" t="s">
        <v>277</v>
      </c>
      <c r="G325" s="57" t="s">
        <v>15</v>
      </c>
      <c r="H325" s="57" t="s">
        <v>16</v>
      </c>
      <c r="I325" s="57"/>
      <c r="J325" s="57" t="s">
        <v>99</v>
      </c>
      <c r="K325" s="58">
        <v>3672.5839999999998</v>
      </c>
      <c r="L325" s="361">
        <f>'Seasonality&amp; Avg.stay'!B190</f>
        <v>123.40745448688544</v>
      </c>
      <c r="M325" s="361">
        <f>'Seasonality&amp; Avg.stay'!C190</f>
        <v>99.741090058025492</v>
      </c>
      <c r="N325" s="361">
        <f>'Seasonality&amp; Avg.stay'!D190</f>
        <v>81.830413484036725</v>
      </c>
      <c r="O325" s="361">
        <f>'Seasonality&amp; Avg.stay'!E190</f>
        <v>105.33740296639597</v>
      </c>
      <c r="P325" s="361">
        <f>'Seasonality&amp; Avg.stay'!F190</f>
        <v>108.12953300268218</v>
      </c>
      <c r="Q325" s="361">
        <f>'Seasonality&amp; Avg.stay'!G190</f>
        <v>117.02690217517498</v>
      </c>
      <c r="R325" s="110">
        <f>Forecasting!R331</f>
        <v>0</v>
      </c>
      <c r="S325" s="110">
        <f>Forecasting!S331</f>
        <v>0</v>
      </c>
      <c r="T325" s="110">
        <f>Forecasting!T331</f>
        <v>0</v>
      </c>
      <c r="U325" s="110">
        <f>Forecasting!U331</f>
        <v>0</v>
      </c>
      <c r="V325" s="110">
        <f>Forecasting!V331</f>
        <v>0</v>
      </c>
      <c r="W325" s="106">
        <f>+(Q325/M325)^(1/4)-1</f>
        <v>4.07655291629061E-2</v>
      </c>
      <c r="X325" s="106">
        <f>+(V325/Q325)^(1/5)-1</f>
        <v>-1</v>
      </c>
      <c r="Z325" s="12"/>
    </row>
    <row r="326" spans="1:26">
      <c r="A326" s="57"/>
      <c r="B326" s="57"/>
      <c r="C326" s="61" t="s">
        <v>892</v>
      </c>
      <c r="D326" s="61"/>
      <c r="E326" s="61"/>
      <c r="F326" s="61"/>
      <c r="G326" s="61"/>
      <c r="H326" s="61"/>
      <c r="I326" s="61"/>
      <c r="J326" s="61" t="s">
        <v>58</v>
      </c>
      <c r="K326" s="58"/>
      <c r="L326" s="59"/>
      <c r="M326" s="62">
        <f t="shared" ref="M326:V326" si="261">M325/L325-1</f>
        <v>-0.19177418841724014</v>
      </c>
      <c r="N326" s="62">
        <f t="shared" si="261"/>
        <v>-0.17957169471046519</v>
      </c>
      <c r="O326" s="62">
        <f t="shared" si="261"/>
        <v>0.2872647036904552</v>
      </c>
      <c r="P326" s="62">
        <f t="shared" si="261"/>
        <v>2.6506539535410267E-2</v>
      </c>
      <c r="Q326" s="62">
        <f t="shared" si="261"/>
        <v>8.2284357708935163E-2</v>
      </c>
      <c r="R326" s="62">
        <f t="shared" si="261"/>
        <v>-1</v>
      </c>
      <c r="S326" s="62" t="e">
        <f t="shared" si="261"/>
        <v>#DIV/0!</v>
      </c>
      <c r="T326" s="62" t="e">
        <f t="shared" si="261"/>
        <v>#DIV/0!</v>
      </c>
      <c r="U326" s="62" t="e">
        <f t="shared" si="261"/>
        <v>#DIV/0!</v>
      </c>
      <c r="V326" s="62" t="e">
        <f t="shared" si="261"/>
        <v>#DIV/0!</v>
      </c>
      <c r="W326" s="259"/>
      <c r="X326" s="259"/>
    </row>
    <row r="327" spans="1:26">
      <c r="A327" s="55" t="str">
        <f>Home!$B$1</f>
        <v>Poland</v>
      </c>
      <c r="B327" s="56" t="s">
        <v>94</v>
      </c>
      <c r="C327" s="56" t="s">
        <v>130</v>
      </c>
      <c r="D327" s="56" t="s">
        <v>67</v>
      </c>
      <c r="E327" s="55" t="s">
        <v>278</v>
      </c>
      <c r="F327" s="57" t="s">
        <v>279</v>
      </c>
      <c r="G327" s="57" t="s">
        <v>15</v>
      </c>
      <c r="H327" s="57" t="s">
        <v>16</v>
      </c>
      <c r="I327" s="57"/>
      <c r="J327" s="57" t="s">
        <v>99</v>
      </c>
      <c r="K327" s="58"/>
      <c r="L327" s="80"/>
      <c r="M327" s="80"/>
      <c r="N327" s="80"/>
      <c r="O327" s="80"/>
      <c r="P327" s="80"/>
      <c r="Q327" s="80"/>
      <c r="R327" s="110">
        <f>Forecasting!R333</f>
        <v>0</v>
      </c>
      <c r="S327" s="110">
        <f>Forecasting!S333</f>
        <v>0</v>
      </c>
      <c r="T327" s="110">
        <f>Forecasting!T333</f>
        <v>0</v>
      </c>
      <c r="U327" s="110">
        <f>Forecasting!U333</f>
        <v>0</v>
      </c>
      <c r="V327" s="110">
        <f>Forecasting!V333</f>
        <v>0</v>
      </c>
      <c r="W327" s="106" t="e">
        <f>+(Q327/M327)^(1/4)-1</f>
        <v>#DIV/0!</v>
      </c>
      <c r="X327" s="106" t="e">
        <f>+(V327/Q327)^(1/5)-1</f>
        <v>#DIV/0!</v>
      </c>
    </row>
    <row r="328" spans="1:26">
      <c r="A328" s="57"/>
      <c r="B328" s="57"/>
      <c r="C328" s="61" t="s">
        <v>892</v>
      </c>
      <c r="D328" s="61"/>
      <c r="E328" s="61"/>
      <c r="F328" s="61"/>
      <c r="G328" s="61"/>
      <c r="H328" s="61"/>
      <c r="I328" s="61"/>
      <c r="J328" s="61" t="s">
        <v>58</v>
      </c>
      <c r="K328" s="58"/>
      <c r="L328" s="59"/>
      <c r="M328" s="62" t="e">
        <v>#DIV/0!</v>
      </c>
      <c r="N328" s="62" t="e">
        <f t="shared" ref="N328:V328" si="262">N327/M327-1</f>
        <v>#DIV/0!</v>
      </c>
      <c r="O328" s="62" t="e">
        <f t="shared" si="262"/>
        <v>#DIV/0!</v>
      </c>
      <c r="P328" s="62" t="e">
        <f t="shared" si="262"/>
        <v>#DIV/0!</v>
      </c>
      <c r="Q328" s="62" t="e">
        <f t="shared" si="262"/>
        <v>#DIV/0!</v>
      </c>
      <c r="R328" s="62" t="e">
        <f t="shared" si="262"/>
        <v>#DIV/0!</v>
      </c>
      <c r="S328" s="62" t="e">
        <f t="shared" si="262"/>
        <v>#DIV/0!</v>
      </c>
      <c r="T328" s="62" t="e">
        <f t="shared" si="262"/>
        <v>#DIV/0!</v>
      </c>
      <c r="U328" s="62" t="e">
        <f t="shared" si="262"/>
        <v>#DIV/0!</v>
      </c>
      <c r="V328" s="62" t="e">
        <f t="shared" si="262"/>
        <v>#DIV/0!</v>
      </c>
      <c r="W328" s="259"/>
      <c r="X328" s="259"/>
    </row>
    <row r="329" spans="1:26">
      <c r="A329" s="55" t="str">
        <f>Home!$B$1</f>
        <v>Poland</v>
      </c>
      <c r="B329" s="56" t="s">
        <v>94</v>
      </c>
      <c r="C329" s="56" t="s">
        <v>130</v>
      </c>
      <c r="D329" s="56" t="s">
        <v>67</v>
      </c>
      <c r="E329" s="55" t="s">
        <v>280</v>
      </c>
      <c r="F329" s="57" t="s">
        <v>281</v>
      </c>
      <c r="G329" s="57" t="s">
        <v>15</v>
      </c>
      <c r="H329" s="57" t="s">
        <v>16</v>
      </c>
      <c r="I329" s="57"/>
      <c r="J329" s="57" t="s">
        <v>99</v>
      </c>
      <c r="K329" s="58"/>
      <c r="L329" s="80"/>
      <c r="M329" s="80"/>
      <c r="N329" s="80"/>
      <c r="O329" s="80"/>
      <c r="P329" s="80"/>
      <c r="Q329" s="80"/>
      <c r="R329" s="110">
        <f>Forecasting!R335</f>
        <v>0</v>
      </c>
      <c r="S329" s="110">
        <f>Forecasting!S335</f>
        <v>0</v>
      </c>
      <c r="T329" s="110">
        <f>Forecasting!T335</f>
        <v>0</v>
      </c>
      <c r="U329" s="110">
        <f>Forecasting!U335</f>
        <v>0</v>
      </c>
      <c r="V329" s="110">
        <f>Forecasting!V335</f>
        <v>0</v>
      </c>
      <c r="W329" s="106" t="e">
        <f>+(Q329/M329)^(1/4)-1</f>
        <v>#DIV/0!</v>
      </c>
      <c r="X329" s="106" t="e">
        <f>+(V329/Q329)^(1/5)-1</f>
        <v>#DIV/0!</v>
      </c>
    </row>
    <row r="330" spans="1:26">
      <c r="A330" s="57"/>
      <c r="B330" s="57"/>
      <c r="C330" s="61" t="s">
        <v>892</v>
      </c>
      <c r="D330" s="61"/>
      <c r="E330" s="61"/>
      <c r="F330" s="61"/>
      <c r="G330" s="61"/>
      <c r="H330" s="61"/>
      <c r="I330" s="61"/>
      <c r="J330" s="61" t="s">
        <v>58</v>
      </c>
      <c r="K330" s="58"/>
      <c r="L330" s="59"/>
      <c r="M330" s="62" t="e">
        <v>#DIV/0!</v>
      </c>
      <c r="N330" s="62" t="e">
        <f t="shared" ref="N330:V330" si="263">N329/M329-1</f>
        <v>#DIV/0!</v>
      </c>
      <c r="O330" s="62" t="e">
        <f t="shared" si="263"/>
        <v>#DIV/0!</v>
      </c>
      <c r="P330" s="62" t="e">
        <f t="shared" si="263"/>
        <v>#DIV/0!</v>
      </c>
      <c r="Q330" s="62" t="e">
        <f t="shared" si="263"/>
        <v>#DIV/0!</v>
      </c>
      <c r="R330" s="62" t="e">
        <f t="shared" si="263"/>
        <v>#DIV/0!</v>
      </c>
      <c r="S330" s="62" t="e">
        <f t="shared" si="263"/>
        <v>#DIV/0!</v>
      </c>
      <c r="T330" s="62" t="e">
        <f t="shared" si="263"/>
        <v>#DIV/0!</v>
      </c>
      <c r="U330" s="62" t="e">
        <f t="shared" si="263"/>
        <v>#DIV/0!</v>
      </c>
      <c r="V330" s="62" t="e">
        <f t="shared" si="263"/>
        <v>#DIV/0!</v>
      </c>
      <c r="W330" s="259"/>
      <c r="X330" s="259"/>
    </row>
    <row r="331" spans="1:26">
      <c r="A331" s="55" t="str">
        <f>Home!$B$1</f>
        <v>Poland</v>
      </c>
      <c r="B331" s="56" t="s">
        <v>94</v>
      </c>
      <c r="C331" s="56" t="s">
        <v>130</v>
      </c>
      <c r="D331" s="56" t="s">
        <v>67</v>
      </c>
      <c r="E331" s="55" t="s">
        <v>282</v>
      </c>
      <c r="F331" s="57" t="s">
        <v>283</v>
      </c>
      <c r="G331" s="57" t="s">
        <v>15</v>
      </c>
      <c r="H331" s="57" t="s">
        <v>16</v>
      </c>
      <c r="I331" s="57"/>
      <c r="J331" s="57" t="s">
        <v>99</v>
      </c>
      <c r="K331" s="58"/>
      <c r="L331" s="80"/>
      <c r="M331" s="80"/>
      <c r="N331" s="80"/>
      <c r="O331" s="80"/>
      <c r="P331" s="80"/>
      <c r="Q331" s="80"/>
      <c r="R331" s="110">
        <f>Forecasting!R337</f>
        <v>0</v>
      </c>
      <c r="S331" s="110">
        <f>Forecasting!S337</f>
        <v>0</v>
      </c>
      <c r="T331" s="110">
        <f>Forecasting!T337</f>
        <v>0</v>
      </c>
      <c r="U331" s="110">
        <f>Forecasting!U337</f>
        <v>0</v>
      </c>
      <c r="V331" s="110">
        <f>Forecasting!V337</f>
        <v>0</v>
      </c>
      <c r="W331" s="106" t="e">
        <f>+(Q331/M331)^(1/4)-1</f>
        <v>#DIV/0!</v>
      </c>
      <c r="X331" s="106" t="e">
        <f>+(V331/Q331)^(1/5)-1</f>
        <v>#DIV/0!</v>
      </c>
    </row>
    <row r="332" spans="1:26">
      <c r="A332" s="57"/>
      <c r="B332" s="57"/>
      <c r="C332" s="61" t="s">
        <v>892</v>
      </c>
      <c r="D332" s="61"/>
      <c r="E332" s="61"/>
      <c r="F332" s="61"/>
      <c r="G332" s="61"/>
      <c r="H332" s="61"/>
      <c r="I332" s="61"/>
      <c r="J332" s="61" t="s">
        <v>58</v>
      </c>
      <c r="K332" s="58"/>
      <c r="L332" s="59"/>
      <c r="M332" s="62" t="e">
        <v>#DIV/0!</v>
      </c>
      <c r="N332" s="62" t="e">
        <f t="shared" ref="N332:V332" si="264">N331/M331-1</f>
        <v>#DIV/0!</v>
      </c>
      <c r="O332" s="62" t="e">
        <f t="shared" si="264"/>
        <v>#DIV/0!</v>
      </c>
      <c r="P332" s="62" t="e">
        <f t="shared" si="264"/>
        <v>#DIV/0!</v>
      </c>
      <c r="Q332" s="62" t="e">
        <f t="shared" si="264"/>
        <v>#DIV/0!</v>
      </c>
      <c r="R332" s="62" t="e">
        <f t="shared" si="264"/>
        <v>#DIV/0!</v>
      </c>
      <c r="S332" s="62" t="e">
        <f t="shared" si="264"/>
        <v>#DIV/0!</v>
      </c>
      <c r="T332" s="62" t="e">
        <f t="shared" si="264"/>
        <v>#DIV/0!</v>
      </c>
      <c r="U332" s="62" t="e">
        <f t="shared" si="264"/>
        <v>#DIV/0!</v>
      </c>
      <c r="V332" s="62" t="e">
        <f t="shared" si="264"/>
        <v>#DIV/0!</v>
      </c>
      <c r="W332" s="259"/>
      <c r="X332" s="259"/>
    </row>
    <row r="333" spans="1:26">
      <c r="A333" s="55" t="str">
        <f>Home!$B$1</f>
        <v>Poland</v>
      </c>
      <c r="B333" s="56" t="s">
        <v>94</v>
      </c>
      <c r="C333" s="56" t="s">
        <v>130</v>
      </c>
      <c r="D333" s="56" t="s">
        <v>67</v>
      </c>
      <c r="E333" s="55" t="s">
        <v>284</v>
      </c>
      <c r="F333" s="57" t="s">
        <v>285</v>
      </c>
      <c r="G333" s="57" t="s">
        <v>15</v>
      </c>
      <c r="H333" s="57" t="s">
        <v>16</v>
      </c>
      <c r="I333" s="57"/>
      <c r="J333" s="57" t="s">
        <v>99</v>
      </c>
      <c r="K333" s="58"/>
      <c r="L333" s="80"/>
      <c r="M333" s="80"/>
      <c r="N333" s="80"/>
      <c r="O333" s="80"/>
      <c r="P333" s="80"/>
      <c r="Q333" s="80"/>
      <c r="R333" s="110">
        <f>Forecasting!R339</f>
        <v>0</v>
      </c>
      <c r="S333" s="110">
        <f>Forecasting!S339</f>
        <v>0</v>
      </c>
      <c r="T333" s="110">
        <f>Forecasting!T339</f>
        <v>0</v>
      </c>
      <c r="U333" s="110">
        <f>Forecasting!U339</f>
        <v>0</v>
      </c>
      <c r="V333" s="110">
        <f>Forecasting!V339</f>
        <v>0</v>
      </c>
      <c r="W333" s="106" t="e">
        <f>+(Q333/M333)^(1/4)-1</f>
        <v>#DIV/0!</v>
      </c>
      <c r="X333" s="106" t="e">
        <f>+(V333/Q333)^(1/5)-1</f>
        <v>#DIV/0!</v>
      </c>
    </row>
    <row r="334" spans="1:26">
      <c r="A334" s="57"/>
      <c r="B334" s="57"/>
      <c r="C334" s="61" t="s">
        <v>892</v>
      </c>
      <c r="D334" s="61"/>
      <c r="E334" s="61"/>
      <c r="F334" s="61"/>
      <c r="G334" s="61"/>
      <c r="H334" s="61"/>
      <c r="I334" s="61"/>
      <c r="J334" s="61" t="s">
        <v>58</v>
      </c>
      <c r="K334" s="58"/>
      <c r="L334" s="59"/>
      <c r="M334" s="62" t="e">
        <v>#DIV/0!</v>
      </c>
      <c r="N334" s="62" t="e">
        <f t="shared" ref="N334:V334" si="265">N333/M333-1</f>
        <v>#DIV/0!</v>
      </c>
      <c r="O334" s="62" t="e">
        <f t="shared" si="265"/>
        <v>#DIV/0!</v>
      </c>
      <c r="P334" s="62" t="e">
        <f t="shared" si="265"/>
        <v>#DIV/0!</v>
      </c>
      <c r="Q334" s="62" t="e">
        <f t="shared" si="265"/>
        <v>#DIV/0!</v>
      </c>
      <c r="R334" s="62" t="e">
        <f t="shared" si="265"/>
        <v>#DIV/0!</v>
      </c>
      <c r="S334" s="62" t="e">
        <f t="shared" si="265"/>
        <v>#DIV/0!</v>
      </c>
      <c r="T334" s="62" t="e">
        <f t="shared" si="265"/>
        <v>#DIV/0!</v>
      </c>
      <c r="U334" s="62" t="e">
        <f t="shared" si="265"/>
        <v>#DIV/0!</v>
      </c>
      <c r="V334" s="62" t="e">
        <f t="shared" si="265"/>
        <v>#DIV/0!</v>
      </c>
      <c r="W334" s="259"/>
      <c r="X334" s="259"/>
    </row>
    <row r="335" spans="1:26">
      <c r="A335" s="55" t="str">
        <f>Home!$B$1</f>
        <v>Poland</v>
      </c>
      <c r="B335" s="56" t="s">
        <v>94</v>
      </c>
      <c r="C335" s="56" t="s">
        <v>130</v>
      </c>
      <c r="D335" s="56" t="s">
        <v>67</v>
      </c>
      <c r="E335" s="55" t="s">
        <v>286</v>
      </c>
      <c r="F335" s="57" t="s">
        <v>287</v>
      </c>
      <c r="G335" s="57" t="s">
        <v>15</v>
      </c>
      <c r="H335" s="57" t="s">
        <v>16</v>
      </c>
      <c r="I335" s="57"/>
      <c r="J335" s="57" t="s">
        <v>99</v>
      </c>
      <c r="K335" s="58"/>
      <c r="L335" s="80"/>
      <c r="M335" s="80"/>
      <c r="N335" s="80"/>
      <c r="O335" s="80"/>
      <c r="P335" s="80"/>
      <c r="Q335" s="80"/>
      <c r="R335" s="110">
        <f>Forecasting!R341</f>
        <v>0</v>
      </c>
      <c r="S335" s="110">
        <f>Forecasting!S341</f>
        <v>0</v>
      </c>
      <c r="T335" s="110">
        <f>Forecasting!T341</f>
        <v>0</v>
      </c>
      <c r="U335" s="110">
        <f>Forecasting!U341</f>
        <v>0</v>
      </c>
      <c r="V335" s="110">
        <f>Forecasting!V341</f>
        <v>0</v>
      </c>
      <c r="W335" s="106" t="e">
        <f>+(Q335/M335)^(1/4)-1</f>
        <v>#DIV/0!</v>
      </c>
      <c r="X335" s="106" t="e">
        <f>+(V335/Q335)^(1/5)-1</f>
        <v>#DIV/0!</v>
      </c>
    </row>
    <row r="336" spans="1:26">
      <c r="A336" s="57"/>
      <c r="B336" s="57"/>
      <c r="C336" s="61" t="s">
        <v>892</v>
      </c>
      <c r="D336" s="61"/>
      <c r="E336" s="61"/>
      <c r="F336" s="61"/>
      <c r="G336" s="61"/>
      <c r="H336" s="61"/>
      <c r="I336" s="61"/>
      <c r="J336" s="61" t="s">
        <v>58</v>
      </c>
      <c r="K336" s="58"/>
      <c r="L336" s="59"/>
      <c r="M336" s="62" t="e">
        <v>#DIV/0!</v>
      </c>
      <c r="N336" s="62" t="e">
        <f t="shared" ref="N336:V336" si="266">N335/M335-1</f>
        <v>#DIV/0!</v>
      </c>
      <c r="O336" s="62" t="e">
        <f t="shared" si="266"/>
        <v>#DIV/0!</v>
      </c>
      <c r="P336" s="62" t="e">
        <f t="shared" si="266"/>
        <v>#DIV/0!</v>
      </c>
      <c r="Q336" s="62" t="e">
        <f t="shared" si="266"/>
        <v>#DIV/0!</v>
      </c>
      <c r="R336" s="62" t="e">
        <f t="shared" si="266"/>
        <v>#DIV/0!</v>
      </c>
      <c r="S336" s="62" t="e">
        <f t="shared" si="266"/>
        <v>#DIV/0!</v>
      </c>
      <c r="T336" s="62" t="e">
        <f t="shared" si="266"/>
        <v>#DIV/0!</v>
      </c>
      <c r="U336" s="62" t="e">
        <f t="shared" si="266"/>
        <v>#DIV/0!</v>
      </c>
      <c r="V336" s="62" t="e">
        <f t="shared" si="266"/>
        <v>#DIV/0!</v>
      </c>
      <c r="W336" s="259"/>
      <c r="X336" s="259"/>
    </row>
    <row r="337" spans="1:26">
      <c r="A337" s="55" t="str">
        <f>Home!$B$1</f>
        <v>Poland</v>
      </c>
      <c r="B337" s="56" t="s">
        <v>94</v>
      </c>
      <c r="C337" s="56" t="s">
        <v>130</v>
      </c>
      <c r="D337" s="56" t="s">
        <v>67</v>
      </c>
      <c r="E337" s="55" t="s">
        <v>288</v>
      </c>
      <c r="F337" s="57" t="s">
        <v>289</v>
      </c>
      <c r="G337" s="57" t="s">
        <v>15</v>
      </c>
      <c r="H337" s="57" t="s">
        <v>16</v>
      </c>
      <c r="I337" s="57"/>
      <c r="J337" s="57" t="s">
        <v>99</v>
      </c>
      <c r="K337" s="58"/>
      <c r="L337" s="80"/>
      <c r="M337" s="80"/>
      <c r="N337" s="80"/>
      <c r="O337" s="80"/>
      <c r="P337" s="80"/>
      <c r="Q337" s="80"/>
      <c r="R337" s="110">
        <f>Forecasting!R343</f>
        <v>0</v>
      </c>
      <c r="S337" s="110">
        <f>Forecasting!S343</f>
        <v>0</v>
      </c>
      <c r="T337" s="110">
        <f>Forecasting!T343</f>
        <v>0</v>
      </c>
      <c r="U337" s="110">
        <f>Forecasting!U343</f>
        <v>0</v>
      </c>
      <c r="V337" s="110">
        <f>Forecasting!V343</f>
        <v>0</v>
      </c>
      <c r="W337" s="106" t="e">
        <f>+(Q337/M337)^(1/4)-1</f>
        <v>#DIV/0!</v>
      </c>
      <c r="X337" s="106" t="e">
        <f>+(V337/Q337)^(1/5)-1</f>
        <v>#DIV/0!</v>
      </c>
    </row>
    <row r="338" spans="1:26">
      <c r="A338" s="57"/>
      <c r="B338" s="57"/>
      <c r="C338" s="61" t="s">
        <v>892</v>
      </c>
      <c r="D338" s="61"/>
      <c r="E338" s="61"/>
      <c r="F338" s="61"/>
      <c r="G338" s="61"/>
      <c r="H338" s="61"/>
      <c r="I338" s="61"/>
      <c r="J338" s="61" t="s">
        <v>58</v>
      </c>
      <c r="K338" s="58"/>
      <c r="L338" s="59"/>
      <c r="M338" s="62" t="e">
        <v>#DIV/0!</v>
      </c>
      <c r="N338" s="62" t="e">
        <f t="shared" ref="N338:V338" si="267">N337/M337-1</f>
        <v>#DIV/0!</v>
      </c>
      <c r="O338" s="62" t="e">
        <f t="shared" si="267"/>
        <v>#DIV/0!</v>
      </c>
      <c r="P338" s="62" t="e">
        <f t="shared" si="267"/>
        <v>#DIV/0!</v>
      </c>
      <c r="Q338" s="62" t="e">
        <f t="shared" si="267"/>
        <v>#DIV/0!</v>
      </c>
      <c r="R338" s="62" t="e">
        <f t="shared" si="267"/>
        <v>#DIV/0!</v>
      </c>
      <c r="S338" s="62" t="e">
        <f t="shared" si="267"/>
        <v>#DIV/0!</v>
      </c>
      <c r="T338" s="62" t="e">
        <f t="shared" si="267"/>
        <v>#DIV/0!</v>
      </c>
      <c r="U338" s="62" t="e">
        <f t="shared" si="267"/>
        <v>#DIV/0!</v>
      </c>
      <c r="V338" s="62" t="e">
        <f t="shared" si="267"/>
        <v>#DIV/0!</v>
      </c>
      <c r="W338" s="259"/>
      <c r="X338" s="259"/>
    </row>
    <row r="339" spans="1:26">
      <c r="A339" s="55" t="str">
        <f>Home!$B$1</f>
        <v>Poland</v>
      </c>
      <c r="B339" s="56" t="s">
        <v>94</v>
      </c>
      <c r="C339" s="56" t="s">
        <v>130</v>
      </c>
      <c r="D339" s="56" t="s">
        <v>67</v>
      </c>
      <c r="E339" s="55" t="s">
        <v>290</v>
      </c>
      <c r="F339" s="57" t="s">
        <v>291</v>
      </c>
      <c r="G339" s="57" t="s">
        <v>15</v>
      </c>
      <c r="H339" s="57" t="s">
        <v>16</v>
      </c>
      <c r="I339" s="57"/>
      <c r="J339" s="57" t="s">
        <v>99</v>
      </c>
      <c r="K339" s="58"/>
      <c r="L339" s="80"/>
      <c r="M339" s="80"/>
      <c r="N339" s="80"/>
      <c r="O339" s="80"/>
      <c r="P339" s="80"/>
      <c r="Q339" s="80"/>
      <c r="R339" s="110">
        <f>Forecasting!R345</f>
        <v>0</v>
      </c>
      <c r="S339" s="110">
        <f>Forecasting!S345</f>
        <v>0</v>
      </c>
      <c r="T339" s="110">
        <f>Forecasting!T345</f>
        <v>0</v>
      </c>
      <c r="U339" s="110">
        <f>Forecasting!U345</f>
        <v>0</v>
      </c>
      <c r="V339" s="110">
        <f>Forecasting!V345</f>
        <v>0</v>
      </c>
      <c r="W339" s="106" t="e">
        <f>+(Q339/M339)^(1/4)-1</f>
        <v>#DIV/0!</v>
      </c>
      <c r="X339" s="106" t="e">
        <f>+(V339/Q339)^(1/5)-1</f>
        <v>#DIV/0!</v>
      </c>
    </row>
    <row r="340" spans="1:26">
      <c r="A340" s="57"/>
      <c r="B340" s="57"/>
      <c r="C340" s="61" t="s">
        <v>892</v>
      </c>
      <c r="D340" s="61"/>
      <c r="E340" s="61"/>
      <c r="F340" s="61"/>
      <c r="G340" s="61"/>
      <c r="H340" s="61"/>
      <c r="I340" s="61"/>
      <c r="J340" s="61" t="s">
        <v>58</v>
      </c>
      <c r="K340" s="58"/>
      <c r="L340" s="59"/>
      <c r="M340" s="62" t="e">
        <v>#DIV/0!</v>
      </c>
      <c r="N340" s="62" t="e">
        <f t="shared" ref="N340:V340" si="268">N339/M339-1</f>
        <v>#DIV/0!</v>
      </c>
      <c r="O340" s="62" t="e">
        <f t="shared" si="268"/>
        <v>#DIV/0!</v>
      </c>
      <c r="P340" s="62" t="e">
        <f t="shared" si="268"/>
        <v>#DIV/0!</v>
      </c>
      <c r="Q340" s="62" t="e">
        <f t="shared" si="268"/>
        <v>#DIV/0!</v>
      </c>
      <c r="R340" s="62" t="e">
        <f t="shared" si="268"/>
        <v>#DIV/0!</v>
      </c>
      <c r="S340" s="62" t="e">
        <f t="shared" si="268"/>
        <v>#DIV/0!</v>
      </c>
      <c r="T340" s="62" t="e">
        <f t="shared" si="268"/>
        <v>#DIV/0!</v>
      </c>
      <c r="U340" s="62" t="e">
        <f t="shared" si="268"/>
        <v>#DIV/0!</v>
      </c>
      <c r="V340" s="62" t="e">
        <f t="shared" si="268"/>
        <v>#DIV/0!</v>
      </c>
      <c r="W340" s="259"/>
      <c r="X340" s="259"/>
    </row>
    <row r="341" spans="1:26">
      <c r="A341" s="55" t="str">
        <f>Home!$B$1</f>
        <v>Poland</v>
      </c>
      <c r="B341" s="56" t="s">
        <v>94</v>
      </c>
      <c r="C341" s="56" t="s">
        <v>130</v>
      </c>
      <c r="D341" s="56" t="s">
        <v>67</v>
      </c>
      <c r="E341" s="55" t="s">
        <v>292</v>
      </c>
      <c r="F341" s="57" t="s">
        <v>293</v>
      </c>
      <c r="G341" s="57" t="s">
        <v>15</v>
      </c>
      <c r="H341" s="57" t="s">
        <v>16</v>
      </c>
      <c r="I341" s="57"/>
      <c r="J341" s="57" t="s">
        <v>99</v>
      </c>
      <c r="K341" s="58"/>
      <c r="L341" s="80"/>
      <c r="M341" s="80"/>
      <c r="N341" s="80"/>
      <c r="O341" s="80"/>
      <c r="P341" s="80"/>
      <c r="Q341" s="80"/>
      <c r="R341" s="110">
        <f>Forecasting!R347</f>
        <v>0</v>
      </c>
      <c r="S341" s="110">
        <f>Forecasting!S347</f>
        <v>0</v>
      </c>
      <c r="T341" s="110">
        <f>Forecasting!T347</f>
        <v>0</v>
      </c>
      <c r="U341" s="110">
        <f>Forecasting!U347</f>
        <v>0</v>
      </c>
      <c r="V341" s="110">
        <f>Forecasting!V347</f>
        <v>0</v>
      </c>
      <c r="W341" s="106" t="e">
        <f>+(Q341/M341)^(1/4)-1</f>
        <v>#DIV/0!</v>
      </c>
      <c r="X341" s="106" t="e">
        <f>+(V341/Q341)^(1/5)-1</f>
        <v>#DIV/0!</v>
      </c>
    </row>
    <row r="342" spans="1:26">
      <c r="A342" s="57"/>
      <c r="B342" s="57"/>
      <c r="C342" s="61" t="s">
        <v>892</v>
      </c>
      <c r="D342" s="61"/>
      <c r="E342" s="61"/>
      <c r="F342" s="61"/>
      <c r="G342" s="61"/>
      <c r="H342" s="61"/>
      <c r="I342" s="61"/>
      <c r="J342" s="61" t="s">
        <v>58</v>
      </c>
      <c r="K342" s="58"/>
      <c r="L342" s="59"/>
      <c r="M342" s="62" t="e">
        <v>#DIV/0!</v>
      </c>
      <c r="N342" s="62" t="e">
        <f t="shared" ref="N342:V342" si="269">N341/M341-1</f>
        <v>#DIV/0!</v>
      </c>
      <c r="O342" s="62" t="e">
        <f t="shared" si="269"/>
        <v>#DIV/0!</v>
      </c>
      <c r="P342" s="62" t="e">
        <f t="shared" si="269"/>
        <v>#DIV/0!</v>
      </c>
      <c r="Q342" s="62" t="e">
        <f t="shared" si="269"/>
        <v>#DIV/0!</v>
      </c>
      <c r="R342" s="62" t="e">
        <f t="shared" si="269"/>
        <v>#DIV/0!</v>
      </c>
      <c r="S342" s="62" t="e">
        <f t="shared" si="269"/>
        <v>#DIV/0!</v>
      </c>
      <c r="T342" s="62" t="e">
        <f t="shared" si="269"/>
        <v>#DIV/0!</v>
      </c>
      <c r="U342" s="62" t="e">
        <f t="shared" si="269"/>
        <v>#DIV/0!</v>
      </c>
      <c r="V342" s="62" t="e">
        <f t="shared" si="269"/>
        <v>#DIV/0!</v>
      </c>
      <c r="W342" s="259"/>
      <c r="X342" s="259"/>
    </row>
    <row r="343" spans="1:26">
      <c r="A343" s="55" t="str">
        <f>Home!$B$1</f>
        <v>Poland</v>
      </c>
      <c r="B343" s="56" t="s">
        <v>94</v>
      </c>
      <c r="C343" s="56" t="s">
        <v>130</v>
      </c>
      <c r="D343" s="56" t="s">
        <v>67</v>
      </c>
      <c r="E343" s="55" t="s">
        <v>294</v>
      </c>
      <c r="F343" s="57" t="s">
        <v>295</v>
      </c>
      <c r="G343" s="57" t="s">
        <v>15</v>
      </c>
      <c r="H343" s="57" t="s">
        <v>16</v>
      </c>
      <c r="I343" s="57"/>
      <c r="J343" s="57" t="s">
        <v>99</v>
      </c>
      <c r="K343" s="58"/>
      <c r="L343" s="80"/>
      <c r="M343" s="80"/>
      <c r="N343" s="80"/>
      <c r="O343" s="80"/>
      <c r="P343" s="80"/>
      <c r="Q343" s="80"/>
      <c r="R343" s="110">
        <f>Forecasting!R349</f>
        <v>0</v>
      </c>
      <c r="S343" s="110">
        <f>Forecasting!S349</f>
        <v>0</v>
      </c>
      <c r="T343" s="110">
        <f>Forecasting!T349</f>
        <v>0</v>
      </c>
      <c r="U343" s="110">
        <f>Forecasting!U349</f>
        <v>0</v>
      </c>
      <c r="V343" s="110">
        <f>Forecasting!V349</f>
        <v>0</v>
      </c>
      <c r="W343" s="106" t="e">
        <f>+(Q343/M343)^(1/4)-1</f>
        <v>#DIV/0!</v>
      </c>
      <c r="X343" s="106" t="e">
        <f>+(V343/Q343)^(1/5)-1</f>
        <v>#DIV/0!</v>
      </c>
    </row>
    <row r="344" spans="1:26">
      <c r="A344" s="57"/>
      <c r="B344" s="57"/>
      <c r="C344" s="61" t="s">
        <v>892</v>
      </c>
      <c r="D344" s="61"/>
      <c r="E344" s="61"/>
      <c r="F344" s="61"/>
      <c r="G344" s="61"/>
      <c r="H344" s="61"/>
      <c r="I344" s="61"/>
      <c r="J344" s="61" t="s">
        <v>58</v>
      </c>
      <c r="K344" s="58"/>
      <c r="L344" s="59"/>
      <c r="M344" s="62" t="e">
        <v>#DIV/0!</v>
      </c>
      <c r="N344" s="62" t="e">
        <f t="shared" ref="N344:V344" si="270">N343/M343-1</f>
        <v>#DIV/0!</v>
      </c>
      <c r="O344" s="62" t="e">
        <f t="shared" si="270"/>
        <v>#DIV/0!</v>
      </c>
      <c r="P344" s="62" t="e">
        <f t="shared" si="270"/>
        <v>#DIV/0!</v>
      </c>
      <c r="Q344" s="62" t="e">
        <f t="shared" si="270"/>
        <v>#DIV/0!</v>
      </c>
      <c r="R344" s="62" t="e">
        <f t="shared" si="270"/>
        <v>#DIV/0!</v>
      </c>
      <c r="S344" s="62" t="e">
        <f t="shared" si="270"/>
        <v>#DIV/0!</v>
      </c>
      <c r="T344" s="62" t="e">
        <f t="shared" si="270"/>
        <v>#DIV/0!</v>
      </c>
      <c r="U344" s="62" t="e">
        <f t="shared" si="270"/>
        <v>#DIV/0!</v>
      </c>
      <c r="V344" s="62" t="e">
        <f t="shared" si="270"/>
        <v>#DIV/0!</v>
      </c>
      <c r="W344" s="259"/>
      <c r="X344" s="259"/>
    </row>
    <row r="345" spans="1:26">
      <c r="A345" s="55" t="str">
        <f>Home!$B$1</f>
        <v>Poland</v>
      </c>
      <c r="B345" s="56" t="s">
        <v>94</v>
      </c>
      <c r="C345" s="56" t="s">
        <v>130</v>
      </c>
      <c r="D345" s="56" t="s">
        <v>67</v>
      </c>
      <c r="E345" s="55" t="s">
        <v>296</v>
      </c>
      <c r="F345" s="57" t="s">
        <v>297</v>
      </c>
      <c r="G345" s="57" t="s">
        <v>15</v>
      </c>
      <c r="H345" s="57" t="s">
        <v>16</v>
      </c>
      <c r="I345" s="57"/>
      <c r="J345" s="57" t="s">
        <v>99</v>
      </c>
      <c r="K345" s="58"/>
      <c r="L345" s="80"/>
      <c r="M345" s="80"/>
      <c r="N345" s="80"/>
      <c r="O345" s="80"/>
      <c r="P345" s="80"/>
      <c r="Q345" s="80"/>
      <c r="R345" s="110">
        <f>Forecasting!R351</f>
        <v>0</v>
      </c>
      <c r="S345" s="110">
        <f>Forecasting!S351</f>
        <v>0</v>
      </c>
      <c r="T345" s="110">
        <f>Forecasting!T351</f>
        <v>0</v>
      </c>
      <c r="U345" s="110">
        <f>Forecasting!U351</f>
        <v>0</v>
      </c>
      <c r="V345" s="110">
        <f>Forecasting!V351</f>
        <v>0</v>
      </c>
      <c r="W345" s="106" t="e">
        <f>+(Q345/M345)^(1/4)-1</f>
        <v>#DIV/0!</v>
      </c>
      <c r="X345" s="106" t="e">
        <f>+(V345/Q345)^(1/5)-1</f>
        <v>#DIV/0!</v>
      </c>
    </row>
    <row r="346" spans="1:26">
      <c r="A346" s="57"/>
      <c r="B346" s="57"/>
      <c r="C346" s="61" t="s">
        <v>892</v>
      </c>
      <c r="D346" s="61"/>
      <c r="E346" s="61"/>
      <c r="F346" s="61"/>
      <c r="G346" s="61"/>
      <c r="H346" s="61"/>
      <c r="I346" s="61"/>
      <c r="J346" s="61" t="s">
        <v>58</v>
      </c>
      <c r="K346" s="58"/>
      <c r="L346" s="59"/>
      <c r="M346" s="62" t="e">
        <v>#DIV/0!</v>
      </c>
      <c r="N346" s="62" t="e">
        <f t="shared" ref="N346:V346" si="271">N345/M345-1</f>
        <v>#DIV/0!</v>
      </c>
      <c r="O346" s="62" t="e">
        <f t="shared" si="271"/>
        <v>#DIV/0!</v>
      </c>
      <c r="P346" s="62" t="e">
        <f t="shared" si="271"/>
        <v>#DIV/0!</v>
      </c>
      <c r="Q346" s="62" t="e">
        <f t="shared" si="271"/>
        <v>#DIV/0!</v>
      </c>
      <c r="R346" s="62" t="e">
        <f t="shared" si="271"/>
        <v>#DIV/0!</v>
      </c>
      <c r="S346" s="62" t="e">
        <f t="shared" si="271"/>
        <v>#DIV/0!</v>
      </c>
      <c r="T346" s="62" t="e">
        <f t="shared" si="271"/>
        <v>#DIV/0!</v>
      </c>
      <c r="U346" s="62" t="e">
        <f t="shared" si="271"/>
        <v>#DIV/0!</v>
      </c>
      <c r="V346" s="62" t="e">
        <f t="shared" si="271"/>
        <v>#DIV/0!</v>
      </c>
      <c r="W346" s="259"/>
      <c r="X346" s="259"/>
    </row>
    <row r="347" spans="1:26">
      <c r="A347" s="55" t="str">
        <f>Home!$B$1</f>
        <v>Poland</v>
      </c>
      <c r="B347" s="56" t="s">
        <v>94</v>
      </c>
      <c r="C347" s="56" t="s">
        <v>130</v>
      </c>
      <c r="D347" s="56" t="s">
        <v>67</v>
      </c>
      <c r="E347" s="55" t="s">
        <v>298</v>
      </c>
      <c r="F347" s="57" t="s">
        <v>299</v>
      </c>
      <c r="G347" s="57" t="s">
        <v>15</v>
      </c>
      <c r="H347" s="57" t="s">
        <v>16</v>
      </c>
      <c r="I347" s="57"/>
      <c r="J347" s="57" t="s">
        <v>99</v>
      </c>
      <c r="K347" s="58"/>
      <c r="L347" s="80"/>
      <c r="M347" s="80"/>
      <c r="N347" s="80"/>
      <c r="O347" s="80"/>
      <c r="P347" s="80"/>
      <c r="Q347" s="80"/>
      <c r="R347" s="110">
        <f>Forecasting!R353</f>
        <v>0</v>
      </c>
      <c r="S347" s="110">
        <f>Forecasting!S353</f>
        <v>0</v>
      </c>
      <c r="T347" s="110">
        <f>Forecasting!T353</f>
        <v>0</v>
      </c>
      <c r="U347" s="110">
        <f>Forecasting!U353</f>
        <v>0</v>
      </c>
      <c r="V347" s="110">
        <f>Forecasting!V353</f>
        <v>0</v>
      </c>
      <c r="W347" s="106" t="e">
        <f>+(Q347/M347)^(1/4)-1</f>
        <v>#DIV/0!</v>
      </c>
      <c r="X347" s="106" t="e">
        <f>+(V347/Q347)^(1/5)-1</f>
        <v>#DIV/0!</v>
      </c>
    </row>
    <row r="348" spans="1:26">
      <c r="A348" s="57"/>
      <c r="B348" s="57"/>
      <c r="C348" s="61" t="s">
        <v>892</v>
      </c>
      <c r="D348" s="61"/>
      <c r="E348" s="61"/>
      <c r="F348" s="61"/>
      <c r="G348" s="61"/>
      <c r="H348" s="61"/>
      <c r="I348" s="61"/>
      <c r="J348" s="61" t="s">
        <v>58</v>
      </c>
      <c r="K348" s="58"/>
      <c r="L348" s="59"/>
      <c r="M348" s="62" t="e">
        <v>#DIV/0!</v>
      </c>
      <c r="N348" s="62" t="e">
        <f t="shared" ref="N348:V348" si="272">N347/M347-1</f>
        <v>#DIV/0!</v>
      </c>
      <c r="O348" s="62" t="e">
        <f t="shared" si="272"/>
        <v>#DIV/0!</v>
      </c>
      <c r="P348" s="62" t="e">
        <f t="shared" si="272"/>
        <v>#DIV/0!</v>
      </c>
      <c r="Q348" s="62" t="e">
        <f t="shared" si="272"/>
        <v>#DIV/0!</v>
      </c>
      <c r="R348" s="62" t="e">
        <f t="shared" si="272"/>
        <v>#DIV/0!</v>
      </c>
      <c r="S348" s="62" t="e">
        <f t="shared" si="272"/>
        <v>#DIV/0!</v>
      </c>
      <c r="T348" s="62" t="e">
        <f t="shared" si="272"/>
        <v>#DIV/0!</v>
      </c>
      <c r="U348" s="62" t="e">
        <f t="shared" si="272"/>
        <v>#DIV/0!</v>
      </c>
      <c r="V348" s="62" t="e">
        <f t="shared" si="272"/>
        <v>#DIV/0!</v>
      </c>
      <c r="W348" s="259"/>
      <c r="X348" s="259"/>
    </row>
    <row r="349" spans="1:26">
      <c r="A349" s="55" t="str">
        <f>Home!$B$1</f>
        <v>Poland</v>
      </c>
      <c r="B349" s="56" t="s">
        <v>94</v>
      </c>
      <c r="C349" s="56" t="s">
        <v>130</v>
      </c>
      <c r="D349" s="56" t="s">
        <v>67</v>
      </c>
      <c r="E349" s="55" t="s">
        <v>300</v>
      </c>
      <c r="F349" s="57" t="s">
        <v>301</v>
      </c>
      <c r="G349" s="57" t="s">
        <v>15</v>
      </c>
      <c r="H349" s="57" t="s">
        <v>16</v>
      </c>
      <c r="I349" s="57"/>
      <c r="J349" s="57" t="s">
        <v>99</v>
      </c>
      <c r="K349" s="58">
        <v>138.48599999999999</v>
      </c>
      <c r="L349" s="80"/>
      <c r="M349" s="80"/>
      <c r="N349" s="80"/>
      <c r="O349" s="80"/>
      <c r="P349" s="80"/>
      <c r="Q349" s="80"/>
      <c r="R349" s="110">
        <f>Forecasting!R355</f>
        <v>0</v>
      </c>
      <c r="S349" s="110">
        <f>Forecasting!S355</f>
        <v>0</v>
      </c>
      <c r="T349" s="110">
        <f>Forecasting!T355</f>
        <v>0</v>
      </c>
      <c r="U349" s="110">
        <f>Forecasting!U355</f>
        <v>0</v>
      </c>
      <c r="V349" s="110">
        <f>Forecasting!V355</f>
        <v>0</v>
      </c>
      <c r="W349" s="106" t="e">
        <f>+(Q349/M349)^(1/4)-1</f>
        <v>#DIV/0!</v>
      </c>
      <c r="X349" s="106" t="e">
        <f>+(V349/Q349)^(1/5)-1</f>
        <v>#DIV/0!</v>
      </c>
      <c r="Z349" s="12"/>
    </row>
    <row r="350" spans="1:26">
      <c r="A350" s="57"/>
      <c r="B350" s="57"/>
      <c r="C350" s="61" t="s">
        <v>892</v>
      </c>
      <c r="D350" s="61"/>
      <c r="E350" s="61"/>
      <c r="F350" s="61"/>
      <c r="G350" s="61"/>
      <c r="H350" s="61"/>
      <c r="I350" s="61"/>
      <c r="J350" s="61" t="s">
        <v>58</v>
      </c>
      <c r="K350" s="58"/>
      <c r="L350" s="59"/>
      <c r="M350" s="62" t="e">
        <v>#DIV/0!</v>
      </c>
      <c r="N350" s="62" t="e">
        <f t="shared" ref="N350:V350" si="273">N349/M349-1</f>
        <v>#DIV/0!</v>
      </c>
      <c r="O350" s="62" t="e">
        <f t="shared" si="273"/>
        <v>#DIV/0!</v>
      </c>
      <c r="P350" s="62" t="e">
        <f t="shared" si="273"/>
        <v>#DIV/0!</v>
      </c>
      <c r="Q350" s="62" t="e">
        <f t="shared" si="273"/>
        <v>#DIV/0!</v>
      </c>
      <c r="R350" s="62" t="e">
        <f t="shared" si="273"/>
        <v>#DIV/0!</v>
      </c>
      <c r="S350" s="62" t="e">
        <f t="shared" si="273"/>
        <v>#DIV/0!</v>
      </c>
      <c r="T350" s="62" t="e">
        <f t="shared" si="273"/>
        <v>#DIV/0!</v>
      </c>
      <c r="U350" s="62" t="e">
        <f t="shared" si="273"/>
        <v>#DIV/0!</v>
      </c>
      <c r="V350" s="62" t="e">
        <f t="shared" si="273"/>
        <v>#DIV/0!</v>
      </c>
      <c r="W350" s="259"/>
      <c r="X350" s="259"/>
    </row>
    <row r="351" spans="1:26">
      <c r="A351" s="55" t="str">
        <f>Home!$B$1</f>
        <v>Poland</v>
      </c>
      <c r="B351" s="56" t="s">
        <v>94</v>
      </c>
      <c r="C351" s="56" t="s">
        <v>130</v>
      </c>
      <c r="D351" s="56" t="s">
        <v>67</v>
      </c>
      <c r="E351" s="55" t="s">
        <v>302</v>
      </c>
      <c r="F351" s="57" t="s">
        <v>303</v>
      </c>
      <c r="G351" s="57" t="s">
        <v>15</v>
      </c>
      <c r="H351" s="57" t="s">
        <v>16</v>
      </c>
      <c r="I351" s="57"/>
      <c r="J351" s="57" t="s">
        <v>99</v>
      </c>
      <c r="K351" s="58"/>
      <c r="L351" s="80"/>
      <c r="M351" s="80"/>
      <c r="N351" s="80"/>
      <c r="O351" s="80"/>
      <c r="P351" s="80"/>
      <c r="Q351" s="80"/>
      <c r="R351" s="110">
        <f>Forecasting!R357</f>
        <v>0</v>
      </c>
      <c r="S351" s="110">
        <f>Forecasting!S357</f>
        <v>0</v>
      </c>
      <c r="T351" s="110">
        <f>Forecasting!T357</f>
        <v>0</v>
      </c>
      <c r="U351" s="110">
        <f>Forecasting!U357</f>
        <v>0</v>
      </c>
      <c r="V351" s="110">
        <f>Forecasting!V357</f>
        <v>0</v>
      </c>
      <c r="W351" s="106" t="e">
        <f>+(Q351/M351)^(1/4)-1</f>
        <v>#DIV/0!</v>
      </c>
      <c r="X351" s="106" t="e">
        <f>+(V351/Q351)^(1/5)-1</f>
        <v>#DIV/0!</v>
      </c>
    </row>
    <row r="352" spans="1:26">
      <c r="A352" s="57"/>
      <c r="B352" s="57"/>
      <c r="C352" s="61" t="s">
        <v>892</v>
      </c>
      <c r="D352" s="61"/>
      <c r="E352" s="61"/>
      <c r="F352" s="61"/>
      <c r="G352" s="61"/>
      <c r="H352" s="61"/>
      <c r="I352" s="61"/>
      <c r="J352" s="61" t="s">
        <v>58</v>
      </c>
      <c r="K352" s="58"/>
      <c r="L352" s="59"/>
      <c r="M352" s="62" t="e">
        <v>#DIV/0!</v>
      </c>
      <c r="N352" s="62" t="e">
        <f t="shared" ref="N352:V352" si="274">N351/M351-1</f>
        <v>#DIV/0!</v>
      </c>
      <c r="O352" s="62" t="e">
        <f t="shared" si="274"/>
        <v>#DIV/0!</v>
      </c>
      <c r="P352" s="62" t="e">
        <f t="shared" si="274"/>
        <v>#DIV/0!</v>
      </c>
      <c r="Q352" s="62" t="e">
        <f t="shared" si="274"/>
        <v>#DIV/0!</v>
      </c>
      <c r="R352" s="62" t="e">
        <f t="shared" si="274"/>
        <v>#DIV/0!</v>
      </c>
      <c r="S352" s="62" t="e">
        <f t="shared" si="274"/>
        <v>#DIV/0!</v>
      </c>
      <c r="T352" s="62" t="e">
        <f t="shared" si="274"/>
        <v>#DIV/0!</v>
      </c>
      <c r="U352" s="62" t="e">
        <f t="shared" si="274"/>
        <v>#DIV/0!</v>
      </c>
      <c r="V352" s="62" t="e">
        <f t="shared" si="274"/>
        <v>#DIV/0!</v>
      </c>
      <c r="W352" s="259"/>
      <c r="X352" s="259"/>
    </row>
    <row r="353" spans="1:26">
      <c r="A353" s="55" t="str">
        <f>Home!$B$1</f>
        <v>Poland</v>
      </c>
      <c r="B353" s="56" t="s">
        <v>94</v>
      </c>
      <c r="C353" s="56" t="s">
        <v>130</v>
      </c>
      <c r="D353" s="56" t="s">
        <v>67</v>
      </c>
      <c r="E353" s="55" t="s">
        <v>304</v>
      </c>
      <c r="F353" s="57" t="s">
        <v>305</v>
      </c>
      <c r="G353" s="57" t="s">
        <v>15</v>
      </c>
      <c r="H353" s="57" t="s">
        <v>16</v>
      </c>
      <c r="I353" s="57"/>
      <c r="J353" s="57" t="s">
        <v>99</v>
      </c>
      <c r="K353" s="58"/>
      <c r="L353" s="80"/>
      <c r="M353" s="80"/>
      <c r="N353" s="80"/>
      <c r="O353" s="80"/>
      <c r="P353" s="80"/>
      <c r="Q353" s="80"/>
      <c r="R353" s="110">
        <f>Forecasting!R359</f>
        <v>0</v>
      </c>
      <c r="S353" s="110">
        <f>Forecasting!S359</f>
        <v>0</v>
      </c>
      <c r="T353" s="110">
        <f>Forecasting!T359</f>
        <v>0</v>
      </c>
      <c r="U353" s="110">
        <f>Forecasting!U359</f>
        <v>0</v>
      </c>
      <c r="V353" s="110">
        <f>Forecasting!V359</f>
        <v>0</v>
      </c>
      <c r="W353" s="106" t="e">
        <f>+(Q353/M353)^(1/4)-1</f>
        <v>#DIV/0!</v>
      </c>
      <c r="X353" s="106" t="e">
        <f>+(V353/Q353)^(1/5)-1</f>
        <v>#DIV/0!</v>
      </c>
    </row>
    <row r="354" spans="1:26">
      <c r="A354" s="57"/>
      <c r="B354" s="57"/>
      <c r="C354" s="61" t="s">
        <v>892</v>
      </c>
      <c r="D354" s="61"/>
      <c r="E354" s="61"/>
      <c r="F354" s="61"/>
      <c r="G354" s="61"/>
      <c r="H354" s="61"/>
      <c r="I354" s="61"/>
      <c r="J354" s="61" t="s">
        <v>58</v>
      </c>
      <c r="K354" s="58"/>
      <c r="L354" s="59"/>
      <c r="M354" s="62" t="e">
        <v>#DIV/0!</v>
      </c>
      <c r="N354" s="62" t="e">
        <f t="shared" ref="N354:V354" si="275">N353/M353-1</f>
        <v>#DIV/0!</v>
      </c>
      <c r="O354" s="62" t="e">
        <f t="shared" si="275"/>
        <v>#DIV/0!</v>
      </c>
      <c r="P354" s="62" t="e">
        <f t="shared" si="275"/>
        <v>#DIV/0!</v>
      </c>
      <c r="Q354" s="62" t="e">
        <f t="shared" si="275"/>
        <v>#DIV/0!</v>
      </c>
      <c r="R354" s="62" t="e">
        <f t="shared" si="275"/>
        <v>#DIV/0!</v>
      </c>
      <c r="S354" s="62" t="e">
        <f t="shared" si="275"/>
        <v>#DIV/0!</v>
      </c>
      <c r="T354" s="62" t="e">
        <f t="shared" si="275"/>
        <v>#DIV/0!</v>
      </c>
      <c r="U354" s="62" t="e">
        <f t="shared" si="275"/>
        <v>#DIV/0!</v>
      </c>
      <c r="V354" s="62" t="e">
        <f t="shared" si="275"/>
        <v>#DIV/0!</v>
      </c>
      <c r="W354" s="259"/>
      <c r="X354" s="259"/>
    </row>
    <row r="355" spans="1:26">
      <c r="A355" s="55" t="str">
        <f>Home!$B$1</f>
        <v>Poland</v>
      </c>
      <c r="B355" s="56" t="s">
        <v>94</v>
      </c>
      <c r="C355" s="56" t="s">
        <v>130</v>
      </c>
      <c r="D355" s="56" t="s">
        <v>67</v>
      </c>
      <c r="E355" s="55" t="s">
        <v>306</v>
      </c>
      <c r="F355" s="57" t="s">
        <v>307</v>
      </c>
      <c r="G355" s="57" t="s">
        <v>15</v>
      </c>
      <c r="H355" s="57" t="s">
        <v>16</v>
      </c>
      <c r="I355" s="57"/>
      <c r="J355" s="57" t="s">
        <v>99</v>
      </c>
      <c r="K355" s="58">
        <v>153.887</v>
      </c>
      <c r="L355" s="80"/>
      <c r="M355" s="80"/>
      <c r="N355" s="80"/>
      <c r="O355" s="80"/>
      <c r="P355" s="80"/>
      <c r="Q355" s="80"/>
      <c r="R355" s="110">
        <f>Forecasting!R361</f>
        <v>0</v>
      </c>
      <c r="S355" s="110">
        <f>Forecasting!S361</f>
        <v>0</v>
      </c>
      <c r="T355" s="110">
        <f>Forecasting!T361</f>
        <v>0</v>
      </c>
      <c r="U355" s="110">
        <f>Forecasting!U361</f>
        <v>0</v>
      </c>
      <c r="V355" s="110">
        <f>Forecasting!V361</f>
        <v>0</v>
      </c>
      <c r="W355" s="106" t="e">
        <f>+(Q355/M355)^(1/4)-1</f>
        <v>#DIV/0!</v>
      </c>
      <c r="X355" s="106" t="e">
        <f>+(V355/Q355)^(1/5)-1</f>
        <v>#DIV/0!</v>
      </c>
      <c r="Z355" s="12"/>
    </row>
    <row r="356" spans="1:26">
      <c r="A356" s="57"/>
      <c r="B356" s="57"/>
      <c r="C356" s="61" t="s">
        <v>892</v>
      </c>
      <c r="D356" s="61"/>
      <c r="E356" s="61"/>
      <c r="F356" s="61"/>
      <c r="G356" s="61"/>
      <c r="H356" s="61"/>
      <c r="I356" s="61"/>
      <c r="J356" s="61" t="s">
        <v>58</v>
      </c>
      <c r="K356" s="58"/>
      <c r="L356" s="59"/>
      <c r="M356" s="62" t="e">
        <v>#DIV/0!</v>
      </c>
      <c r="N356" s="62" t="e">
        <f t="shared" ref="N356:V356" si="276">N355/M355-1</f>
        <v>#DIV/0!</v>
      </c>
      <c r="O356" s="62" t="e">
        <f t="shared" si="276"/>
        <v>#DIV/0!</v>
      </c>
      <c r="P356" s="62" t="e">
        <f t="shared" si="276"/>
        <v>#DIV/0!</v>
      </c>
      <c r="Q356" s="62" t="e">
        <f t="shared" si="276"/>
        <v>#DIV/0!</v>
      </c>
      <c r="R356" s="62" t="e">
        <f t="shared" si="276"/>
        <v>#DIV/0!</v>
      </c>
      <c r="S356" s="62" t="e">
        <f t="shared" si="276"/>
        <v>#DIV/0!</v>
      </c>
      <c r="T356" s="62" t="e">
        <f t="shared" si="276"/>
        <v>#DIV/0!</v>
      </c>
      <c r="U356" s="62" t="e">
        <f t="shared" si="276"/>
        <v>#DIV/0!</v>
      </c>
      <c r="V356" s="62" t="e">
        <f t="shared" si="276"/>
        <v>#DIV/0!</v>
      </c>
      <c r="W356" s="259"/>
      <c r="X356" s="259"/>
    </row>
    <row r="357" spans="1:26">
      <c r="A357" s="55" t="str">
        <f>Home!$B$1</f>
        <v>Poland</v>
      </c>
      <c r="B357" s="56" t="s">
        <v>94</v>
      </c>
      <c r="C357" s="56" t="s">
        <v>130</v>
      </c>
      <c r="D357" s="56" t="s">
        <v>67</v>
      </c>
      <c r="E357" s="55" t="s">
        <v>308</v>
      </c>
      <c r="F357" s="57" t="s">
        <v>309</v>
      </c>
      <c r="G357" s="57" t="s">
        <v>15</v>
      </c>
      <c r="H357" s="57" t="s">
        <v>16</v>
      </c>
      <c r="I357" s="57"/>
      <c r="J357" s="57" t="s">
        <v>99</v>
      </c>
      <c r="K357" s="58">
        <v>757.721</v>
      </c>
      <c r="L357" s="361">
        <f>'Seasonality&amp; Avg.stay'!B191</f>
        <v>29.927881559407947</v>
      </c>
      <c r="M357" s="361">
        <f>'Seasonality&amp; Avg.stay'!C191</f>
        <v>24.047306371955504</v>
      </c>
      <c r="N357" s="361">
        <f>'Seasonality&amp; Avg.stay'!D191</f>
        <v>18.851519665958577</v>
      </c>
      <c r="O357" s="361">
        <f>'Seasonality&amp; Avg.stay'!E191</f>
        <v>25.113342282050827</v>
      </c>
      <c r="P357" s="361">
        <f>'Seasonality&amp; Avg.stay'!F191</f>
        <v>25.609714812121531</v>
      </c>
      <c r="Q357" s="361">
        <f>'Seasonality&amp; Avg.stay'!G191</f>
        <v>28.229435508652831</v>
      </c>
      <c r="R357" s="110">
        <f>Forecasting!R363</f>
        <v>0</v>
      </c>
      <c r="S357" s="110">
        <f>Forecasting!S363</f>
        <v>0</v>
      </c>
      <c r="T357" s="110">
        <f>Forecasting!T363</f>
        <v>0</v>
      </c>
      <c r="U357" s="110">
        <f>Forecasting!U363</f>
        <v>0</v>
      </c>
      <c r="V357" s="110">
        <f>Forecasting!V363</f>
        <v>0</v>
      </c>
      <c r="W357" s="106">
        <f>+(Q357/M357)^(1/4)-1</f>
        <v>4.0899834144072278E-2</v>
      </c>
      <c r="X357" s="106">
        <f>+(V357/Q357)^(1/5)-1</f>
        <v>-1</v>
      </c>
      <c r="Z357" s="12"/>
    </row>
    <row r="358" spans="1:26">
      <c r="A358" s="57"/>
      <c r="B358" s="57"/>
      <c r="C358" s="61" t="s">
        <v>892</v>
      </c>
      <c r="D358" s="61"/>
      <c r="E358" s="61"/>
      <c r="F358" s="61"/>
      <c r="G358" s="61"/>
      <c r="H358" s="61"/>
      <c r="I358" s="61"/>
      <c r="J358" s="61" t="s">
        <v>58</v>
      </c>
      <c r="K358" s="58"/>
      <c r="L358" s="59"/>
      <c r="M358" s="62">
        <f t="shared" ref="M358:V358" si="277">M357/L357-1</f>
        <v>-0.19649152833551831</v>
      </c>
      <c r="N358" s="62">
        <f t="shared" si="277"/>
        <v>-0.21606522683373663</v>
      </c>
      <c r="O358" s="62">
        <f t="shared" si="277"/>
        <v>0.33216540242109138</v>
      </c>
      <c r="P358" s="62">
        <f t="shared" si="277"/>
        <v>1.9765291473189395E-2</v>
      </c>
      <c r="Q358" s="62">
        <f t="shared" si="277"/>
        <v>0.10229402067731508</v>
      </c>
      <c r="R358" s="62">
        <f t="shared" si="277"/>
        <v>-1</v>
      </c>
      <c r="S358" s="62" t="e">
        <f t="shared" si="277"/>
        <v>#DIV/0!</v>
      </c>
      <c r="T358" s="62" t="e">
        <f t="shared" si="277"/>
        <v>#DIV/0!</v>
      </c>
      <c r="U358" s="62" t="e">
        <f t="shared" si="277"/>
        <v>#DIV/0!</v>
      </c>
      <c r="V358" s="62" t="e">
        <f t="shared" si="277"/>
        <v>#DIV/0!</v>
      </c>
      <c r="W358" s="259"/>
      <c r="X358" s="259"/>
    </row>
    <row r="359" spans="1:26">
      <c r="A359" s="55" t="str">
        <f>Home!$B$1</f>
        <v>Poland</v>
      </c>
      <c r="B359" s="56" t="s">
        <v>94</v>
      </c>
      <c r="C359" s="56" t="s">
        <v>130</v>
      </c>
      <c r="D359" s="56" t="s">
        <v>67</v>
      </c>
      <c r="E359" s="55" t="s">
        <v>310</v>
      </c>
      <c r="F359" s="57" t="s">
        <v>311</v>
      </c>
      <c r="G359" s="57" t="s">
        <v>15</v>
      </c>
      <c r="H359" s="57" t="s">
        <v>16</v>
      </c>
      <c r="I359" s="57"/>
      <c r="J359" s="57" t="s">
        <v>99</v>
      </c>
      <c r="K359" s="58"/>
      <c r="L359" s="80"/>
      <c r="M359" s="80"/>
      <c r="N359" s="80"/>
      <c r="O359" s="80"/>
      <c r="P359" s="80"/>
      <c r="Q359" s="80"/>
      <c r="R359" s="110">
        <f>Forecasting!R365</f>
        <v>0</v>
      </c>
      <c r="S359" s="110">
        <f>Forecasting!S365</f>
        <v>0</v>
      </c>
      <c r="T359" s="110">
        <f>Forecasting!T365</f>
        <v>0</v>
      </c>
      <c r="U359" s="110">
        <f>Forecasting!U365</f>
        <v>0</v>
      </c>
      <c r="V359" s="110">
        <f>Forecasting!V365</f>
        <v>0</v>
      </c>
      <c r="W359" s="106" t="e">
        <f>+(Q359/M359)^(1/4)-1</f>
        <v>#DIV/0!</v>
      </c>
      <c r="X359" s="106" t="e">
        <f>+(V359/Q359)^(1/5)-1</f>
        <v>#DIV/0!</v>
      </c>
    </row>
    <row r="360" spans="1:26">
      <c r="A360" s="57"/>
      <c r="B360" s="57"/>
      <c r="C360" s="61" t="s">
        <v>892</v>
      </c>
      <c r="D360" s="61"/>
      <c r="E360" s="61"/>
      <c r="F360" s="61"/>
      <c r="G360" s="61"/>
      <c r="H360" s="61"/>
      <c r="I360" s="61"/>
      <c r="J360" s="61" t="s">
        <v>58</v>
      </c>
      <c r="K360" s="58"/>
      <c r="L360" s="59"/>
      <c r="M360" s="62" t="e">
        <v>#DIV/0!</v>
      </c>
      <c r="N360" s="62" t="e">
        <f t="shared" ref="N360:V360" si="278">N359/M359-1</f>
        <v>#DIV/0!</v>
      </c>
      <c r="O360" s="62" t="e">
        <f t="shared" si="278"/>
        <v>#DIV/0!</v>
      </c>
      <c r="P360" s="62" t="e">
        <f t="shared" si="278"/>
        <v>#DIV/0!</v>
      </c>
      <c r="Q360" s="62" t="e">
        <f t="shared" si="278"/>
        <v>#DIV/0!</v>
      </c>
      <c r="R360" s="62" t="e">
        <f t="shared" si="278"/>
        <v>#DIV/0!</v>
      </c>
      <c r="S360" s="62" t="e">
        <f t="shared" si="278"/>
        <v>#DIV/0!</v>
      </c>
      <c r="T360" s="62" t="e">
        <f t="shared" si="278"/>
        <v>#DIV/0!</v>
      </c>
      <c r="U360" s="62" t="e">
        <f t="shared" si="278"/>
        <v>#DIV/0!</v>
      </c>
      <c r="V360" s="62" t="e">
        <f t="shared" si="278"/>
        <v>#DIV/0!</v>
      </c>
      <c r="W360" s="259"/>
      <c r="X360" s="259"/>
    </row>
    <row r="361" spans="1:26">
      <c r="A361" s="55" t="str">
        <f>Home!$B$1</f>
        <v>Poland</v>
      </c>
      <c r="B361" s="56" t="s">
        <v>94</v>
      </c>
      <c r="C361" s="56" t="s">
        <v>130</v>
      </c>
      <c r="D361" s="56" t="s">
        <v>67</v>
      </c>
      <c r="E361" s="55" t="s">
        <v>312</v>
      </c>
      <c r="F361" s="57" t="s">
        <v>313</v>
      </c>
      <c r="G361" s="57" t="s">
        <v>15</v>
      </c>
      <c r="H361" s="57" t="s">
        <v>16</v>
      </c>
      <c r="I361" s="57"/>
      <c r="J361" s="57" t="s">
        <v>99</v>
      </c>
      <c r="K361" s="58">
        <v>122.995</v>
      </c>
      <c r="L361" s="80"/>
      <c r="M361" s="80"/>
      <c r="N361" s="80"/>
      <c r="O361" s="80"/>
      <c r="P361" s="80"/>
      <c r="Q361" s="80"/>
      <c r="R361" s="110">
        <f>Forecasting!R367</f>
        <v>0</v>
      </c>
      <c r="S361" s="110">
        <f>Forecasting!S367</f>
        <v>0</v>
      </c>
      <c r="T361" s="110">
        <f>Forecasting!T367</f>
        <v>0</v>
      </c>
      <c r="U361" s="110">
        <f>Forecasting!U367</f>
        <v>0</v>
      </c>
      <c r="V361" s="110">
        <f>Forecasting!V367</f>
        <v>0</v>
      </c>
      <c r="W361" s="106" t="e">
        <f>+(Q361/M361)^(1/4)-1</f>
        <v>#DIV/0!</v>
      </c>
      <c r="X361" s="106" t="e">
        <f>+(V361/Q361)^(1/5)-1</f>
        <v>#DIV/0!</v>
      </c>
      <c r="Z361" s="12"/>
    </row>
    <row r="362" spans="1:26">
      <c r="A362" s="57"/>
      <c r="B362" s="57"/>
      <c r="C362" s="61" t="s">
        <v>892</v>
      </c>
      <c r="D362" s="61"/>
      <c r="E362" s="61"/>
      <c r="F362" s="61"/>
      <c r="G362" s="61"/>
      <c r="H362" s="61"/>
      <c r="I362" s="61"/>
      <c r="J362" s="61" t="s">
        <v>58</v>
      </c>
      <c r="K362" s="58"/>
      <c r="L362" s="59"/>
      <c r="M362" s="62" t="e">
        <v>#DIV/0!</v>
      </c>
      <c r="N362" s="62" t="e">
        <f t="shared" ref="N362:V362" si="279">N361/M361-1</f>
        <v>#DIV/0!</v>
      </c>
      <c r="O362" s="62" t="e">
        <f t="shared" si="279"/>
        <v>#DIV/0!</v>
      </c>
      <c r="P362" s="62" t="e">
        <f t="shared" si="279"/>
        <v>#DIV/0!</v>
      </c>
      <c r="Q362" s="62" t="e">
        <f t="shared" si="279"/>
        <v>#DIV/0!</v>
      </c>
      <c r="R362" s="62" t="e">
        <f t="shared" si="279"/>
        <v>#DIV/0!</v>
      </c>
      <c r="S362" s="62" t="e">
        <f t="shared" si="279"/>
        <v>#DIV/0!</v>
      </c>
      <c r="T362" s="62" t="e">
        <f t="shared" si="279"/>
        <v>#DIV/0!</v>
      </c>
      <c r="U362" s="62" t="e">
        <f t="shared" si="279"/>
        <v>#DIV/0!</v>
      </c>
      <c r="V362" s="62" t="e">
        <f t="shared" si="279"/>
        <v>#DIV/0!</v>
      </c>
      <c r="W362" s="259"/>
      <c r="X362" s="259"/>
    </row>
    <row r="363" spans="1:26">
      <c r="A363" s="55" t="str">
        <f>Home!$B$1</f>
        <v>Poland</v>
      </c>
      <c r="B363" s="56" t="s">
        <v>94</v>
      </c>
      <c r="C363" s="56" t="s">
        <v>130</v>
      </c>
      <c r="D363" s="56" t="s">
        <v>67</v>
      </c>
      <c r="E363" s="55" t="s">
        <v>314</v>
      </c>
      <c r="F363" s="57" t="s">
        <v>315</v>
      </c>
      <c r="G363" s="57" t="s">
        <v>15</v>
      </c>
      <c r="H363" s="57" t="s">
        <v>16</v>
      </c>
      <c r="I363" s="57"/>
      <c r="J363" s="57" t="s">
        <v>99</v>
      </c>
      <c r="K363" s="58"/>
      <c r="L363" s="80"/>
      <c r="M363" s="80"/>
      <c r="N363" s="80"/>
      <c r="O363" s="80"/>
      <c r="P363" s="80"/>
      <c r="Q363" s="80"/>
      <c r="R363" s="110">
        <f>Forecasting!R369</f>
        <v>0</v>
      </c>
      <c r="S363" s="110">
        <f>Forecasting!S369</f>
        <v>0</v>
      </c>
      <c r="T363" s="110">
        <f>Forecasting!T369</f>
        <v>0</v>
      </c>
      <c r="U363" s="110">
        <f>Forecasting!U369</f>
        <v>0</v>
      </c>
      <c r="V363" s="110">
        <f>Forecasting!V369</f>
        <v>0</v>
      </c>
      <c r="W363" s="106" t="e">
        <f>+(Q363/M363)^(1/4)-1</f>
        <v>#DIV/0!</v>
      </c>
      <c r="X363" s="106" t="e">
        <f>+(V363/Q363)^(1/5)-1</f>
        <v>#DIV/0!</v>
      </c>
    </row>
    <row r="364" spans="1:26">
      <c r="A364" s="57"/>
      <c r="B364" s="57"/>
      <c r="C364" s="61" t="s">
        <v>892</v>
      </c>
      <c r="D364" s="61"/>
      <c r="E364" s="61"/>
      <c r="F364" s="61"/>
      <c r="G364" s="61"/>
      <c r="H364" s="61"/>
      <c r="I364" s="61"/>
      <c r="J364" s="61" t="s">
        <v>58</v>
      </c>
      <c r="K364" s="58"/>
      <c r="L364" s="59"/>
      <c r="M364" s="62" t="e">
        <v>#DIV/0!</v>
      </c>
      <c r="N364" s="62" t="e">
        <f t="shared" ref="N364:V364" si="280">N363/M363-1</f>
        <v>#DIV/0!</v>
      </c>
      <c r="O364" s="62" t="e">
        <f t="shared" si="280"/>
        <v>#DIV/0!</v>
      </c>
      <c r="P364" s="62" t="e">
        <f t="shared" si="280"/>
        <v>#DIV/0!</v>
      </c>
      <c r="Q364" s="62" t="e">
        <f t="shared" si="280"/>
        <v>#DIV/0!</v>
      </c>
      <c r="R364" s="62" t="e">
        <f t="shared" si="280"/>
        <v>#DIV/0!</v>
      </c>
      <c r="S364" s="62" t="e">
        <f t="shared" si="280"/>
        <v>#DIV/0!</v>
      </c>
      <c r="T364" s="62" t="e">
        <f t="shared" si="280"/>
        <v>#DIV/0!</v>
      </c>
      <c r="U364" s="62" t="e">
        <f t="shared" si="280"/>
        <v>#DIV/0!</v>
      </c>
      <c r="V364" s="62" t="e">
        <f t="shared" si="280"/>
        <v>#DIV/0!</v>
      </c>
      <c r="W364" s="259"/>
      <c r="X364" s="259"/>
    </row>
    <row r="365" spans="1:26">
      <c r="A365" s="55" t="str">
        <f>Home!$B$1</f>
        <v>Poland</v>
      </c>
      <c r="B365" s="56" t="s">
        <v>94</v>
      </c>
      <c r="C365" s="56" t="s">
        <v>130</v>
      </c>
      <c r="D365" s="56" t="s">
        <v>67</v>
      </c>
      <c r="E365" s="55" t="s">
        <v>316</v>
      </c>
      <c r="F365" s="57" t="s">
        <v>317</v>
      </c>
      <c r="G365" s="57" t="s">
        <v>15</v>
      </c>
      <c r="H365" s="57" t="s">
        <v>16</v>
      </c>
      <c r="I365" s="57"/>
      <c r="J365" s="57" t="s">
        <v>99</v>
      </c>
      <c r="K365" s="58"/>
      <c r="L365" s="80"/>
      <c r="M365" s="80"/>
      <c r="N365" s="80"/>
      <c r="O365" s="80"/>
      <c r="P365" s="80"/>
      <c r="Q365" s="80"/>
      <c r="R365" s="110">
        <f>Forecasting!R371</f>
        <v>0</v>
      </c>
      <c r="S365" s="110">
        <f>Forecasting!S371</f>
        <v>0</v>
      </c>
      <c r="T365" s="110">
        <f>Forecasting!T371</f>
        <v>0</v>
      </c>
      <c r="U365" s="110">
        <f>Forecasting!U371</f>
        <v>0</v>
      </c>
      <c r="V365" s="110">
        <f>Forecasting!V371</f>
        <v>0</v>
      </c>
      <c r="W365" s="106" t="e">
        <f>+(Q365/M365)^(1/4)-1</f>
        <v>#DIV/0!</v>
      </c>
      <c r="X365" s="106" t="e">
        <f>+(V365/Q365)^(1/5)-1</f>
        <v>#DIV/0!</v>
      </c>
    </row>
    <row r="366" spans="1:26">
      <c r="A366" s="57"/>
      <c r="B366" s="57"/>
      <c r="C366" s="61" t="s">
        <v>892</v>
      </c>
      <c r="D366" s="61"/>
      <c r="E366" s="61"/>
      <c r="F366" s="61"/>
      <c r="G366" s="61"/>
      <c r="H366" s="61"/>
      <c r="I366" s="61"/>
      <c r="J366" s="61" t="s">
        <v>58</v>
      </c>
      <c r="K366" s="58"/>
      <c r="L366" s="59"/>
      <c r="M366" s="62" t="e">
        <v>#DIV/0!</v>
      </c>
      <c r="N366" s="62" t="e">
        <f t="shared" ref="N366:V366" si="281">N365/M365-1</f>
        <v>#DIV/0!</v>
      </c>
      <c r="O366" s="62" t="e">
        <f t="shared" si="281"/>
        <v>#DIV/0!</v>
      </c>
      <c r="P366" s="62" t="e">
        <f t="shared" si="281"/>
        <v>#DIV/0!</v>
      </c>
      <c r="Q366" s="62" t="e">
        <f t="shared" si="281"/>
        <v>#DIV/0!</v>
      </c>
      <c r="R366" s="62" t="e">
        <f t="shared" si="281"/>
        <v>#DIV/0!</v>
      </c>
      <c r="S366" s="62" t="e">
        <f t="shared" si="281"/>
        <v>#DIV/0!</v>
      </c>
      <c r="T366" s="62" t="e">
        <f t="shared" si="281"/>
        <v>#DIV/0!</v>
      </c>
      <c r="U366" s="62" t="e">
        <f t="shared" si="281"/>
        <v>#DIV/0!</v>
      </c>
      <c r="V366" s="62" t="e">
        <f t="shared" si="281"/>
        <v>#DIV/0!</v>
      </c>
      <c r="W366" s="259"/>
      <c r="X366" s="259"/>
    </row>
    <row r="367" spans="1:26">
      <c r="A367" s="55" t="str">
        <f>Home!$B$1</f>
        <v>Poland</v>
      </c>
      <c r="B367" s="56" t="s">
        <v>94</v>
      </c>
      <c r="C367" s="56" t="s">
        <v>130</v>
      </c>
      <c r="D367" s="56" t="s">
        <v>67</v>
      </c>
      <c r="E367" s="55" t="s">
        <v>318</v>
      </c>
      <c r="F367" s="57" t="s">
        <v>319</v>
      </c>
      <c r="G367" s="57" t="s">
        <v>15</v>
      </c>
      <c r="H367" s="57" t="s">
        <v>16</v>
      </c>
      <c r="I367" s="57"/>
      <c r="J367" s="57" t="s">
        <v>99</v>
      </c>
      <c r="K367" s="58"/>
      <c r="L367" s="80"/>
      <c r="M367" s="80"/>
      <c r="N367" s="80"/>
      <c r="O367" s="80"/>
      <c r="P367" s="80"/>
      <c r="Q367" s="80"/>
      <c r="R367" s="110">
        <f>Forecasting!R373</f>
        <v>0</v>
      </c>
      <c r="S367" s="110">
        <f>Forecasting!S373</f>
        <v>0</v>
      </c>
      <c r="T367" s="110">
        <f>Forecasting!T373</f>
        <v>0</v>
      </c>
      <c r="U367" s="110">
        <f>Forecasting!U373</f>
        <v>0</v>
      </c>
      <c r="V367" s="110">
        <f>Forecasting!V373</f>
        <v>0</v>
      </c>
      <c r="W367" s="106" t="e">
        <f>+(Q367/M367)^(1/4)-1</f>
        <v>#DIV/0!</v>
      </c>
      <c r="X367" s="106" t="e">
        <f>+(V367/Q367)^(1/5)-1</f>
        <v>#DIV/0!</v>
      </c>
    </row>
    <row r="368" spans="1:26">
      <c r="A368" s="57"/>
      <c r="B368" s="57"/>
      <c r="C368" s="61" t="s">
        <v>892</v>
      </c>
      <c r="D368" s="61"/>
      <c r="E368" s="61"/>
      <c r="F368" s="61"/>
      <c r="G368" s="61"/>
      <c r="H368" s="61"/>
      <c r="I368" s="61"/>
      <c r="J368" s="61" t="s">
        <v>58</v>
      </c>
      <c r="K368" s="58"/>
      <c r="L368" s="59"/>
      <c r="M368" s="62" t="e">
        <v>#DIV/0!</v>
      </c>
      <c r="N368" s="62" t="e">
        <f t="shared" ref="N368:V368" si="282">N367/M367-1</f>
        <v>#DIV/0!</v>
      </c>
      <c r="O368" s="62" t="e">
        <f t="shared" si="282"/>
        <v>#DIV/0!</v>
      </c>
      <c r="P368" s="62" t="e">
        <f t="shared" si="282"/>
        <v>#DIV/0!</v>
      </c>
      <c r="Q368" s="62" t="e">
        <f t="shared" si="282"/>
        <v>#DIV/0!</v>
      </c>
      <c r="R368" s="62" t="e">
        <f t="shared" si="282"/>
        <v>#DIV/0!</v>
      </c>
      <c r="S368" s="62" t="e">
        <f t="shared" si="282"/>
        <v>#DIV/0!</v>
      </c>
      <c r="T368" s="62" t="e">
        <f t="shared" si="282"/>
        <v>#DIV/0!</v>
      </c>
      <c r="U368" s="62" t="e">
        <f t="shared" si="282"/>
        <v>#DIV/0!</v>
      </c>
      <c r="V368" s="62" t="e">
        <f t="shared" si="282"/>
        <v>#DIV/0!</v>
      </c>
      <c r="W368" s="259"/>
      <c r="X368" s="259"/>
    </row>
    <row r="369" spans="1:24">
      <c r="A369" s="55" t="str">
        <f>Home!$B$1</f>
        <v>Poland</v>
      </c>
      <c r="B369" s="56" t="s">
        <v>94</v>
      </c>
      <c r="C369" s="56" t="s">
        <v>130</v>
      </c>
      <c r="D369" s="56" t="s">
        <v>67</v>
      </c>
      <c r="E369" s="55" t="s">
        <v>320</v>
      </c>
      <c r="F369" s="57" t="s">
        <v>321</v>
      </c>
      <c r="G369" s="57" t="s">
        <v>15</v>
      </c>
      <c r="H369" s="57" t="s">
        <v>16</v>
      </c>
      <c r="I369" s="57"/>
      <c r="J369" s="57" t="s">
        <v>99</v>
      </c>
      <c r="K369" s="58"/>
      <c r="L369" s="80"/>
      <c r="M369" s="80"/>
      <c r="N369" s="80"/>
      <c r="O369" s="80"/>
      <c r="P369" s="80"/>
      <c r="Q369" s="80"/>
      <c r="R369" s="110">
        <f>Forecasting!R375</f>
        <v>0</v>
      </c>
      <c r="S369" s="110">
        <f>Forecasting!S375</f>
        <v>0</v>
      </c>
      <c r="T369" s="110">
        <f>Forecasting!T375</f>
        <v>0</v>
      </c>
      <c r="U369" s="110">
        <f>Forecasting!U375</f>
        <v>0</v>
      </c>
      <c r="V369" s="110">
        <f>Forecasting!V375</f>
        <v>0</v>
      </c>
      <c r="W369" s="106" t="e">
        <f>+(Q369/M369)^(1/4)-1</f>
        <v>#DIV/0!</v>
      </c>
      <c r="X369" s="106" t="e">
        <f>+(V369/Q369)^(1/5)-1</f>
        <v>#DIV/0!</v>
      </c>
    </row>
    <row r="370" spans="1:24">
      <c r="A370" s="57"/>
      <c r="B370" s="57"/>
      <c r="C370" s="61" t="s">
        <v>892</v>
      </c>
      <c r="D370" s="61"/>
      <c r="E370" s="61"/>
      <c r="F370" s="61"/>
      <c r="G370" s="61"/>
      <c r="H370" s="61"/>
      <c r="I370" s="61"/>
      <c r="J370" s="61" t="s">
        <v>58</v>
      </c>
      <c r="K370" s="58"/>
      <c r="L370" s="59"/>
      <c r="M370" s="62" t="e">
        <v>#DIV/0!</v>
      </c>
      <c r="N370" s="62" t="e">
        <f t="shared" ref="N370:V370" si="283">N369/M369-1</f>
        <v>#DIV/0!</v>
      </c>
      <c r="O370" s="62" t="e">
        <f t="shared" si="283"/>
        <v>#DIV/0!</v>
      </c>
      <c r="P370" s="62" t="e">
        <f t="shared" si="283"/>
        <v>#DIV/0!</v>
      </c>
      <c r="Q370" s="62" t="e">
        <f t="shared" si="283"/>
        <v>#DIV/0!</v>
      </c>
      <c r="R370" s="62" t="e">
        <f t="shared" si="283"/>
        <v>#DIV/0!</v>
      </c>
      <c r="S370" s="62" t="e">
        <f t="shared" si="283"/>
        <v>#DIV/0!</v>
      </c>
      <c r="T370" s="62" t="e">
        <f t="shared" si="283"/>
        <v>#DIV/0!</v>
      </c>
      <c r="U370" s="62" t="e">
        <f t="shared" si="283"/>
        <v>#DIV/0!</v>
      </c>
      <c r="V370" s="62" t="e">
        <f t="shared" si="283"/>
        <v>#DIV/0!</v>
      </c>
      <c r="W370" s="259"/>
      <c r="X370" s="259"/>
    </row>
    <row r="371" spans="1:24">
      <c r="A371" s="55" t="str">
        <f>Home!$B$1</f>
        <v>Poland</v>
      </c>
      <c r="B371" s="56" t="s">
        <v>94</v>
      </c>
      <c r="C371" s="56" t="s">
        <v>130</v>
      </c>
      <c r="D371" s="56" t="s">
        <v>67</v>
      </c>
      <c r="E371" s="55" t="s">
        <v>322</v>
      </c>
      <c r="F371" s="57" t="s">
        <v>323</v>
      </c>
      <c r="G371" s="57" t="s">
        <v>15</v>
      </c>
      <c r="H371" s="57" t="s">
        <v>16</v>
      </c>
      <c r="I371" s="57"/>
      <c r="J371" s="57" t="s">
        <v>99</v>
      </c>
      <c r="K371" s="58"/>
      <c r="L371" s="80"/>
      <c r="M371" s="80"/>
      <c r="N371" s="80"/>
      <c r="O371" s="80"/>
      <c r="P371" s="80"/>
      <c r="Q371" s="80"/>
      <c r="R371" s="110">
        <f>Forecasting!R377</f>
        <v>0</v>
      </c>
      <c r="S371" s="110">
        <f>Forecasting!S377</f>
        <v>0</v>
      </c>
      <c r="T371" s="110">
        <f>Forecasting!T377</f>
        <v>0</v>
      </c>
      <c r="U371" s="110">
        <f>Forecasting!U377</f>
        <v>0</v>
      </c>
      <c r="V371" s="110">
        <f>Forecasting!V377</f>
        <v>0</v>
      </c>
      <c r="W371" s="106" t="e">
        <f>+(Q371/M371)^(1/4)-1</f>
        <v>#DIV/0!</v>
      </c>
      <c r="X371" s="106" t="e">
        <f>+(V371/Q371)^(1/5)-1</f>
        <v>#DIV/0!</v>
      </c>
    </row>
    <row r="372" spans="1:24">
      <c r="A372" s="57"/>
      <c r="B372" s="57"/>
      <c r="C372" s="61" t="s">
        <v>892</v>
      </c>
      <c r="D372" s="61"/>
      <c r="E372" s="61"/>
      <c r="F372" s="61"/>
      <c r="G372" s="61"/>
      <c r="H372" s="61"/>
      <c r="I372" s="61"/>
      <c r="J372" s="61" t="s">
        <v>58</v>
      </c>
      <c r="K372" s="58"/>
      <c r="L372" s="59"/>
      <c r="M372" s="62" t="e">
        <v>#DIV/0!</v>
      </c>
      <c r="N372" s="62" t="e">
        <f t="shared" ref="N372:V372" si="284">N371/M371-1</f>
        <v>#DIV/0!</v>
      </c>
      <c r="O372" s="62" t="e">
        <f t="shared" si="284"/>
        <v>#DIV/0!</v>
      </c>
      <c r="P372" s="62" t="e">
        <f t="shared" si="284"/>
        <v>#DIV/0!</v>
      </c>
      <c r="Q372" s="62" t="e">
        <f t="shared" si="284"/>
        <v>#DIV/0!</v>
      </c>
      <c r="R372" s="62" t="e">
        <f t="shared" si="284"/>
        <v>#DIV/0!</v>
      </c>
      <c r="S372" s="62" t="e">
        <f t="shared" si="284"/>
        <v>#DIV/0!</v>
      </c>
      <c r="T372" s="62" t="e">
        <f t="shared" si="284"/>
        <v>#DIV/0!</v>
      </c>
      <c r="U372" s="62" t="e">
        <f t="shared" si="284"/>
        <v>#DIV/0!</v>
      </c>
      <c r="V372" s="62" t="e">
        <f t="shared" si="284"/>
        <v>#DIV/0!</v>
      </c>
      <c r="W372" s="259"/>
      <c r="X372" s="259"/>
    </row>
    <row r="373" spans="1:24">
      <c r="A373" s="55" t="str">
        <f>Home!$B$1</f>
        <v>Poland</v>
      </c>
      <c r="B373" s="56" t="s">
        <v>94</v>
      </c>
      <c r="C373" s="56" t="s">
        <v>130</v>
      </c>
      <c r="D373" s="56" t="s">
        <v>67</v>
      </c>
      <c r="E373" s="55" t="s">
        <v>324</v>
      </c>
      <c r="F373" s="57" t="s">
        <v>325</v>
      </c>
      <c r="G373" s="57" t="s">
        <v>15</v>
      </c>
      <c r="H373" s="57" t="s">
        <v>16</v>
      </c>
      <c r="I373" s="57"/>
      <c r="J373" s="57" t="s">
        <v>99</v>
      </c>
      <c r="K373" s="58"/>
      <c r="L373" s="80"/>
      <c r="M373" s="80"/>
      <c r="N373" s="80"/>
      <c r="O373" s="80"/>
      <c r="P373" s="80"/>
      <c r="Q373" s="80"/>
      <c r="R373" s="110">
        <f>Forecasting!R379</f>
        <v>0</v>
      </c>
      <c r="S373" s="110">
        <f>Forecasting!S379</f>
        <v>0</v>
      </c>
      <c r="T373" s="110">
        <f>Forecasting!T379</f>
        <v>0</v>
      </c>
      <c r="U373" s="110">
        <f>Forecasting!U379</f>
        <v>0</v>
      </c>
      <c r="V373" s="110">
        <f>Forecasting!V379</f>
        <v>0</v>
      </c>
      <c r="W373" s="106" t="e">
        <f>+(Q373/M373)^(1/4)-1</f>
        <v>#DIV/0!</v>
      </c>
      <c r="X373" s="106" t="e">
        <f>+(V373/Q373)^(1/5)-1</f>
        <v>#DIV/0!</v>
      </c>
    </row>
    <row r="374" spans="1:24">
      <c r="A374" s="57"/>
      <c r="B374" s="57"/>
      <c r="C374" s="61" t="s">
        <v>892</v>
      </c>
      <c r="D374" s="61"/>
      <c r="E374" s="61"/>
      <c r="F374" s="61"/>
      <c r="G374" s="61"/>
      <c r="H374" s="61"/>
      <c r="I374" s="61"/>
      <c r="J374" s="61" t="s">
        <v>58</v>
      </c>
      <c r="K374" s="58"/>
      <c r="L374" s="59"/>
      <c r="M374" s="62" t="e">
        <v>#DIV/0!</v>
      </c>
      <c r="N374" s="62" t="e">
        <f t="shared" ref="N374:V374" si="285">N373/M373-1</f>
        <v>#DIV/0!</v>
      </c>
      <c r="O374" s="62" t="e">
        <f t="shared" si="285"/>
        <v>#DIV/0!</v>
      </c>
      <c r="P374" s="62" t="e">
        <f t="shared" si="285"/>
        <v>#DIV/0!</v>
      </c>
      <c r="Q374" s="62" t="e">
        <f t="shared" si="285"/>
        <v>#DIV/0!</v>
      </c>
      <c r="R374" s="62" t="e">
        <f t="shared" si="285"/>
        <v>#DIV/0!</v>
      </c>
      <c r="S374" s="62" t="e">
        <f t="shared" si="285"/>
        <v>#DIV/0!</v>
      </c>
      <c r="T374" s="62" t="e">
        <f t="shared" si="285"/>
        <v>#DIV/0!</v>
      </c>
      <c r="U374" s="62" t="e">
        <f t="shared" si="285"/>
        <v>#DIV/0!</v>
      </c>
      <c r="V374" s="62" t="e">
        <f t="shared" si="285"/>
        <v>#DIV/0!</v>
      </c>
      <c r="W374" s="259"/>
      <c r="X374" s="259"/>
    </row>
    <row r="375" spans="1:24">
      <c r="A375" s="55" t="str">
        <f>Home!$B$1</f>
        <v>Poland</v>
      </c>
      <c r="B375" s="56" t="s">
        <v>94</v>
      </c>
      <c r="C375" s="56" t="s">
        <v>130</v>
      </c>
      <c r="D375" s="56" t="s">
        <v>67</v>
      </c>
      <c r="E375" s="55" t="s">
        <v>326</v>
      </c>
      <c r="F375" s="57" t="s">
        <v>327</v>
      </c>
      <c r="G375" s="57" t="s">
        <v>15</v>
      </c>
      <c r="H375" s="57" t="s">
        <v>16</v>
      </c>
      <c r="I375" s="57"/>
      <c r="J375" s="57" t="s">
        <v>99</v>
      </c>
      <c r="K375" s="58"/>
      <c r="L375" s="80"/>
      <c r="M375" s="80"/>
      <c r="N375" s="80"/>
      <c r="O375" s="80"/>
      <c r="P375" s="80"/>
      <c r="Q375" s="80"/>
      <c r="R375" s="110">
        <f>Forecasting!R381</f>
        <v>0</v>
      </c>
      <c r="S375" s="110">
        <f>Forecasting!S381</f>
        <v>0</v>
      </c>
      <c r="T375" s="110">
        <f>Forecasting!T381</f>
        <v>0</v>
      </c>
      <c r="U375" s="110">
        <f>Forecasting!U381</f>
        <v>0</v>
      </c>
      <c r="V375" s="110">
        <f>Forecasting!V381</f>
        <v>0</v>
      </c>
      <c r="W375" s="106" t="e">
        <f>+(Q375/M375)^(1/4)-1</f>
        <v>#DIV/0!</v>
      </c>
      <c r="X375" s="106" t="e">
        <f>+(V375/Q375)^(1/5)-1</f>
        <v>#DIV/0!</v>
      </c>
    </row>
    <row r="376" spans="1:24">
      <c r="A376" s="57"/>
      <c r="B376" s="57"/>
      <c r="C376" s="61" t="s">
        <v>892</v>
      </c>
      <c r="D376" s="61"/>
      <c r="E376" s="61"/>
      <c r="F376" s="61"/>
      <c r="G376" s="61"/>
      <c r="H376" s="61"/>
      <c r="I376" s="61"/>
      <c r="J376" s="61" t="s">
        <v>58</v>
      </c>
      <c r="K376" s="58"/>
      <c r="L376" s="59"/>
      <c r="M376" s="62" t="e">
        <v>#DIV/0!</v>
      </c>
      <c r="N376" s="62" t="e">
        <f t="shared" ref="N376:V376" si="286">N375/M375-1</f>
        <v>#DIV/0!</v>
      </c>
      <c r="O376" s="62" t="e">
        <f t="shared" si="286"/>
        <v>#DIV/0!</v>
      </c>
      <c r="P376" s="62" t="e">
        <f t="shared" si="286"/>
        <v>#DIV/0!</v>
      </c>
      <c r="Q376" s="62" t="e">
        <f t="shared" si="286"/>
        <v>#DIV/0!</v>
      </c>
      <c r="R376" s="62" t="e">
        <f t="shared" si="286"/>
        <v>#DIV/0!</v>
      </c>
      <c r="S376" s="62" t="e">
        <f t="shared" si="286"/>
        <v>#DIV/0!</v>
      </c>
      <c r="T376" s="62" t="e">
        <f t="shared" si="286"/>
        <v>#DIV/0!</v>
      </c>
      <c r="U376" s="62" t="e">
        <f t="shared" si="286"/>
        <v>#DIV/0!</v>
      </c>
      <c r="V376" s="62" t="e">
        <f t="shared" si="286"/>
        <v>#DIV/0!</v>
      </c>
      <c r="W376" s="259"/>
      <c r="X376" s="259"/>
    </row>
    <row r="377" spans="1:24">
      <c r="A377" s="55" t="str">
        <f>Home!$B$1</f>
        <v>Poland</v>
      </c>
      <c r="B377" s="56" t="s">
        <v>94</v>
      </c>
      <c r="C377" s="56" t="s">
        <v>130</v>
      </c>
      <c r="D377" s="56" t="s">
        <v>67</v>
      </c>
      <c r="E377" s="55" t="s">
        <v>328</v>
      </c>
      <c r="F377" s="57" t="s">
        <v>329</v>
      </c>
      <c r="G377" s="57" t="s">
        <v>15</v>
      </c>
      <c r="H377" s="57" t="s">
        <v>16</v>
      </c>
      <c r="I377" s="57"/>
      <c r="J377" s="57" t="s">
        <v>99</v>
      </c>
      <c r="K377" s="58"/>
      <c r="L377" s="80"/>
      <c r="M377" s="80"/>
      <c r="N377" s="80"/>
      <c r="O377" s="80"/>
      <c r="P377" s="80"/>
      <c r="Q377" s="80"/>
      <c r="R377" s="110">
        <f>Forecasting!R383</f>
        <v>0</v>
      </c>
      <c r="S377" s="110">
        <f>Forecasting!S383</f>
        <v>0</v>
      </c>
      <c r="T377" s="110">
        <f>Forecasting!T383</f>
        <v>0</v>
      </c>
      <c r="U377" s="110">
        <f>Forecasting!U383</f>
        <v>0</v>
      </c>
      <c r="V377" s="110">
        <f>Forecasting!V383</f>
        <v>0</v>
      </c>
      <c r="W377" s="106" t="e">
        <f>+(Q377/M377)^(1/4)-1</f>
        <v>#DIV/0!</v>
      </c>
      <c r="X377" s="106" t="e">
        <f>+(V377/Q377)^(1/5)-1</f>
        <v>#DIV/0!</v>
      </c>
    </row>
    <row r="378" spans="1:24">
      <c r="A378" s="57"/>
      <c r="B378" s="57"/>
      <c r="C378" s="61" t="s">
        <v>892</v>
      </c>
      <c r="D378" s="61"/>
      <c r="E378" s="61"/>
      <c r="F378" s="61"/>
      <c r="G378" s="61"/>
      <c r="H378" s="61"/>
      <c r="I378" s="61"/>
      <c r="J378" s="61" t="s">
        <v>58</v>
      </c>
      <c r="K378" s="58"/>
      <c r="L378" s="59"/>
      <c r="M378" s="62" t="e">
        <v>#DIV/0!</v>
      </c>
      <c r="N378" s="62" t="e">
        <f t="shared" ref="N378:V378" si="287">N377/M377-1</f>
        <v>#DIV/0!</v>
      </c>
      <c r="O378" s="62" t="e">
        <f t="shared" si="287"/>
        <v>#DIV/0!</v>
      </c>
      <c r="P378" s="62" t="e">
        <f t="shared" si="287"/>
        <v>#DIV/0!</v>
      </c>
      <c r="Q378" s="62" t="e">
        <f t="shared" si="287"/>
        <v>#DIV/0!</v>
      </c>
      <c r="R378" s="62" t="e">
        <f t="shared" si="287"/>
        <v>#DIV/0!</v>
      </c>
      <c r="S378" s="62" t="e">
        <f t="shared" si="287"/>
        <v>#DIV/0!</v>
      </c>
      <c r="T378" s="62" t="e">
        <f t="shared" si="287"/>
        <v>#DIV/0!</v>
      </c>
      <c r="U378" s="62" t="e">
        <f t="shared" si="287"/>
        <v>#DIV/0!</v>
      </c>
      <c r="V378" s="62" t="e">
        <f t="shared" si="287"/>
        <v>#DIV/0!</v>
      </c>
      <c r="W378" s="259"/>
      <c r="X378" s="259"/>
    </row>
    <row r="379" spans="1:24">
      <c r="A379" s="55" t="str">
        <f>Home!$B$1</f>
        <v>Poland</v>
      </c>
      <c r="B379" s="56" t="s">
        <v>94</v>
      </c>
      <c r="C379" s="56" t="s">
        <v>130</v>
      </c>
      <c r="D379" s="56" t="s">
        <v>67</v>
      </c>
      <c r="E379" s="55" t="s">
        <v>330</v>
      </c>
      <c r="F379" s="57" t="s">
        <v>331</v>
      </c>
      <c r="G379" s="57" t="s">
        <v>15</v>
      </c>
      <c r="H379" s="57" t="s">
        <v>16</v>
      </c>
      <c r="I379" s="57"/>
      <c r="J379" s="57" t="s">
        <v>99</v>
      </c>
      <c r="K379" s="58"/>
      <c r="L379" s="80"/>
      <c r="M379" s="80"/>
      <c r="N379" s="80"/>
      <c r="O379" s="80"/>
      <c r="P379" s="80"/>
      <c r="Q379" s="80"/>
      <c r="R379" s="110">
        <f>Forecasting!R385</f>
        <v>0</v>
      </c>
      <c r="S379" s="110">
        <f>Forecasting!S385</f>
        <v>0</v>
      </c>
      <c r="T379" s="110">
        <f>Forecasting!T385</f>
        <v>0</v>
      </c>
      <c r="U379" s="110">
        <f>Forecasting!U385</f>
        <v>0</v>
      </c>
      <c r="V379" s="110">
        <f>Forecasting!V385</f>
        <v>0</v>
      </c>
      <c r="W379" s="106" t="e">
        <f>+(Q379/M379)^(1/4)-1</f>
        <v>#DIV/0!</v>
      </c>
      <c r="X379" s="106" t="e">
        <f>+(V379/Q379)^(1/5)-1</f>
        <v>#DIV/0!</v>
      </c>
    </row>
    <row r="380" spans="1:24">
      <c r="A380" s="57"/>
      <c r="B380" s="57"/>
      <c r="C380" s="61" t="s">
        <v>892</v>
      </c>
      <c r="D380" s="61"/>
      <c r="E380" s="61"/>
      <c r="F380" s="61"/>
      <c r="G380" s="61"/>
      <c r="H380" s="61"/>
      <c r="I380" s="61"/>
      <c r="J380" s="61" t="s">
        <v>58</v>
      </c>
      <c r="K380" s="58"/>
      <c r="L380" s="59"/>
      <c r="M380" s="62" t="e">
        <v>#DIV/0!</v>
      </c>
      <c r="N380" s="62" t="e">
        <f t="shared" ref="N380:V380" si="288">N379/M379-1</f>
        <v>#DIV/0!</v>
      </c>
      <c r="O380" s="62" t="e">
        <f t="shared" si="288"/>
        <v>#DIV/0!</v>
      </c>
      <c r="P380" s="62" t="e">
        <f t="shared" si="288"/>
        <v>#DIV/0!</v>
      </c>
      <c r="Q380" s="62" t="e">
        <f t="shared" si="288"/>
        <v>#DIV/0!</v>
      </c>
      <c r="R380" s="62" t="e">
        <f t="shared" si="288"/>
        <v>#DIV/0!</v>
      </c>
      <c r="S380" s="62" t="e">
        <f t="shared" si="288"/>
        <v>#DIV/0!</v>
      </c>
      <c r="T380" s="62" t="e">
        <f t="shared" si="288"/>
        <v>#DIV/0!</v>
      </c>
      <c r="U380" s="62" t="e">
        <f t="shared" si="288"/>
        <v>#DIV/0!</v>
      </c>
      <c r="V380" s="62" t="e">
        <f t="shared" si="288"/>
        <v>#DIV/0!</v>
      </c>
      <c r="W380" s="259"/>
      <c r="X380" s="259"/>
    </row>
    <row r="381" spans="1:24">
      <c r="A381" s="55" t="str">
        <f>Home!$B$1</f>
        <v>Poland</v>
      </c>
      <c r="B381" s="84" t="s">
        <v>94</v>
      </c>
      <c r="C381" s="84" t="s">
        <v>130</v>
      </c>
      <c r="D381" s="84" t="s">
        <v>67</v>
      </c>
      <c r="E381" s="97" t="s">
        <v>878</v>
      </c>
      <c r="F381" s="84" t="s">
        <v>882</v>
      </c>
      <c r="G381" s="57"/>
      <c r="H381" s="57"/>
      <c r="I381" s="57"/>
      <c r="J381" s="57" t="s">
        <v>99</v>
      </c>
      <c r="K381" s="58"/>
      <c r="L381" s="361">
        <f>'Seasonality&amp; Avg.stay'!B205</f>
        <v>619.49130141617832</v>
      </c>
      <c r="M381" s="361">
        <f>'Seasonality&amp; Avg.stay'!C205</f>
        <v>511.74742266190992</v>
      </c>
      <c r="N381" s="361">
        <f>'Seasonality&amp; Avg.stay'!D205</f>
        <v>430.34296711272128</v>
      </c>
      <c r="O381" s="361">
        <f>'Seasonality&amp; Avg.stay'!E205</f>
        <v>511.07743297681708</v>
      </c>
      <c r="P381" s="361">
        <f>'Seasonality&amp; Avg.stay'!F205</f>
        <v>534.18113314552591</v>
      </c>
      <c r="Q381" s="361">
        <f>'Seasonality&amp; Avg.stay'!G205</f>
        <v>614.43270469318475</v>
      </c>
      <c r="R381" s="110">
        <f>Forecasting!R387</f>
        <v>0</v>
      </c>
      <c r="S381" s="110">
        <f>Forecasting!S387</f>
        <v>0</v>
      </c>
      <c r="T381" s="110">
        <f>Forecasting!T387</f>
        <v>0</v>
      </c>
      <c r="U381" s="110">
        <f>Forecasting!U387</f>
        <v>0</v>
      </c>
      <c r="V381" s="110">
        <f>Forecasting!V387</f>
        <v>0</v>
      </c>
      <c r="W381" s="106">
        <f>+(Q381/M381)^(1/4)-1</f>
        <v>4.677818905274278E-2</v>
      </c>
      <c r="X381" s="106">
        <f>+(V381/Q381)^(1/5)-1</f>
        <v>-1</v>
      </c>
    </row>
    <row r="382" spans="1:24">
      <c r="A382" s="57"/>
      <c r="B382" s="57"/>
      <c r="C382" s="61" t="s">
        <v>892</v>
      </c>
      <c r="D382" s="61"/>
      <c r="E382" s="61"/>
      <c r="F382" s="61"/>
      <c r="G382" s="61"/>
      <c r="H382" s="61"/>
      <c r="I382" s="61"/>
      <c r="J382" s="61" t="s">
        <v>58</v>
      </c>
      <c r="K382" s="58"/>
      <c r="L382" s="59"/>
      <c r="M382" s="62">
        <v>4.0688514746453075E-2</v>
      </c>
      <c r="N382" s="62">
        <f t="shared" ref="N382:V382" si="289">N381/M381-1</f>
        <v>-0.15907154964406955</v>
      </c>
      <c r="O382" s="62">
        <f t="shared" si="289"/>
        <v>0.18760493846515858</v>
      </c>
      <c r="P382" s="62">
        <f t="shared" si="289"/>
        <v>4.5205870339723786E-2</v>
      </c>
      <c r="Q382" s="62">
        <f t="shared" si="289"/>
        <v>0.15023288275850821</v>
      </c>
      <c r="R382" s="62">
        <f t="shared" si="289"/>
        <v>-1</v>
      </c>
      <c r="S382" s="62" t="e">
        <f t="shared" si="289"/>
        <v>#DIV/0!</v>
      </c>
      <c r="T382" s="62" t="e">
        <f t="shared" si="289"/>
        <v>#DIV/0!</v>
      </c>
      <c r="U382" s="62" t="e">
        <f t="shared" si="289"/>
        <v>#DIV/0!</v>
      </c>
      <c r="V382" s="62" t="e">
        <f t="shared" si="289"/>
        <v>#DIV/0!</v>
      </c>
      <c r="W382" s="259"/>
      <c r="X382" s="259"/>
    </row>
    <row r="383" spans="1:24">
      <c r="A383" s="55" t="str">
        <f>Home!$B$1</f>
        <v>Poland</v>
      </c>
      <c r="B383" s="56" t="s">
        <v>94</v>
      </c>
      <c r="C383" s="56" t="s">
        <v>130</v>
      </c>
      <c r="D383" s="55" t="s">
        <v>69</v>
      </c>
      <c r="E383" s="57"/>
      <c r="F383" s="57" t="s">
        <v>332</v>
      </c>
      <c r="G383" s="57" t="s">
        <v>15</v>
      </c>
      <c r="H383" s="57" t="s">
        <v>16</v>
      </c>
      <c r="I383" s="57"/>
      <c r="J383" s="57" t="s">
        <v>99</v>
      </c>
      <c r="K383" s="86">
        <f>SUM(K384:K427)</f>
        <v>3701.33</v>
      </c>
      <c r="L383" s="267">
        <f t="shared" ref="L383:Q383" si="290">SUM(L385,L387,L389,L391,L393,L395,L397,L399,L401,L403,L405,L407,L409,L411,L413,L415,L417,L419,L421,L423,L425,L427,L429,L431,L433,L435,L437,L439,L441,L443,L445,L447,L449,L451,L453,L455,L457,L459,L461,L463,L465,L467,L469,L471,L473)</f>
        <v>13494.813166540782</v>
      </c>
      <c r="M383" s="267">
        <f t="shared" si="290"/>
        <v>11718.407408010447</v>
      </c>
      <c r="N383" s="267">
        <f t="shared" si="290"/>
        <v>10825</v>
      </c>
      <c r="O383" s="267">
        <f t="shared" si="290"/>
        <v>11220</v>
      </c>
      <c r="P383" s="267">
        <f t="shared" si="290"/>
        <v>12070</v>
      </c>
      <c r="Q383" s="267">
        <f t="shared" si="290"/>
        <v>13385</v>
      </c>
      <c r="R383" s="264">
        <f>Forecasting!R389</f>
        <v>13957.657271987555</v>
      </c>
      <c r="S383" s="264">
        <f>Forecasting!S389</f>
        <v>14455.331948328077</v>
      </c>
      <c r="T383" s="264">
        <f>Forecasting!T389</f>
        <v>15046.1023581013</v>
      </c>
      <c r="U383" s="264">
        <f>Forecasting!U389</f>
        <v>15756.404945353475</v>
      </c>
      <c r="V383" s="264">
        <f>Forecasting!V389</f>
        <v>16569.927121109755</v>
      </c>
      <c r="W383" s="106">
        <f>+(Q383/M383)^(1/4)-1</f>
        <v>3.3802184842000926E-2</v>
      </c>
      <c r="X383" s="106">
        <f>+(V383/Q383)^(1/5)-1</f>
        <v>4.361531699017096E-2</v>
      </c>
    </row>
    <row r="384" spans="1:24">
      <c r="A384" s="57"/>
      <c r="B384" s="57"/>
      <c r="C384" s="61" t="s">
        <v>892</v>
      </c>
      <c r="D384" s="61"/>
      <c r="E384" s="61"/>
      <c r="F384" s="61"/>
      <c r="G384" s="61"/>
      <c r="H384" s="61"/>
      <c r="I384" s="61"/>
      <c r="J384" s="61" t="s">
        <v>58</v>
      </c>
      <c r="K384" s="58"/>
      <c r="L384" s="59"/>
      <c r="M384" s="62">
        <f t="shared" ref="M384" si="291">M383/L383-1</f>
        <v>-0.13163618766762764</v>
      </c>
      <c r="N384" s="62">
        <f t="shared" ref="N384:V384" si="292">N383/M383-1</f>
        <v>-7.6239660979847246E-2</v>
      </c>
      <c r="O384" s="62">
        <f t="shared" si="292"/>
        <v>3.6489607390300272E-2</v>
      </c>
      <c r="P384" s="62">
        <f t="shared" si="292"/>
        <v>7.575757575757569E-2</v>
      </c>
      <c r="Q384" s="62">
        <f t="shared" si="292"/>
        <v>0.10894780447390229</v>
      </c>
      <c r="R384" s="62">
        <f t="shared" si="292"/>
        <v>4.2783509300527101E-2</v>
      </c>
      <c r="S384" s="62">
        <f t="shared" si="292"/>
        <v>3.5656032143684735E-2</v>
      </c>
      <c r="T384" s="62">
        <f t="shared" si="292"/>
        <v>4.0868685124975768E-2</v>
      </c>
      <c r="U384" s="62">
        <f t="shared" si="292"/>
        <v>4.7208411211540513E-2</v>
      </c>
      <c r="V384" s="62">
        <f t="shared" si="292"/>
        <v>5.1631205124376134E-2</v>
      </c>
      <c r="W384" s="259"/>
      <c r="X384" s="259"/>
    </row>
    <row r="385" spans="1:26">
      <c r="A385" s="55" t="str">
        <f>Home!$B$1</f>
        <v>Poland</v>
      </c>
      <c r="B385" s="56" t="s">
        <v>94</v>
      </c>
      <c r="C385" s="56" t="s">
        <v>130</v>
      </c>
      <c r="D385" s="56" t="s">
        <v>69</v>
      </c>
      <c r="E385" s="55" t="s">
        <v>333</v>
      </c>
      <c r="F385" s="57" t="s">
        <v>334</v>
      </c>
      <c r="G385" s="57" t="s">
        <v>15</v>
      </c>
      <c r="H385" s="57" t="s">
        <v>16</v>
      </c>
      <c r="I385" s="57"/>
      <c r="J385" s="57" t="s">
        <v>99</v>
      </c>
      <c r="K385" s="58"/>
      <c r="L385" s="80"/>
      <c r="M385" s="80"/>
      <c r="N385" s="80"/>
      <c r="O385" s="80"/>
      <c r="P385" s="80"/>
      <c r="Q385" s="80"/>
      <c r="R385" s="110">
        <f>Forecasting!R401</f>
        <v>0</v>
      </c>
      <c r="S385" s="110">
        <f>Forecasting!S401</f>
        <v>0</v>
      </c>
      <c r="T385" s="110">
        <f>Forecasting!T401</f>
        <v>0</v>
      </c>
      <c r="U385" s="110">
        <f>Forecasting!U401</f>
        <v>0</v>
      </c>
      <c r="V385" s="110">
        <f>Forecasting!V401</f>
        <v>0</v>
      </c>
      <c r="W385" s="106" t="e">
        <f>+(Q385/M385)^(1/4)-1</f>
        <v>#DIV/0!</v>
      </c>
      <c r="X385" s="106" t="e">
        <f>+(V385/Q385)^(1/5)-1</f>
        <v>#DIV/0!</v>
      </c>
    </row>
    <row r="386" spans="1:26">
      <c r="A386" s="57"/>
      <c r="B386" s="57"/>
      <c r="C386" s="61" t="s">
        <v>892</v>
      </c>
      <c r="D386" s="61"/>
      <c r="E386" s="61"/>
      <c r="F386" s="61"/>
      <c r="G386" s="61"/>
      <c r="H386" s="61"/>
      <c r="I386" s="61"/>
      <c r="J386" s="61" t="s">
        <v>58</v>
      </c>
      <c r="K386" s="58"/>
      <c r="L386" s="59"/>
      <c r="M386" s="62" t="e">
        <f t="shared" ref="M386:V388" si="293">M385/L385-1</f>
        <v>#DIV/0!</v>
      </c>
      <c r="N386" s="62" t="e">
        <f t="shared" si="293"/>
        <v>#DIV/0!</v>
      </c>
      <c r="O386" s="62" t="e">
        <f t="shared" si="293"/>
        <v>#DIV/0!</v>
      </c>
      <c r="P386" s="62" t="e">
        <f t="shared" si="293"/>
        <v>#DIV/0!</v>
      </c>
      <c r="Q386" s="62" t="e">
        <f t="shared" si="293"/>
        <v>#DIV/0!</v>
      </c>
      <c r="R386" s="62" t="e">
        <f t="shared" si="293"/>
        <v>#DIV/0!</v>
      </c>
      <c r="S386" s="62" t="e">
        <f t="shared" si="293"/>
        <v>#DIV/0!</v>
      </c>
      <c r="T386" s="62" t="e">
        <f t="shared" si="293"/>
        <v>#DIV/0!</v>
      </c>
      <c r="U386" s="62" t="e">
        <f t="shared" si="293"/>
        <v>#DIV/0!</v>
      </c>
      <c r="V386" s="62" t="e">
        <f t="shared" si="293"/>
        <v>#DIV/0!</v>
      </c>
      <c r="W386" s="259"/>
      <c r="X386" s="259"/>
    </row>
    <row r="387" spans="1:26">
      <c r="A387" s="55" t="str">
        <f>Home!$B$1</f>
        <v>Poland</v>
      </c>
      <c r="B387" s="56" t="s">
        <v>94</v>
      </c>
      <c r="C387" s="56" t="s">
        <v>130</v>
      </c>
      <c r="D387" s="56" t="s">
        <v>69</v>
      </c>
      <c r="E387" s="55" t="s">
        <v>335</v>
      </c>
      <c r="F387" s="57" t="s">
        <v>336</v>
      </c>
      <c r="G387" s="57" t="s">
        <v>15</v>
      </c>
      <c r="H387" s="57" t="s">
        <v>16</v>
      </c>
      <c r="I387" s="57"/>
      <c r="J387" s="57" t="s">
        <v>99</v>
      </c>
      <c r="K387" s="58"/>
      <c r="L387" s="80"/>
      <c r="M387" s="80"/>
      <c r="N387" s="80"/>
      <c r="O387" s="80"/>
      <c r="P387" s="80"/>
      <c r="Q387" s="80"/>
      <c r="R387" s="110">
        <f>Forecasting!R403</f>
        <v>0</v>
      </c>
      <c r="S387" s="110">
        <f>Forecasting!S403</f>
        <v>0</v>
      </c>
      <c r="T387" s="110">
        <f>Forecasting!T403</f>
        <v>0</v>
      </c>
      <c r="U387" s="110">
        <f>Forecasting!U403</f>
        <v>0</v>
      </c>
      <c r="V387" s="110">
        <f>Forecasting!V403</f>
        <v>0</v>
      </c>
      <c r="W387" s="106" t="e">
        <f>+(Q387/M387)^(1/4)-1</f>
        <v>#DIV/0!</v>
      </c>
      <c r="X387" s="106" t="e">
        <f>+(V387/Q387)^(1/5)-1</f>
        <v>#DIV/0!</v>
      </c>
    </row>
    <row r="388" spans="1:26">
      <c r="A388" s="57"/>
      <c r="B388" s="57"/>
      <c r="C388" s="61" t="s">
        <v>892</v>
      </c>
      <c r="D388" s="61"/>
      <c r="E388" s="61"/>
      <c r="F388" s="61"/>
      <c r="G388" s="61"/>
      <c r="H388" s="61"/>
      <c r="I388" s="61"/>
      <c r="J388" s="61" t="s">
        <v>58</v>
      </c>
      <c r="K388" s="58"/>
      <c r="L388" s="59"/>
      <c r="M388" s="62" t="e">
        <f t="shared" si="293"/>
        <v>#DIV/0!</v>
      </c>
      <c r="N388" s="62" t="e">
        <f t="shared" ref="N388:V388" si="294">N387/M387-1</f>
        <v>#DIV/0!</v>
      </c>
      <c r="O388" s="62" t="e">
        <f t="shared" si="294"/>
        <v>#DIV/0!</v>
      </c>
      <c r="P388" s="62" t="e">
        <f t="shared" si="294"/>
        <v>#DIV/0!</v>
      </c>
      <c r="Q388" s="62" t="e">
        <f t="shared" si="294"/>
        <v>#DIV/0!</v>
      </c>
      <c r="R388" s="62" t="e">
        <f t="shared" si="294"/>
        <v>#DIV/0!</v>
      </c>
      <c r="S388" s="62" t="e">
        <f t="shared" si="294"/>
        <v>#DIV/0!</v>
      </c>
      <c r="T388" s="62" t="e">
        <f t="shared" si="294"/>
        <v>#DIV/0!</v>
      </c>
      <c r="U388" s="62" t="e">
        <f t="shared" si="294"/>
        <v>#DIV/0!</v>
      </c>
      <c r="V388" s="62" t="e">
        <f t="shared" si="294"/>
        <v>#DIV/0!</v>
      </c>
      <c r="W388" s="259"/>
      <c r="X388" s="259"/>
    </row>
    <row r="389" spans="1:26">
      <c r="A389" s="55" t="str">
        <f>Home!$B$1</f>
        <v>Poland</v>
      </c>
      <c r="B389" s="56" t="s">
        <v>94</v>
      </c>
      <c r="C389" s="56" t="s">
        <v>130</v>
      </c>
      <c r="D389" s="56" t="s">
        <v>69</v>
      </c>
      <c r="E389" s="55" t="s">
        <v>337</v>
      </c>
      <c r="F389" s="57" t="s">
        <v>338</v>
      </c>
      <c r="G389" s="57" t="s">
        <v>15</v>
      </c>
      <c r="H389" s="57" t="s">
        <v>16</v>
      </c>
      <c r="I389" s="57"/>
      <c r="J389" s="57" t="s">
        <v>99</v>
      </c>
      <c r="K389" s="58">
        <v>117.191</v>
      </c>
      <c r="L389" s="59">
        <f>'Seasonality&amp; Avg.stay'!B154</f>
        <v>331.10589090338078</v>
      </c>
      <c r="M389" s="59">
        <f>'Seasonality&amp; Avg.stay'!C154</f>
        <v>305.21794197063036</v>
      </c>
      <c r="N389" s="59">
        <f>'Seasonality&amp; Avg.stay'!D154</f>
        <v>280</v>
      </c>
      <c r="O389" s="59">
        <f>'Seasonality&amp; Avg.stay'!E154</f>
        <v>310</v>
      </c>
      <c r="P389" s="59">
        <f>'Seasonality&amp; Avg.stay'!F154</f>
        <v>315</v>
      </c>
      <c r="Q389" s="59">
        <f>'Seasonality&amp; Avg.stay'!G154</f>
        <v>325</v>
      </c>
      <c r="R389" s="110">
        <f>Forecasting!R405</f>
        <v>0</v>
      </c>
      <c r="S389" s="110">
        <f>Forecasting!S405</f>
        <v>0</v>
      </c>
      <c r="T389" s="110">
        <f>Forecasting!T405</f>
        <v>0</v>
      </c>
      <c r="U389" s="110">
        <f>Forecasting!U405</f>
        <v>0</v>
      </c>
      <c r="V389" s="110">
        <f>Forecasting!V405</f>
        <v>0</v>
      </c>
      <c r="W389" s="106">
        <f>+(Q389/M389)^(1/4)-1</f>
        <v>1.5823663215569272E-2</v>
      </c>
      <c r="X389" s="106">
        <f>+(V389/Q389)^(1/5)-1</f>
        <v>-1</v>
      </c>
      <c r="Z389" s="12"/>
    </row>
    <row r="390" spans="1:26">
      <c r="A390" s="57"/>
      <c r="B390" s="57"/>
      <c r="C390" s="61" t="s">
        <v>892</v>
      </c>
      <c r="D390" s="61"/>
      <c r="E390" s="61"/>
      <c r="F390" s="61"/>
      <c r="G390" s="61"/>
      <c r="H390" s="61"/>
      <c r="I390" s="61"/>
      <c r="J390" s="61" t="s">
        <v>58</v>
      </c>
      <c r="K390" s="58"/>
      <c r="L390" s="59"/>
      <c r="M390" s="62">
        <f t="shared" ref="M390:V390" si="295">M389/L389-1</f>
        <v>-7.8186313333533319E-2</v>
      </c>
      <c r="N390" s="62">
        <f t="shared" si="295"/>
        <v>-8.2622737732295448E-2</v>
      </c>
      <c r="O390" s="62">
        <f t="shared" si="295"/>
        <v>0.10714285714285721</v>
      </c>
      <c r="P390" s="62">
        <f t="shared" si="295"/>
        <v>1.6129032258064502E-2</v>
      </c>
      <c r="Q390" s="62">
        <f t="shared" si="295"/>
        <v>3.1746031746031855E-2</v>
      </c>
      <c r="R390" s="62">
        <f t="shared" si="295"/>
        <v>-1</v>
      </c>
      <c r="S390" s="62" t="e">
        <f t="shared" si="295"/>
        <v>#DIV/0!</v>
      </c>
      <c r="T390" s="62" t="e">
        <f t="shared" si="295"/>
        <v>#DIV/0!</v>
      </c>
      <c r="U390" s="62" t="e">
        <f t="shared" si="295"/>
        <v>#DIV/0!</v>
      </c>
      <c r="V390" s="62" t="e">
        <f t="shared" si="295"/>
        <v>#DIV/0!</v>
      </c>
      <c r="W390" s="259"/>
      <c r="X390" s="259"/>
    </row>
    <row r="391" spans="1:26">
      <c r="A391" s="55" t="str">
        <f>Home!$B$1</f>
        <v>Poland</v>
      </c>
      <c r="B391" s="56" t="s">
        <v>94</v>
      </c>
      <c r="C391" s="56" t="s">
        <v>130</v>
      </c>
      <c r="D391" s="56" t="s">
        <v>69</v>
      </c>
      <c r="E391" s="55" t="s">
        <v>339</v>
      </c>
      <c r="F391" s="57" t="s">
        <v>340</v>
      </c>
      <c r="G391" s="57" t="s">
        <v>15</v>
      </c>
      <c r="H391" s="57" t="s">
        <v>16</v>
      </c>
      <c r="I391" s="57"/>
      <c r="J391" s="57" t="s">
        <v>99</v>
      </c>
      <c r="K391" s="58"/>
      <c r="L391" s="265">
        <f>'Seasonality&amp; Avg.stay'!B169</f>
        <v>1648.3303463331877</v>
      </c>
      <c r="M391" s="265">
        <f>'Seasonality&amp; Avg.stay'!C169</f>
        <v>1122.3874126036153</v>
      </c>
      <c r="N391" s="265">
        <f>'Seasonality&amp; Avg.stay'!D169</f>
        <v>865</v>
      </c>
      <c r="O391" s="265">
        <f>'Seasonality&amp; Avg.stay'!E169</f>
        <v>970</v>
      </c>
      <c r="P391" s="265">
        <f>'Seasonality&amp; Avg.stay'!F169</f>
        <v>1220</v>
      </c>
      <c r="Q391" s="265">
        <f>'Seasonality&amp; Avg.stay'!G169</f>
        <v>1620</v>
      </c>
      <c r="R391" s="266">
        <f>Forecasting!R407</f>
        <v>0</v>
      </c>
      <c r="S391" s="266">
        <f>Forecasting!S407</f>
        <v>0</v>
      </c>
      <c r="T391" s="266">
        <f>Forecasting!T407</f>
        <v>0</v>
      </c>
      <c r="U391" s="266">
        <f>Forecasting!U407</f>
        <v>0</v>
      </c>
      <c r="V391" s="266">
        <f>Forecasting!V407</f>
        <v>0</v>
      </c>
      <c r="W391" s="106">
        <f>+(Q391/M391)^(1/4)-1</f>
        <v>9.6082027740405085E-2</v>
      </c>
      <c r="X391" s="106">
        <f>+(V391/Q391)^(1/5)-1</f>
        <v>-1</v>
      </c>
    </row>
    <row r="392" spans="1:26">
      <c r="A392" s="57"/>
      <c r="B392" s="57"/>
      <c r="C392" s="61" t="s">
        <v>892</v>
      </c>
      <c r="D392" s="61"/>
      <c r="E392" s="61"/>
      <c r="F392" s="61"/>
      <c r="G392" s="61"/>
      <c r="H392" s="61"/>
      <c r="I392" s="61"/>
      <c r="J392" s="61" t="s">
        <v>58</v>
      </c>
      <c r="K392" s="58"/>
      <c r="L392" s="59"/>
      <c r="M392" s="62">
        <f t="shared" ref="M392:V392" si="296">M391/L391-1</f>
        <v>-0.31907616995559462</v>
      </c>
      <c r="N392" s="62">
        <f t="shared" si="296"/>
        <v>-0.22932136418614202</v>
      </c>
      <c r="O392" s="62">
        <f t="shared" si="296"/>
        <v>0.12138728323699421</v>
      </c>
      <c r="P392" s="62">
        <f t="shared" si="296"/>
        <v>0.25773195876288657</v>
      </c>
      <c r="Q392" s="62">
        <f t="shared" si="296"/>
        <v>0.32786885245901631</v>
      </c>
      <c r="R392" s="62">
        <f t="shared" si="296"/>
        <v>-1</v>
      </c>
      <c r="S392" s="62" t="e">
        <f t="shared" si="296"/>
        <v>#DIV/0!</v>
      </c>
      <c r="T392" s="62" t="e">
        <f t="shared" si="296"/>
        <v>#DIV/0!</v>
      </c>
      <c r="U392" s="62" t="e">
        <f t="shared" si="296"/>
        <v>#DIV/0!</v>
      </c>
      <c r="V392" s="62" t="e">
        <f t="shared" si="296"/>
        <v>#DIV/0!</v>
      </c>
      <c r="W392" s="259"/>
      <c r="X392" s="259"/>
    </row>
    <row r="393" spans="1:26">
      <c r="A393" s="55" t="str">
        <f>Home!$B$1</f>
        <v>Poland</v>
      </c>
      <c r="B393" s="56" t="s">
        <v>94</v>
      </c>
      <c r="C393" s="56" t="s">
        <v>130</v>
      </c>
      <c r="D393" s="56" t="s">
        <v>69</v>
      </c>
      <c r="E393" s="55" t="s">
        <v>341</v>
      </c>
      <c r="F393" s="57" t="s">
        <v>342</v>
      </c>
      <c r="G393" s="57" t="s">
        <v>15</v>
      </c>
      <c r="H393" s="57" t="s">
        <v>16</v>
      </c>
      <c r="I393" s="57"/>
      <c r="J393" s="57" t="s">
        <v>99</v>
      </c>
      <c r="K393" s="58">
        <v>188.31100000000001</v>
      </c>
      <c r="L393" s="80"/>
      <c r="M393" s="80"/>
      <c r="N393" s="80"/>
      <c r="O393" s="80"/>
      <c r="P393" s="80"/>
      <c r="Q393" s="80"/>
      <c r="R393" s="110">
        <f>Forecasting!R409</f>
        <v>0</v>
      </c>
      <c r="S393" s="110">
        <f>Forecasting!S409</f>
        <v>0</v>
      </c>
      <c r="T393" s="110">
        <f>Forecasting!T409</f>
        <v>0</v>
      </c>
      <c r="U393" s="110">
        <f>Forecasting!U409</f>
        <v>0</v>
      </c>
      <c r="V393" s="110">
        <f>Forecasting!V409</f>
        <v>0</v>
      </c>
      <c r="W393" s="106" t="e">
        <f>+(Q393/M393)^(1/4)-1</f>
        <v>#DIV/0!</v>
      </c>
      <c r="X393" s="106" t="e">
        <f>+(V393/Q393)^(1/5)-1</f>
        <v>#DIV/0!</v>
      </c>
      <c r="Z393" s="12"/>
    </row>
    <row r="394" spans="1:26">
      <c r="A394" s="57"/>
      <c r="B394" s="57"/>
      <c r="C394" s="61" t="s">
        <v>892</v>
      </c>
      <c r="D394" s="61"/>
      <c r="E394" s="61"/>
      <c r="F394" s="61"/>
      <c r="G394" s="61"/>
      <c r="H394" s="61"/>
      <c r="I394" s="61"/>
      <c r="J394" s="61" t="s">
        <v>58</v>
      </c>
      <c r="K394" s="58"/>
      <c r="L394" s="59"/>
      <c r="M394" s="62" t="e">
        <f t="shared" ref="M394:V394" si="297">M393/L393-1</f>
        <v>#DIV/0!</v>
      </c>
      <c r="N394" s="62" t="e">
        <f t="shared" si="297"/>
        <v>#DIV/0!</v>
      </c>
      <c r="O394" s="62" t="e">
        <f t="shared" si="297"/>
        <v>#DIV/0!</v>
      </c>
      <c r="P394" s="62" t="e">
        <f t="shared" si="297"/>
        <v>#DIV/0!</v>
      </c>
      <c r="Q394" s="62" t="e">
        <f t="shared" si="297"/>
        <v>#DIV/0!</v>
      </c>
      <c r="R394" s="62" t="e">
        <f t="shared" si="297"/>
        <v>#DIV/0!</v>
      </c>
      <c r="S394" s="62" t="e">
        <f t="shared" si="297"/>
        <v>#DIV/0!</v>
      </c>
      <c r="T394" s="62" t="e">
        <f t="shared" si="297"/>
        <v>#DIV/0!</v>
      </c>
      <c r="U394" s="62" t="e">
        <f t="shared" si="297"/>
        <v>#DIV/0!</v>
      </c>
      <c r="V394" s="62" t="e">
        <f t="shared" si="297"/>
        <v>#DIV/0!</v>
      </c>
      <c r="W394" s="259"/>
      <c r="X394" s="259"/>
    </row>
    <row r="395" spans="1:26">
      <c r="A395" s="55" t="str">
        <f>Home!$B$1</f>
        <v>Poland</v>
      </c>
      <c r="B395" s="56" t="s">
        <v>94</v>
      </c>
      <c r="C395" s="56" t="s">
        <v>130</v>
      </c>
      <c r="D395" s="56" t="s">
        <v>69</v>
      </c>
      <c r="E395" s="55" t="s">
        <v>343</v>
      </c>
      <c r="F395" s="57" t="s">
        <v>344</v>
      </c>
      <c r="G395" s="57" t="s">
        <v>15</v>
      </c>
      <c r="H395" s="57" t="s">
        <v>16</v>
      </c>
      <c r="I395" s="57"/>
      <c r="J395" s="57" t="s">
        <v>99</v>
      </c>
      <c r="K395" s="58"/>
      <c r="L395" s="80"/>
      <c r="M395" s="80"/>
      <c r="N395" s="80"/>
      <c r="O395" s="80"/>
      <c r="P395" s="80"/>
      <c r="Q395" s="80"/>
      <c r="R395" s="110">
        <f>Forecasting!R411</f>
        <v>0</v>
      </c>
      <c r="S395" s="110">
        <f>Forecasting!S411</f>
        <v>0</v>
      </c>
      <c r="T395" s="110">
        <f>Forecasting!T411</f>
        <v>0</v>
      </c>
      <c r="U395" s="110">
        <f>Forecasting!U411</f>
        <v>0</v>
      </c>
      <c r="V395" s="110">
        <f>Forecasting!V411</f>
        <v>0</v>
      </c>
      <c r="W395" s="106" t="e">
        <f>+(Q395/M395)^(1/4)-1</f>
        <v>#DIV/0!</v>
      </c>
      <c r="X395" s="106" t="e">
        <f>+(V395/Q395)^(1/5)-1</f>
        <v>#DIV/0!</v>
      </c>
    </row>
    <row r="396" spans="1:26">
      <c r="A396" s="57"/>
      <c r="B396" s="57"/>
      <c r="C396" s="61" t="s">
        <v>892</v>
      </c>
      <c r="D396" s="61"/>
      <c r="E396" s="61"/>
      <c r="F396" s="61"/>
      <c r="G396" s="61"/>
      <c r="H396" s="61"/>
      <c r="I396" s="61"/>
      <c r="J396" s="61" t="s">
        <v>58</v>
      </c>
      <c r="K396" s="58"/>
      <c r="L396" s="59"/>
      <c r="M396" s="62" t="e">
        <f t="shared" ref="M396" si="298">M395/L395-1</f>
        <v>#DIV/0!</v>
      </c>
      <c r="N396" s="62" t="e">
        <f t="shared" ref="N396:V396" si="299">N395/M395-1</f>
        <v>#DIV/0!</v>
      </c>
      <c r="O396" s="62" t="e">
        <f t="shared" si="299"/>
        <v>#DIV/0!</v>
      </c>
      <c r="P396" s="62" t="e">
        <f t="shared" si="299"/>
        <v>#DIV/0!</v>
      </c>
      <c r="Q396" s="62" t="e">
        <f t="shared" si="299"/>
        <v>#DIV/0!</v>
      </c>
      <c r="R396" s="62" t="e">
        <f t="shared" si="299"/>
        <v>#DIV/0!</v>
      </c>
      <c r="S396" s="62" t="e">
        <f t="shared" si="299"/>
        <v>#DIV/0!</v>
      </c>
      <c r="T396" s="62" t="e">
        <f t="shared" si="299"/>
        <v>#DIV/0!</v>
      </c>
      <c r="U396" s="62" t="e">
        <f t="shared" si="299"/>
        <v>#DIV/0!</v>
      </c>
      <c r="V396" s="62" t="e">
        <f t="shared" si="299"/>
        <v>#DIV/0!</v>
      </c>
      <c r="W396" s="259"/>
      <c r="X396" s="259"/>
    </row>
    <row r="397" spans="1:26">
      <c r="A397" s="55" t="str">
        <f>Home!$B$1</f>
        <v>Poland</v>
      </c>
      <c r="B397" s="56" t="s">
        <v>94</v>
      </c>
      <c r="C397" s="56" t="s">
        <v>130</v>
      </c>
      <c r="D397" s="56" t="s">
        <v>69</v>
      </c>
      <c r="E397" s="55" t="s">
        <v>345</v>
      </c>
      <c r="F397" s="57" t="s">
        <v>346</v>
      </c>
      <c r="G397" s="57" t="s">
        <v>15</v>
      </c>
      <c r="H397" s="57" t="s">
        <v>16</v>
      </c>
      <c r="I397" s="57"/>
      <c r="J397" s="57" t="s">
        <v>99</v>
      </c>
      <c r="K397" s="58"/>
      <c r="L397" s="80"/>
      <c r="M397" s="80"/>
      <c r="N397" s="80"/>
      <c r="O397" s="80"/>
      <c r="P397" s="80"/>
      <c r="Q397" s="80"/>
      <c r="R397" s="110">
        <f>Forecasting!R413</f>
        <v>0</v>
      </c>
      <c r="S397" s="110">
        <f>Forecasting!S413</f>
        <v>0</v>
      </c>
      <c r="T397" s="110">
        <f>Forecasting!T413</f>
        <v>0</v>
      </c>
      <c r="U397" s="110">
        <f>Forecasting!U413</f>
        <v>0</v>
      </c>
      <c r="V397" s="110">
        <f>Forecasting!V413</f>
        <v>0</v>
      </c>
      <c r="W397" s="106" t="e">
        <f>+(Q397/M397)^(1/4)-1</f>
        <v>#DIV/0!</v>
      </c>
      <c r="X397" s="106" t="e">
        <f>+(V397/Q397)^(1/5)-1</f>
        <v>#DIV/0!</v>
      </c>
    </row>
    <row r="398" spans="1:26">
      <c r="A398" s="57"/>
      <c r="B398" s="57"/>
      <c r="C398" s="61" t="s">
        <v>892</v>
      </c>
      <c r="D398" s="61"/>
      <c r="E398" s="61"/>
      <c r="F398" s="61"/>
      <c r="G398" s="61"/>
      <c r="H398" s="61"/>
      <c r="I398" s="61"/>
      <c r="J398" s="61" t="s">
        <v>58</v>
      </c>
      <c r="K398" s="58"/>
      <c r="L398" s="59"/>
      <c r="M398" s="62" t="e">
        <f t="shared" ref="M398" si="300">M397/L397-1</f>
        <v>#DIV/0!</v>
      </c>
      <c r="N398" s="62" t="e">
        <f t="shared" ref="N398:V398" si="301">N397/M397-1</f>
        <v>#DIV/0!</v>
      </c>
      <c r="O398" s="62" t="e">
        <f t="shared" si="301"/>
        <v>#DIV/0!</v>
      </c>
      <c r="P398" s="62" t="e">
        <f t="shared" si="301"/>
        <v>#DIV/0!</v>
      </c>
      <c r="Q398" s="62" t="e">
        <f t="shared" si="301"/>
        <v>#DIV/0!</v>
      </c>
      <c r="R398" s="62" t="e">
        <f t="shared" si="301"/>
        <v>#DIV/0!</v>
      </c>
      <c r="S398" s="62" t="e">
        <f t="shared" si="301"/>
        <v>#DIV/0!</v>
      </c>
      <c r="T398" s="62" t="e">
        <f t="shared" si="301"/>
        <v>#DIV/0!</v>
      </c>
      <c r="U398" s="62" t="e">
        <f t="shared" si="301"/>
        <v>#DIV/0!</v>
      </c>
      <c r="V398" s="62" t="e">
        <f t="shared" si="301"/>
        <v>#DIV/0!</v>
      </c>
      <c r="W398" s="259"/>
      <c r="X398" s="259"/>
    </row>
    <row r="399" spans="1:26">
      <c r="A399" s="55" t="str">
        <f>Home!$B$1</f>
        <v>Poland</v>
      </c>
      <c r="B399" s="56" t="s">
        <v>94</v>
      </c>
      <c r="C399" s="56" t="s">
        <v>130</v>
      </c>
      <c r="D399" s="56" t="s">
        <v>69</v>
      </c>
      <c r="E399" s="55" t="s">
        <v>347</v>
      </c>
      <c r="F399" s="57" t="s">
        <v>348</v>
      </c>
      <c r="G399" s="57" t="s">
        <v>15</v>
      </c>
      <c r="H399" s="57" t="s">
        <v>16</v>
      </c>
      <c r="I399" s="57"/>
      <c r="J399" s="57" t="s">
        <v>99</v>
      </c>
      <c r="K399" s="58"/>
      <c r="L399" s="80"/>
      <c r="M399" s="80"/>
      <c r="N399" s="80"/>
      <c r="O399" s="80"/>
      <c r="P399" s="80"/>
      <c r="Q399" s="80"/>
      <c r="R399" s="110">
        <f>Forecasting!R415</f>
        <v>0</v>
      </c>
      <c r="S399" s="110">
        <f>Forecasting!S415</f>
        <v>0</v>
      </c>
      <c r="T399" s="110">
        <f>Forecasting!T415</f>
        <v>0</v>
      </c>
      <c r="U399" s="110">
        <f>Forecasting!U415</f>
        <v>0</v>
      </c>
      <c r="V399" s="110">
        <f>Forecasting!V415</f>
        <v>0</v>
      </c>
      <c r="W399" s="106" t="e">
        <f>+(Q399/M399)^(1/4)-1</f>
        <v>#DIV/0!</v>
      </c>
      <c r="X399" s="106" t="e">
        <f>+(V399/Q399)^(1/5)-1</f>
        <v>#DIV/0!</v>
      </c>
    </row>
    <row r="400" spans="1:26">
      <c r="A400" s="57"/>
      <c r="B400" s="57"/>
      <c r="C400" s="61" t="s">
        <v>892</v>
      </c>
      <c r="D400" s="61"/>
      <c r="E400" s="61"/>
      <c r="F400" s="61"/>
      <c r="G400" s="61"/>
      <c r="H400" s="61"/>
      <c r="I400" s="61"/>
      <c r="J400" s="61" t="s">
        <v>58</v>
      </c>
      <c r="K400" s="58"/>
      <c r="L400" s="59"/>
      <c r="M400" s="62" t="e">
        <f t="shared" ref="M400" si="302">M399/L399-1</f>
        <v>#DIV/0!</v>
      </c>
      <c r="N400" s="62" t="e">
        <f t="shared" ref="N400:V400" si="303">N399/M399-1</f>
        <v>#DIV/0!</v>
      </c>
      <c r="O400" s="62" t="e">
        <f t="shared" si="303"/>
        <v>#DIV/0!</v>
      </c>
      <c r="P400" s="62" t="e">
        <f t="shared" si="303"/>
        <v>#DIV/0!</v>
      </c>
      <c r="Q400" s="62" t="e">
        <f t="shared" si="303"/>
        <v>#DIV/0!</v>
      </c>
      <c r="R400" s="62" t="e">
        <f t="shared" si="303"/>
        <v>#DIV/0!</v>
      </c>
      <c r="S400" s="62" t="e">
        <f t="shared" si="303"/>
        <v>#DIV/0!</v>
      </c>
      <c r="T400" s="62" t="e">
        <f t="shared" si="303"/>
        <v>#DIV/0!</v>
      </c>
      <c r="U400" s="62" t="e">
        <f t="shared" si="303"/>
        <v>#DIV/0!</v>
      </c>
      <c r="V400" s="62" t="e">
        <f t="shared" si="303"/>
        <v>#DIV/0!</v>
      </c>
      <c r="W400" s="259"/>
      <c r="X400" s="259"/>
    </row>
    <row r="401" spans="1:26">
      <c r="A401" s="55" t="str">
        <f>Home!$B$1</f>
        <v>Poland</v>
      </c>
      <c r="B401" s="56" t="s">
        <v>94</v>
      </c>
      <c r="C401" s="56" t="s">
        <v>130</v>
      </c>
      <c r="D401" s="56" t="s">
        <v>69</v>
      </c>
      <c r="E401" s="55" t="s">
        <v>349</v>
      </c>
      <c r="F401" s="57" t="s">
        <v>350</v>
      </c>
      <c r="G401" s="57" t="s">
        <v>15</v>
      </c>
      <c r="H401" s="57" t="s">
        <v>16</v>
      </c>
      <c r="I401" s="57"/>
      <c r="J401" s="57" t="s">
        <v>99</v>
      </c>
      <c r="K401" s="58"/>
      <c r="L401" s="80"/>
      <c r="M401" s="80"/>
      <c r="N401" s="80"/>
      <c r="O401" s="80"/>
      <c r="P401" s="80"/>
      <c r="Q401" s="80"/>
      <c r="R401" s="110">
        <f>Forecasting!R417</f>
        <v>0</v>
      </c>
      <c r="S401" s="110">
        <f>Forecasting!S417</f>
        <v>0</v>
      </c>
      <c r="T401" s="110">
        <f>Forecasting!T417</f>
        <v>0</v>
      </c>
      <c r="U401" s="110">
        <f>Forecasting!U417</f>
        <v>0</v>
      </c>
      <c r="V401" s="110">
        <f>Forecasting!V417</f>
        <v>0</v>
      </c>
      <c r="W401" s="106" t="e">
        <f>+(Q401/M401)^(1/4)-1</f>
        <v>#DIV/0!</v>
      </c>
      <c r="X401" s="106" t="e">
        <f>+(V401/Q401)^(1/5)-1</f>
        <v>#DIV/0!</v>
      </c>
    </row>
    <row r="402" spans="1:26">
      <c r="A402" s="57"/>
      <c r="B402" s="57"/>
      <c r="C402" s="61" t="s">
        <v>892</v>
      </c>
      <c r="D402" s="61"/>
      <c r="E402" s="61"/>
      <c r="F402" s="61"/>
      <c r="G402" s="61"/>
      <c r="H402" s="61"/>
      <c r="I402" s="61"/>
      <c r="J402" s="61" t="s">
        <v>58</v>
      </c>
      <c r="K402" s="58"/>
      <c r="L402" s="59"/>
      <c r="M402" s="62" t="e">
        <f t="shared" ref="M402" si="304">M401/L401-1</f>
        <v>#DIV/0!</v>
      </c>
      <c r="N402" s="62" t="e">
        <f t="shared" ref="N402:V402" si="305">N401/M401-1</f>
        <v>#DIV/0!</v>
      </c>
      <c r="O402" s="62" t="e">
        <f t="shared" si="305"/>
        <v>#DIV/0!</v>
      </c>
      <c r="P402" s="62" t="e">
        <f t="shared" si="305"/>
        <v>#DIV/0!</v>
      </c>
      <c r="Q402" s="62" t="e">
        <f t="shared" si="305"/>
        <v>#DIV/0!</v>
      </c>
      <c r="R402" s="62" t="e">
        <f t="shared" si="305"/>
        <v>#DIV/0!</v>
      </c>
      <c r="S402" s="62" t="e">
        <f t="shared" si="305"/>
        <v>#DIV/0!</v>
      </c>
      <c r="T402" s="62" t="e">
        <f t="shared" si="305"/>
        <v>#DIV/0!</v>
      </c>
      <c r="U402" s="62" t="e">
        <f t="shared" si="305"/>
        <v>#DIV/0!</v>
      </c>
      <c r="V402" s="62" t="e">
        <f t="shared" si="305"/>
        <v>#DIV/0!</v>
      </c>
      <c r="W402" s="259"/>
      <c r="X402" s="259"/>
    </row>
    <row r="403" spans="1:26">
      <c r="A403" s="55" t="str">
        <f>Home!$B$1</f>
        <v>Poland</v>
      </c>
      <c r="B403" s="56" t="s">
        <v>94</v>
      </c>
      <c r="C403" s="56" t="s">
        <v>130</v>
      </c>
      <c r="D403" s="56" t="s">
        <v>69</v>
      </c>
      <c r="E403" s="55" t="s">
        <v>351</v>
      </c>
      <c r="F403" s="57" t="s">
        <v>352</v>
      </c>
      <c r="G403" s="57" t="s">
        <v>15</v>
      </c>
      <c r="H403" s="57" t="s">
        <v>16</v>
      </c>
      <c r="I403" s="57"/>
      <c r="J403" s="57" t="s">
        <v>99</v>
      </c>
      <c r="K403" s="58"/>
      <c r="L403" s="59"/>
      <c r="M403" s="59"/>
      <c r="N403" s="59"/>
      <c r="O403" s="59"/>
      <c r="P403" s="59"/>
      <c r="Q403" s="59"/>
      <c r="R403" s="110">
        <f>Forecasting!R419</f>
        <v>0</v>
      </c>
      <c r="S403" s="110">
        <f>Forecasting!S419</f>
        <v>0</v>
      </c>
      <c r="T403" s="110">
        <f>Forecasting!T419</f>
        <v>0</v>
      </c>
      <c r="U403" s="110">
        <f>Forecasting!U419</f>
        <v>0</v>
      </c>
      <c r="V403" s="110">
        <f>Forecasting!V419</f>
        <v>0</v>
      </c>
      <c r="W403" s="106" t="e">
        <f>+(Q403/M403)^(1/4)-1</f>
        <v>#DIV/0!</v>
      </c>
      <c r="X403" s="106" t="e">
        <f>+(V403/Q403)^(1/5)-1</f>
        <v>#DIV/0!</v>
      </c>
    </row>
    <row r="404" spans="1:26">
      <c r="A404" s="57"/>
      <c r="B404" s="57"/>
      <c r="C404" s="61" t="s">
        <v>892</v>
      </c>
      <c r="D404" s="61"/>
      <c r="E404" s="61"/>
      <c r="F404" s="61"/>
      <c r="G404" s="61"/>
      <c r="H404" s="61"/>
      <c r="I404" s="61"/>
      <c r="J404" s="61" t="s">
        <v>58</v>
      </c>
      <c r="K404" s="58"/>
      <c r="L404" s="59"/>
      <c r="M404" s="62" t="e">
        <f t="shared" ref="M404" si="306">M403/L403-1</f>
        <v>#DIV/0!</v>
      </c>
      <c r="N404" s="62" t="e">
        <f t="shared" ref="N404:V404" si="307">N403/M403-1</f>
        <v>#DIV/0!</v>
      </c>
      <c r="O404" s="62" t="e">
        <f t="shared" si="307"/>
        <v>#DIV/0!</v>
      </c>
      <c r="P404" s="62" t="e">
        <f t="shared" si="307"/>
        <v>#DIV/0!</v>
      </c>
      <c r="Q404" s="62" t="e">
        <f t="shared" si="307"/>
        <v>#DIV/0!</v>
      </c>
      <c r="R404" s="62" t="e">
        <f t="shared" si="307"/>
        <v>#DIV/0!</v>
      </c>
      <c r="S404" s="62" t="e">
        <f t="shared" si="307"/>
        <v>#DIV/0!</v>
      </c>
      <c r="T404" s="62" t="e">
        <f t="shared" si="307"/>
        <v>#DIV/0!</v>
      </c>
      <c r="U404" s="62" t="e">
        <f t="shared" si="307"/>
        <v>#DIV/0!</v>
      </c>
      <c r="V404" s="62" t="e">
        <f t="shared" si="307"/>
        <v>#DIV/0!</v>
      </c>
      <c r="W404" s="259"/>
      <c r="X404" s="259"/>
    </row>
    <row r="405" spans="1:26">
      <c r="A405" s="55" t="str">
        <f>Home!$B$1</f>
        <v>Poland</v>
      </c>
      <c r="B405" s="56" t="s">
        <v>94</v>
      </c>
      <c r="C405" s="56" t="s">
        <v>130</v>
      </c>
      <c r="D405" s="56" t="s">
        <v>69</v>
      </c>
      <c r="E405" s="55" t="s">
        <v>353</v>
      </c>
      <c r="F405" s="57" t="s">
        <v>354</v>
      </c>
      <c r="G405" s="57" t="s">
        <v>15</v>
      </c>
      <c r="H405" s="57" t="s">
        <v>16</v>
      </c>
      <c r="I405" s="57"/>
      <c r="J405" s="57" t="s">
        <v>99</v>
      </c>
      <c r="K405" s="58"/>
      <c r="L405" s="59">
        <f>'Seasonality&amp; Avg.stay'!B161</f>
        <v>208.15478317675095</v>
      </c>
      <c r="M405" s="59">
        <f>'Seasonality&amp; Avg.stay'!C161</f>
        <v>185.50323512523551</v>
      </c>
      <c r="N405" s="59">
        <f>'Seasonality&amp; Avg.stay'!D161</f>
        <v>175</v>
      </c>
      <c r="O405" s="59">
        <f>'Seasonality&amp; Avg.stay'!E161</f>
        <v>175</v>
      </c>
      <c r="P405" s="59">
        <f>'Seasonality&amp; Avg.stay'!F161</f>
        <v>195</v>
      </c>
      <c r="Q405" s="59">
        <f>'Seasonality&amp; Avg.stay'!G161</f>
        <v>205</v>
      </c>
      <c r="R405" s="110">
        <f>Forecasting!R421</f>
        <v>0</v>
      </c>
      <c r="S405" s="110">
        <f>Forecasting!S421</f>
        <v>0</v>
      </c>
      <c r="T405" s="110">
        <f>Forecasting!T421</f>
        <v>0</v>
      </c>
      <c r="U405" s="110">
        <f>Forecasting!U421</f>
        <v>0</v>
      </c>
      <c r="V405" s="110">
        <f>Forecasting!V421</f>
        <v>0</v>
      </c>
      <c r="W405" s="106">
        <f>+(Q405/M405)^(1/4)-1</f>
        <v>2.5299140398871822E-2</v>
      </c>
      <c r="X405" s="106">
        <f>+(V405/Q405)^(1/5)-1</f>
        <v>-1</v>
      </c>
    </row>
    <row r="406" spans="1:26">
      <c r="A406" s="57"/>
      <c r="B406" s="57"/>
      <c r="C406" s="61" t="s">
        <v>892</v>
      </c>
      <c r="D406" s="61"/>
      <c r="E406" s="61"/>
      <c r="F406" s="61"/>
      <c r="G406" s="61"/>
      <c r="H406" s="61"/>
      <c r="I406" s="61"/>
      <c r="J406" s="61" t="s">
        <v>58</v>
      </c>
      <c r="K406" s="58"/>
      <c r="L406" s="59"/>
      <c r="M406" s="62">
        <f t="shared" ref="M406:V406" si="308">M405/L405-1</f>
        <v>-0.10882069441700648</v>
      </c>
      <c r="N406" s="62">
        <f t="shared" si="308"/>
        <v>-5.6620226154787234E-2</v>
      </c>
      <c r="O406" s="62">
        <f t="shared" si="308"/>
        <v>0</v>
      </c>
      <c r="P406" s="62">
        <f t="shared" si="308"/>
        <v>0.11428571428571432</v>
      </c>
      <c r="Q406" s="62">
        <f t="shared" si="308"/>
        <v>5.1282051282051322E-2</v>
      </c>
      <c r="R406" s="62">
        <f t="shared" si="308"/>
        <v>-1</v>
      </c>
      <c r="S406" s="62" t="e">
        <f t="shared" si="308"/>
        <v>#DIV/0!</v>
      </c>
      <c r="T406" s="62" t="e">
        <f t="shared" si="308"/>
        <v>#DIV/0!</v>
      </c>
      <c r="U406" s="62" t="e">
        <f t="shared" si="308"/>
        <v>#DIV/0!</v>
      </c>
      <c r="V406" s="62" t="e">
        <f t="shared" si="308"/>
        <v>#DIV/0!</v>
      </c>
      <c r="W406" s="259"/>
      <c r="X406" s="259"/>
    </row>
    <row r="407" spans="1:26">
      <c r="A407" s="55" t="str">
        <f>Home!$B$1</f>
        <v>Poland</v>
      </c>
      <c r="B407" s="56" t="s">
        <v>94</v>
      </c>
      <c r="C407" s="56" t="s">
        <v>130</v>
      </c>
      <c r="D407" s="56" t="s">
        <v>69</v>
      </c>
      <c r="E407" s="55" t="s">
        <v>355</v>
      </c>
      <c r="F407" s="57" t="s">
        <v>356</v>
      </c>
      <c r="G407" s="57" t="s">
        <v>15</v>
      </c>
      <c r="H407" s="57" t="s">
        <v>16</v>
      </c>
      <c r="I407" s="57"/>
      <c r="J407" s="57" t="s">
        <v>99</v>
      </c>
      <c r="K407" s="58">
        <v>185.33699999999999</v>
      </c>
      <c r="L407" s="80"/>
      <c r="M407" s="80"/>
      <c r="N407" s="80"/>
      <c r="O407" s="80"/>
      <c r="P407" s="80"/>
      <c r="Q407" s="80"/>
      <c r="R407" s="110">
        <f>Forecasting!R423</f>
        <v>0</v>
      </c>
      <c r="S407" s="110">
        <f>Forecasting!S423</f>
        <v>0</v>
      </c>
      <c r="T407" s="110">
        <f>Forecasting!T423</f>
        <v>0</v>
      </c>
      <c r="U407" s="110">
        <f>Forecasting!U423</f>
        <v>0</v>
      </c>
      <c r="V407" s="110">
        <f>Forecasting!V423</f>
        <v>0</v>
      </c>
      <c r="W407" s="106" t="e">
        <f>+(Q407/M407)^(1/4)-1</f>
        <v>#DIV/0!</v>
      </c>
      <c r="X407" s="106" t="e">
        <f>+(V407/Q407)^(1/5)-1</f>
        <v>#DIV/0!</v>
      </c>
      <c r="Z407" s="12"/>
    </row>
    <row r="408" spans="1:26">
      <c r="A408" s="57"/>
      <c r="B408" s="57"/>
      <c r="C408" s="61" t="s">
        <v>892</v>
      </c>
      <c r="D408" s="61"/>
      <c r="E408" s="61"/>
      <c r="F408" s="61"/>
      <c r="G408" s="61"/>
      <c r="H408" s="61"/>
      <c r="I408" s="61"/>
      <c r="J408" s="61" t="s">
        <v>58</v>
      </c>
      <c r="K408" s="58"/>
      <c r="L408" s="59"/>
      <c r="M408" s="62" t="e">
        <f t="shared" ref="M408:V408" si="309">M407/L407-1</f>
        <v>#DIV/0!</v>
      </c>
      <c r="N408" s="62" t="e">
        <f t="shared" si="309"/>
        <v>#DIV/0!</v>
      </c>
      <c r="O408" s="62" t="e">
        <f t="shared" si="309"/>
        <v>#DIV/0!</v>
      </c>
      <c r="P408" s="62" t="e">
        <f t="shared" si="309"/>
        <v>#DIV/0!</v>
      </c>
      <c r="Q408" s="62" t="e">
        <f t="shared" si="309"/>
        <v>#DIV/0!</v>
      </c>
      <c r="R408" s="62" t="e">
        <f t="shared" si="309"/>
        <v>#DIV/0!</v>
      </c>
      <c r="S408" s="62" t="e">
        <f t="shared" si="309"/>
        <v>#DIV/0!</v>
      </c>
      <c r="T408" s="62" t="e">
        <f t="shared" si="309"/>
        <v>#DIV/0!</v>
      </c>
      <c r="U408" s="62" t="e">
        <f t="shared" si="309"/>
        <v>#DIV/0!</v>
      </c>
      <c r="V408" s="62" t="e">
        <f t="shared" si="309"/>
        <v>#DIV/0!</v>
      </c>
      <c r="W408" s="259"/>
      <c r="X408" s="259"/>
    </row>
    <row r="409" spans="1:26">
      <c r="A409" s="55" t="str">
        <f>Home!$B$1</f>
        <v>Poland</v>
      </c>
      <c r="B409" s="56" t="s">
        <v>94</v>
      </c>
      <c r="C409" s="56" t="s">
        <v>130</v>
      </c>
      <c r="D409" s="56" t="s">
        <v>69</v>
      </c>
      <c r="E409" s="55" t="s">
        <v>357</v>
      </c>
      <c r="F409" s="57" t="s">
        <v>358</v>
      </c>
      <c r="G409" s="57" t="s">
        <v>15</v>
      </c>
      <c r="H409" s="57" t="s">
        <v>16</v>
      </c>
      <c r="I409" s="57"/>
      <c r="J409" s="57" t="s">
        <v>99</v>
      </c>
      <c r="K409" s="58"/>
      <c r="L409" s="80"/>
      <c r="M409" s="80"/>
      <c r="N409" s="80"/>
      <c r="O409" s="80"/>
      <c r="P409" s="80"/>
      <c r="Q409" s="80"/>
      <c r="R409" s="110">
        <f>Forecasting!R425</f>
        <v>0</v>
      </c>
      <c r="S409" s="110">
        <f>Forecasting!S425</f>
        <v>0</v>
      </c>
      <c r="T409" s="110">
        <f>Forecasting!T425</f>
        <v>0</v>
      </c>
      <c r="U409" s="110">
        <f>Forecasting!U425</f>
        <v>0</v>
      </c>
      <c r="V409" s="110">
        <f>Forecasting!V425</f>
        <v>0</v>
      </c>
      <c r="W409" s="106" t="e">
        <f>+(Q409/M409)^(1/4)-1</f>
        <v>#DIV/0!</v>
      </c>
      <c r="X409" s="106" t="e">
        <f>+(V409/Q409)^(1/5)-1</f>
        <v>#DIV/0!</v>
      </c>
    </row>
    <row r="410" spans="1:26">
      <c r="A410" s="57"/>
      <c r="B410" s="57"/>
      <c r="C410" s="61" t="s">
        <v>892</v>
      </c>
      <c r="D410" s="61"/>
      <c r="E410" s="61"/>
      <c r="F410" s="61"/>
      <c r="G410" s="61"/>
      <c r="H410" s="61"/>
      <c r="I410" s="61"/>
      <c r="J410" s="61" t="s">
        <v>58</v>
      </c>
      <c r="K410" s="58"/>
      <c r="L410" s="59"/>
      <c r="M410" s="62" t="e">
        <f t="shared" ref="M410:V410" si="310">M409/L409-1</f>
        <v>#DIV/0!</v>
      </c>
      <c r="N410" s="62" t="e">
        <f t="shared" si="310"/>
        <v>#DIV/0!</v>
      </c>
      <c r="O410" s="62" t="e">
        <f t="shared" si="310"/>
        <v>#DIV/0!</v>
      </c>
      <c r="P410" s="62" t="e">
        <f t="shared" si="310"/>
        <v>#DIV/0!</v>
      </c>
      <c r="Q410" s="62" t="e">
        <f t="shared" si="310"/>
        <v>#DIV/0!</v>
      </c>
      <c r="R410" s="62" t="e">
        <f t="shared" si="310"/>
        <v>#DIV/0!</v>
      </c>
      <c r="S410" s="62" t="e">
        <f t="shared" si="310"/>
        <v>#DIV/0!</v>
      </c>
      <c r="T410" s="62" t="e">
        <f t="shared" si="310"/>
        <v>#DIV/0!</v>
      </c>
      <c r="U410" s="62" t="e">
        <f t="shared" si="310"/>
        <v>#DIV/0!</v>
      </c>
      <c r="V410" s="62" t="e">
        <f t="shared" si="310"/>
        <v>#DIV/0!</v>
      </c>
      <c r="W410" s="259"/>
      <c r="X410" s="259"/>
    </row>
    <row r="411" spans="1:26">
      <c r="A411" s="55" t="str">
        <f>Home!$B$1</f>
        <v>Poland</v>
      </c>
      <c r="B411" s="56" t="s">
        <v>94</v>
      </c>
      <c r="C411" s="56" t="s">
        <v>130</v>
      </c>
      <c r="D411" s="56" t="s">
        <v>69</v>
      </c>
      <c r="E411" s="55" t="s">
        <v>359</v>
      </c>
      <c r="F411" s="57" t="s">
        <v>360</v>
      </c>
      <c r="G411" s="57" t="s">
        <v>15</v>
      </c>
      <c r="H411" s="57" t="s">
        <v>16</v>
      </c>
      <c r="I411" s="57"/>
      <c r="J411" s="57" t="s">
        <v>99</v>
      </c>
      <c r="K411" s="58">
        <v>87.903999999999996</v>
      </c>
      <c r="L411" s="80"/>
      <c r="M411" s="80"/>
      <c r="N411" s="80"/>
      <c r="O411" s="80"/>
      <c r="P411" s="80"/>
      <c r="Q411" s="80"/>
      <c r="R411" s="110">
        <f>Forecasting!R427</f>
        <v>0</v>
      </c>
      <c r="S411" s="110">
        <f>Forecasting!S427</f>
        <v>0</v>
      </c>
      <c r="T411" s="110">
        <f>Forecasting!T427</f>
        <v>0</v>
      </c>
      <c r="U411" s="110">
        <f>Forecasting!U427</f>
        <v>0</v>
      </c>
      <c r="V411" s="110">
        <f>Forecasting!V427</f>
        <v>0</v>
      </c>
      <c r="W411" s="106" t="e">
        <f>+(Q411/M411)^(1/4)-1</f>
        <v>#DIV/0!</v>
      </c>
      <c r="X411" s="106" t="e">
        <f>+(V411/Q411)^(1/5)-1</f>
        <v>#DIV/0!</v>
      </c>
      <c r="Z411" s="12"/>
    </row>
    <row r="412" spans="1:26">
      <c r="A412" s="57"/>
      <c r="B412" s="57"/>
      <c r="C412" s="61" t="s">
        <v>892</v>
      </c>
      <c r="D412" s="61"/>
      <c r="E412" s="61"/>
      <c r="F412" s="61"/>
      <c r="G412" s="61"/>
      <c r="H412" s="61"/>
      <c r="I412" s="61"/>
      <c r="J412" s="61" t="s">
        <v>58</v>
      </c>
      <c r="K412" s="58"/>
      <c r="L412" s="59"/>
      <c r="M412" s="62" t="e">
        <f t="shared" ref="M412:V412" si="311">M411/L411-1</f>
        <v>#DIV/0!</v>
      </c>
      <c r="N412" s="62" t="e">
        <f t="shared" si="311"/>
        <v>#DIV/0!</v>
      </c>
      <c r="O412" s="62" t="e">
        <f t="shared" si="311"/>
        <v>#DIV/0!</v>
      </c>
      <c r="P412" s="62" t="e">
        <f t="shared" si="311"/>
        <v>#DIV/0!</v>
      </c>
      <c r="Q412" s="62" t="e">
        <f t="shared" si="311"/>
        <v>#DIV/0!</v>
      </c>
      <c r="R412" s="62" t="e">
        <f t="shared" si="311"/>
        <v>#DIV/0!</v>
      </c>
      <c r="S412" s="62" t="e">
        <f t="shared" si="311"/>
        <v>#DIV/0!</v>
      </c>
      <c r="T412" s="62" t="e">
        <f t="shared" si="311"/>
        <v>#DIV/0!</v>
      </c>
      <c r="U412" s="62" t="e">
        <f t="shared" si="311"/>
        <v>#DIV/0!</v>
      </c>
      <c r="V412" s="62" t="e">
        <f t="shared" si="311"/>
        <v>#DIV/0!</v>
      </c>
      <c r="W412" s="259"/>
      <c r="X412" s="259"/>
    </row>
    <row r="413" spans="1:26">
      <c r="A413" s="55" t="str">
        <f>Home!$B$1</f>
        <v>Poland</v>
      </c>
      <c r="B413" s="56" t="s">
        <v>94</v>
      </c>
      <c r="C413" s="56" t="s">
        <v>130</v>
      </c>
      <c r="D413" s="56" t="s">
        <v>69</v>
      </c>
      <c r="E413" s="55" t="s">
        <v>361</v>
      </c>
      <c r="F413" s="57" t="s">
        <v>362</v>
      </c>
      <c r="G413" s="57" t="s">
        <v>15</v>
      </c>
      <c r="H413" s="57" t="s">
        <v>16</v>
      </c>
      <c r="I413" s="57"/>
      <c r="J413" s="57" t="s">
        <v>99</v>
      </c>
      <c r="K413" s="58">
        <v>789.81500000000005</v>
      </c>
      <c r="L413" s="59">
        <f>'Seasonality&amp; Avg.stay'!B156</f>
        <v>245.01602959390124</v>
      </c>
      <c r="M413" s="59">
        <f>'Seasonality&amp; Avg.stay'!C156</f>
        <v>228.54835172100599</v>
      </c>
      <c r="N413" s="59">
        <f>'Seasonality&amp; Avg.stay'!D156</f>
        <v>215</v>
      </c>
      <c r="O413" s="59">
        <f>'Seasonality&amp; Avg.stay'!E156</f>
        <v>225</v>
      </c>
      <c r="P413" s="59">
        <f>'Seasonality&amp; Avg.stay'!F156</f>
        <v>240</v>
      </c>
      <c r="Q413" s="59">
        <f>'Seasonality&amp; Avg.stay'!G156</f>
        <v>240</v>
      </c>
      <c r="R413" s="110">
        <f>Forecasting!R429</f>
        <v>0</v>
      </c>
      <c r="S413" s="110">
        <f>Forecasting!S429</f>
        <v>0</v>
      </c>
      <c r="T413" s="110">
        <f>Forecasting!T429</f>
        <v>0</v>
      </c>
      <c r="U413" s="110">
        <f>Forecasting!U429</f>
        <v>0</v>
      </c>
      <c r="V413" s="110">
        <f>Forecasting!V429</f>
        <v>0</v>
      </c>
      <c r="W413" s="106">
        <f>+(Q413/M413)^(1/4)-1</f>
        <v>1.2297786101481245E-2</v>
      </c>
      <c r="X413" s="106">
        <f>+(V413/Q413)^(1/5)-1</f>
        <v>-1</v>
      </c>
      <c r="Z413" s="12"/>
    </row>
    <row r="414" spans="1:26">
      <c r="A414" s="57"/>
      <c r="B414" s="57"/>
      <c r="C414" s="61" t="s">
        <v>892</v>
      </c>
      <c r="D414" s="61"/>
      <c r="E414" s="61"/>
      <c r="F414" s="61"/>
      <c r="G414" s="61"/>
      <c r="H414" s="61"/>
      <c r="I414" s="61"/>
      <c r="J414" s="61" t="s">
        <v>58</v>
      </c>
      <c r="K414" s="58"/>
      <c r="L414" s="59"/>
      <c r="M414" s="62">
        <f t="shared" ref="M414:V414" si="312">M413/L413-1</f>
        <v>-6.7210614343026442E-2</v>
      </c>
      <c r="N414" s="62">
        <f t="shared" si="312"/>
        <v>-5.9280023762957379E-2</v>
      </c>
      <c r="O414" s="62">
        <f t="shared" si="312"/>
        <v>4.6511627906976827E-2</v>
      </c>
      <c r="P414" s="62">
        <f t="shared" si="312"/>
        <v>6.6666666666666652E-2</v>
      </c>
      <c r="Q414" s="62">
        <f t="shared" si="312"/>
        <v>0</v>
      </c>
      <c r="R414" s="62">
        <f t="shared" si="312"/>
        <v>-1</v>
      </c>
      <c r="S414" s="62" t="e">
        <f t="shared" si="312"/>
        <v>#DIV/0!</v>
      </c>
      <c r="T414" s="62" t="e">
        <f t="shared" si="312"/>
        <v>#DIV/0!</v>
      </c>
      <c r="U414" s="62" t="e">
        <f t="shared" si="312"/>
        <v>#DIV/0!</v>
      </c>
      <c r="V414" s="62" t="e">
        <f t="shared" si="312"/>
        <v>#DIV/0!</v>
      </c>
      <c r="W414" s="259"/>
      <c r="X414" s="259"/>
    </row>
    <row r="415" spans="1:26">
      <c r="A415" s="55" t="str">
        <f>Home!$B$1</f>
        <v>Poland</v>
      </c>
      <c r="B415" s="56" t="s">
        <v>94</v>
      </c>
      <c r="C415" s="56" t="s">
        <v>130</v>
      </c>
      <c r="D415" s="56" t="s">
        <v>69</v>
      </c>
      <c r="E415" s="55" t="s">
        <v>363</v>
      </c>
      <c r="F415" s="57" t="s">
        <v>364</v>
      </c>
      <c r="G415" s="57" t="s">
        <v>15</v>
      </c>
      <c r="H415" s="57" t="s">
        <v>16</v>
      </c>
      <c r="I415" s="57"/>
      <c r="J415" s="57" t="s">
        <v>99</v>
      </c>
      <c r="K415" s="58"/>
      <c r="L415" s="80"/>
      <c r="M415" s="80"/>
      <c r="N415" s="80"/>
      <c r="O415" s="80"/>
      <c r="P415" s="80"/>
      <c r="Q415" s="80"/>
      <c r="R415" s="110">
        <f>Forecasting!R431</f>
        <v>0</v>
      </c>
      <c r="S415" s="110">
        <f>Forecasting!S431</f>
        <v>0</v>
      </c>
      <c r="T415" s="110">
        <f>Forecasting!T431</f>
        <v>0</v>
      </c>
      <c r="U415" s="110">
        <f>Forecasting!U431</f>
        <v>0</v>
      </c>
      <c r="V415" s="110">
        <f>Forecasting!V431</f>
        <v>0</v>
      </c>
      <c r="W415" s="106" t="e">
        <f>+(Q415/M415)^(1/4)-1</f>
        <v>#DIV/0!</v>
      </c>
      <c r="X415" s="106" t="e">
        <f>+(V415/Q415)^(1/5)-1</f>
        <v>#DIV/0!</v>
      </c>
    </row>
    <row r="416" spans="1:26">
      <c r="A416" s="57"/>
      <c r="B416" s="57"/>
      <c r="C416" s="61" t="s">
        <v>892</v>
      </c>
      <c r="D416" s="61"/>
      <c r="E416" s="61"/>
      <c r="F416" s="61"/>
      <c r="G416" s="61"/>
      <c r="H416" s="61"/>
      <c r="I416" s="61"/>
      <c r="J416" s="61" t="s">
        <v>58</v>
      </c>
      <c r="K416" s="58"/>
      <c r="L416" s="59"/>
      <c r="M416" s="62" t="e">
        <f t="shared" ref="M416" si="313">M415/L415-1</f>
        <v>#DIV/0!</v>
      </c>
      <c r="N416" s="62" t="e">
        <f t="shared" ref="N416:V416" si="314">N415/M415-1</f>
        <v>#DIV/0!</v>
      </c>
      <c r="O416" s="62" t="e">
        <f t="shared" si="314"/>
        <v>#DIV/0!</v>
      </c>
      <c r="P416" s="62" t="e">
        <f t="shared" si="314"/>
        <v>#DIV/0!</v>
      </c>
      <c r="Q416" s="62" t="e">
        <f t="shared" si="314"/>
        <v>#DIV/0!</v>
      </c>
      <c r="R416" s="62" t="e">
        <f t="shared" si="314"/>
        <v>#DIV/0!</v>
      </c>
      <c r="S416" s="62" t="e">
        <f t="shared" si="314"/>
        <v>#DIV/0!</v>
      </c>
      <c r="T416" s="62" t="e">
        <f t="shared" si="314"/>
        <v>#DIV/0!</v>
      </c>
      <c r="U416" s="62" t="e">
        <f t="shared" si="314"/>
        <v>#DIV/0!</v>
      </c>
      <c r="V416" s="62" t="e">
        <f t="shared" si="314"/>
        <v>#DIV/0!</v>
      </c>
      <c r="W416" s="259"/>
      <c r="X416" s="259"/>
    </row>
    <row r="417" spans="1:26">
      <c r="A417" s="55" t="str">
        <f>Home!$B$1</f>
        <v>Poland</v>
      </c>
      <c r="B417" s="56" t="s">
        <v>94</v>
      </c>
      <c r="C417" s="56" t="s">
        <v>130</v>
      </c>
      <c r="D417" s="56" t="s">
        <v>69</v>
      </c>
      <c r="E417" s="55" t="s">
        <v>365</v>
      </c>
      <c r="F417" s="57" t="s">
        <v>366</v>
      </c>
      <c r="G417" s="57" t="s">
        <v>15</v>
      </c>
      <c r="H417" s="57" t="s">
        <v>16</v>
      </c>
      <c r="I417" s="57"/>
      <c r="J417" s="57" t="s">
        <v>99</v>
      </c>
      <c r="K417" s="58">
        <v>1385.52</v>
      </c>
      <c r="L417" s="265">
        <f>'Seasonality&amp; Avg.stay'!B151</f>
        <v>4782.9576056261722</v>
      </c>
      <c r="M417" s="265">
        <f>'Seasonality&amp; Avg.stay'!C151</f>
        <v>4601.5046766722371</v>
      </c>
      <c r="N417" s="265">
        <f>'Seasonality&amp; Avg.stay'!D151</f>
        <v>4560</v>
      </c>
      <c r="O417" s="265">
        <f>'Seasonality&amp; Avg.stay'!E151</f>
        <v>4520</v>
      </c>
      <c r="P417" s="265">
        <f>'Seasonality&amp; Avg.stay'!F151</f>
        <v>4590</v>
      </c>
      <c r="Q417" s="265">
        <f>'Seasonality&amp; Avg.stay'!G151</f>
        <v>4800</v>
      </c>
      <c r="R417" s="266">
        <f>Forecasting!R433</f>
        <v>0</v>
      </c>
      <c r="S417" s="266">
        <f>Forecasting!S433</f>
        <v>0</v>
      </c>
      <c r="T417" s="266">
        <f>Forecasting!T433</f>
        <v>0</v>
      </c>
      <c r="U417" s="266">
        <f>Forecasting!U433</f>
        <v>0</v>
      </c>
      <c r="V417" s="266">
        <f>Forecasting!V433</f>
        <v>0</v>
      </c>
      <c r="W417" s="106">
        <f>+(Q417/M417)^(1/4)-1</f>
        <v>1.0614074920884509E-2</v>
      </c>
      <c r="X417" s="106">
        <f>+(V417/Q417)^(1/5)-1</f>
        <v>-1</v>
      </c>
      <c r="Z417" s="12"/>
    </row>
    <row r="418" spans="1:26">
      <c r="A418" s="57"/>
      <c r="B418" s="57"/>
      <c r="C418" s="61" t="s">
        <v>892</v>
      </c>
      <c r="D418" s="61"/>
      <c r="E418" s="61"/>
      <c r="F418" s="61"/>
      <c r="G418" s="61"/>
      <c r="H418" s="61"/>
      <c r="I418" s="61"/>
      <c r="J418" s="61" t="s">
        <v>58</v>
      </c>
      <c r="K418" s="58"/>
      <c r="L418" s="59"/>
      <c r="M418" s="62">
        <f t="shared" ref="M418:V418" si="315">M417/L417-1</f>
        <v>-3.793739019147746E-2</v>
      </c>
      <c r="N418" s="62">
        <f t="shared" si="315"/>
        <v>-9.0198053872788675E-3</v>
      </c>
      <c r="O418" s="62">
        <f t="shared" si="315"/>
        <v>-8.7719298245614308E-3</v>
      </c>
      <c r="P418" s="62">
        <f t="shared" si="315"/>
        <v>1.5486725663716783E-2</v>
      </c>
      <c r="Q418" s="62">
        <f t="shared" si="315"/>
        <v>4.5751633986928164E-2</v>
      </c>
      <c r="R418" s="62">
        <f t="shared" si="315"/>
        <v>-1</v>
      </c>
      <c r="S418" s="62" t="e">
        <f t="shared" si="315"/>
        <v>#DIV/0!</v>
      </c>
      <c r="T418" s="62" t="e">
        <f t="shared" si="315"/>
        <v>#DIV/0!</v>
      </c>
      <c r="U418" s="62" t="e">
        <f t="shared" si="315"/>
        <v>#DIV/0!</v>
      </c>
      <c r="V418" s="62" t="e">
        <f t="shared" si="315"/>
        <v>#DIV/0!</v>
      </c>
      <c r="W418" s="259"/>
      <c r="X418" s="259"/>
    </row>
    <row r="419" spans="1:26">
      <c r="A419" s="55" t="str">
        <f>Home!$B$1</f>
        <v>Poland</v>
      </c>
      <c r="B419" s="56" t="s">
        <v>94</v>
      </c>
      <c r="C419" s="56" t="s">
        <v>130</v>
      </c>
      <c r="D419" s="56" t="s">
        <v>69</v>
      </c>
      <c r="E419" s="55" t="s">
        <v>367</v>
      </c>
      <c r="F419" s="57" t="s">
        <v>368</v>
      </c>
      <c r="G419" s="57" t="s">
        <v>15</v>
      </c>
      <c r="H419" s="57" t="s">
        <v>16</v>
      </c>
      <c r="I419" s="57"/>
      <c r="J419" s="57" t="s">
        <v>99</v>
      </c>
      <c r="K419" s="58"/>
      <c r="L419" s="80"/>
      <c r="M419" s="80"/>
      <c r="N419" s="80"/>
      <c r="O419" s="80"/>
      <c r="P419" s="80"/>
      <c r="Q419" s="80"/>
      <c r="R419" s="110">
        <f>Forecasting!R435</f>
        <v>0</v>
      </c>
      <c r="S419" s="110">
        <f>Forecasting!S435</f>
        <v>0</v>
      </c>
      <c r="T419" s="110">
        <f>Forecasting!T435</f>
        <v>0</v>
      </c>
      <c r="U419" s="110">
        <f>Forecasting!U435</f>
        <v>0</v>
      </c>
      <c r="V419" s="110">
        <f>Forecasting!V435</f>
        <v>0</v>
      </c>
      <c r="W419" s="106" t="e">
        <f>+(Q419/M419)^(1/4)-1</f>
        <v>#DIV/0!</v>
      </c>
      <c r="X419" s="106" t="e">
        <f>+(V419/Q419)^(1/5)-1</f>
        <v>#DIV/0!</v>
      </c>
    </row>
    <row r="420" spans="1:26">
      <c r="A420" s="57"/>
      <c r="B420" s="57"/>
      <c r="C420" s="61" t="s">
        <v>892</v>
      </c>
      <c r="D420" s="61"/>
      <c r="E420" s="61"/>
      <c r="F420" s="61"/>
      <c r="G420" s="61"/>
      <c r="H420" s="61"/>
      <c r="I420" s="61"/>
      <c r="J420" s="61" t="s">
        <v>58</v>
      </c>
      <c r="K420" s="58"/>
      <c r="L420" s="59"/>
      <c r="M420" s="62" t="e">
        <f t="shared" ref="M420:V420" si="316">M419/L419-1</f>
        <v>#DIV/0!</v>
      </c>
      <c r="N420" s="62" t="e">
        <f t="shared" si="316"/>
        <v>#DIV/0!</v>
      </c>
      <c r="O420" s="62" t="e">
        <f t="shared" si="316"/>
        <v>#DIV/0!</v>
      </c>
      <c r="P420" s="62" t="e">
        <f t="shared" si="316"/>
        <v>#DIV/0!</v>
      </c>
      <c r="Q420" s="62" t="e">
        <f t="shared" si="316"/>
        <v>#DIV/0!</v>
      </c>
      <c r="R420" s="62" t="e">
        <f t="shared" si="316"/>
        <v>#DIV/0!</v>
      </c>
      <c r="S420" s="62" t="e">
        <f t="shared" si="316"/>
        <v>#DIV/0!</v>
      </c>
      <c r="T420" s="62" t="e">
        <f t="shared" si="316"/>
        <v>#DIV/0!</v>
      </c>
      <c r="U420" s="62" t="e">
        <f t="shared" si="316"/>
        <v>#DIV/0!</v>
      </c>
      <c r="V420" s="62" t="e">
        <f t="shared" si="316"/>
        <v>#DIV/0!</v>
      </c>
      <c r="W420" s="259"/>
      <c r="X420" s="259"/>
    </row>
    <row r="421" spans="1:26">
      <c r="A421" s="55" t="str">
        <f>Home!$B$1</f>
        <v>Poland</v>
      </c>
      <c r="B421" s="56" t="s">
        <v>94</v>
      </c>
      <c r="C421" s="56" t="s">
        <v>130</v>
      </c>
      <c r="D421" s="56" t="s">
        <v>69</v>
      </c>
      <c r="E421" s="55" t="s">
        <v>369</v>
      </c>
      <c r="F421" s="57" t="s">
        <v>370</v>
      </c>
      <c r="G421" s="57" t="s">
        <v>15</v>
      </c>
      <c r="H421" s="57" t="s">
        <v>16</v>
      </c>
      <c r="I421" s="57"/>
      <c r="J421" s="57" t="s">
        <v>99</v>
      </c>
      <c r="K421" s="58"/>
      <c r="L421" s="59">
        <f>'Seasonality&amp; Avg.stay'!B165</f>
        <v>208.07886153889325</v>
      </c>
      <c r="M421" s="59">
        <f>'Seasonality&amp; Avg.stay'!C165</f>
        <v>200.5898318085062</v>
      </c>
      <c r="N421" s="59">
        <f>'Seasonality&amp; Avg.stay'!D165</f>
        <v>200</v>
      </c>
      <c r="O421" s="59">
        <f>'Seasonality&amp; Avg.stay'!E165</f>
        <v>195</v>
      </c>
      <c r="P421" s="59">
        <f>'Seasonality&amp; Avg.stay'!F165</f>
        <v>200</v>
      </c>
      <c r="Q421" s="59">
        <f>'Seasonality&amp; Avg.stay'!G165</f>
        <v>210</v>
      </c>
      <c r="R421" s="110">
        <f>Forecasting!R437</f>
        <v>0</v>
      </c>
      <c r="S421" s="110">
        <f>Forecasting!S437</f>
        <v>0</v>
      </c>
      <c r="T421" s="110">
        <f>Forecasting!T437</f>
        <v>0</v>
      </c>
      <c r="U421" s="110">
        <f>Forecasting!U437</f>
        <v>0</v>
      </c>
      <c r="V421" s="110">
        <f>Forecasting!V437</f>
        <v>0</v>
      </c>
      <c r="W421" s="106">
        <f>+(Q421/M421)^(1/4)-1</f>
        <v>1.1527269108423832E-2</v>
      </c>
      <c r="X421" s="106">
        <f>+(V421/Q421)^(1/5)-1</f>
        <v>-1</v>
      </c>
    </row>
    <row r="422" spans="1:26">
      <c r="A422" s="57"/>
      <c r="B422" s="57"/>
      <c r="C422" s="61" t="s">
        <v>892</v>
      </c>
      <c r="D422" s="61"/>
      <c r="E422" s="61"/>
      <c r="F422" s="61"/>
      <c r="G422" s="61"/>
      <c r="H422" s="61"/>
      <c r="I422" s="61"/>
      <c r="J422" s="61" t="s">
        <v>58</v>
      </c>
      <c r="K422" s="58"/>
      <c r="L422" s="59"/>
      <c r="M422" s="62">
        <f t="shared" ref="M422:V422" si="317">M421/L421-1</f>
        <v>-3.5991304811071489E-2</v>
      </c>
      <c r="N422" s="62">
        <f t="shared" si="317"/>
        <v>-2.9404870784740522E-3</v>
      </c>
      <c r="O422" s="62">
        <f t="shared" si="317"/>
        <v>-2.5000000000000022E-2</v>
      </c>
      <c r="P422" s="62">
        <f t="shared" si="317"/>
        <v>2.564102564102555E-2</v>
      </c>
      <c r="Q422" s="62">
        <f t="shared" si="317"/>
        <v>5.0000000000000044E-2</v>
      </c>
      <c r="R422" s="62">
        <f t="shared" si="317"/>
        <v>-1</v>
      </c>
      <c r="S422" s="62" t="e">
        <f t="shared" si="317"/>
        <v>#DIV/0!</v>
      </c>
      <c r="T422" s="62" t="e">
        <f t="shared" si="317"/>
        <v>#DIV/0!</v>
      </c>
      <c r="U422" s="62" t="e">
        <f t="shared" si="317"/>
        <v>#DIV/0!</v>
      </c>
      <c r="V422" s="62" t="e">
        <f t="shared" si="317"/>
        <v>#DIV/0!</v>
      </c>
      <c r="W422" s="259"/>
      <c r="X422" s="259"/>
    </row>
    <row r="423" spans="1:26">
      <c r="A423" s="55" t="str">
        <f>Home!$B$1</f>
        <v>Poland</v>
      </c>
      <c r="B423" s="56" t="s">
        <v>94</v>
      </c>
      <c r="C423" s="56" t="s">
        <v>130</v>
      </c>
      <c r="D423" s="56" t="s">
        <v>69</v>
      </c>
      <c r="E423" s="55" t="s">
        <v>371</v>
      </c>
      <c r="F423" s="57" t="s">
        <v>372</v>
      </c>
      <c r="G423" s="57" t="s">
        <v>15</v>
      </c>
      <c r="H423" s="57" t="s">
        <v>16</v>
      </c>
      <c r="I423" s="57"/>
      <c r="J423" s="57" t="s">
        <v>99</v>
      </c>
      <c r="K423" s="58"/>
      <c r="L423" s="80"/>
      <c r="M423" s="80"/>
      <c r="N423" s="80"/>
      <c r="O423" s="80"/>
      <c r="P423" s="80"/>
      <c r="Q423" s="80"/>
      <c r="R423" s="110">
        <f>Forecasting!R439</f>
        <v>0</v>
      </c>
      <c r="S423" s="110">
        <f>Forecasting!S439</f>
        <v>0</v>
      </c>
      <c r="T423" s="110">
        <f>Forecasting!T439</f>
        <v>0</v>
      </c>
      <c r="U423" s="110">
        <f>Forecasting!U439</f>
        <v>0</v>
      </c>
      <c r="V423" s="110">
        <f>Forecasting!V439</f>
        <v>0</v>
      </c>
      <c r="W423" s="106" t="e">
        <f>+(Q423/M423)^(1/4)-1</f>
        <v>#DIV/0!</v>
      </c>
      <c r="X423" s="106" t="e">
        <f>+(V423/Q423)^(1/5)-1</f>
        <v>#DIV/0!</v>
      </c>
    </row>
    <row r="424" spans="1:26">
      <c r="A424" s="57"/>
      <c r="B424" s="57"/>
      <c r="C424" s="61" t="s">
        <v>892</v>
      </c>
      <c r="D424" s="61"/>
      <c r="E424" s="61"/>
      <c r="F424" s="61"/>
      <c r="G424" s="61"/>
      <c r="H424" s="61"/>
      <c r="I424" s="61"/>
      <c r="J424" s="61" t="s">
        <v>58</v>
      </c>
      <c r="K424" s="58"/>
      <c r="L424" s="59"/>
      <c r="M424" s="62" t="e">
        <f t="shared" ref="M424:V424" si="318">M423/L423-1</f>
        <v>#DIV/0!</v>
      </c>
      <c r="N424" s="62" t="e">
        <f t="shared" si="318"/>
        <v>#DIV/0!</v>
      </c>
      <c r="O424" s="62" t="e">
        <f t="shared" si="318"/>
        <v>#DIV/0!</v>
      </c>
      <c r="P424" s="62" t="e">
        <f t="shared" si="318"/>
        <v>#DIV/0!</v>
      </c>
      <c r="Q424" s="62" t="e">
        <f t="shared" si="318"/>
        <v>#DIV/0!</v>
      </c>
      <c r="R424" s="62" t="e">
        <f t="shared" si="318"/>
        <v>#DIV/0!</v>
      </c>
      <c r="S424" s="62" t="e">
        <f t="shared" si="318"/>
        <v>#DIV/0!</v>
      </c>
      <c r="T424" s="62" t="e">
        <f t="shared" si="318"/>
        <v>#DIV/0!</v>
      </c>
      <c r="U424" s="62" t="e">
        <f t="shared" si="318"/>
        <v>#DIV/0!</v>
      </c>
      <c r="V424" s="62" t="e">
        <f t="shared" si="318"/>
        <v>#DIV/0!</v>
      </c>
      <c r="W424" s="259"/>
      <c r="X424" s="259"/>
    </row>
    <row r="425" spans="1:26">
      <c r="A425" s="55" t="str">
        <f>Home!$B$1</f>
        <v>Poland</v>
      </c>
      <c r="B425" s="56" t="s">
        <v>94</v>
      </c>
      <c r="C425" s="56" t="s">
        <v>130</v>
      </c>
      <c r="D425" s="56" t="s">
        <v>69</v>
      </c>
      <c r="E425" s="55" t="s">
        <v>373</v>
      </c>
      <c r="F425" s="57" t="s">
        <v>374</v>
      </c>
      <c r="G425" s="57" t="s">
        <v>15</v>
      </c>
      <c r="H425" s="57" t="s">
        <v>16</v>
      </c>
      <c r="I425" s="57"/>
      <c r="J425" s="57" t="s">
        <v>99</v>
      </c>
      <c r="K425" s="58">
        <v>414.423</v>
      </c>
      <c r="L425" s="80"/>
      <c r="M425" s="80"/>
      <c r="N425" s="80"/>
      <c r="O425" s="80"/>
      <c r="P425" s="80"/>
      <c r="Q425" s="80"/>
      <c r="R425" s="110">
        <f>Forecasting!R441</f>
        <v>0</v>
      </c>
      <c r="S425" s="110">
        <f>Forecasting!S441</f>
        <v>0</v>
      </c>
      <c r="T425" s="110">
        <f>Forecasting!T441</f>
        <v>0</v>
      </c>
      <c r="U425" s="110">
        <f>Forecasting!U441</f>
        <v>0</v>
      </c>
      <c r="V425" s="110">
        <f>Forecasting!V441</f>
        <v>0</v>
      </c>
      <c r="W425" s="106" t="e">
        <f>+(Q425/M425)^(1/4)-1</f>
        <v>#DIV/0!</v>
      </c>
      <c r="X425" s="106" t="e">
        <f>+(V425/Q425)^(1/5)-1</f>
        <v>#DIV/0!</v>
      </c>
      <c r="Z425" s="12"/>
    </row>
    <row r="426" spans="1:26">
      <c r="A426" s="57"/>
      <c r="B426" s="57"/>
      <c r="C426" s="61" t="s">
        <v>892</v>
      </c>
      <c r="D426" s="61"/>
      <c r="E426" s="61"/>
      <c r="F426" s="61"/>
      <c r="G426" s="61"/>
      <c r="H426" s="61"/>
      <c r="I426" s="61"/>
      <c r="J426" s="61" t="s">
        <v>58</v>
      </c>
      <c r="K426" s="58"/>
      <c r="L426" s="59"/>
      <c r="M426" s="62" t="e">
        <f t="shared" ref="M426:V426" si="319">M425/L425-1</f>
        <v>#DIV/0!</v>
      </c>
      <c r="N426" s="62" t="e">
        <f t="shared" si="319"/>
        <v>#DIV/0!</v>
      </c>
      <c r="O426" s="62" t="e">
        <f t="shared" si="319"/>
        <v>#DIV/0!</v>
      </c>
      <c r="P426" s="62" t="e">
        <f t="shared" si="319"/>
        <v>#DIV/0!</v>
      </c>
      <c r="Q426" s="62" t="e">
        <f t="shared" si="319"/>
        <v>#DIV/0!</v>
      </c>
      <c r="R426" s="62" t="e">
        <f t="shared" si="319"/>
        <v>#DIV/0!</v>
      </c>
      <c r="S426" s="62" t="e">
        <f t="shared" si="319"/>
        <v>#DIV/0!</v>
      </c>
      <c r="T426" s="62" t="e">
        <f t="shared" si="319"/>
        <v>#DIV/0!</v>
      </c>
      <c r="U426" s="62" t="e">
        <f t="shared" si="319"/>
        <v>#DIV/0!</v>
      </c>
      <c r="V426" s="62" t="e">
        <f t="shared" si="319"/>
        <v>#DIV/0!</v>
      </c>
      <c r="W426" s="259"/>
      <c r="X426" s="259"/>
    </row>
    <row r="427" spans="1:26">
      <c r="A427" s="55" t="str">
        <f>Home!$B$1</f>
        <v>Poland</v>
      </c>
      <c r="B427" s="56" t="s">
        <v>94</v>
      </c>
      <c r="C427" s="56" t="s">
        <v>130</v>
      </c>
      <c r="D427" s="56" t="s">
        <v>69</v>
      </c>
      <c r="E427" s="55" t="s">
        <v>375</v>
      </c>
      <c r="F427" s="57" t="s">
        <v>376</v>
      </c>
      <c r="G427" s="57" t="s">
        <v>15</v>
      </c>
      <c r="H427" s="57" t="s">
        <v>16</v>
      </c>
      <c r="I427" s="57"/>
      <c r="J427" s="57" t="s">
        <v>99</v>
      </c>
      <c r="K427" s="58">
        <v>532.82899999999995</v>
      </c>
      <c r="L427" s="59">
        <f>'Seasonality&amp; Avg.stay'!B155</f>
        <v>301.99113593153811</v>
      </c>
      <c r="M427" s="59">
        <f>'Seasonality&amp; Avg.stay'!C155</f>
        <v>269.64899624745112</v>
      </c>
      <c r="N427" s="59">
        <f>'Seasonality&amp; Avg.stay'!D155</f>
        <v>245</v>
      </c>
      <c r="O427" s="59">
        <f>'Seasonality&amp; Avg.stay'!E155</f>
        <v>265</v>
      </c>
      <c r="P427" s="59">
        <f>'Seasonality&amp; Avg.stay'!F155</f>
        <v>285</v>
      </c>
      <c r="Q427" s="59">
        <f>'Seasonality&amp; Avg.stay'!G155</f>
        <v>295</v>
      </c>
      <c r="R427" s="110">
        <f>Forecasting!R443</f>
        <v>0</v>
      </c>
      <c r="S427" s="110">
        <f>Forecasting!S443</f>
        <v>0</v>
      </c>
      <c r="T427" s="110">
        <f>Forecasting!T443</f>
        <v>0</v>
      </c>
      <c r="U427" s="110">
        <f>Forecasting!U443</f>
        <v>0</v>
      </c>
      <c r="V427" s="110">
        <f>Forecasting!V443</f>
        <v>0</v>
      </c>
      <c r="W427" s="106">
        <f>+(Q427/M427)^(1/4)-1</f>
        <v>2.2717769994264891E-2</v>
      </c>
      <c r="X427" s="106">
        <f>+(V427/Q427)^(1/5)-1</f>
        <v>-1</v>
      </c>
      <c r="Z427" s="12"/>
    </row>
    <row r="428" spans="1:26">
      <c r="A428" s="57"/>
      <c r="B428" s="57"/>
      <c r="C428" s="61" t="s">
        <v>892</v>
      </c>
      <c r="D428" s="61"/>
      <c r="E428" s="61"/>
      <c r="F428" s="61"/>
      <c r="G428" s="61"/>
      <c r="H428" s="61"/>
      <c r="I428" s="61"/>
      <c r="J428" s="61" t="s">
        <v>58</v>
      </c>
      <c r="K428" s="58"/>
      <c r="L428" s="59"/>
      <c r="M428" s="62">
        <f t="shared" ref="M428:V428" si="320">M427/L427-1</f>
        <v>-0.10709632116956902</v>
      </c>
      <c r="N428" s="62">
        <f t="shared" si="320"/>
        <v>-9.1411414803974522E-2</v>
      </c>
      <c r="O428" s="62">
        <f t="shared" si="320"/>
        <v>8.163265306122458E-2</v>
      </c>
      <c r="P428" s="62">
        <f t="shared" si="320"/>
        <v>7.547169811320753E-2</v>
      </c>
      <c r="Q428" s="62">
        <f t="shared" si="320"/>
        <v>3.5087719298245723E-2</v>
      </c>
      <c r="R428" s="62">
        <f t="shared" si="320"/>
        <v>-1</v>
      </c>
      <c r="S428" s="62" t="e">
        <f t="shared" si="320"/>
        <v>#DIV/0!</v>
      </c>
      <c r="T428" s="62" t="e">
        <f t="shared" si="320"/>
        <v>#DIV/0!</v>
      </c>
      <c r="U428" s="62" t="e">
        <f t="shared" si="320"/>
        <v>#DIV/0!</v>
      </c>
      <c r="V428" s="62" t="e">
        <f t="shared" si="320"/>
        <v>#DIV/0!</v>
      </c>
      <c r="W428" s="259"/>
      <c r="X428" s="259"/>
    </row>
    <row r="429" spans="1:26">
      <c r="A429" s="55" t="str">
        <f>Home!$B$1</f>
        <v>Poland</v>
      </c>
      <c r="B429" s="56" t="s">
        <v>94</v>
      </c>
      <c r="C429" s="56" t="s">
        <v>130</v>
      </c>
      <c r="D429" s="56" t="s">
        <v>69</v>
      </c>
      <c r="E429" s="55" t="s">
        <v>377</v>
      </c>
      <c r="F429" s="57" t="s">
        <v>378</v>
      </c>
      <c r="G429" s="57" t="s">
        <v>15</v>
      </c>
      <c r="H429" s="57" t="s">
        <v>16</v>
      </c>
      <c r="I429" s="57"/>
      <c r="J429" s="57" t="s">
        <v>99</v>
      </c>
      <c r="K429" s="58"/>
      <c r="L429" s="59">
        <f>'Seasonality&amp; Avg.stay'!B164</f>
        <v>340.02390754437158</v>
      </c>
      <c r="M429" s="59">
        <f>'Seasonality&amp; Avg.stay'!C164</f>
        <v>276.93897730318031</v>
      </c>
      <c r="N429" s="59">
        <f>'Seasonality&amp; Avg.stay'!D164</f>
        <v>230</v>
      </c>
      <c r="O429" s="59">
        <f>'Seasonality&amp; Avg.stay'!E164</f>
        <v>270</v>
      </c>
      <c r="P429" s="59">
        <f>'Seasonality&amp; Avg.stay'!F164</f>
        <v>300</v>
      </c>
      <c r="Q429" s="59">
        <f>'Seasonality&amp; Avg.stay'!G164</f>
        <v>330</v>
      </c>
      <c r="R429" s="110">
        <f>Forecasting!R445</f>
        <v>0</v>
      </c>
      <c r="S429" s="110">
        <f>Forecasting!S445</f>
        <v>0</v>
      </c>
      <c r="T429" s="110">
        <f>Forecasting!T445</f>
        <v>0</v>
      </c>
      <c r="U429" s="110">
        <f>Forecasting!U445</f>
        <v>0</v>
      </c>
      <c r="V429" s="110">
        <f>Forecasting!V445</f>
        <v>0</v>
      </c>
      <c r="W429" s="106">
        <f>+(Q429/M429)^(1/4)-1</f>
        <v>4.4798316025846052E-2</v>
      </c>
      <c r="X429" s="106">
        <f>+(V429/Q429)^(1/5)-1</f>
        <v>-1</v>
      </c>
    </row>
    <row r="430" spans="1:26">
      <c r="A430" s="57"/>
      <c r="B430" s="57"/>
      <c r="C430" s="61" t="s">
        <v>892</v>
      </c>
      <c r="D430" s="61"/>
      <c r="E430" s="61"/>
      <c r="F430" s="61"/>
      <c r="G430" s="61"/>
      <c r="H430" s="61"/>
      <c r="I430" s="61"/>
      <c r="J430" s="61" t="s">
        <v>58</v>
      </c>
      <c r="K430" s="58"/>
      <c r="L430" s="59"/>
      <c r="M430" s="62">
        <f t="shared" ref="M430:V432" si="321">M429/L429-1</f>
        <v>-0.18553086662872076</v>
      </c>
      <c r="N430" s="62">
        <f t="shared" si="321"/>
        <v>-0.16949213057789847</v>
      </c>
      <c r="O430" s="62">
        <f t="shared" si="321"/>
        <v>0.17391304347826098</v>
      </c>
      <c r="P430" s="62">
        <f t="shared" si="321"/>
        <v>0.11111111111111116</v>
      </c>
      <c r="Q430" s="62">
        <f t="shared" si="321"/>
        <v>0.10000000000000009</v>
      </c>
      <c r="R430" s="62">
        <f t="shared" si="321"/>
        <v>-1</v>
      </c>
      <c r="S430" s="62" t="e">
        <f t="shared" si="321"/>
        <v>#DIV/0!</v>
      </c>
      <c r="T430" s="62" t="e">
        <f t="shared" si="321"/>
        <v>#DIV/0!</v>
      </c>
      <c r="U430" s="62" t="e">
        <f t="shared" si="321"/>
        <v>#DIV/0!</v>
      </c>
      <c r="V430" s="62" t="e">
        <f t="shared" si="321"/>
        <v>#DIV/0!</v>
      </c>
      <c r="W430" s="259"/>
      <c r="X430" s="259"/>
    </row>
    <row r="431" spans="1:26">
      <c r="A431" s="55" t="str">
        <f>Home!$B$1</f>
        <v>Poland</v>
      </c>
      <c r="B431" s="56" t="s">
        <v>94</v>
      </c>
      <c r="C431" s="56" t="s">
        <v>130</v>
      </c>
      <c r="D431" s="56" t="s">
        <v>69</v>
      </c>
      <c r="E431" s="55" t="s">
        <v>379</v>
      </c>
      <c r="F431" s="57" t="s">
        <v>380</v>
      </c>
      <c r="G431" s="57" t="s">
        <v>15</v>
      </c>
      <c r="H431" s="57" t="s">
        <v>16</v>
      </c>
      <c r="I431" s="57"/>
      <c r="J431" s="57" t="s">
        <v>99</v>
      </c>
      <c r="K431" s="58"/>
      <c r="L431" s="59">
        <f>'Seasonality&amp; Avg.stay'!B163</f>
        <v>620.9472425918716</v>
      </c>
      <c r="M431" s="59">
        <f>'Seasonality&amp; Avg.stay'!C163</f>
        <v>621.27926854050952</v>
      </c>
      <c r="N431" s="59">
        <f>'Seasonality&amp; Avg.stay'!D163</f>
        <v>620</v>
      </c>
      <c r="O431" s="59">
        <f>'Seasonality&amp; Avg.stay'!E163</f>
        <v>620</v>
      </c>
      <c r="P431" s="59">
        <f>'Seasonality&amp; Avg.stay'!F163</f>
        <v>630</v>
      </c>
      <c r="Q431" s="59">
        <f>'Seasonality&amp; Avg.stay'!G163</f>
        <v>615</v>
      </c>
      <c r="R431" s="110">
        <f>Forecasting!R447</f>
        <v>0</v>
      </c>
      <c r="S431" s="110">
        <f>Forecasting!S447</f>
        <v>0</v>
      </c>
      <c r="T431" s="110">
        <f>Forecasting!T447</f>
        <v>0</v>
      </c>
      <c r="U431" s="110">
        <f>Forecasting!U447</f>
        <v>0</v>
      </c>
      <c r="V431" s="110">
        <f>Forecasting!V447</f>
        <v>0</v>
      </c>
      <c r="W431" s="106">
        <f>+(Q431/M431)^(1/4)-1</f>
        <v>-2.5363831392188896E-3</v>
      </c>
      <c r="X431" s="106">
        <f>+(V431/Q431)^(1/5)-1</f>
        <v>-1</v>
      </c>
    </row>
    <row r="432" spans="1:26">
      <c r="A432" s="57"/>
      <c r="B432" s="57"/>
      <c r="C432" s="61" t="s">
        <v>892</v>
      </c>
      <c r="D432" s="61"/>
      <c r="E432" s="61"/>
      <c r="F432" s="61"/>
      <c r="G432" s="61"/>
      <c r="H432" s="61"/>
      <c r="I432" s="61"/>
      <c r="J432" s="61" t="s">
        <v>58</v>
      </c>
      <c r="K432" s="58"/>
      <c r="L432" s="59"/>
      <c r="M432" s="62">
        <f t="shared" si="321"/>
        <v>5.3470878983530312E-4</v>
      </c>
      <c r="N432" s="62">
        <f t="shared" ref="N432:V432" si="322">N431/M431-1</f>
        <v>-2.0590877650155104E-3</v>
      </c>
      <c r="O432" s="62">
        <f t="shared" si="322"/>
        <v>0</v>
      </c>
      <c r="P432" s="62">
        <f t="shared" si="322"/>
        <v>1.6129032258064502E-2</v>
      </c>
      <c r="Q432" s="62">
        <f t="shared" si="322"/>
        <v>-2.3809523809523836E-2</v>
      </c>
      <c r="R432" s="62">
        <f t="shared" si="322"/>
        <v>-1</v>
      </c>
      <c r="S432" s="62" t="e">
        <f t="shared" si="322"/>
        <v>#DIV/0!</v>
      </c>
      <c r="T432" s="62" t="e">
        <f t="shared" si="322"/>
        <v>#DIV/0!</v>
      </c>
      <c r="U432" s="62" t="e">
        <f t="shared" si="322"/>
        <v>#DIV/0!</v>
      </c>
      <c r="V432" s="62" t="e">
        <f t="shared" si="322"/>
        <v>#DIV/0!</v>
      </c>
      <c r="W432" s="259"/>
      <c r="X432" s="259"/>
    </row>
    <row r="433" spans="1:26">
      <c r="A433" s="55" t="str">
        <f>Home!$B$1</f>
        <v>Poland</v>
      </c>
      <c r="B433" s="56" t="s">
        <v>94</v>
      </c>
      <c r="C433" s="56" t="s">
        <v>130</v>
      </c>
      <c r="D433" s="56" t="s">
        <v>69</v>
      </c>
      <c r="E433" s="55" t="s">
        <v>381</v>
      </c>
      <c r="F433" s="57" t="s">
        <v>382</v>
      </c>
      <c r="G433" s="57" t="s">
        <v>15</v>
      </c>
      <c r="H433" s="57" t="s">
        <v>16</v>
      </c>
      <c r="I433" s="57"/>
      <c r="J433" s="57" t="s">
        <v>99</v>
      </c>
      <c r="K433" s="58"/>
      <c r="L433" s="80"/>
      <c r="M433" s="80"/>
      <c r="N433" s="80"/>
      <c r="O433" s="80"/>
      <c r="P433" s="80"/>
      <c r="Q433" s="80"/>
      <c r="R433" s="110">
        <f>Forecasting!R449</f>
        <v>0</v>
      </c>
      <c r="S433" s="110">
        <f>Forecasting!S449</f>
        <v>0</v>
      </c>
      <c r="T433" s="110">
        <f>Forecasting!T449</f>
        <v>0</v>
      </c>
      <c r="U433" s="110">
        <f>Forecasting!U449</f>
        <v>0</v>
      </c>
      <c r="V433" s="110">
        <f>Forecasting!V449</f>
        <v>0</v>
      </c>
      <c r="W433" s="106" t="e">
        <f>+(Q433/M433)^(1/4)-1</f>
        <v>#DIV/0!</v>
      </c>
      <c r="X433" s="106" t="e">
        <f>+(V433/Q433)^(1/5)-1</f>
        <v>#DIV/0!</v>
      </c>
    </row>
    <row r="434" spans="1:26">
      <c r="A434" s="57"/>
      <c r="B434" s="57"/>
      <c r="C434" s="61" t="s">
        <v>892</v>
      </c>
      <c r="D434" s="61"/>
      <c r="E434" s="61"/>
      <c r="F434" s="61"/>
      <c r="G434" s="61"/>
      <c r="H434" s="61"/>
      <c r="I434" s="61"/>
      <c r="J434" s="61" t="s">
        <v>58</v>
      </c>
      <c r="K434" s="58"/>
      <c r="L434" s="59"/>
      <c r="M434" s="62" t="e">
        <f t="shared" ref="M434" si="323">M433/L433-1</f>
        <v>#DIV/0!</v>
      </c>
      <c r="N434" s="62" t="e">
        <f t="shared" ref="N434:V434" si="324">N433/M433-1</f>
        <v>#DIV/0!</v>
      </c>
      <c r="O434" s="62" t="e">
        <f t="shared" si="324"/>
        <v>#DIV/0!</v>
      </c>
      <c r="P434" s="62" t="e">
        <f t="shared" si="324"/>
        <v>#DIV/0!</v>
      </c>
      <c r="Q434" s="62" t="e">
        <f t="shared" si="324"/>
        <v>#DIV/0!</v>
      </c>
      <c r="R434" s="62" t="e">
        <f t="shared" si="324"/>
        <v>#DIV/0!</v>
      </c>
      <c r="S434" s="62" t="e">
        <f t="shared" si="324"/>
        <v>#DIV/0!</v>
      </c>
      <c r="T434" s="62" t="e">
        <f t="shared" si="324"/>
        <v>#DIV/0!</v>
      </c>
      <c r="U434" s="62" t="e">
        <f t="shared" si="324"/>
        <v>#DIV/0!</v>
      </c>
      <c r="V434" s="62" t="e">
        <f t="shared" si="324"/>
        <v>#DIV/0!</v>
      </c>
      <c r="W434" s="259"/>
      <c r="X434" s="259"/>
    </row>
    <row r="435" spans="1:26">
      <c r="A435" s="55" t="str">
        <f>Home!$B$1</f>
        <v>Poland</v>
      </c>
      <c r="B435" s="56" t="s">
        <v>94</v>
      </c>
      <c r="C435" s="56" t="s">
        <v>130</v>
      </c>
      <c r="D435" s="56" t="s">
        <v>69</v>
      </c>
      <c r="E435" s="55" t="s">
        <v>383</v>
      </c>
      <c r="F435" s="57" t="s">
        <v>384</v>
      </c>
      <c r="G435" s="57" t="s">
        <v>15</v>
      </c>
      <c r="H435" s="57" t="s">
        <v>16</v>
      </c>
      <c r="I435" s="57"/>
      <c r="J435" s="57" t="s">
        <v>99</v>
      </c>
      <c r="K435" s="58"/>
      <c r="L435" s="80"/>
      <c r="M435" s="80"/>
      <c r="N435" s="80"/>
      <c r="O435" s="80"/>
      <c r="P435" s="80"/>
      <c r="Q435" s="80"/>
      <c r="R435" s="110">
        <f>Forecasting!R451</f>
        <v>0</v>
      </c>
      <c r="S435" s="110">
        <f>Forecasting!S451</f>
        <v>0</v>
      </c>
      <c r="T435" s="110">
        <f>Forecasting!T451</f>
        <v>0</v>
      </c>
      <c r="U435" s="110">
        <f>Forecasting!U451</f>
        <v>0</v>
      </c>
      <c r="V435" s="110">
        <f>Forecasting!V451</f>
        <v>0</v>
      </c>
      <c r="W435" s="106" t="e">
        <f>+(Q435/M435)^(1/4)-1</f>
        <v>#DIV/0!</v>
      </c>
      <c r="X435" s="106" t="e">
        <f>+(V435/Q435)^(1/5)-1</f>
        <v>#DIV/0!</v>
      </c>
    </row>
    <row r="436" spans="1:26">
      <c r="A436" s="57"/>
      <c r="B436" s="57"/>
      <c r="C436" s="61" t="s">
        <v>892</v>
      </c>
      <c r="D436" s="61"/>
      <c r="E436" s="61"/>
      <c r="F436" s="61"/>
      <c r="G436" s="61"/>
      <c r="H436" s="61"/>
      <c r="I436" s="61"/>
      <c r="J436" s="61" t="s">
        <v>58</v>
      </c>
      <c r="K436" s="58"/>
      <c r="L436" s="59"/>
      <c r="M436" s="62" t="e">
        <v>#DIV/0!</v>
      </c>
      <c r="N436" s="62" t="e">
        <f t="shared" ref="N436:V436" si="325">N435/M435-1</f>
        <v>#DIV/0!</v>
      </c>
      <c r="O436" s="62" t="e">
        <f t="shared" si="325"/>
        <v>#DIV/0!</v>
      </c>
      <c r="P436" s="62" t="e">
        <f t="shared" si="325"/>
        <v>#DIV/0!</v>
      </c>
      <c r="Q436" s="62" t="e">
        <f t="shared" si="325"/>
        <v>#DIV/0!</v>
      </c>
      <c r="R436" s="62" t="e">
        <f t="shared" si="325"/>
        <v>#DIV/0!</v>
      </c>
      <c r="S436" s="62" t="e">
        <f t="shared" si="325"/>
        <v>#DIV/0!</v>
      </c>
      <c r="T436" s="62" t="e">
        <f t="shared" si="325"/>
        <v>#DIV/0!</v>
      </c>
      <c r="U436" s="62" t="e">
        <f t="shared" si="325"/>
        <v>#DIV/0!</v>
      </c>
      <c r="V436" s="62" t="e">
        <f t="shared" si="325"/>
        <v>#DIV/0!</v>
      </c>
      <c r="W436" s="259"/>
      <c r="X436" s="259"/>
    </row>
    <row r="437" spans="1:26">
      <c r="A437" s="55" t="str">
        <f>Home!$B$1</f>
        <v>Poland</v>
      </c>
      <c r="B437" s="56" t="s">
        <v>94</v>
      </c>
      <c r="C437" s="56" t="s">
        <v>130</v>
      </c>
      <c r="D437" s="56" t="s">
        <v>69</v>
      </c>
      <c r="E437" s="55" t="s">
        <v>385</v>
      </c>
      <c r="F437" s="57" t="s">
        <v>386</v>
      </c>
      <c r="G437" s="57" t="s">
        <v>15</v>
      </c>
      <c r="H437" s="57" t="s">
        <v>16</v>
      </c>
      <c r="I437" s="57"/>
      <c r="J437" s="57" t="s">
        <v>99</v>
      </c>
      <c r="K437" s="58"/>
      <c r="L437" s="80"/>
      <c r="M437" s="80"/>
      <c r="N437" s="80"/>
      <c r="O437" s="80"/>
      <c r="P437" s="80"/>
      <c r="Q437" s="80"/>
      <c r="R437" s="110">
        <f>Forecasting!R453</f>
        <v>0</v>
      </c>
      <c r="S437" s="110">
        <f>Forecasting!S453</f>
        <v>0</v>
      </c>
      <c r="T437" s="110">
        <f>Forecasting!T453</f>
        <v>0</v>
      </c>
      <c r="U437" s="110">
        <f>Forecasting!U453</f>
        <v>0</v>
      </c>
      <c r="V437" s="110">
        <f>Forecasting!V453</f>
        <v>0</v>
      </c>
      <c r="W437" s="106" t="e">
        <f>+(Q437/M437)^(1/4)-1</f>
        <v>#DIV/0!</v>
      </c>
      <c r="X437" s="106" t="e">
        <f>+(V437/Q437)^(1/5)-1</f>
        <v>#DIV/0!</v>
      </c>
    </row>
    <row r="438" spans="1:26">
      <c r="A438" s="57"/>
      <c r="B438" s="57"/>
      <c r="C438" s="61" t="s">
        <v>892</v>
      </c>
      <c r="D438" s="61"/>
      <c r="E438" s="61"/>
      <c r="F438" s="61"/>
      <c r="G438" s="61"/>
      <c r="H438" s="61"/>
      <c r="I438" s="61"/>
      <c r="J438" s="61" t="s">
        <v>58</v>
      </c>
      <c r="K438" s="58"/>
      <c r="L438" s="59"/>
      <c r="M438" s="62" t="e">
        <v>#DIV/0!</v>
      </c>
      <c r="N438" s="62" t="e">
        <f t="shared" ref="N438:V438" si="326">N437/M437-1</f>
        <v>#DIV/0!</v>
      </c>
      <c r="O438" s="62" t="e">
        <f t="shared" si="326"/>
        <v>#DIV/0!</v>
      </c>
      <c r="P438" s="62" t="e">
        <f t="shared" si="326"/>
        <v>#DIV/0!</v>
      </c>
      <c r="Q438" s="62" t="e">
        <f t="shared" si="326"/>
        <v>#DIV/0!</v>
      </c>
      <c r="R438" s="62" t="e">
        <f t="shared" si="326"/>
        <v>#DIV/0!</v>
      </c>
      <c r="S438" s="62" t="e">
        <f t="shared" si="326"/>
        <v>#DIV/0!</v>
      </c>
      <c r="T438" s="62" t="e">
        <f t="shared" si="326"/>
        <v>#DIV/0!</v>
      </c>
      <c r="U438" s="62" t="e">
        <f t="shared" si="326"/>
        <v>#DIV/0!</v>
      </c>
      <c r="V438" s="62" t="e">
        <f t="shared" si="326"/>
        <v>#DIV/0!</v>
      </c>
      <c r="W438" s="259"/>
      <c r="X438" s="259"/>
    </row>
    <row r="439" spans="1:26">
      <c r="A439" s="55" t="str">
        <f>Home!$B$1</f>
        <v>Poland</v>
      </c>
      <c r="B439" s="56" t="s">
        <v>94</v>
      </c>
      <c r="C439" s="56" t="s">
        <v>130</v>
      </c>
      <c r="D439" s="56" t="s">
        <v>69</v>
      </c>
      <c r="E439" s="55" t="s">
        <v>387</v>
      </c>
      <c r="F439" s="57" t="s">
        <v>388</v>
      </c>
      <c r="G439" s="57" t="s">
        <v>15</v>
      </c>
      <c r="H439" s="57" t="s">
        <v>16</v>
      </c>
      <c r="I439" s="57"/>
      <c r="J439" s="57" t="s">
        <v>99</v>
      </c>
      <c r="K439" s="58">
        <v>446.78500000000003</v>
      </c>
      <c r="L439" s="59">
        <f>'Seasonality&amp; Avg.stay'!B153</f>
        <v>364.64259444329207</v>
      </c>
      <c r="M439" s="59">
        <f>'Seasonality&amp; Avg.stay'!C153</f>
        <v>332.13435426192814</v>
      </c>
      <c r="N439" s="59">
        <f>'Seasonality&amp; Avg.stay'!D153</f>
        <v>300</v>
      </c>
      <c r="O439" s="59">
        <f>'Seasonality&amp; Avg.stay'!E153</f>
        <v>335</v>
      </c>
      <c r="P439" s="59">
        <f>'Seasonality&amp; Avg.stay'!F153</f>
        <v>350</v>
      </c>
      <c r="Q439" s="59">
        <f>'Seasonality&amp; Avg.stay'!G153</f>
        <v>355</v>
      </c>
      <c r="R439" s="110">
        <f>Forecasting!R455</f>
        <v>0</v>
      </c>
      <c r="S439" s="110">
        <f>Forecasting!S455</f>
        <v>0</v>
      </c>
      <c r="T439" s="110">
        <f>Forecasting!T455</f>
        <v>0</v>
      </c>
      <c r="U439" s="110">
        <f>Forecasting!U455</f>
        <v>0</v>
      </c>
      <c r="V439" s="110">
        <f>Forecasting!V455</f>
        <v>0</v>
      </c>
      <c r="W439" s="106">
        <f>+(Q439/M439)^(1/4)-1</f>
        <v>1.6783847583144329E-2</v>
      </c>
      <c r="X439" s="106">
        <f>+(V439/Q439)^(1/5)-1</f>
        <v>-1</v>
      </c>
      <c r="Z439" s="12"/>
    </row>
    <row r="440" spans="1:26">
      <c r="A440" s="57"/>
      <c r="B440" s="57"/>
      <c r="C440" s="61" t="s">
        <v>892</v>
      </c>
      <c r="D440" s="61"/>
      <c r="E440" s="61"/>
      <c r="F440" s="61"/>
      <c r="G440" s="61"/>
      <c r="H440" s="61"/>
      <c r="I440" s="61"/>
      <c r="J440" s="61" t="s">
        <v>58</v>
      </c>
      <c r="K440" s="58"/>
      <c r="L440" s="59"/>
      <c r="M440" s="62">
        <f t="shared" ref="M440:V440" si="327">M439/L439-1</f>
        <v>-8.9150967760623145E-2</v>
      </c>
      <c r="N440" s="62">
        <f t="shared" si="327"/>
        <v>-9.6751070311101639E-2</v>
      </c>
      <c r="O440" s="62">
        <f t="shared" si="327"/>
        <v>0.1166666666666667</v>
      </c>
      <c r="P440" s="62">
        <f t="shared" si="327"/>
        <v>4.4776119402984982E-2</v>
      </c>
      <c r="Q440" s="62">
        <f t="shared" si="327"/>
        <v>1.4285714285714235E-2</v>
      </c>
      <c r="R440" s="62">
        <f t="shared" si="327"/>
        <v>-1</v>
      </c>
      <c r="S440" s="62" t="e">
        <f t="shared" si="327"/>
        <v>#DIV/0!</v>
      </c>
      <c r="T440" s="62" t="e">
        <f t="shared" si="327"/>
        <v>#DIV/0!</v>
      </c>
      <c r="U440" s="62" t="e">
        <f t="shared" si="327"/>
        <v>#DIV/0!</v>
      </c>
      <c r="V440" s="62" t="e">
        <f t="shared" si="327"/>
        <v>#DIV/0!</v>
      </c>
      <c r="W440" s="259"/>
      <c r="X440" s="259"/>
    </row>
    <row r="441" spans="1:26">
      <c r="A441" s="55" t="str">
        <f>Home!$B$1</f>
        <v>Poland</v>
      </c>
      <c r="B441" s="56" t="s">
        <v>94</v>
      </c>
      <c r="C441" s="56" t="s">
        <v>130</v>
      </c>
      <c r="D441" s="56" t="s">
        <v>69</v>
      </c>
      <c r="E441" s="55" t="s">
        <v>389</v>
      </c>
      <c r="F441" s="57" t="s">
        <v>390</v>
      </c>
      <c r="G441" s="57" t="s">
        <v>15</v>
      </c>
      <c r="H441" s="57" t="s">
        <v>16</v>
      </c>
      <c r="I441" s="57"/>
      <c r="J441" s="57" t="s">
        <v>99</v>
      </c>
      <c r="K441" s="58">
        <v>145.35900000000001</v>
      </c>
      <c r="L441" s="80"/>
      <c r="M441" s="80"/>
      <c r="N441" s="80"/>
      <c r="O441" s="80"/>
      <c r="P441" s="80"/>
      <c r="Q441" s="80"/>
      <c r="R441" s="110">
        <f>Forecasting!R457</f>
        <v>0</v>
      </c>
      <c r="S441" s="110">
        <f>Forecasting!S457</f>
        <v>0</v>
      </c>
      <c r="T441" s="110">
        <f>Forecasting!T457</f>
        <v>0</v>
      </c>
      <c r="U441" s="110">
        <f>Forecasting!U457</f>
        <v>0</v>
      </c>
      <c r="V441" s="110">
        <f>Forecasting!V457</f>
        <v>0</v>
      </c>
      <c r="W441" s="106" t="e">
        <f>+(Q441/M441)^(1/4)-1</f>
        <v>#DIV/0!</v>
      </c>
      <c r="X441" s="106" t="e">
        <f>+(V441/Q441)^(1/5)-1</f>
        <v>#DIV/0!</v>
      </c>
      <c r="Z441" s="12"/>
    </row>
    <row r="442" spans="1:26">
      <c r="A442" s="57"/>
      <c r="B442" s="57"/>
      <c r="C442" s="61" t="s">
        <v>892</v>
      </c>
      <c r="D442" s="61"/>
      <c r="E442" s="61"/>
      <c r="F442" s="61"/>
      <c r="G442" s="61"/>
      <c r="H442" s="61"/>
      <c r="I442" s="61"/>
      <c r="J442" s="61" t="s">
        <v>58</v>
      </c>
      <c r="K442" s="58"/>
      <c r="L442" s="59"/>
      <c r="M442" s="62" t="e">
        <f t="shared" ref="M442" si="328">M441/L441-1</f>
        <v>#DIV/0!</v>
      </c>
      <c r="N442" s="62" t="e">
        <f t="shared" ref="N442:V442" si="329">N441/M441-1</f>
        <v>#DIV/0!</v>
      </c>
      <c r="O442" s="62" t="e">
        <f t="shared" si="329"/>
        <v>#DIV/0!</v>
      </c>
      <c r="P442" s="62" t="e">
        <f t="shared" si="329"/>
        <v>#DIV/0!</v>
      </c>
      <c r="Q442" s="62" t="e">
        <f t="shared" si="329"/>
        <v>#DIV/0!</v>
      </c>
      <c r="R442" s="62" t="e">
        <f t="shared" si="329"/>
        <v>#DIV/0!</v>
      </c>
      <c r="S442" s="62" t="e">
        <f t="shared" si="329"/>
        <v>#DIV/0!</v>
      </c>
      <c r="T442" s="62" t="e">
        <f t="shared" si="329"/>
        <v>#DIV/0!</v>
      </c>
      <c r="U442" s="62" t="e">
        <f t="shared" si="329"/>
        <v>#DIV/0!</v>
      </c>
      <c r="V442" s="62" t="e">
        <f t="shared" si="329"/>
        <v>#DIV/0!</v>
      </c>
      <c r="W442" s="259"/>
      <c r="X442" s="259"/>
    </row>
    <row r="443" spans="1:26">
      <c r="A443" s="55" t="str">
        <f>Home!$B$1</f>
        <v>Poland</v>
      </c>
      <c r="B443" s="56" t="s">
        <v>94</v>
      </c>
      <c r="C443" s="56" t="s">
        <v>130</v>
      </c>
      <c r="D443" s="56" t="s">
        <v>69</v>
      </c>
      <c r="E443" s="55" t="s">
        <v>391</v>
      </c>
      <c r="F443" s="57" t="s">
        <v>392</v>
      </c>
      <c r="G443" s="57" t="s">
        <v>15</v>
      </c>
      <c r="H443" s="57" t="s">
        <v>16</v>
      </c>
      <c r="I443" s="57"/>
      <c r="J443" s="57" t="s">
        <v>99</v>
      </c>
      <c r="K443" s="58">
        <v>137.58799999999999</v>
      </c>
      <c r="L443" s="80"/>
      <c r="M443" s="80"/>
      <c r="N443" s="80"/>
      <c r="O443" s="80"/>
      <c r="P443" s="80"/>
      <c r="Q443" s="80"/>
      <c r="R443" s="110">
        <f>Forecasting!R459</f>
        <v>0</v>
      </c>
      <c r="S443" s="110">
        <f>Forecasting!S459</f>
        <v>0</v>
      </c>
      <c r="T443" s="110">
        <f>Forecasting!T459</f>
        <v>0</v>
      </c>
      <c r="U443" s="110">
        <f>Forecasting!U459</f>
        <v>0</v>
      </c>
      <c r="V443" s="110">
        <f>Forecasting!V459</f>
        <v>0</v>
      </c>
      <c r="W443" s="106" t="e">
        <f>+(Q443/M443)^(1/4)-1</f>
        <v>#DIV/0!</v>
      </c>
      <c r="X443" s="106" t="e">
        <f>+(V443/Q443)^(1/5)-1</f>
        <v>#DIV/0!</v>
      </c>
      <c r="Z443" s="12"/>
    </row>
    <row r="444" spans="1:26">
      <c r="A444" s="57"/>
      <c r="B444" s="57"/>
      <c r="C444" s="61" t="s">
        <v>892</v>
      </c>
      <c r="D444" s="61"/>
      <c r="E444" s="61"/>
      <c r="F444" s="61"/>
      <c r="G444" s="61"/>
      <c r="H444" s="61"/>
      <c r="I444" s="61"/>
      <c r="J444" s="61" t="s">
        <v>58</v>
      </c>
      <c r="K444" s="58"/>
      <c r="L444" s="59"/>
      <c r="M444" s="62" t="e">
        <v>#DIV/0!</v>
      </c>
      <c r="N444" s="62" t="e">
        <f t="shared" ref="N444:V444" si="330">N443/M443-1</f>
        <v>#DIV/0!</v>
      </c>
      <c r="O444" s="62" t="e">
        <f t="shared" si="330"/>
        <v>#DIV/0!</v>
      </c>
      <c r="P444" s="62" t="e">
        <f t="shared" si="330"/>
        <v>#DIV/0!</v>
      </c>
      <c r="Q444" s="62" t="e">
        <f t="shared" si="330"/>
        <v>#DIV/0!</v>
      </c>
      <c r="R444" s="62" t="e">
        <f t="shared" si="330"/>
        <v>#DIV/0!</v>
      </c>
      <c r="S444" s="62" t="e">
        <f t="shared" si="330"/>
        <v>#DIV/0!</v>
      </c>
      <c r="T444" s="62" t="e">
        <f t="shared" si="330"/>
        <v>#DIV/0!</v>
      </c>
      <c r="U444" s="62" t="e">
        <f t="shared" si="330"/>
        <v>#DIV/0!</v>
      </c>
      <c r="V444" s="62" t="e">
        <f t="shared" si="330"/>
        <v>#DIV/0!</v>
      </c>
      <c r="W444" s="259"/>
      <c r="X444" s="259"/>
    </row>
    <row r="445" spans="1:26">
      <c r="A445" s="55" t="str">
        <f>Home!$B$1</f>
        <v>Poland</v>
      </c>
      <c r="B445" s="56" t="s">
        <v>94</v>
      </c>
      <c r="C445" s="56" t="s">
        <v>130</v>
      </c>
      <c r="D445" s="56" t="s">
        <v>69</v>
      </c>
      <c r="E445" s="55" t="s">
        <v>393</v>
      </c>
      <c r="F445" s="57" t="s">
        <v>394</v>
      </c>
      <c r="G445" s="57" t="s">
        <v>15</v>
      </c>
      <c r="H445" s="57" t="s">
        <v>16</v>
      </c>
      <c r="I445" s="57"/>
      <c r="J445" s="57" t="s">
        <v>99</v>
      </c>
      <c r="K445" s="58">
        <v>71.406000000000006</v>
      </c>
      <c r="L445" s="80"/>
      <c r="M445" s="80"/>
      <c r="N445" s="80"/>
      <c r="O445" s="80"/>
      <c r="P445" s="80"/>
      <c r="Q445" s="80"/>
      <c r="R445" s="110">
        <f>Forecasting!R461</f>
        <v>0</v>
      </c>
      <c r="S445" s="110">
        <f>Forecasting!S461</f>
        <v>0</v>
      </c>
      <c r="T445" s="110">
        <f>Forecasting!T461</f>
        <v>0</v>
      </c>
      <c r="U445" s="110">
        <f>Forecasting!U461</f>
        <v>0</v>
      </c>
      <c r="V445" s="110">
        <f>Forecasting!V461</f>
        <v>0</v>
      </c>
      <c r="W445" s="106" t="e">
        <f>+(Q445/M445)^(1/4)-1</f>
        <v>#DIV/0!</v>
      </c>
      <c r="X445" s="106" t="e">
        <f>+(V445/Q445)^(1/5)-1</f>
        <v>#DIV/0!</v>
      </c>
      <c r="Z445" s="12"/>
    </row>
    <row r="446" spans="1:26">
      <c r="A446" s="57"/>
      <c r="B446" s="57"/>
      <c r="C446" s="61" t="s">
        <v>892</v>
      </c>
      <c r="D446" s="61"/>
      <c r="E446" s="61"/>
      <c r="F446" s="61"/>
      <c r="G446" s="61"/>
      <c r="H446" s="61"/>
      <c r="I446" s="61"/>
      <c r="J446" s="61" t="s">
        <v>58</v>
      </c>
      <c r="K446" s="58"/>
      <c r="L446" s="59"/>
      <c r="M446" s="62" t="e">
        <f t="shared" ref="M446" si="331">M445/L445-1</f>
        <v>#DIV/0!</v>
      </c>
      <c r="N446" s="62" t="e">
        <f t="shared" ref="N446:V446" si="332">N445/M445-1</f>
        <v>#DIV/0!</v>
      </c>
      <c r="O446" s="62" t="e">
        <f t="shared" si="332"/>
        <v>#DIV/0!</v>
      </c>
      <c r="P446" s="62" t="e">
        <f t="shared" si="332"/>
        <v>#DIV/0!</v>
      </c>
      <c r="Q446" s="62" t="e">
        <f t="shared" si="332"/>
        <v>#DIV/0!</v>
      </c>
      <c r="R446" s="62" t="e">
        <f t="shared" si="332"/>
        <v>#DIV/0!</v>
      </c>
      <c r="S446" s="62" t="e">
        <f t="shared" si="332"/>
        <v>#DIV/0!</v>
      </c>
      <c r="T446" s="62" t="e">
        <f t="shared" si="332"/>
        <v>#DIV/0!</v>
      </c>
      <c r="U446" s="62" t="e">
        <f t="shared" si="332"/>
        <v>#DIV/0!</v>
      </c>
      <c r="V446" s="62" t="e">
        <f t="shared" si="332"/>
        <v>#DIV/0!</v>
      </c>
      <c r="W446" s="259"/>
      <c r="X446" s="259"/>
    </row>
    <row r="447" spans="1:26">
      <c r="A447" s="55" t="str">
        <f>Home!$B$1</f>
        <v>Poland</v>
      </c>
      <c r="B447" s="56" t="s">
        <v>94</v>
      </c>
      <c r="C447" s="56" t="s">
        <v>130</v>
      </c>
      <c r="D447" s="56" t="s">
        <v>69</v>
      </c>
      <c r="E447" s="55" t="s">
        <v>395</v>
      </c>
      <c r="F447" s="57" t="s">
        <v>396</v>
      </c>
      <c r="G447" s="57" t="s">
        <v>15</v>
      </c>
      <c r="H447" s="57" t="s">
        <v>16</v>
      </c>
      <c r="I447" s="57"/>
      <c r="J447" s="57" t="s">
        <v>99</v>
      </c>
      <c r="K447" s="58"/>
      <c r="L447" s="80"/>
      <c r="M447" s="80"/>
      <c r="N447" s="80"/>
      <c r="O447" s="80"/>
      <c r="P447" s="80"/>
      <c r="Q447" s="80"/>
      <c r="R447" s="110">
        <f>Forecasting!R463</f>
        <v>0</v>
      </c>
      <c r="S447" s="110">
        <f>Forecasting!S463</f>
        <v>0</v>
      </c>
      <c r="T447" s="110">
        <f>Forecasting!T463</f>
        <v>0</v>
      </c>
      <c r="U447" s="110">
        <f>Forecasting!U463</f>
        <v>0</v>
      </c>
      <c r="V447" s="110">
        <f>Forecasting!V463</f>
        <v>0</v>
      </c>
      <c r="W447" s="106" t="e">
        <f>+(Q447/M447)^(1/4)-1</f>
        <v>#DIV/0!</v>
      </c>
      <c r="X447" s="106" t="e">
        <f>+(V447/Q447)^(1/5)-1</f>
        <v>#DIV/0!</v>
      </c>
    </row>
    <row r="448" spans="1:26">
      <c r="A448" s="57"/>
      <c r="B448" s="57"/>
      <c r="C448" s="61" t="s">
        <v>892</v>
      </c>
      <c r="D448" s="61"/>
      <c r="E448" s="61"/>
      <c r="F448" s="61"/>
      <c r="G448" s="61"/>
      <c r="H448" s="61"/>
      <c r="I448" s="61"/>
      <c r="J448" s="61" t="s">
        <v>58</v>
      </c>
      <c r="K448" s="58"/>
      <c r="L448" s="59"/>
      <c r="M448" s="62" t="e">
        <v>#DIV/0!</v>
      </c>
      <c r="N448" s="62" t="e">
        <f t="shared" ref="N448:V448" si="333">N447/M447-1</f>
        <v>#DIV/0!</v>
      </c>
      <c r="O448" s="62" t="e">
        <f t="shared" si="333"/>
        <v>#DIV/0!</v>
      </c>
      <c r="P448" s="62" t="e">
        <f t="shared" si="333"/>
        <v>#DIV/0!</v>
      </c>
      <c r="Q448" s="62" t="e">
        <f t="shared" si="333"/>
        <v>#DIV/0!</v>
      </c>
      <c r="R448" s="62" t="e">
        <f t="shared" si="333"/>
        <v>#DIV/0!</v>
      </c>
      <c r="S448" s="62" t="e">
        <f t="shared" si="333"/>
        <v>#DIV/0!</v>
      </c>
      <c r="T448" s="62" t="e">
        <f t="shared" si="333"/>
        <v>#DIV/0!</v>
      </c>
      <c r="U448" s="62" t="e">
        <f t="shared" si="333"/>
        <v>#DIV/0!</v>
      </c>
      <c r="V448" s="62" t="e">
        <f t="shared" si="333"/>
        <v>#DIV/0!</v>
      </c>
      <c r="W448" s="259"/>
      <c r="X448" s="259"/>
    </row>
    <row r="449" spans="1:26">
      <c r="A449" s="55" t="str">
        <f>Home!$B$1</f>
        <v>Poland</v>
      </c>
      <c r="B449" s="56" t="s">
        <v>94</v>
      </c>
      <c r="C449" s="56" t="s">
        <v>130</v>
      </c>
      <c r="D449" s="56" t="s">
        <v>69</v>
      </c>
      <c r="E449" s="55" t="s">
        <v>397</v>
      </c>
      <c r="F449" s="57" t="s">
        <v>398</v>
      </c>
      <c r="G449" s="57" t="s">
        <v>15</v>
      </c>
      <c r="H449" s="57" t="s">
        <v>16</v>
      </c>
      <c r="I449" s="57"/>
      <c r="J449" s="57" t="s">
        <v>99</v>
      </c>
      <c r="K449" s="58"/>
      <c r="L449" s="80"/>
      <c r="M449" s="80"/>
      <c r="N449" s="80"/>
      <c r="O449" s="80"/>
      <c r="P449" s="80"/>
      <c r="Q449" s="80"/>
      <c r="R449" s="110">
        <f>Forecasting!R465</f>
        <v>0</v>
      </c>
      <c r="S449" s="110">
        <f>Forecasting!S465</f>
        <v>0</v>
      </c>
      <c r="T449" s="110">
        <f>Forecasting!T465</f>
        <v>0</v>
      </c>
      <c r="U449" s="110">
        <f>Forecasting!U465</f>
        <v>0</v>
      </c>
      <c r="V449" s="110">
        <f>Forecasting!V465</f>
        <v>0</v>
      </c>
      <c r="W449" s="106" t="e">
        <f>+(Q449/M449)^(1/4)-1</f>
        <v>#DIV/0!</v>
      </c>
      <c r="X449" s="106" t="e">
        <f>+(V449/Q449)^(1/5)-1</f>
        <v>#DIV/0!</v>
      </c>
    </row>
    <row r="450" spans="1:26">
      <c r="A450" s="57"/>
      <c r="B450" s="57"/>
      <c r="C450" s="61" t="s">
        <v>892</v>
      </c>
      <c r="D450" s="61"/>
      <c r="E450" s="61"/>
      <c r="F450" s="61"/>
      <c r="G450" s="61"/>
      <c r="H450" s="61"/>
      <c r="I450" s="61"/>
      <c r="J450" s="61" t="s">
        <v>58</v>
      </c>
      <c r="K450" s="58"/>
      <c r="L450" s="59"/>
      <c r="M450" s="62" t="e">
        <f t="shared" ref="M450" si="334">M449/L449-1</f>
        <v>#DIV/0!</v>
      </c>
      <c r="N450" s="62" t="e">
        <f t="shared" ref="N450:V450" si="335">N449/M449-1</f>
        <v>#DIV/0!</v>
      </c>
      <c r="O450" s="62" t="e">
        <f t="shared" si="335"/>
        <v>#DIV/0!</v>
      </c>
      <c r="P450" s="62" t="e">
        <f t="shared" si="335"/>
        <v>#DIV/0!</v>
      </c>
      <c r="Q450" s="62" t="e">
        <f t="shared" si="335"/>
        <v>#DIV/0!</v>
      </c>
      <c r="R450" s="62" t="e">
        <f t="shared" si="335"/>
        <v>#DIV/0!</v>
      </c>
      <c r="S450" s="62" t="e">
        <f t="shared" si="335"/>
        <v>#DIV/0!</v>
      </c>
      <c r="T450" s="62" t="e">
        <f t="shared" si="335"/>
        <v>#DIV/0!</v>
      </c>
      <c r="U450" s="62" t="e">
        <f t="shared" si="335"/>
        <v>#DIV/0!</v>
      </c>
      <c r="V450" s="62" t="e">
        <f t="shared" si="335"/>
        <v>#DIV/0!</v>
      </c>
      <c r="W450" s="259"/>
      <c r="X450" s="259"/>
    </row>
    <row r="451" spans="1:26">
      <c r="A451" s="55" t="str">
        <f>Home!$B$1</f>
        <v>Poland</v>
      </c>
      <c r="B451" s="56" t="s">
        <v>94</v>
      </c>
      <c r="C451" s="56" t="s">
        <v>130</v>
      </c>
      <c r="D451" s="56" t="s">
        <v>69</v>
      </c>
      <c r="E451" s="55" t="s">
        <v>399</v>
      </c>
      <c r="F451" s="57" t="s">
        <v>400</v>
      </c>
      <c r="G451" s="57" t="s">
        <v>15</v>
      </c>
      <c r="H451" s="57" t="s">
        <v>16</v>
      </c>
      <c r="I451" s="57"/>
      <c r="J451" s="57" t="s">
        <v>99</v>
      </c>
      <c r="K451" s="58">
        <v>94.680999999999997</v>
      </c>
      <c r="L451" s="59">
        <f>'Seasonality&amp; Avg.stay'!B170</f>
        <v>687.09605490829472</v>
      </c>
      <c r="M451" s="59">
        <f>'Seasonality&amp; Avg.stay'!C170</f>
        <v>451.754303420322</v>
      </c>
      <c r="N451" s="59">
        <f>'Seasonality&amp; Avg.stay'!D170</f>
        <v>320</v>
      </c>
      <c r="O451" s="59">
        <f>'Seasonality&amp; Avg.stay'!E170</f>
        <v>400</v>
      </c>
      <c r="P451" s="59">
        <f>'Seasonality&amp; Avg.stay'!F170</f>
        <v>500</v>
      </c>
      <c r="Q451" s="59">
        <f>'Seasonality&amp; Avg.stay'!G170</f>
        <v>670</v>
      </c>
      <c r="R451" s="110">
        <f>Forecasting!R467</f>
        <v>0</v>
      </c>
      <c r="S451" s="110">
        <f>Forecasting!S467</f>
        <v>0</v>
      </c>
      <c r="T451" s="110">
        <f>Forecasting!T467</f>
        <v>0</v>
      </c>
      <c r="U451" s="110">
        <f>Forecasting!U467</f>
        <v>0</v>
      </c>
      <c r="V451" s="110">
        <f>Forecasting!V467</f>
        <v>0</v>
      </c>
      <c r="W451" s="106">
        <f>+(Q451/M451)^(1/4)-1</f>
        <v>0.10355282304749869</v>
      </c>
      <c r="X451" s="106">
        <f>+(V451/Q451)^(1/5)-1</f>
        <v>-1</v>
      </c>
      <c r="Z451" s="12"/>
    </row>
    <row r="452" spans="1:26">
      <c r="A452" s="57"/>
      <c r="B452" s="57"/>
      <c r="C452" s="61" t="s">
        <v>892</v>
      </c>
      <c r="D452" s="61"/>
      <c r="E452" s="61"/>
      <c r="F452" s="61"/>
      <c r="G452" s="61"/>
      <c r="H452" s="61"/>
      <c r="I452" s="61"/>
      <c r="J452" s="61" t="s">
        <v>58</v>
      </c>
      <c r="K452" s="58"/>
      <c r="L452" s="59"/>
      <c r="M452" s="62">
        <f t="shared" ref="M452:V452" si="336">M451/L451-1</f>
        <v>-0.34251652269984767</v>
      </c>
      <c r="N452" s="62">
        <f t="shared" si="336"/>
        <v>-0.29165035600720102</v>
      </c>
      <c r="O452" s="62">
        <f t="shared" si="336"/>
        <v>0.25</v>
      </c>
      <c r="P452" s="62">
        <f t="shared" si="336"/>
        <v>0.25</v>
      </c>
      <c r="Q452" s="62">
        <f t="shared" si="336"/>
        <v>0.34000000000000008</v>
      </c>
      <c r="R452" s="62">
        <f t="shared" si="336"/>
        <v>-1</v>
      </c>
      <c r="S452" s="62" t="e">
        <f t="shared" si="336"/>
        <v>#DIV/0!</v>
      </c>
      <c r="T452" s="62" t="e">
        <f t="shared" si="336"/>
        <v>#DIV/0!</v>
      </c>
      <c r="U452" s="62" t="e">
        <f t="shared" si="336"/>
        <v>#DIV/0!</v>
      </c>
      <c r="V452" s="62" t="e">
        <f t="shared" si="336"/>
        <v>#DIV/0!</v>
      </c>
      <c r="W452" s="259"/>
      <c r="X452" s="259"/>
    </row>
    <row r="453" spans="1:26">
      <c r="A453" s="55" t="str">
        <f>Home!$B$1</f>
        <v>Poland</v>
      </c>
      <c r="B453" s="56" t="s">
        <v>94</v>
      </c>
      <c r="C453" s="56" t="s">
        <v>130</v>
      </c>
      <c r="D453" s="56" t="s">
        <v>69</v>
      </c>
      <c r="E453" s="55" t="s">
        <v>401</v>
      </c>
      <c r="F453" s="57" t="s">
        <v>402</v>
      </c>
      <c r="G453" s="57" t="s">
        <v>15</v>
      </c>
      <c r="H453" s="57" t="s">
        <v>16</v>
      </c>
      <c r="I453" s="57"/>
      <c r="J453" s="57" t="s">
        <v>99</v>
      </c>
      <c r="K453" s="58"/>
      <c r="L453" s="80"/>
      <c r="M453" s="80"/>
      <c r="N453" s="80"/>
      <c r="O453" s="80"/>
      <c r="P453" s="80"/>
      <c r="Q453" s="80"/>
      <c r="R453" s="110">
        <f>Forecasting!R469</f>
        <v>0</v>
      </c>
      <c r="S453" s="110">
        <f>Forecasting!S469</f>
        <v>0</v>
      </c>
      <c r="T453" s="110">
        <f>Forecasting!T469</f>
        <v>0</v>
      </c>
      <c r="U453" s="110">
        <f>Forecasting!U469</f>
        <v>0</v>
      </c>
      <c r="V453" s="110">
        <f>Forecasting!V469</f>
        <v>0</v>
      </c>
      <c r="W453" s="106" t="e">
        <f>+(Q453/M453)^(1/4)-1</f>
        <v>#DIV/0!</v>
      </c>
      <c r="X453" s="106" t="e">
        <f>+(V453/Q453)^(1/5)-1</f>
        <v>#DIV/0!</v>
      </c>
    </row>
    <row r="454" spans="1:26">
      <c r="A454" s="57"/>
      <c r="B454" s="57"/>
      <c r="C454" s="61" t="s">
        <v>892</v>
      </c>
      <c r="D454" s="61"/>
      <c r="E454" s="61"/>
      <c r="F454" s="61"/>
      <c r="G454" s="61"/>
      <c r="H454" s="61"/>
      <c r="I454" s="61"/>
      <c r="J454" s="61" t="s">
        <v>58</v>
      </c>
      <c r="K454" s="58"/>
      <c r="L454" s="59"/>
      <c r="M454" s="62" t="e">
        <v>#DIV/0!</v>
      </c>
      <c r="N454" s="62" t="e">
        <f t="shared" ref="N454:V454" si="337">N453/M453-1</f>
        <v>#DIV/0!</v>
      </c>
      <c r="O454" s="62" t="e">
        <f t="shared" si="337"/>
        <v>#DIV/0!</v>
      </c>
      <c r="P454" s="62" t="e">
        <f t="shared" si="337"/>
        <v>#DIV/0!</v>
      </c>
      <c r="Q454" s="62" t="e">
        <f t="shared" si="337"/>
        <v>#DIV/0!</v>
      </c>
      <c r="R454" s="62" t="e">
        <f t="shared" si="337"/>
        <v>#DIV/0!</v>
      </c>
      <c r="S454" s="62" t="e">
        <f t="shared" si="337"/>
        <v>#DIV/0!</v>
      </c>
      <c r="T454" s="62" t="e">
        <f t="shared" si="337"/>
        <v>#DIV/0!</v>
      </c>
      <c r="U454" s="62" t="e">
        <f t="shared" si="337"/>
        <v>#DIV/0!</v>
      </c>
      <c r="V454" s="62" t="e">
        <f t="shared" si="337"/>
        <v>#DIV/0!</v>
      </c>
      <c r="W454" s="259"/>
      <c r="X454" s="259"/>
    </row>
    <row r="455" spans="1:26">
      <c r="A455" s="55" t="str">
        <f>Home!$B$1</f>
        <v>Poland</v>
      </c>
      <c r="B455" s="56" t="s">
        <v>94</v>
      </c>
      <c r="C455" s="56" t="s">
        <v>130</v>
      </c>
      <c r="D455" s="56" t="s">
        <v>69</v>
      </c>
      <c r="E455" s="55" t="s">
        <v>403</v>
      </c>
      <c r="F455" s="57" t="s">
        <v>404</v>
      </c>
      <c r="G455" s="57" t="s">
        <v>15</v>
      </c>
      <c r="H455" s="57" t="s">
        <v>16</v>
      </c>
      <c r="I455" s="57"/>
      <c r="J455" s="57" t="s">
        <v>99</v>
      </c>
      <c r="K455" s="58"/>
      <c r="L455" s="59">
        <f>'Seasonality&amp; Avg.stay'!B162</f>
        <v>111.29228192584348</v>
      </c>
      <c r="M455" s="59">
        <f>'Seasonality&amp; Avg.stay'!C162</f>
        <v>96.16665537678594</v>
      </c>
      <c r="N455" s="59">
        <f>'Seasonality&amp; Avg.stay'!D162</f>
        <v>85</v>
      </c>
      <c r="O455" s="59">
        <f>'Seasonality&amp; Avg.stay'!E162</f>
        <v>95</v>
      </c>
      <c r="P455" s="59">
        <f>'Seasonality&amp; Avg.stay'!F162</f>
        <v>100</v>
      </c>
      <c r="Q455" s="59">
        <f>'Seasonality&amp; Avg.stay'!G162</f>
        <v>110</v>
      </c>
      <c r="R455" s="110">
        <f>Forecasting!R471</f>
        <v>0</v>
      </c>
      <c r="S455" s="110">
        <f>Forecasting!S471</f>
        <v>0</v>
      </c>
      <c r="T455" s="110">
        <f>Forecasting!T471</f>
        <v>0</v>
      </c>
      <c r="U455" s="110">
        <f>Forecasting!U471</f>
        <v>0</v>
      </c>
      <c r="V455" s="110">
        <f>Forecasting!V471</f>
        <v>0</v>
      </c>
      <c r="W455" s="106">
        <f>+(Q455/M455)^(1/4)-1</f>
        <v>3.4170257350608857E-2</v>
      </c>
      <c r="X455" s="106">
        <f>+(V455/Q455)^(1/5)-1</f>
        <v>-1</v>
      </c>
    </row>
    <row r="456" spans="1:26">
      <c r="A456" s="57"/>
      <c r="B456" s="57"/>
      <c r="C456" s="61" t="s">
        <v>892</v>
      </c>
      <c r="D456" s="61"/>
      <c r="E456" s="61"/>
      <c r="F456" s="61"/>
      <c r="G456" s="61"/>
      <c r="H456" s="61"/>
      <c r="I456" s="61"/>
      <c r="J456" s="61" t="s">
        <v>58</v>
      </c>
      <c r="K456" s="58"/>
      <c r="L456" s="59"/>
      <c r="M456" s="62">
        <f t="shared" ref="M456:V456" si="338">M455/L455-1</f>
        <v>-0.13590903418743883</v>
      </c>
      <c r="N456" s="62">
        <f t="shared" si="338"/>
        <v>-0.1161177471862197</v>
      </c>
      <c r="O456" s="62">
        <f t="shared" si="338"/>
        <v>0.11764705882352944</v>
      </c>
      <c r="P456" s="62">
        <f t="shared" si="338"/>
        <v>5.2631578947368363E-2</v>
      </c>
      <c r="Q456" s="62">
        <f t="shared" si="338"/>
        <v>0.10000000000000009</v>
      </c>
      <c r="R456" s="62">
        <f t="shared" si="338"/>
        <v>-1</v>
      </c>
      <c r="S456" s="62" t="e">
        <f t="shared" si="338"/>
        <v>#DIV/0!</v>
      </c>
      <c r="T456" s="62" t="e">
        <f t="shared" si="338"/>
        <v>#DIV/0!</v>
      </c>
      <c r="U456" s="62" t="e">
        <f t="shared" si="338"/>
        <v>#DIV/0!</v>
      </c>
      <c r="V456" s="62" t="e">
        <f t="shared" si="338"/>
        <v>#DIV/0!</v>
      </c>
      <c r="W456" s="259"/>
      <c r="X456" s="259"/>
    </row>
    <row r="457" spans="1:26">
      <c r="A457" s="55" t="str">
        <f>Home!$B$1</f>
        <v>Poland</v>
      </c>
      <c r="B457" s="56" t="s">
        <v>94</v>
      </c>
      <c r="C457" s="56" t="s">
        <v>130</v>
      </c>
      <c r="D457" s="56" t="s">
        <v>69</v>
      </c>
      <c r="E457" s="55" t="s">
        <v>405</v>
      </c>
      <c r="F457" s="57" t="s">
        <v>406</v>
      </c>
      <c r="G457" s="57" t="s">
        <v>15</v>
      </c>
      <c r="H457" s="57" t="s">
        <v>16</v>
      </c>
      <c r="I457" s="57"/>
      <c r="J457" s="57" t="s">
        <v>99</v>
      </c>
      <c r="K457" s="58"/>
      <c r="L457" s="80"/>
      <c r="M457" s="80"/>
      <c r="N457" s="80"/>
      <c r="O457" s="80"/>
      <c r="P457" s="80"/>
      <c r="Q457" s="80"/>
      <c r="R457" s="110">
        <f>Forecasting!R473</f>
        <v>0</v>
      </c>
      <c r="S457" s="110">
        <f>Forecasting!S473</f>
        <v>0</v>
      </c>
      <c r="T457" s="110">
        <f>Forecasting!T473</f>
        <v>0</v>
      </c>
      <c r="U457" s="110">
        <f>Forecasting!U473</f>
        <v>0</v>
      </c>
      <c r="V457" s="110">
        <f>Forecasting!V473</f>
        <v>0</v>
      </c>
      <c r="W457" s="106" t="e">
        <f>+(Q457/M457)^(1/4)-1</f>
        <v>#DIV/0!</v>
      </c>
      <c r="X457" s="106" t="e">
        <f>+(V457/Q457)^(1/5)-1</f>
        <v>#DIV/0!</v>
      </c>
    </row>
    <row r="458" spans="1:26">
      <c r="A458" s="57"/>
      <c r="B458" s="57"/>
      <c r="C458" s="61" t="s">
        <v>892</v>
      </c>
      <c r="D458" s="61"/>
      <c r="E458" s="61"/>
      <c r="F458" s="61"/>
      <c r="G458" s="61"/>
      <c r="H458" s="61"/>
      <c r="I458" s="61"/>
      <c r="J458" s="61" t="s">
        <v>58</v>
      </c>
      <c r="K458" s="58"/>
      <c r="L458" s="59"/>
      <c r="M458" s="62" t="e">
        <f t="shared" ref="M458" si="339">M457/L457-1</f>
        <v>#DIV/0!</v>
      </c>
      <c r="N458" s="62" t="e">
        <f t="shared" ref="N458:V458" si="340">N457/M457-1</f>
        <v>#DIV/0!</v>
      </c>
      <c r="O458" s="62" t="e">
        <f t="shared" si="340"/>
        <v>#DIV/0!</v>
      </c>
      <c r="P458" s="62" t="e">
        <f t="shared" si="340"/>
        <v>#DIV/0!</v>
      </c>
      <c r="Q458" s="62" t="e">
        <f t="shared" si="340"/>
        <v>#DIV/0!</v>
      </c>
      <c r="R458" s="62" t="e">
        <f t="shared" si="340"/>
        <v>#DIV/0!</v>
      </c>
      <c r="S458" s="62" t="e">
        <f t="shared" si="340"/>
        <v>#DIV/0!</v>
      </c>
      <c r="T458" s="62" t="e">
        <f t="shared" si="340"/>
        <v>#DIV/0!</v>
      </c>
      <c r="U458" s="62" t="e">
        <f t="shared" si="340"/>
        <v>#DIV/0!</v>
      </c>
      <c r="V458" s="62" t="e">
        <f t="shared" si="340"/>
        <v>#DIV/0!</v>
      </c>
      <c r="W458" s="259"/>
      <c r="X458" s="259"/>
    </row>
    <row r="459" spans="1:26">
      <c r="A459" s="55" t="str">
        <f>Home!$B$1</f>
        <v>Poland</v>
      </c>
      <c r="B459" s="56" t="s">
        <v>94</v>
      </c>
      <c r="C459" s="56" t="s">
        <v>130</v>
      </c>
      <c r="D459" s="56" t="s">
        <v>69</v>
      </c>
      <c r="E459" s="55" t="s">
        <v>407</v>
      </c>
      <c r="F459" s="57" t="s">
        <v>408</v>
      </c>
      <c r="G459" s="57" t="s">
        <v>15</v>
      </c>
      <c r="H459" s="57" t="s">
        <v>16</v>
      </c>
      <c r="I459" s="57"/>
      <c r="J459" s="57" t="s">
        <v>99</v>
      </c>
      <c r="K459" s="58">
        <v>424.22399999999999</v>
      </c>
      <c r="L459" s="80"/>
      <c r="M459" s="80"/>
      <c r="N459" s="80"/>
      <c r="O459" s="80"/>
      <c r="P459" s="80"/>
      <c r="Q459" s="80"/>
      <c r="R459" s="110">
        <f>Forecasting!R475</f>
        <v>0</v>
      </c>
      <c r="S459" s="110">
        <f>Forecasting!S475</f>
        <v>0</v>
      </c>
      <c r="T459" s="110">
        <f>Forecasting!T475</f>
        <v>0</v>
      </c>
      <c r="U459" s="110">
        <f>Forecasting!U475</f>
        <v>0</v>
      </c>
      <c r="V459" s="110">
        <f>Forecasting!V475</f>
        <v>0</v>
      </c>
      <c r="W459" s="106" t="e">
        <f>+(Q459/M459)^(1/4)-1</f>
        <v>#DIV/0!</v>
      </c>
      <c r="X459" s="106" t="e">
        <f>+(V459/Q459)^(1/5)-1</f>
        <v>#DIV/0!</v>
      </c>
      <c r="Z459" s="12"/>
    </row>
    <row r="460" spans="1:26">
      <c r="A460" s="57"/>
      <c r="B460" s="57"/>
      <c r="C460" s="61" t="s">
        <v>892</v>
      </c>
      <c r="D460" s="61"/>
      <c r="E460" s="61"/>
      <c r="F460" s="61"/>
      <c r="G460" s="61"/>
      <c r="H460" s="61"/>
      <c r="I460" s="61"/>
      <c r="J460" s="61" t="s">
        <v>58</v>
      </c>
      <c r="K460" s="58"/>
      <c r="L460" s="59"/>
      <c r="M460" s="62" t="e">
        <f t="shared" ref="M460" si="341">M459/L459-1</f>
        <v>#DIV/0!</v>
      </c>
      <c r="N460" s="62" t="e">
        <f t="shared" ref="N460:V460" si="342">N459/M459-1</f>
        <v>#DIV/0!</v>
      </c>
      <c r="O460" s="62" t="e">
        <f t="shared" si="342"/>
        <v>#DIV/0!</v>
      </c>
      <c r="P460" s="62" t="e">
        <f t="shared" si="342"/>
        <v>#DIV/0!</v>
      </c>
      <c r="Q460" s="62" t="e">
        <f t="shared" si="342"/>
        <v>#DIV/0!</v>
      </c>
      <c r="R460" s="62" t="e">
        <f t="shared" si="342"/>
        <v>#DIV/0!</v>
      </c>
      <c r="S460" s="62" t="e">
        <f t="shared" si="342"/>
        <v>#DIV/0!</v>
      </c>
      <c r="T460" s="62" t="e">
        <f t="shared" si="342"/>
        <v>#DIV/0!</v>
      </c>
      <c r="U460" s="62" t="e">
        <f t="shared" si="342"/>
        <v>#DIV/0!</v>
      </c>
      <c r="V460" s="62" t="e">
        <f t="shared" si="342"/>
        <v>#DIV/0!</v>
      </c>
      <c r="W460" s="259"/>
      <c r="X460" s="259"/>
    </row>
    <row r="461" spans="1:26">
      <c r="A461" s="55" t="str">
        <f>Home!$B$1</f>
        <v>Poland</v>
      </c>
      <c r="B461" s="56" t="s">
        <v>94</v>
      </c>
      <c r="C461" s="56" t="s">
        <v>130</v>
      </c>
      <c r="D461" s="56" t="s">
        <v>69</v>
      </c>
      <c r="E461" s="55" t="s">
        <v>409</v>
      </c>
      <c r="F461" s="57" t="s">
        <v>410</v>
      </c>
      <c r="G461" s="57" t="s">
        <v>15</v>
      </c>
      <c r="H461" s="57" t="s">
        <v>16</v>
      </c>
      <c r="I461" s="57"/>
      <c r="J461" s="57" t="s">
        <v>99</v>
      </c>
      <c r="K461" s="58">
        <v>285.99400000000003</v>
      </c>
      <c r="L461" s="59">
        <f>'Seasonality&amp; Avg.stay'!B157</f>
        <v>178.78673196809359</v>
      </c>
      <c r="M461" s="59">
        <f>'Seasonality&amp; Avg.stay'!C157</f>
        <v>159.55466724765893</v>
      </c>
      <c r="N461" s="59">
        <f>'Seasonality&amp; Avg.stay'!D157</f>
        <v>155</v>
      </c>
      <c r="O461" s="59">
        <f>'Seasonality&amp; Avg.stay'!E157</f>
        <v>150</v>
      </c>
      <c r="P461" s="59">
        <f>'Seasonality&amp; Avg.stay'!F157</f>
        <v>160</v>
      </c>
      <c r="Q461" s="59">
        <f>'Seasonality&amp; Avg.stay'!G157</f>
        <v>180</v>
      </c>
      <c r="R461" s="110">
        <f>Forecasting!R477</f>
        <v>0</v>
      </c>
      <c r="S461" s="110">
        <f>Forecasting!S477</f>
        <v>0</v>
      </c>
      <c r="T461" s="110">
        <f>Forecasting!T477</f>
        <v>0</v>
      </c>
      <c r="U461" s="110">
        <f>Forecasting!U477</f>
        <v>0</v>
      </c>
      <c r="V461" s="110">
        <f>Forecasting!V477</f>
        <v>0</v>
      </c>
      <c r="W461" s="106">
        <f>+(Q461/M461)^(1/4)-1</f>
        <v>3.06014475753702E-2</v>
      </c>
      <c r="X461" s="106">
        <f>+(V461/Q461)^(1/5)-1</f>
        <v>-1</v>
      </c>
      <c r="Z461" s="12"/>
    </row>
    <row r="462" spans="1:26">
      <c r="A462" s="57"/>
      <c r="B462" s="57"/>
      <c r="C462" s="61" t="s">
        <v>892</v>
      </c>
      <c r="D462" s="61"/>
      <c r="E462" s="61"/>
      <c r="F462" s="61"/>
      <c r="G462" s="61"/>
      <c r="H462" s="61"/>
      <c r="I462" s="61"/>
      <c r="J462" s="61" t="s">
        <v>58</v>
      </c>
      <c r="K462" s="58"/>
      <c r="L462" s="59"/>
      <c r="M462" s="62">
        <f t="shared" ref="M462:V462" si="343">M461/L461-1</f>
        <v>-0.10756986555281312</v>
      </c>
      <c r="N462" s="62">
        <f t="shared" si="343"/>
        <v>-2.854612357148556E-2</v>
      </c>
      <c r="O462" s="62">
        <f t="shared" si="343"/>
        <v>-3.2258064516129004E-2</v>
      </c>
      <c r="P462" s="62">
        <f t="shared" si="343"/>
        <v>6.6666666666666652E-2</v>
      </c>
      <c r="Q462" s="62">
        <f t="shared" si="343"/>
        <v>0.125</v>
      </c>
      <c r="R462" s="62">
        <f t="shared" si="343"/>
        <v>-1</v>
      </c>
      <c r="S462" s="62" t="e">
        <f t="shared" si="343"/>
        <v>#DIV/0!</v>
      </c>
      <c r="T462" s="62" t="e">
        <f t="shared" si="343"/>
        <v>#DIV/0!</v>
      </c>
      <c r="U462" s="62" t="e">
        <f t="shared" si="343"/>
        <v>#DIV/0!</v>
      </c>
      <c r="V462" s="62" t="e">
        <f t="shared" si="343"/>
        <v>#DIV/0!</v>
      </c>
      <c r="W462" s="259"/>
      <c r="X462" s="259"/>
    </row>
    <row r="463" spans="1:26">
      <c r="A463" s="55" t="str">
        <f>Home!$B$1</f>
        <v>Poland</v>
      </c>
      <c r="B463" s="56" t="s">
        <v>94</v>
      </c>
      <c r="C463" s="56" t="s">
        <v>130</v>
      </c>
      <c r="D463" s="56" t="s">
        <v>69</v>
      </c>
      <c r="E463" s="55" t="s">
        <v>411</v>
      </c>
      <c r="F463" s="57" t="s">
        <v>412</v>
      </c>
      <c r="G463" s="57" t="s">
        <v>15</v>
      </c>
      <c r="H463" s="57" t="s">
        <v>16</v>
      </c>
      <c r="I463" s="57"/>
      <c r="J463" s="57" t="s">
        <v>99</v>
      </c>
      <c r="K463" s="58">
        <v>270.57100000000003</v>
      </c>
      <c r="L463" s="80"/>
      <c r="M463" s="80"/>
      <c r="N463" s="80"/>
      <c r="O463" s="80"/>
      <c r="P463" s="80"/>
      <c r="Q463" s="80"/>
      <c r="R463" s="110">
        <f>Forecasting!R479</f>
        <v>0</v>
      </c>
      <c r="S463" s="110">
        <f>Forecasting!S479</f>
        <v>0</v>
      </c>
      <c r="T463" s="110">
        <f>Forecasting!T479</f>
        <v>0</v>
      </c>
      <c r="U463" s="110">
        <f>Forecasting!U479</f>
        <v>0</v>
      </c>
      <c r="V463" s="110">
        <f>Forecasting!V479</f>
        <v>0</v>
      </c>
      <c r="W463" s="106" t="e">
        <f>+(Q463/M463)^(1/4)-1</f>
        <v>#DIV/0!</v>
      </c>
      <c r="X463" s="106" t="e">
        <f>+(V463/Q463)^(1/5)-1</f>
        <v>#DIV/0!</v>
      </c>
      <c r="Z463" s="12"/>
    </row>
    <row r="464" spans="1:26">
      <c r="A464" s="57"/>
      <c r="B464" s="57"/>
      <c r="C464" s="61" t="s">
        <v>892</v>
      </c>
      <c r="D464" s="61"/>
      <c r="E464" s="61"/>
      <c r="F464" s="61"/>
      <c r="G464" s="61"/>
      <c r="H464" s="61"/>
      <c r="I464" s="61"/>
      <c r="J464" s="61" t="s">
        <v>58</v>
      </c>
      <c r="K464" s="58"/>
      <c r="L464" s="59"/>
      <c r="M464" s="62" t="e">
        <f t="shared" ref="M464" si="344">M463/L463-1</f>
        <v>#DIV/0!</v>
      </c>
      <c r="N464" s="62" t="e">
        <f t="shared" ref="N464:V464" si="345">N463/M463-1</f>
        <v>#DIV/0!</v>
      </c>
      <c r="O464" s="62" t="e">
        <f t="shared" si="345"/>
        <v>#DIV/0!</v>
      </c>
      <c r="P464" s="62" t="e">
        <f t="shared" si="345"/>
        <v>#DIV/0!</v>
      </c>
      <c r="Q464" s="62" t="e">
        <f t="shared" si="345"/>
        <v>#DIV/0!</v>
      </c>
      <c r="R464" s="62" t="e">
        <f t="shared" si="345"/>
        <v>#DIV/0!</v>
      </c>
      <c r="S464" s="62" t="e">
        <f t="shared" si="345"/>
        <v>#DIV/0!</v>
      </c>
      <c r="T464" s="62" t="e">
        <f t="shared" si="345"/>
        <v>#DIV/0!</v>
      </c>
      <c r="U464" s="62" t="e">
        <f t="shared" si="345"/>
        <v>#DIV/0!</v>
      </c>
      <c r="V464" s="62" t="e">
        <f t="shared" si="345"/>
        <v>#DIV/0!</v>
      </c>
      <c r="W464" s="259"/>
      <c r="X464" s="259"/>
    </row>
    <row r="465" spans="1:26">
      <c r="A465" s="55" t="str">
        <f>Home!$B$1</f>
        <v>Poland</v>
      </c>
      <c r="B465" s="56" t="s">
        <v>94</v>
      </c>
      <c r="C465" s="56" t="s">
        <v>130</v>
      </c>
      <c r="D465" s="56" t="s">
        <v>69</v>
      </c>
      <c r="E465" s="55" t="s">
        <v>413</v>
      </c>
      <c r="F465" s="57" t="s">
        <v>414</v>
      </c>
      <c r="G465" s="57" t="s">
        <v>15</v>
      </c>
      <c r="H465" s="57" t="s">
        <v>16</v>
      </c>
      <c r="I465" s="57"/>
      <c r="J465" s="57" t="s">
        <v>99</v>
      </c>
      <c r="K465" s="58"/>
      <c r="L465" s="80"/>
      <c r="M465" s="80"/>
      <c r="N465" s="80"/>
      <c r="O465" s="80"/>
      <c r="P465" s="80"/>
      <c r="Q465" s="80"/>
      <c r="R465" s="110">
        <f>Forecasting!R481</f>
        <v>0</v>
      </c>
      <c r="S465" s="110">
        <f>Forecasting!S481</f>
        <v>0</v>
      </c>
      <c r="T465" s="110">
        <f>Forecasting!T481</f>
        <v>0</v>
      </c>
      <c r="U465" s="110">
        <f>Forecasting!U481</f>
        <v>0</v>
      </c>
      <c r="V465" s="110">
        <f>Forecasting!V481</f>
        <v>0</v>
      </c>
      <c r="W465" s="106" t="e">
        <f>+(Q465/M465)^(1/4)-1</f>
        <v>#DIV/0!</v>
      </c>
      <c r="X465" s="106" t="e">
        <f>+(V465/Q465)^(1/5)-1</f>
        <v>#DIV/0!</v>
      </c>
    </row>
    <row r="466" spans="1:26">
      <c r="A466" s="57"/>
      <c r="B466" s="57"/>
      <c r="C466" s="61" t="s">
        <v>892</v>
      </c>
      <c r="D466" s="61"/>
      <c r="E466" s="61"/>
      <c r="F466" s="61"/>
      <c r="G466" s="61"/>
      <c r="H466" s="61"/>
      <c r="I466" s="61"/>
      <c r="J466" s="61" t="s">
        <v>58</v>
      </c>
      <c r="K466" s="58"/>
      <c r="L466" s="59"/>
      <c r="M466" s="62" t="e">
        <v>#DIV/0!</v>
      </c>
      <c r="N466" s="62" t="e">
        <f t="shared" ref="N466:V466" si="346">N465/M465-1</f>
        <v>#DIV/0!</v>
      </c>
      <c r="O466" s="62" t="e">
        <f t="shared" si="346"/>
        <v>#DIV/0!</v>
      </c>
      <c r="P466" s="62" t="e">
        <f t="shared" si="346"/>
        <v>#DIV/0!</v>
      </c>
      <c r="Q466" s="62" t="e">
        <f t="shared" si="346"/>
        <v>#DIV/0!</v>
      </c>
      <c r="R466" s="62" t="e">
        <f t="shared" si="346"/>
        <v>#DIV/0!</v>
      </c>
      <c r="S466" s="62" t="e">
        <f t="shared" si="346"/>
        <v>#DIV/0!</v>
      </c>
      <c r="T466" s="62" t="e">
        <f t="shared" si="346"/>
        <v>#DIV/0!</v>
      </c>
      <c r="U466" s="62" t="e">
        <f t="shared" si="346"/>
        <v>#DIV/0!</v>
      </c>
      <c r="V466" s="62" t="e">
        <f t="shared" si="346"/>
        <v>#DIV/0!</v>
      </c>
      <c r="W466" s="259"/>
      <c r="X466" s="259"/>
    </row>
    <row r="467" spans="1:26">
      <c r="A467" s="55" t="str">
        <f>Home!$B$1</f>
        <v>Poland</v>
      </c>
      <c r="B467" s="56" t="s">
        <v>94</v>
      </c>
      <c r="C467" s="56" t="s">
        <v>130</v>
      </c>
      <c r="D467" s="56" t="s">
        <v>69</v>
      </c>
      <c r="E467" s="55" t="s">
        <v>415</v>
      </c>
      <c r="F467" s="57" t="s">
        <v>416</v>
      </c>
      <c r="G467" s="57" t="s">
        <v>15</v>
      </c>
      <c r="H467" s="57" t="s">
        <v>16</v>
      </c>
      <c r="I467" s="57"/>
      <c r="J467" s="57" t="s">
        <v>99</v>
      </c>
      <c r="K467" s="58">
        <v>90.122</v>
      </c>
      <c r="L467" s="80"/>
      <c r="M467" s="80"/>
      <c r="N467" s="80"/>
      <c r="O467" s="80"/>
      <c r="P467" s="80"/>
      <c r="Q467" s="80"/>
      <c r="R467" s="110">
        <f>Forecasting!R483</f>
        <v>0</v>
      </c>
      <c r="S467" s="110">
        <f>Forecasting!S483</f>
        <v>0</v>
      </c>
      <c r="T467" s="110">
        <f>Forecasting!T483</f>
        <v>0</v>
      </c>
      <c r="U467" s="110">
        <f>Forecasting!U483</f>
        <v>0</v>
      </c>
      <c r="V467" s="110">
        <f>Forecasting!V483</f>
        <v>0</v>
      </c>
      <c r="W467" s="106" t="e">
        <f>+(Q467/M467)^(1/4)-1</f>
        <v>#DIV/0!</v>
      </c>
      <c r="X467" s="106" t="e">
        <f>+(V467/Q467)^(1/5)-1</f>
        <v>#DIV/0!</v>
      </c>
      <c r="Z467" s="12"/>
    </row>
    <row r="468" spans="1:26">
      <c r="A468" s="57"/>
      <c r="B468" s="57"/>
      <c r="C468" s="61" t="s">
        <v>892</v>
      </c>
      <c r="D468" s="61"/>
      <c r="E468" s="61"/>
      <c r="F468" s="61"/>
      <c r="G468" s="61"/>
      <c r="H468" s="61"/>
      <c r="I468" s="61"/>
      <c r="J468" s="61" t="s">
        <v>58</v>
      </c>
      <c r="K468" s="58"/>
      <c r="L468" s="59"/>
      <c r="M468" s="62" t="e">
        <f t="shared" ref="M468" si="347">M467/L467-1</f>
        <v>#DIV/0!</v>
      </c>
      <c r="N468" s="62" t="e">
        <f t="shared" ref="N468:V468" si="348">N467/M467-1</f>
        <v>#DIV/0!</v>
      </c>
      <c r="O468" s="62" t="e">
        <f t="shared" si="348"/>
        <v>#DIV/0!</v>
      </c>
      <c r="P468" s="62" t="e">
        <f t="shared" si="348"/>
        <v>#DIV/0!</v>
      </c>
      <c r="Q468" s="62" t="e">
        <f t="shared" si="348"/>
        <v>#DIV/0!</v>
      </c>
      <c r="R468" s="62" t="e">
        <f t="shared" si="348"/>
        <v>#DIV/0!</v>
      </c>
      <c r="S468" s="62" t="e">
        <f t="shared" si="348"/>
        <v>#DIV/0!</v>
      </c>
      <c r="T468" s="62" t="e">
        <f t="shared" si="348"/>
        <v>#DIV/0!</v>
      </c>
      <c r="U468" s="62" t="e">
        <f t="shared" si="348"/>
        <v>#DIV/0!</v>
      </c>
      <c r="V468" s="62" t="e">
        <f t="shared" si="348"/>
        <v>#DIV/0!</v>
      </c>
      <c r="W468" s="259"/>
      <c r="X468" s="259"/>
    </row>
    <row r="469" spans="1:26">
      <c r="A469" s="55" t="str">
        <f>Home!$B$1</f>
        <v>Poland</v>
      </c>
      <c r="B469" s="56" t="s">
        <v>94</v>
      </c>
      <c r="C469" s="56" t="s">
        <v>130</v>
      </c>
      <c r="D469" s="56" t="s">
        <v>69</v>
      </c>
      <c r="E469" s="55" t="s">
        <v>417</v>
      </c>
      <c r="F469" s="57" t="s">
        <v>418</v>
      </c>
      <c r="G469" s="57" t="s">
        <v>15</v>
      </c>
      <c r="H469" s="57" t="s">
        <v>16</v>
      </c>
      <c r="I469" s="57"/>
      <c r="J469" s="57" t="s">
        <v>99</v>
      </c>
      <c r="K469" s="58"/>
      <c r="L469" s="265">
        <f>'Seasonality&amp; Avg.stay'!B168</f>
        <v>1950.5307899946154</v>
      </c>
      <c r="M469" s="265">
        <f>'Seasonality&amp; Avg.stay'!C168</f>
        <v>1498.9418155940984</v>
      </c>
      <c r="N469" s="265">
        <f>'Seasonality&amp; Avg.stay'!D168</f>
        <v>1295</v>
      </c>
      <c r="O469" s="265">
        <f>'Seasonality&amp; Avg.stay'!E168</f>
        <v>1350</v>
      </c>
      <c r="P469" s="265">
        <f>'Seasonality&amp; Avg.stay'!F168</f>
        <v>1580</v>
      </c>
      <c r="Q469" s="265">
        <f>'Seasonality&amp; Avg.stay'!G168</f>
        <v>1930</v>
      </c>
      <c r="R469" s="266">
        <f>Forecasting!R485</f>
        <v>0</v>
      </c>
      <c r="S469" s="266">
        <f>Forecasting!S485</f>
        <v>0</v>
      </c>
      <c r="T469" s="266">
        <f>Forecasting!T485</f>
        <v>0</v>
      </c>
      <c r="U469" s="266">
        <f>Forecasting!U485</f>
        <v>0</v>
      </c>
      <c r="V469" s="266">
        <f>Forecasting!V485</f>
        <v>0</v>
      </c>
      <c r="W469" s="106">
        <f>+(Q469/M469)^(1/4)-1</f>
        <v>6.5229373348253183E-2</v>
      </c>
      <c r="X469" s="106">
        <f>+(V469/Q469)^(1/5)-1</f>
        <v>-1</v>
      </c>
    </row>
    <row r="470" spans="1:26">
      <c r="A470" s="57"/>
      <c r="B470" s="57"/>
      <c r="C470" s="61" t="s">
        <v>892</v>
      </c>
      <c r="D470" s="61"/>
      <c r="E470" s="61"/>
      <c r="F470" s="61"/>
      <c r="G470" s="61"/>
      <c r="H470" s="61"/>
      <c r="I470" s="61"/>
      <c r="J470" s="61" t="s">
        <v>58</v>
      </c>
      <c r="K470" s="58"/>
      <c r="L470" s="59"/>
      <c r="M470" s="62">
        <f t="shared" ref="M470:V470" si="349">M469/L469-1</f>
        <v>-0.23152106940171069</v>
      </c>
      <c r="N470" s="62">
        <f t="shared" si="349"/>
        <v>-0.13605719279588391</v>
      </c>
      <c r="O470" s="62">
        <f t="shared" si="349"/>
        <v>4.2471042471042386E-2</v>
      </c>
      <c r="P470" s="62">
        <f t="shared" si="349"/>
        <v>0.17037037037037028</v>
      </c>
      <c r="Q470" s="62">
        <f t="shared" si="349"/>
        <v>0.22151898734177222</v>
      </c>
      <c r="R470" s="62">
        <f t="shared" si="349"/>
        <v>-1</v>
      </c>
      <c r="S470" s="62" t="e">
        <f t="shared" si="349"/>
        <v>#DIV/0!</v>
      </c>
      <c r="T470" s="62" t="e">
        <f t="shared" si="349"/>
        <v>#DIV/0!</v>
      </c>
      <c r="U470" s="62" t="e">
        <f t="shared" si="349"/>
        <v>#DIV/0!</v>
      </c>
      <c r="V470" s="62" t="e">
        <f t="shared" si="349"/>
        <v>#DIV/0!</v>
      </c>
      <c r="W470" s="259"/>
      <c r="X470" s="259"/>
    </row>
    <row r="471" spans="1:26">
      <c r="A471" s="55" t="str">
        <f>Home!$B$1</f>
        <v>Poland</v>
      </c>
      <c r="B471" s="56" t="s">
        <v>94</v>
      </c>
      <c r="C471" s="56" t="s">
        <v>130</v>
      </c>
      <c r="D471" s="56" t="s">
        <v>69</v>
      </c>
      <c r="E471" s="55" t="s">
        <v>419</v>
      </c>
      <c r="F471" s="57" t="s">
        <v>420</v>
      </c>
      <c r="G471" s="57" t="s">
        <v>15</v>
      </c>
      <c r="H471" s="57" t="s">
        <v>16</v>
      </c>
      <c r="I471" s="57"/>
      <c r="J471" s="57" t="s">
        <v>99</v>
      </c>
      <c r="K471" s="58">
        <v>4176.2110000000002</v>
      </c>
      <c r="L471" s="59">
        <f>'Seasonality&amp; Avg.stay'!B152</f>
        <v>498.01581727602348</v>
      </c>
      <c r="M471" s="59">
        <f>'Seasonality&amp; Avg.stay'!C152</f>
        <v>471.40414474799451</v>
      </c>
      <c r="N471" s="59">
        <f>'Seasonality&amp; Avg.stay'!D152</f>
        <v>450</v>
      </c>
      <c r="O471" s="59">
        <f>'Seasonality&amp; Avg.stay'!E152</f>
        <v>485</v>
      </c>
      <c r="P471" s="59">
        <f>'Seasonality&amp; Avg.stay'!F152</f>
        <v>460</v>
      </c>
      <c r="Q471" s="59">
        <f>'Seasonality&amp; Avg.stay'!G152</f>
        <v>500</v>
      </c>
      <c r="R471" s="110">
        <f>Forecasting!R487</f>
        <v>0</v>
      </c>
      <c r="S471" s="110">
        <f>Forecasting!S487</f>
        <v>0</v>
      </c>
      <c r="T471" s="110">
        <f>Forecasting!T487</f>
        <v>0</v>
      </c>
      <c r="U471" s="110">
        <f>Forecasting!U487</f>
        <v>0</v>
      </c>
      <c r="V471" s="110">
        <f>Forecasting!V487</f>
        <v>0</v>
      </c>
      <c r="W471" s="106">
        <f>+(Q471/M471)^(1/4)-1</f>
        <v>1.4831997291598675E-2</v>
      </c>
      <c r="X471" s="106">
        <f>+(V471/Q471)^(1/5)-1</f>
        <v>-1</v>
      </c>
      <c r="Z471" s="12"/>
    </row>
    <row r="472" spans="1:26">
      <c r="A472" s="57"/>
      <c r="B472" s="57"/>
      <c r="C472" s="61" t="s">
        <v>892</v>
      </c>
      <c r="D472" s="61"/>
      <c r="E472" s="61"/>
      <c r="F472" s="61"/>
      <c r="G472" s="61"/>
      <c r="H472" s="61"/>
      <c r="I472" s="61"/>
      <c r="J472" s="61" t="s">
        <v>58</v>
      </c>
      <c r="K472" s="58"/>
      <c r="L472" s="59"/>
      <c r="M472" s="62">
        <f t="shared" ref="M472:V472" si="350">M471/L471-1</f>
        <v>-5.3435396236179322E-2</v>
      </c>
      <c r="N472" s="62">
        <f t="shared" si="350"/>
        <v>-4.5405083910403099E-2</v>
      </c>
      <c r="O472" s="62">
        <f t="shared" si="350"/>
        <v>7.7777777777777724E-2</v>
      </c>
      <c r="P472" s="62">
        <f t="shared" si="350"/>
        <v>-5.1546391752577359E-2</v>
      </c>
      <c r="Q472" s="62">
        <f t="shared" si="350"/>
        <v>8.6956521739130377E-2</v>
      </c>
      <c r="R472" s="62">
        <f t="shared" si="350"/>
        <v>-1</v>
      </c>
      <c r="S472" s="62" t="e">
        <f t="shared" si="350"/>
        <v>#DIV/0!</v>
      </c>
      <c r="T472" s="62" t="e">
        <f t="shared" si="350"/>
        <v>#DIV/0!</v>
      </c>
      <c r="U472" s="62" t="e">
        <f t="shared" si="350"/>
        <v>#DIV/0!</v>
      </c>
      <c r="V472" s="62" t="e">
        <f t="shared" si="350"/>
        <v>#DIV/0!</v>
      </c>
      <c r="W472" s="259"/>
      <c r="X472" s="259"/>
    </row>
    <row r="473" spans="1:26">
      <c r="A473" s="55" t="str">
        <f>Home!$B$1</f>
        <v>Poland</v>
      </c>
      <c r="B473" s="84" t="s">
        <v>94</v>
      </c>
      <c r="C473" s="84" t="s">
        <v>130</v>
      </c>
      <c r="D473" s="84" t="s">
        <v>69</v>
      </c>
      <c r="E473" s="97" t="s">
        <v>879</v>
      </c>
      <c r="F473" s="84" t="s">
        <v>882</v>
      </c>
      <c r="G473" s="57"/>
      <c r="H473" s="57"/>
      <c r="I473" s="57"/>
      <c r="J473" s="57" t="s">
        <v>99</v>
      </c>
      <c r="K473" s="58"/>
      <c r="L473" s="362">
        <f>'Seasonality&amp; Avg.stay'!B177-SUM('Secondary cum Calculation'!L389,'Secondary cum Calculation'!L391,'Secondary cum Calculation'!L405,'Secondary cum Calculation'!L413,'Secondary cum Calculation'!L417,'Secondary cum Calculation'!L421,'Secondary cum Calculation'!L427,'Secondary cum Calculation'!L429,'Secondary cum Calculation'!L431,'Secondary cum Calculation'!L439,'Secondary cum Calculation'!L451,'Secondary cum Calculation'!L455,'Secondary cum Calculation'!L461,'Secondary cum Calculation'!L469,'Secondary cum Calculation'!L471)</f>
        <v>1017.8430927845529</v>
      </c>
      <c r="M473" s="362">
        <f>'Seasonality&amp; Avg.stay'!C177-SUM('Secondary cum Calculation'!M389,'Secondary cum Calculation'!M391,'Secondary cum Calculation'!M405,'Secondary cum Calculation'!M413,'Secondary cum Calculation'!M417,'Secondary cum Calculation'!M421,'Secondary cum Calculation'!M427,'Secondary cum Calculation'!M429,'Secondary cum Calculation'!M431,'Secondary cum Calculation'!M439,'Secondary cum Calculation'!M451,'Secondary cum Calculation'!M455,'Secondary cum Calculation'!M461,'Secondary cum Calculation'!M469,'Secondary cum Calculation'!M471)</f>
        <v>896.83277536928836</v>
      </c>
      <c r="N473" s="362">
        <f>'Seasonality&amp; Avg.stay'!D177-SUM('Secondary cum Calculation'!N389,'Secondary cum Calculation'!N391,'Secondary cum Calculation'!N405,'Secondary cum Calculation'!N413,'Secondary cum Calculation'!N417,'Secondary cum Calculation'!N421,'Secondary cum Calculation'!N427,'Secondary cum Calculation'!N429,'Secondary cum Calculation'!N431,'Secondary cum Calculation'!N439,'Secondary cum Calculation'!N451,'Secondary cum Calculation'!N455,'Secondary cum Calculation'!N461,'Secondary cum Calculation'!N469,'Secondary cum Calculation'!N471)</f>
        <v>830</v>
      </c>
      <c r="O473" s="362">
        <f>'Seasonality&amp; Avg.stay'!E177-SUM('Secondary cum Calculation'!O389,'Secondary cum Calculation'!O391,'Secondary cum Calculation'!O405,'Secondary cum Calculation'!O413,'Secondary cum Calculation'!O417,'Secondary cum Calculation'!O421,'Secondary cum Calculation'!O427,'Secondary cum Calculation'!O429,'Secondary cum Calculation'!O431,'Secondary cum Calculation'!O439,'Secondary cum Calculation'!O451,'Secondary cum Calculation'!O455,'Secondary cum Calculation'!O461,'Secondary cum Calculation'!O469,'Secondary cum Calculation'!O471)</f>
        <v>855</v>
      </c>
      <c r="P473" s="362">
        <f>'Seasonality&amp; Avg.stay'!F177-SUM('Secondary cum Calculation'!P389,'Secondary cum Calculation'!P391,'Secondary cum Calculation'!P405,'Secondary cum Calculation'!P413,'Secondary cum Calculation'!P417,'Secondary cum Calculation'!P421,'Secondary cum Calculation'!P427,'Secondary cum Calculation'!P429,'Secondary cum Calculation'!P431,'Secondary cum Calculation'!P439,'Secondary cum Calculation'!P451,'Secondary cum Calculation'!P455,'Secondary cum Calculation'!P461,'Secondary cum Calculation'!P469,'Secondary cum Calculation'!P471)</f>
        <v>945</v>
      </c>
      <c r="Q473" s="362">
        <f>'Seasonality&amp; Avg.stay'!G177-SUM('Secondary cum Calculation'!Q389,'Secondary cum Calculation'!Q391,'Secondary cum Calculation'!Q405,'Secondary cum Calculation'!Q413,'Secondary cum Calculation'!Q417,'Secondary cum Calculation'!Q421,'Secondary cum Calculation'!Q427,'Secondary cum Calculation'!Q429,'Secondary cum Calculation'!Q431,'Secondary cum Calculation'!Q439,'Secondary cum Calculation'!Q451,'Secondary cum Calculation'!Q455,'Secondary cum Calculation'!Q461,'Secondary cum Calculation'!Q469,'Secondary cum Calculation'!Q471)</f>
        <v>1000</v>
      </c>
      <c r="R473" s="266">
        <f>Forecasting!R489</f>
        <v>0</v>
      </c>
      <c r="S473" s="266">
        <f>Forecasting!S489</f>
        <v>0</v>
      </c>
      <c r="T473" s="266">
        <f>Forecasting!T489</f>
        <v>0</v>
      </c>
      <c r="U473" s="266">
        <f>Forecasting!U489</f>
        <v>0</v>
      </c>
      <c r="V473" s="266">
        <f>Forecasting!V489</f>
        <v>0</v>
      </c>
      <c r="W473" s="106">
        <f>+(Q473/M473)^(1/4)-1</f>
        <v>2.7595354193829413E-2</v>
      </c>
      <c r="X473" s="106">
        <f>+(V473/Q473)^(1/5)-1</f>
        <v>-1</v>
      </c>
      <c r="Z473" s="12"/>
    </row>
    <row r="474" spans="1:26">
      <c r="A474" s="57"/>
      <c r="B474" s="57"/>
      <c r="C474" s="61" t="s">
        <v>892</v>
      </c>
      <c r="D474" s="61"/>
      <c r="E474" s="61"/>
      <c r="F474" s="61"/>
      <c r="G474" s="61"/>
      <c r="H474" s="61"/>
      <c r="I474" s="61"/>
      <c r="J474" s="61" t="s">
        <v>58</v>
      </c>
      <c r="K474" s="58"/>
      <c r="L474" s="59"/>
      <c r="M474" s="62">
        <f t="shared" ref="M474:V474" si="351">M473/L473-1</f>
        <v>-0.11888897048386105</v>
      </c>
      <c r="N474" s="62">
        <f t="shared" si="351"/>
        <v>-7.4520888625829507E-2</v>
      </c>
      <c r="O474" s="62">
        <f t="shared" si="351"/>
        <v>3.0120481927710774E-2</v>
      </c>
      <c r="P474" s="62">
        <f t="shared" si="351"/>
        <v>0.10526315789473695</v>
      </c>
      <c r="Q474" s="62">
        <f t="shared" si="351"/>
        <v>5.8201058201058142E-2</v>
      </c>
      <c r="R474" s="62">
        <f t="shared" si="351"/>
        <v>-1</v>
      </c>
      <c r="S474" s="62" t="e">
        <f t="shared" si="351"/>
        <v>#DIV/0!</v>
      </c>
      <c r="T474" s="62" t="e">
        <f t="shared" si="351"/>
        <v>#DIV/0!</v>
      </c>
      <c r="U474" s="62" t="e">
        <f t="shared" si="351"/>
        <v>#DIV/0!</v>
      </c>
      <c r="V474" s="62" t="e">
        <f t="shared" si="351"/>
        <v>#DIV/0!</v>
      </c>
      <c r="W474" s="259"/>
      <c r="X474" s="259"/>
    </row>
    <row r="475" spans="1:26">
      <c r="A475" s="55" t="str">
        <f>Home!$B$1</f>
        <v>Poland</v>
      </c>
      <c r="B475" s="56" t="s">
        <v>94</v>
      </c>
      <c r="C475" s="56" t="s">
        <v>130</v>
      </c>
      <c r="D475" s="55" t="s">
        <v>70</v>
      </c>
      <c r="E475" s="57"/>
      <c r="F475" s="57" t="s">
        <v>421</v>
      </c>
      <c r="G475" s="57" t="s">
        <v>15</v>
      </c>
      <c r="H475" s="57" t="s">
        <v>16</v>
      </c>
      <c r="I475" s="57"/>
      <c r="J475" s="57" t="s">
        <v>99</v>
      </c>
      <c r="K475" s="86">
        <f>SUM(K476:K489)</f>
        <v>283.88900000000001</v>
      </c>
      <c r="L475" s="267">
        <f>SUM(L477,L479,L481,L483,L485,L487,L489,L491,L493,L495,L497,L499,L501,L503,L505)</f>
        <v>134.62580622548694</v>
      </c>
      <c r="M475" s="267">
        <f t="shared" ref="M475:Q475" si="352">SUM(M477,M479,M481,M483,M485,M487,M489,M491,M493,M495,M497,M499,M501,M503,M505)</f>
        <v>113.00152602826763</v>
      </c>
      <c r="N475" s="267">
        <f t="shared" si="352"/>
        <v>103.3937052330171</v>
      </c>
      <c r="O475" s="267">
        <f t="shared" si="352"/>
        <v>119.90965126419432</v>
      </c>
      <c r="P475" s="267">
        <f t="shared" si="352"/>
        <v>119.40595989696668</v>
      </c>
      <c r="Q475" s="267">
        <f t="shared" si="352"/>
        <v>141.49119239388128</v>
      </c>
      <c r="R475" s="110">
        <f>Forecasting!R491</f>
        <v>148.59480386411897</v>
      </c>
      <c r="S475" s="110">
        <f>Forecasting!S491</f>
        <v>156.48883207213089</v>
      </c>
      <c r="T475" s="110">
        <f>Forecasting!T491</f>
        <v>163.49592930046356</v>
      </c>
      <c r="U475" s="110">
        <f>Forecasting!U491</f>
        <v>172.7034364516976</v>
      </c>
      <c r="V475" s="110">
        <f>Forecasting!V491</f>
        <v>183.18555875981355</v>
      </c>
      <c r="W475" s="106">
        <f>+(Q475/M475)^(1/4)-1</f>
        <v>5.7818783702454635E-2</v>
      </c>
      <c r="X475" s="106">
        <f>+(V475/Q475)^(1/5)-1</f>
        <v>5.3009684498946052E-2</v>
      </c>
    </row>
    <row r="476" spans="1:26">
      <c r="A476" s="57"/>
      <c r="B476" s="57"/>
      <c r="C476" s="61" t="s">
        <v>892</v>
      </c>
      <c r="D476" s="61"/>
      <c r="E476" s="61"/>
      <c r="F476" s="61"/>
      <c r="G476" s="61"/>
      <c r="H476" s="61"/>
      <c r="I476" s="61"/>
      <c r="J476" s="61" t="s">
        <v>58</v>
      </c>
      <c r="K476" s="58"/>
      <c r="L476" s="59"/>
      <c r="M476" s="62">
        <f t="shared" ref="M476" si="353">M475/L475-1</f>
        <v>-0.1606250748166399</v>
      </c>
      <c r="N476" s="62">
        <f t="shared" ref="N476:V476" si="354">N475/M475-1</f>
        <v>-8.5023814570850176E-2</v>
      </c>
      <c r="O476" s="62">
        <f t="shared" si="354"/>
        <v>0.15973840954780982</v>
      </c>
      <c r="P476" s="62">
        <f t="shared" si="354"/>
        <v>-4.2005907107333096E-3</v>
      </c>
      <c r="Q476" s="62">
        <f t="shared" si="354"/>
        <v>0.18495921406244342</v>
      </c>
      <c r="R476" s="62">
        <f t="shared" si="354"/>
        <v>5.0205326211844703E-2</v>
      </c>
      <c r="S476" s="62">
        <f t="shared" si="354"/>
        <v>5.3124523891363795E-2</v>
      </c>
      <c r="T476" s="62">
        <f t="shared" si="354"/>
        <v>4.4776979516997439E-2</v>
      </c>
      <c r="U476" s="62">
        <f t="shared" si="354"/>
        <v>5.6316430571876852E-2</v>
      </c>
      <c r="V476" s="62">
        <f t="shared" si="354"/>
        <v>6.0694347046462038E-2</v>
      </c>
      <c r="W476" s="259"/>
      <c r="X476" s="259"/>
    </row>
    <row r="477" spans="1:26">
      <c r="A477" s="55" t="str">
        <f>Home!$B$1</f>
        <v>Poland</v>
      </c>
      <c r="B477" s="56" t="s">
        <v>94</v>
      </c>
      <c r="C477" s="56" t="s">
        <v>130</v>
      </c>
      <c r="D477" s="56" t="s">
        <v>70</v>
      </c>
      <c r="E477" s="55" t="s">
        <v>422</v>
      </c>
      <c r="F477" s="57" t="s">
        <v>423</v>
      </c>
      <c r="G477" s="57" t="s">
        <v>15</v>
      </c>
      <c r="H477" s="57" t="s">
        <v>16</v>
      </c>
      <c r="I477" s="57"/>
      <c r="J477" s="57" t="s">
        <v>99</v>
      </c>
      <c r="K477" s="58"/>
      <c r="L477" s="80"/>
      <c r="M477" s="80"/>
      <c r="N477" s="80"/>
      <c r="O477" s="80"/>
      <c r="P477" s="80"/>
      <c r="Q477" s="80"/>
      <c r="R477" s="110">
        <f>Forecasting!R503</f>
        <v>0</v>
      </c>
      <c r="S477" s="110">
        <f>Forecasting!S503</f>
        <v>0</v>
      </c>
      <c r="T477" s="110">
        <f>Forecasting!T503</f>
        <v>0</v>
      </c>
      <c r="U477" s="110">
        <f>Forecasting!U503</f>
        <v>0</v>
      </c>
      <c r="V477" s="110">
        <f>Forecasting!V503</f>
        <v>0</v>
      </c>
      <c r="W477" s="106" t="e">
        <f>+(Q477/M477)^(1/4)-1</f>
        <v>#DIV/0!</v>
      </c>
      <c r="X477" s="106" t="e">
        <f>+(V477/Q477)^(1/5)-1</f>
        <v>#DIV/0!</v>
      </c>
    </row>
    <row r="478" spans="1:26">
      <c r="A478" s="57"/>
      <c r="B478" s="57"/>
      <c r="C478" s="61" t="s">
        <v>892</v>
      </c>
      <c r="D478" s="61"/>
      <c r="E478" s="61"/>
      <c r="F478" s="61"/>
      <c r="G478" s="61"/>
      <c r="H478" s="61"/>
      <c r="I478" s="61"/>
      <c r="J478" s="61" t="s">
        <v>58</v>
      </c>
      <c r="K478" s="58"/>
      <c r="L478" s="59"/>
      <c r="M478" s="62" t="e">
        <v>#DIV/0!</v>
      </c>
      <c r="N478" s="62" t="e">
        <f t="shared" ref="N478:V478" si="355">N477/M477-1</f>
        <v>#DIV/0!</v>
      </c>
      <c r="O478" s="62" t="e">
        <f t="shared" si="355"/>
        <v>#DIV/0!</v>
      </c>
      <c r="P478" s="62" t="e">
        <f t="shared" si="355"/>
        <v>#DIV/0!</v>
      </c>
      <c r="Q478" s="62" t="e">
        <f t="shared" si="355"/>
        <v>#DIV/0!</v>
      </c>
      <c r="R478" s="62" t="e">
        <f t="shared" si="355"/>
        <v>#DIV/0!</v>
      </c>
      <c r="S478" s="62" t="e">
        <f t="shared" si="355"/>
        <v>#DIV/0!</v>
      </c>
      <c r="T478" s="62" t="e">
        <f t="shared" si="355"/>
        <v>#DIV/0!</v>
      </c>
      <c r="U478" s="62" t="e">
        <f t="shared" si="355"/>
        <v>#DIV/0!</v>
      </c>
      <c r="V478" s="62" t="e">
        <f t="shared" si="355"/>
        <v>#DIV/0!</v>
      </c>
      <c r="W478" s="259"/>
      <c r="X478" s="259"/>
    </row>
    <row r="479" spans="1:26">
      <c r="A479" s="55" t="str">
        <f>Home!$B$1</f>
        <v>Poland</v>
      </c>
      <c r="B479" s="56" t="s">
        <v>94</v>
      </c>
      <c r="C479" s="56" t="s">
        <v>130</v>
      </c>
      <c r="D479" s="56" t="s">
        <v>70</v>
      </c>
      <c r="E479" s="55" t="s">
        <v>424</v>
      </c>
      <c r="F479" s="57" t="s">
        <v>425</v>
      </c>
      <c r="G479" s="57" t="s">
        <v>15</v>
      </c>
      <c r="H479" s="57" t="s">
        <v>16</v>
      </c>
      <c r="I479" s="57"/>
      <c r="J479" s="57" t="s">
        <v>99</v>
      </c>
      <c r="K479" s="58"/>
      <c r="L479" s="80"/>
      <c r="M479" s="80"/>
      <c r="N479" s="80"/>
      <c r="O479" s="80"/>
      <c r="P479" s="80"/>
      <c r="Q479" s="80"/>
      <c r="R479" s="110">
        <f>Forecasting!R505</f>
        <v>0</v>
      </c>
      <c r="S479" s="110">
        <f>Forecasting!S505</f>
        <v>0</v>
      </c>
      <c r="T479" s="110">
        <f>Forecasting!T505</f>
        <v>0</v>
      </c>
      <c r="U479" s="110">
        <f>Forecasting!U505</f>
        <v>0</v>
      </c>
      <c r="V479" s="110">
        <f>Forecasting!V505</f>
        <v>0</v>
      </c>
      <c r="W479" s="106" t="e">
        <f>+(Q479/M479)^(1/4)-1</f>
        <v>#DIV/0!</v>
      </c>
      <c r="X479" s="106" t="e">
        <f>+(V479/Q479)^(1/5)-1</f>
        <v>#DIV/0!</v>
      </c>
    </row>
    <row r="480" spans="1:26">
      <c r="A480" s="57"/>
      <c r="B480" s="57"/>
      <c r="C480" s="61" t="s">
        <v>892</v>
      </c>
      <c r="D480" s="61"/>
      <c r="E480" s="61"/>
      <c r="F480" s="61"/>
      <c r="G480" s="61"/>
      <c r="H480" s="61"/>
      <c r="I480" s="61"/>
      <c r="J480" s="61" t="s">
        <v>58</v>
      </c>
      <c r="K480" s="58"/>
      <c r="L480" s="59"/>
      <c r="M480" s="62" t="e">
        <v>#DIV/0!</v>
      </c>
      <c r="N480" s="62" t="e">
        <f t="shared" ref="N480:V480" si="356">N479/M479-1</f>
        <v>#DIV/0!</v>
      </c>
      <c r="O480" s="62" t="e">
        <f t="shared" si="356"/>
        <v>#DIV/0!</v>
      </c>
      <c r="P480" s="62" t="e">
        <f t="shared" si="356"/>
        <v>#DIV/0!</v>
      </c>
      <c r="Q480" s="62" t="e">
        <f t="shared" si="356"/>
        <v>#DIV/0!</v>
      </c>
      <c r="R480" s="62" t="e">
        <f t="shared" si="356"/>
        <v>#DIV/0!</v>
      </c>
      <c r="S480" s="62" t="e">
        <f t="shared" si="356"/>
        <v>#DIV/0!</v>
      </c>
      <c r="T480" s="62" t="e">
        <f t="shared" si="356"/>
        <v>#DIV/0!</v>
      </c>
      <c r="U480" s="62" t="e">
        <f t="shared" si="356"/>
        <v>#DIV/0!</v>
      </c>
      <c r="V480" s="62" t="e">
        <f t="shared" si="356"/>
        <v>#DIV/0!</v>
      </c>
      <c r="W480" s="259"/>
      <c r="X480" s="259"/>
    </row>
    <row r="481" spans="1:26">
      <c r="A481" s="55" t="str">
        <f>Home!$B$1</f>
        <v>Poland</v>
      </c>
      <c r="B481" s="56" t="s">
        <v>94</v>
      </c>
      <c r="C481" s="56" t="s">
        <v>130</v>
      </c>
      <c r="D481" s="56" t="s">
        <v>70</v>
      </c>
      <c r="E481" s="55" t="s">
        <v>426</v>
      </c>
      <c r="F481" s="57" t="s">
        <v>427</v>
      </c>
      <c r="G481" s="57" t="s">
        <v>15</v>
      </c>
      <c r="H481" s="57" t="s">
        <v>16</v>
      </c>
      <c r="I481" s="57"/>
      <c r="J481" s="57" t="s">
        <v>99</v>
      </c>
      <c r="K481" s="58"/>
      <c r="L481" s="80"/>
      <c r="M481" s="80"/>
      <c r="N481" s="80"/>
      <c r="O481" s="80"/>
      <c r="P481" s="80"/>
      <c r="Q481" s="80"/>
      <c r="R481" s="110">
        <f>Forecasting!R507</f>
        <v>0</v>
      </c>
      <c r="S481" s="110">
        <f>Forecasting!S507</f>
        <v>0</v>
      </c>
      <c r="T481" s="110">
        <f>Forecasting!T507</f>
        <v>0</v>
      </c>
      <c r="U481" s="110">
        <f>Forecasting!U507</f>
        <v>0</v>
      </c>
      <c r="V481" s="110">
        <f>Forecasting!V507</f>
        <v>0</v>
      </c>
      <c r="W481" s="106" t="e">
        <f>+(Q481/M481)^(1/4)-1</f>
        <v>#DIV/0!</v>
      </c>
      <c r="X481" s="106" t="e">
        <f>+(V481/Q481)^(1/5)-1</f>
        <v>#DIV/0!</v>
      </c>
    </row>
    <row r="482" spans="1:26">
      <c r="A482" s="57"/>
      <c r="B482" s="57"/>
      <c r="C482" s="61" t="s">
        <v>892</v>
      </c>
      <c r="D482" s="61"/>
      <c r="E482" s="61"/>
      <c r="F482" s="61"/>
      <c r="G482" s="61"/>
      <c r="H482" s="61"/>
      <c r="I482" s="61"/>
      <c r="J482" s="61" t="s">
        <v>58</v>
      </c>
      <c r="K482" s="58"/>
      <c r="L482" s="59"/>
      <c r="M482" s="62" t="e">
        <v>#DIV/0!</v>
      </c>
      <c r="N482" s="62" t="e">
        <f t="shared" ref="N482:V482" si="357">N481/M481-1</f>
        <v>#DIV/0!</v>
      </c>
      <c r="O482" s="62" t="e">
        <f t="shared" si="357"/>
        <v>#DIV/0!</v>
      </c>
      <c r="P482" s="62" t="e">
        <f t="shared" si="357"/>
        <v>#DIV/0!</v>
      </c>
      <c r="Q482" s="62" t="e">
        <f t="shared" si="357"/>
        <v>#DIV/0!</v>
      </c>
      <c r="R482" s="62" t="e">
        <f t="shared" si="357"/>
        <v>#DIV/0!</v>
      </c>
      <c r="S482" s="62" t="e">
        <f t="shared" si="357"/>
        <v>#DIV/0!</v>
      </c>
      <c r="T482" s="62" t="e">
        <f t="shared" si="357"/>
        <v>#DIV/0!</v>
      </c>
      <c r="U482" s="62" t="e">
        <f t="shared" si="357"/>
        <v>#DIV/0!</v>
      </c>
      <c r="V482" s="62" t="e">
        <f t="shared" si="357"/>
        <v>#DIV/0!</v>
      </c>
      <c r="W482" s="259"/>
      <c r="X482" s="259"/>
    </row>
    <row r="483" spans="1:26">
      <c r="A483" s="55" t="str">
        <f>Home!$B$1</f>
        <v>Poland</v>
      </c>
      <c r="B483" s="56" t="s">
        <v>94</v>
      </c>
      <c r="C483" s="56" t="s">
        <v>130</v>
      </c>
      <c r="D483" s="56" t="s">
        <v>70</v>
      </c>
      <c r="E483" s="55" t="s">
        <v>428</v>
      </c>
      <c r="F483" s="57" t="s">
        <v>429</v>
      </c>
      <c r="G483" s="57" t="s">
        <v>15</v>
      </c>
      <c r="H483" s="57" t="s">
        <v>16</v>
      </c>
      <c r="I483" s="57"/>
      <c r="J483" s="57" t="s">
        <v>99</v>
      </c>
      <c r="K483" s="58">
        <v>283.88900000000001</v>
      </c>
      <c r="L483" s="80"/>
      <c r="M483" s="80"/>
      <c r="N483" s="80"/>
      <c r="O483" s="80"/>
      <c r="P483" s="80"/>
      <c r="Q483" s="80"/>
      <c r="R483" s="110">
        <f>Forecasting!R509</f>
        <v>0</v>
      </c>
      <c r="S483" s="110">
        <f>Forecasting!S509</f>
        <v>0</v>
      </c>
      <c r="T483" s="110">
        <f>Forecasting!T509</f>
        <v>0</v>
      </c>
      <c r="U483" s="110">
        <f>Forecasting!U509</f>
        <v>0</v>
      </c>
      <c r="V483" s="110">
        <f>Forecasting!V509</f>
        <v>0</v>
      </c>
      <c r="W483" s="106" t="e">
        <f>+(Q483/M483)^(1/4)-1</f>
        <v>#DIV/0!</v>
      </c>
      <c r="X483" s="106" t="e">
        <f>+(V483/Q483)^(1/5)-1</f>
        <v>#DIV/0!</v>
      </c>
      <c r="Z483" s="12"/>
    </row>
    <row r="484" spans="1:26">
      <c r="A484" s="57"/>
      <c r="B484" s="57"/>
      <c r="C484" s="61" t="s">
        <v>892</v>
      </c>
      <c r="D484" s="61"/>
      <c r="E484" s="61"/>
      <c r="F484" s="61"/>
      <c r="G484" s="61"/>
      <c r="H484" s="61"/>
      <c r="I484" s="61"/>
      <c r="J484" s="61" t="s">
        <v>58</v>
      </c>
      <c r="K484" s="58"/>
      <c r="L484" s="59"/>
      <c r="M484" s="62" t="e">
        <f t="shared" ref="M484" si="358">M483/L483-1</f>
        <v>#DIV/0!</v>
      </c>
      <c r="N484" s="62" t="e">
        <f t="shared" ref="N484:V484" si="359">N483/M483-1</f>
        <v>#DIV/0!</v>
      </c>
      <c r="O484" s="62" t="e">
        <f t="shared" si="359"/>
        <v>#DIV/0!</v>
      </c>
      <c r="P484" s="62" t="e">
        <f t="shared" si="359"/>
        <v>#DIV/0!</v>
      </c>
      <c r="Q484" s="62" t="e">
        <f t="shared" si="359"/>
        <v>#DIV/0!</v>
      </c>
      <c r="R484" s="62" t="e">
        <f t="shared" si="359"/>
        <v>#DIV/0!</v>
      </c>
      <c r="S484" s="62" t="e">
        <f t="shared" si="359"/>
        <v>#DIV/0!</v>
      </c>
      <c r="T484" s="62" t="e">
        <f t="shared" si="359"/>
        <v>#DIV/0!</v>
      </c>
      <c r="U484" s="62" t="e">
        <f t="shared" si="359"/>
        <v>#DIV/0!</v>
      </c>
      <c r="V484" s="62" t="e">
        <f t="shared" si="359"/>
        <v>#DIV/0!</v>
      </c>
      <c r="W484" s="259"/>
      <c r="X484" s="259"/>
    </row>
    <row r="485" spans="1:26">
      <c r="A485" s="55" t="str">
        <f>Home!$B$1</f>
        <v>Poland</v>
      </c>
      <c r="B485" s="56" t="s">
        <v>94</v>
      </c>
      <c r="C485" s="56" t="s">
        <v>130</v>
      </c>
      <c r="D485" s="56" t="s">
        <v>70</v>
      </c>
      <c r="E485" s="55" t="s">
        <v>430</v>
      </c>
      <c r="F485" s="57" t="s">
        <v>431</v>
      </c>
      <c r="G485" s="57" t="s">
        <v>15</v>
      </c>
      <c r="H485" s="57" t="s">
        <v>16</v>
      </c>
      <c r="I485" s="57"/>
      <c r="J485" s="57" t="s">
        <v>99</v>
      </c>
      <c r="K485" s="58"/>
      <c r="L485" s="80"/>
      <c r="M485" s="80"/>
      <c r="N485" s="80"/>
      <c r="O485" s="80"/>
      <c r="P485" s="80"/>
      <c r="Q485" s="80"/>
      <c r="R485" s="110">
        <f>Forecasting!R511</f>
        <v>0</v>
      </c>
      <c r="S485" s="110">
        <f>Forecasting!S511</f>
        <v>0</v>
      </c>
      <c r="T485" s="110">
        <f>Forecasting!T511</f>
        <v>0</v>
      </c>
      <c r="U485" s="110">
        <f>Forecasting!U511</f>
        <v>0</v>
      </c>
      <c r="V485" s="110">
        <f>Forecasting!V511</f>
        <v>0</v>
      </c>
      <c r="W485" s="106" t="e">
        <f>+(Q485/M485)^(1/4)-1</f>
        <v>#DIV/0!</v>
      </c>
      <c r="X485" s="106" t="e">
        <f>+(V485/Q485)^(1/5)-1</f>
        <v>#DIV/0!</v>
      </c>
    </row>
    <row r="486" spans="1:26">
      <c r="A486" s="57"/>
      <c r="B486" s="57"/>
      <c r="C486" s="61" t="s">
        <v>892</v>
      </c>
      <c r="D486" s="61"/>
      <c r="E486" s="61"/>
      <c r="F486" s="61"/>
      <c r="G486" s="61"/>
      <c r="H486" s="61"/>
      <c r="I486" s="61"/>
      <c r="J486" s="61" t="s">
        <v>58</v>
      </c>
      <c r="K486" s="58"/>
      <c r="L486" s="59"/>
      <c r="M486" s="62" t="e">
        <v>#DIV/0!</v>
      </c>
      <c r="N486" s="62" t="e">
        <f t="shared" ref="N486:V486" si="360">N485/M485-1</f>
        <v>#DIV/0!</v>
      </c>
      <c r="O486" s="62" t="e">
        <f t="shared" si="360"/>
        <v>#DIV/0!</v>
      </c>
      <c r="P486" s="62" t="e">
        <f t="shared" si="360"/>
        <v>#DIV/0!</v>
      </c>
      <c r="Q486" s="62" t="e">
        <f t="shared" si="360"/>
        <v>#DIV/0!</v>
      </c>
      <c r="R486" s="62" t="e">
        <f t="shared" si="360"/>
        <v>#DIV/0!</v>
      </c>
      <c r="S486" s="62" t="e">
        <f t="shared" si="360"/>
        <v>#DIV/0!</v>
      </c>
      <c r="T486" s="62" t="e">
        <f t="shared" si="360"/>
        <v>#DIV/0!</v>
      </c>
      <c r="U486" s="62" t="e">
        <f t="shared" si="360"/>
        <v>#DIV/0!</v>
      </c>
      <c r="V486" s="62" t="e">
        <f t="shared" si="360"/>
        <v>#DIV/0!</v>
      </c>
      <c r="W486" s="259"/>
      <c r="X486" s="259"/>
    </row>
    <row r="487" spans="1:26">
      <c r="A487" s="55" t="str">
        <f>Home!$B$1</f>
        <v>Poland</v>
      </c>
      <c r="B487" s="56" t="s">
        <v>94</v>
      </c>
      <c r="C487" s="56" t="s">
        <v>130</v>
      </c>
      <c r="D487" s="56" t="s">
        <v>70</v>
      </c>
      <c r="E487" s="55" t="s">
        <v>432</v>
      </c>
      <c r="F487" s="57" t="s">
        <v>433</v>
      </c>
      <c r="G487" s="57" t="s">
        <v>15</v>
      </c>
      <c r="H487" s="57" t="s">
        <v>16</v>
      </c>
      <c r="I487" s="57"/>
      <c r="J487" s="57" t="s">
        <v>99</v>
      </c>
      <c r="K487" s="58"/>
      <c r="L487" s="80"/>
      <c r="M487" s="80"/>
      <c r="N487" s="80"/>
      <c r="O487" s="80"/>
      <c r="P487" s="80"/>
      <c r="Q487" s="80"/>
      <c r="R487" s="110">
        <f>Forecasting!R513</f>
        <v>0</v>
      </c>
      <c r="S487" s="110">
        <f>Forecasting!S513</f>
        <v>0</v>
      </c>
      <c r="T487" s="110">
        <f>Forecasting!T513</f>
        <v>0</v>
      </c>
      <c r="U487" s="110">
        <f>Forecasting!U513</f>
        <v>0</v>
      </c>
      <c r="V487" s="110">
        <f>Forecasting!V513</f>
        <v>0</v>
      </c>
      <c r="W487" s="106" t="e">
        <f>+(Q487/M487)^(1/4)-1</f>
        <v>#DIV/0!</v>
      </c>
      <c r="X487" s="106" t="e">
        <f>+(V487/Q487)^(1/5)-1</f>
        <v>#DIV/0!</v>
      </c>
    </row>
    <row r="488" spans="1:26">
      <c r="A488" s="57"/>
      <c r="B488" s="57"/>
      <c r="C488" s="61" t="s">
        <v>892</v>
      </c>
      <c r="D488" s="61"/>
      <c r="E488" s="61"/>
      <c r="F488" s="61"/>
      <c r="G488" s="61"/>
      <c r="H488" s="61"/>
      <c r="I488" s="61"/>
      <c r="J488" s="61" t="s">
        <v>58</v>
      </c>
      <c r="K488" s="58"/>
      <c r="L488" s="59"/>
      <c r="M488" s="62" t="e">
        <v>#DIV/0!</v>
      </c>
      <c r="N488" s="62" t="e">
        <f t="shared" ref="N488:V488" si="361">N487/M487-1</f>
        <v>#DIV/0!</v>
      </c>
      <c r="O488" s="62" t="e">
        <f t="shared" si="361"/>
        <v>#DIV/0!</v>
      </c>
      <c r="P488" s="62" t="e">
        <f t="shared" si="361"/>
        <v>#DIV/0!</v>
      </c>
      <c r="Q488" s="62" t="e">
        <f t="shared" si="361"/>
        <v>#DIV/0!</v>
      </c>
      <c r="R488" s="62" t="e">
        <f t="shared" si="361"/>
        <v>#DIV/0!</v>
      </c>
      <c r="S488" s="62" t="e">
        <f t="shared" si="361"/>
        <v>#DIV/0!</v>
      </c>
      <c r="T488" s="62" t="e">
        <f t="shared" si="361"/>
        <v>#DIV/0!</v>
      </c>
      <c r="U488" s="62" t="e">
        <f t="shared" si="361"/>
        <v>#DIV/0!</v>
      </c>
      <c r="V488" s="62" t="e">
        <f t="shared" si="361"/>
        <v>#DIV/0!</v>
      </c>
      <c r="W488" s="259"/>
      <c r="X488" s="259"/>
    </row>
    <row r="489" spans="1:26">
      <c r="A489" s="55" t="str">
        <f>Home!$B$1</f>
        <v>Poland</v>
      </c>
      <c r="B489" s="56" t="s">
        <v>94</v>
      </c>
      <c r="C489" s="56" t="s">
        <v>130</v>
      </c>
      <c r="D489" s="56" t="s">
        <v>70</v>
      </c>
      <c r="E489" s="55" t="s">
        <v>434</v>
      </c>
      <c r="F489" s="57" t="s">
        <v>435</v>
      </c>
      <c r="G489" s="57" t="s">
        <v>15</v>
      </c>
      <c r="H489" s="57" t="s">
        <v>16</v>
      </c>
      <c r="I489" s="57"/>
      <c r="J489" s="57" t="s">
        <v>99</v>
      </c>
      <c r="K489" s="58"/>
      <c r="L489" s="80"/>
      <c r="M489" s="80"/>
      <c r="N489" s="80"/>
      <c r="O489" s="80"/>
      <c r="P489" s="80"/>
      <c r="Q489" s="80"/>
      <c r="R489" s="110">
        <f>Forecasting!R515</f>
        <v>0</v>
      </c>
      <c r="S489" s="110">
        <f>Forecasting!S515</f>
        <v>0</v>
      </c>
      <c r="T489" s="110">
        <f>Forecasting!T515</f>
        <v>0</v>
      </c>
      <c r="U489" s="110">
        <f>Forecasting!U515</f>
        <v>0</v>
      </c>
      <c r="V489" s="110">
        <f>Forecasting!V515</f>
        <v>0</v>
      </c>
      <c r="W489" s="106" t="e">
        <f>+(Q489/M489)^(1/4)-1</f>
        <v>#DIV/0!</v>
      </c>
      <c r="X489" s="106" t="e">
        <f>+(V489/Q489)^(1/5)-1</f>
        <v>#DIV/0!</v>
      </c>
    </row>
    <row r="490" spans="1:26">
      <c r="A490" s="57"/>
      <c r="B490" s="57"/>
      <c r="C490" s="61" t="s">
        <v>892</v>
      </c>
      <c r="D490" s="61"/>
      <c r="E490" s="61"/>
      <c r="F490" s="61"/>
      <c r="G490" s="61"/>
      <c r="H490" s="61"/>
      <c r="I490" s="61"/>
      <c r="J490" s="61" t="s">
        <v>58</v>
      </c>
      <c r="K490" s="58"/>
      <c r="L490" s="59"/>
      <c r="M490" s="62" t="e">
        <v>#DIV/0!</v>
      </c>
      <c r="N490" s="62" t="e">
        <f t="shared" ref="N490:V490" si="362">N489/M489-1</f>
        <v>#DIV/0!</v>
      </c>
      <c r="O490" s="62" t="e">
        <f t="shared" si="362"/>
        <v>#DIV/0!</v>
      </c>
      <c r="P490" s="62" t="e">
        <f t="shared" si="362"/>
        <v>#DIV/0!</v>
      </c>
      <c r="Q490" s="62" t="e">
        <f t="shared" si="362"/>
        <v>#DIV/0!</v>
      </c>
      <c r="R490" s="62" t="e">
        <f t="shared" si="362"/>
        <v>#DIV/0!</v>
      </c>
      <c r="S490" s="62" t="e">
        <f t="shared" si="362"/>
        <v>#DIV/0!</v>
      </c>
      <c r="T490" s="62" t="e">
        <f t="shared" si="362"/>
        <v>#DIV/0!</v>
      </c>
      <c r="U490" s="62" t="e">
        <f t="shared" si="362"/>
        <v>#DIV/0!</v>
      </c>
      <c r="V490" s="62" t="e">
        <f t="shared" si="362"/>
        <v>#DIV/0!</v>
      </c>
      <c r="W490" s="259"/>
      <c r="X490" s="259"/>
    </row>
    <row r="491" spans="1:26">
      <c r="A491" s="55" t="str">
        <f>Home!$B$1</f>
        <v>Poland</v>
      </c>
      <c r="B491" s="56" t="s">
        <v>94</v>
      </c>
      <c r="C491" s="56" t="s">
        <v>130</v>
      </c>
      <c r="D491" s="56" t="s">
        <v>70</v>
      </c>
      <c r="E491" s="55" t="s">
        <v>436</v>
      </c>
      <c r="F491" s="57" t="s">
        <v>437</v>
      </c>
      <c r="G491" s="57" t="s">
        <v>15</v>
      </c>
      <c r="H491" s="57" t="s">
        <v>16</v>
      </c>
      <c r="I491" s="57"/>
      <c r="J491" s="57" t="s">
        <v>99</v>
      </c>
      <c r="K491" s="58"/>
      <c r="L491" s="80"/>
      <c r="M491" s="80"/>
      <c r="N491" s="80"/>
      <c r="O491" s="80"/>
      <c r="P491" s="80"/>
      <c r="Q491" s="80"/>
      <c r="R491" s="110">
        <f>Forecasting!R517</f>
        <v>0</v>
      </c>
      <c r="S491" s="110">
        <f>Forecasting!S517</f>
        <v>0</v>
      </c>
      <c r="T491" s="110">
        <f>Forecasting!T517</f>
        <v>0</v>
      </c>
      <c r="U491" s="110">
        <f>Forecasting!U517</f>
        <v>0</v>
      </c>
      <c r="V491" s="110">
        <f>Forecasting!V517</f>
        <v>0</v>
      </c>
      <c r="W491" s="106" t="e">
        <f>+(Q491/M491)^(1/4)-1</f>
        <v>#DIV/0!</v>
      </c>
      <c r="X491" s="106" t="e">
        <f>+(V491/Q491)^(1/5)-1</f>
        <v>#DIV/0!</v>
      </c>
    </row>
    <row r="492" spans="1:26">
      <c r="A492" s="57"/>
      <c r="B492" s="57"/>
      <c r="C492" s="61" t="s">
        <v>892</v>
      </c>
      <c r="D492" s="61"/>
      <c r="E492" s="61"/>
      <c r="F492" s="61"/>
      <c r="G492" s="61"/>
      <c r="H492" s="61"/>
      <c r="I492" s="61"/>
      <c r="J492" s="61" t="s">
        <v>58</v>
      </c>
      <c r="K492" s="58"/>
      <c r="L492" s="59"/>
      <c r="M492" s="62" t="e">
        <v>#DIV/0!</v>
      </c>
      <c r="N492" s="62" t="e">
        <f t="shared" ref="N492:V492" si="363">N491/M491-1</f>
        <v>#DIV/0!</v>
      </c>
      <c r="O492" s="62" t="e">
        <f t="shared" si="363"/>
        <v>#DIV/0!</v>
      </c>
      <c r="P492" s="62" t="e">
        <f t="shared" si="363"/>
        <v>#DIV/0!</v>
      </c>
      <c r="Q492" s="62" t="e">
        <f t="shared" si="363"/>
        <v>#DIV/0!</v>
      </c>
      <c r="R492" s="62" t="e">
        <f t="shared" si="363"/>
        <v>#DIV/0!</v>
      </c>
      <c r="S492" s="62" t="e">
        <f t="shared" si="363"/>
        <v>#DIV/0!</v>
      </c>
      <c r="T492" s="62" t="e">
        <f t="shared" si="363"/>
        <v>#DIV/0!</v>
      </c>
      <c r="U492" s="62" t="e">
        <f t="shared" si="363"/>
        <v>#DIV/0!</v>
      </c>
      <c r="V492" s="62" t="e">
        <f t="shared" si="363"/>
        <v>#DIV/0!</v>
      </c>
      <c r="W492" s="259"/>
      <c r="X492" s="259"/>
    </row>
    <row r="493" spans="1:26">
      <c r="A493" s="55" t="str">
        <f>Home!$B$1</f>
        <v>Poland</v>
      </c>
      <c r="B493" s="56" t="s">
        <v>94</v>
      </c>
      <c r="C493" s="56" t="s">
        <v>130</v>
      </c>
      <c r="D493" s="56" t="s">
        <v>70</v>
      </c>
      <c r="E493" s="55" t="s">
        <v>438</v>
      </c>
      <c r="F493" s="57" t="s">
        <v>439</v>
      </c>
      <c r="G493" s="57" t="s">
        <v>15</v>
      </c>
      <c r="H493" s="57" t="s">
        <v>16</v>
      </c>
      <c r="I493" s="57"/>
      <c r="J493" s="57" t="s">
        <v>99</v>
      </c>
      <c r="K493" s="58"/>
      <c r="L493" s="80"/>
      <c r="M493" s="80"/>
      <c r="N493" s="80"/>
      <c r="O493" s="80"/>
      <c r="P493" s="80"/>
      <c r="Q493" s="80"/>
      <c r="R493" s="110">
        <f>Forecasting!R519</f>
        <v>0</v>
      </c>
      <c r="S493" s="110">
        <f>Forecasting!S519</f>
        <v>0</v>
      </c>
      <c r="T493" s="110">
        <f>Forecasting!T519</f>
        <v>0</v>
      </c>
      <c r="U493" s="110">
        <f>Forecasting!U519</f>
        <v>0</v>
      </c>
      <c r="V493" s="110">
        <f>Forecasting!V519</f>
        <v>0</v>
      </c>
      <c r="W493" s="106" t="e">
        <f>+(Q493/M493)^(1/4)-1</f>
        <v>#DIV/0!</v>
      </c>
      <c r="X493" s="106" t="e">
        <f>+(V493/Q493)^(1/5)-1</f>
        <v>#DIV/0!</v>
      </c>
    </row>
    <row r="494" spans="1:26">
      <c r="A494" s="57"/>
      <c r="B494" s="57"/>
      <c r="C494" s="61" t="s">
        <v>892</v>
      </c>
      <c r="D494" s="61"/>
      <c r="E494" s="61"/>
      <c r="F494" s="61"/>
      <c r="G494" s="61"/>
      <c r="H494" s="61"/>
      <c r="I494" s="61"/>
      <c r="J494" s="61" t="s">
        <v>58</v>
      </c>
      <c r="K494" s="58"/>
      <c r="L494" s="59"/>
      <c r="M494" s="62" t="e">
        <v>#DIV/0!</v>
      </c>
      <c r="N494" s="62" t="e">
        <f t="shared" ref="N494:V494" si="364">N493/M493-1</f>
        <v>#DIV/0!</v>
      </c>
      <c r="O494" s="62" t="e">
        <f t="shared" si="364"/>
        <v>#DIV/0!</v>
      </c>
      <c r="P494" s="62" t="e">
        <f t="shared" si="364"/>
        <v>#DIV/0!</v>
      </c>
      <c r="Q494" s="62" t="e">
        <f t="shared" si="364"/>
        <v>#DIV/0!</v>
      </c>
      <c r="R494" s="62" t="e">
        <f t="shared" si="364"/>
        <v>#DIV/0!</v>
      </c>
      <c r="S494" s="62" t="e">
        <f t="shared" si="364"/>
        <v>#DIV/0!</v>
      </c>
      <c r="T494" s="62" t="e">
        <f t="shared" si="364"/>
        <v>#DIV/0!</v>
      </c>
      <c r="U494" s="62" t="e">
        <f t="shared" si="364"/>
        <v>#DIV/0!</v>
      </c>
      <c r="V494" s="62" t="e">
        <f t="shared" si="364"/>
        <v>#DIV/0!</v>
      </c>
      <c r="W494" s="259"/>
      <c r="X494" s="259"/>
    </row>
    <row r="495" spans="1:26">
      <c r="A495" s="55" t="str">
        <f>Home!$B$1</f>
        <v>Poland</v>
      </c>
      <c r="B495" s="56" t="s">
        <v>94</v>
      </c>
      <c r="C495" s="56" t="s">
        <v>130</v>
      </c>
      <c r="D495" s="56" t="s">
        <v>70</v>
      </c>
      <c r="E495" s="55" t="s">
        <v>440</v>
      </c>
      <c r="F495" s="57" t="s">
        <v>441</v>
      </c>
      <c r="G495" s="57" t="s">
        <v>15</v>
      </c>
      <c r="H495" s="57" t="s">
        <v>16</v>
      </c>
      <c r="I495" s="57"/>
      <c r="J495" s="57" t="s">
        <v>99</v>
      </c>
      <c r="K495" s="58"/>
      <c r="L495" s="80"/>
      <c r="M495" s="80"/>
      <c r="N495" s="80"/>
      <c r="O495" s="80"/>
      <c r="P495" s="80"/>
      <c r="Q495" s="80"/>
      <c r="R495" s="110">
        <f>Forecasting!R521</f>
        <v>0</v>
      </c>
      <c r="S495" s="110">
        <f>Forecasting!S521</f>
        <v>0</v>
      </c>
      <c r="T495" s="110">
        <f>Forecasting!T521</f>
        <v>0</v>
      </c>
      <c r="U495" s="110">
        <f>Forecasting!U521</f>
        <v>0</v>
      </c>
      <c r="V495" s="110">
        <f>Forecasting!V521</f>
        <v>0</v>
      </c>
      <c r="W495" s="106" t="e">
        <f>+(Q495/M495)^(1/4)-1</f>
        <v>#DIV/0!</v>
      </c>
      <c r="X495" s="106" t="e">
        <f>+(V495/Q495)^(1/5)-1</f>
        <v>#DIV/0!</v>
      </c>
    </row>
    <row r="496" spans="1:26">
      <c r="A496" s="57"/>
      <c r="B496" s="57"/>
      <c r="C496" s="61" t="s">
        <v>892</v>
      </c>
      <c r="D496" s="61"/>
      <c r="E496" s="61"/>
      <c r="F496" s="61"/>
      <c r="G496" s="61"/>
      <c r="H496" s="61"/>
      <c r="I496" s="61"/>
      <c r="J496" s="61" t="s">
        <v>58</v>
      </c>
      <c r="K496" s="58"/>
      <c r="L496" s="59"/>
      <c r="M496" s="62" t="e">
        <v>#DIV/0!</v>
      </c>
      <c r="N496" s="62" t="e">
        <f t="shared" ref="N496:V496" si="365">N495/M495-1</f>
        <v>#DIV/0!</v>
      </c>
      <c r="O496" s="62" t="e">
        <f t="shared" si="365"/>
        <v>#DIV/0!</v>
      </c>
      <c r="P496" s="62" t="e">
        <f t="shared" si="365"/>
        <v>#DIV/0!</v>
      </c>
      <c r="Q496" s="62" t="e">
        <f t="shared" si="365"/>
        <v>#DIV/0!</v>
      </c>
      <c r="R496" s="62" t="e">
        <f t="shared" si="365"/>
        <v>#DIV/0!</v>
      </c>
      <c r="S496" s="62" t="e">
        <f t="shared" si="365"/>
        <v>#DIV/0!</v>
      </c>
      <c r="T496" s="62" t="e">
        <f t="shared" si="365"/>
        <v>#DIV/0!</v>
      </c>
      <c r="U496" s="62" t="e">
        <f t="shared" si="365"/>
        <v>#DIV/0!</v>
      </c>
      <c r="V496" s="62" t="e">
        <f t="shared" si="365"/>
        <v>#DIV/0!</v>
      </c>
      <c r="W496" s="259"/>
      <c r="X496" s="259"/>
    </row>
    <row r="497" spans="1:27">
      <c r="A497" s="55" t="str">
        <f>Home!$B$1</f>
        <v>Poland</v>
      </c>
      <c r="B497" s="56" t="s">
        <v>94</v>
      </c>
      <c r="C497" s="56" t="s">
        <v>130</v>
      </c>
      <c r="D497" s="56" t="s">
        <v>70</v>
      </c>
      <c r="E497" s="55" t="s">
        <v>442</v>
      </c>
      <c r="F497" s="57" t="s">
        <v>443</v>
      </c>
      <c r="G497" s="57" t="s">
        <v>15</v>
      </c>
      <c r="H497" s="57" t="s">
        <v>16</v>
      </c>
      <c r="I497" s="57"/>
      <c r="J497" s="57" t="s">
        <v>99</v>
      </c>
      <c r="K497" s="58">
        <v>31.510999999999999</v>
      </c>
      <c r="L497" s="80"/>
      <c r="M497" s="80"/>
      <c r="N497" s="80"/>
      <c r="O497" s="80"/>
      <c r="P497" s="80"/>
      <c r="Q497" s="80"/>
      <c r="R497" s="110">
        <f>Forecasting!R523</f>
        <v>0</v>
      </c>
      <c r="S497" s="110">
        <f>Forecasting!S523</f>
        <v>0</v>
      </c>
      <c r="T497" s="110">
        <f>Forecasting!T523</f>
        <v>0</v>
      </c>
      <c r="U497" s="110">
        <f>Forecasting!U523</f>
        <v>0</v>
      </c>
      <c r="V497" s="110">
        <f>Forecasting!V523</f>
        <v>0</v>
      </c>
      <c r="W497" s="106" t="e">
        <f>+(Q497/M497)^(1/4)-1</f>
        <v>#DIV/0!</v>
      </c>
      <c r="X497" s="106" t="e">
        <f>+(V497/Q497)^(1/5)-1</f>
        <v>#DIV/0!</v>
      </c>
      <c r="Z497" s="12"/>
    </row>
    <row r="498" spans="1:27">
      <c r="A498" s="57"/>
      <c r="B498" s="57"/>
      <c r="C498" s="61" t="s">
        <v>892</v>
      </c>
      <c r="D498" s="61"/>
      <c r="E498" s="61"/>
      <c r="F498" s="61"/>
      <c r="G498" s="61"/>
      <c r="H498" s="61"/>
      <c r="I498" s="61"/>
      <c r="J498" s="61" t="s">
        <v>58</v>
      </c>
      <c r="K498" s="58"/>
      <c r="L498" s="59"/>
      <c r="M498" s="62" t="e">
        <v>#DIV/0!</v>
      </c>
      <c r="N498" s="62" t="e">
        <f t="shared" ref="N498:V498" si="366">N497/M497-1</f>
        <v>#DIV/0!</v>
      </c>
      <c r="O498" s="62" t="e">
        <f t="shared" si="366"/>
        <v>#DIV/0!</v>
      </c>
      <c r="P498" s="62" t="e">
        <f t="shared" si="366"/>
        <v>#DIV/0!</v>
      </c>
      <c r="Q498" s="62" t="e">
        <f t="shared" si="366"/>
        <v>#DIV/0!</v>
      </c>
      <c r="R498" s="62" t="e">
        <f t="shared" si="366"/>
        <v>#DIV/0!</v>
      </c>
      <c r="S498" s="62" t="e">
        <f t="shared" si="366"/>
        <v>#DIV/0!</v>
      </c>
      <c r="T498" s="62" t="e">
        <f t="shared" si="366"/>
        <v>#DIV/0!</v>
      </c>
      <c r="U498" s="62" t="e">
        <f t="shared" si="366"/>
        <v>#DIV/0!</v>
      </c>
      <c r="V498" s="62" t="e">
        <f t="shared" si="366"/>
        <v>#DIV/0!</v>
      </c>
      <c r="W498" s="259"/>
      <c r="X498" s="259"/>
    </row>
    <row r="499" spans="1:27">
      <c r="A499" s="55" t="str">
        <f>Home!$B$1</f>
        <v>Poland</v>
      </c>
      <c r="B499" s="56" t="s">
        <v>94</v>
      </c>
      <c r="C499" s="56" t="s">
        <v>130</v>
      </c>
      <c r="D499" s="56" t="s">
        <v>70</v>
      </c>
      <c r="E499" s="55" t="s">
        <v>444</v>
      </c>
      <c r="F499" s="57" t="s">
        <v>445</v>
      </c>
      <c r="G499" s="57" t="s">
        <v>15</v>
      </c>
      <c r="H499" s="57" t="s">
        <v>16</v>
      </c>
      <c r="I499" s="57"/>
      <c r="J499" s="57" t="s">
        <v>99</v>
      </c>
      <c r="K499" s="58"/>
      <c r="L499" s="80"/>
      <c r="M499" s="80"/>
      <c r="N499" s="80"/>
      <c r="O499" s="80"/>
      <c r="P499" s="80"/>
      <c r="Q499" s="80"/>
      <c r="R499" s="110">
        <f>Forecasting!R525</f>
        <v>0</v>
      </c>
      <c r="S499" s="110">
        <f>Forecasting!S525</f>
        <v>0</v>
      </c>
      <c r="T499" s="110">
        <f>Forecasting!T525</f>
        <v>0</v>
      </c>
      <c r="U499" s="110">
        <f>Forecasting!U525</f>
        <v>0</v>
      </c>
      <c r="V499" s="110">
        <f>Forecasting!V525</f>
        <v>0</v>
      </c>
      <c r="W499" s="106" t="e">
        <f>+(Q499/M499)^(1/4)-1</f>
        <v>#DIV/0!</v>
      </c>
      <c r="X499" s="106" t="e">
        <f>+(V499/Q499)^(1/5)-1</f>
        <v>#DIV/0!</v>
      </c>
    </row>
    <row r="500" spans="1:27">
      <c r="A500" s="57"/>
      <c r="B500" s="57"/>
      <c r="C500" s="61" t="s">
        <v>892</v>
      </c>
      <c r="D500" s="61"/>
      <c r="E500" s="61"/>
      <c r="F500" s="61"/>
      <c r="G500" s="61"/>
      <c r="H500" s="61"/>
      <c r="I500" s="61"/>
      <c r="J500" s="61" t="s">
        <v>58</v>
      </c>
      <c r="K500" s="58"/>
      <c r="L500" s="59"/>
      <c r="M500" s="62" t="e">
        <v>#DIV/0!</v>
      </c>
      <c r="N500" s="62" t="e">
        <f t="shared" ref="N500:V500" si="367">N499/M499-1</f>
        <v>#DIV/0!</v>
      </c>
      <c r="O500" s="62" t="e">
        <f t="shared" si="367"/>
        <v>#DIV/0!</v>
      </c>
      <c r="P500" s="62" t="e">
        <f t="shared" si="367"/>
        <v>#DIV/0!</v>
      </c>
      <c r="Q500" s="62" t="e">
        <f t="shared" si="367"/>
        <v>#DIV/0!</v>
      </c>
      <c r="R500" s="62" t="e">
        <f t="shared" si="367"/>
        <v>#DIV/0!</v>
      </c>
      <c r="S500" s="62" t="e">
        <f t="shared" si="367"/>
        <v>#DIV/0!</v>
      </c>
      <c r="T500" s="62" t="e">
        <f t="shared" si="367"/>
        <v>#DIV/0!</v>
      </c>
      <c r="U500" s="62" t="e">
        <f t="shared" si="367"/>
        <v>#DIV/0!</v>
      </c>
      <c r="V500" s="62" t="e">
        <f t="shared" si="367"/>
        <v>#DIV/0!</v>
      </c>
      <c r="W500" s="259"/>
      <c r="X500" s="259"/>
    </row>
    <row r="501" spans="1:27">
      <c r="A501" s="55" t="str">
        <f>Home!$B$1</f>
        <v>Poland</v>
      </c>
      <c r="B501" s="56" t="s">
        <v>94</v>
      </c>
      <c r="C501" s="56" t="s">
        <v>130</v>
      </c>
      <c r="D501" s="56" t="s">
        <v>70</v>
      </c>
      <c r="E501" s="55" t="s">
        <v>446</v>
      </c>
      <c r="F501" s="57" t="s">
        <v>447</v>
      </c>
      <c r="G501" s="57" t="s">
        <v>15</v>
      </c>
      <c r="H501" s="57" t="s">
        <v>16</v>
      </c>
      <c r="I501" s="57"/>
      <c r="J501" s="57" t="s">
        <v>99</v>
      </c>
      <c r="K501" s="58"/>
      <c r="L501" s="80"/>
      <c r="M501" s="80"/>
      <c r="N501" s="80"/>
      <c r="O501" s="80"/>
      <c r="P501" s="80"/>
      <c r="Q501" s="80"/>
      <c r="R501" s="110">
        <f>Forecasting!R527</f>
        <v>0</v>
      </c>
      <c r="S501" s="110">
        <f>Forecasting!S527</f>
        <v>0</v>
      </c>
      <c r="T501" s="110">
        <f>Forecasting!T527</f>
        <v>0</v>
      </c>
      <c r="U501" s="110">
        <f>Forecasting!U527</f>
        <v>0</v>
      </c>
      <c r="V501" s="110">
        <f>Forecasting!V527</f>
        <v>0</v>
      </c>
      <c r="W501" s="106" t="e">
        <f>+(Q501/M501)^(1/4)-1</f>
        <v>#DIV/0!</v>
      </c>
      <c r="X501" s="106" t="e">
        <f>+(V501/Q501)^(1/5)-1</f>
        <v>#DIV/0!</v>
      </c>
    </row>
    <row r="502" spans="1:27">
      <c r="A502" s="57"/>
      <c r="B502" s="57"/>
      <c r="C502" s="61" t="s">
        <v>892</v>
      </c>
      <c r="D502" s="61"/>
      <c r="E502" s="61"/>
      <c r="F502" s="61"/>
      <c r="G502" s="61"/>
      <c r="H502" s="61"/>
      <c r="I502" s="61"/>
      <c r="J502" s="61" t="s">
        <v>58</v>
      </c>
      <c r="K502" s="58"/>
      <c r="L502" s="59"/>
      <c r="M502" s="62" t="e">
        <v>#DIV/0!</v>
      </c>
      <c r="N502" s="62" t="e">
        <f t="shared" ref="N502:V502" si="368">N501/M501-1</f>
        <v>#DIV/0!</v>
      </c>
      <c r="O502" s="62" t="e">
        <f t="shared" si="368"/>
        <v>#DIV/0!</v>
      </c>
      <c r="P502" s="62" t="e">
        <f t="shared" si="368"/>
        <v>#DIV/0!</v>
      </c>
      <c r="Q502" s="62" t="e">
        <f t="shared" si="368"/>
        <v>#DIV/0!</v>
      </c>
      <c r="R502" s="62" t="e">
        <f t="shared" si="368"/>
        <v>#DIV/0!</v>
      </c>
      <c r="S502" s="62" t="e">
        <f t="shared" si="368"/>
        <v>#DIV/0!</v>
      </c>
      <c r="T502" s="62" t="e">
        <f t="shared" si="368"/>
        <v>#DIV/0!</v>
      </c>
      <c r="U502" s="62" t="e">
        <f t="shared" si="368"/>
        <v>#DIV/0!</v>
      </c>
      <c r="V502" s="62" t="e">
        <f t="shared" si="368"/>
        <v>#DIV/0!</v>
      </c>
      <c r="W502" s="259"/>
      <c r="X502" s="259"/>
    </row>
    <row r="503" spans="1:27">
      <c r="A503" s="55" t="str">
        <f>Home!$B$1</f>
        <v>Poland</v>
      </c>
      <c r="B503" s="56" t="s">
        <v>94</v>
      </c>
      <c r="C503" s="56" t="s">
        <v>130</v>
      </c>
      <c r="D503" s="56" t="s">
        <v>70</v>
      </c>
      <c r="E503" s="55" t="s">
        <v>448</v>
      </c>
      <c r="F503" s="57" t="s">
        <v>449</v>
      </c>
      <c r="G503" s="57" t="s">
        <v>15</v>
      </c>
      <c r="H503" s="57" t="s">
        <v>16</v>
      </c>
      <c r="I503" s="57"/>
      <c r="J503" s="57" t="s">
        <v>99</v>
      </c>
      <c r="K503" s="58"/>
      <c r="L503" s="80"/>
      <c r="M503" s="80"/>
      <c r="N503" s="80"/>
      <c r="O503" s="80"/>
      <c r="P503" s="80"/>
      <c r="Q503" s="80"/>
      <c r="R503" s="110">
        <f>Forecasting!R529</f>
        <v>0</v>
      </c>
      <c r="S503" s="110">
        <f>Forecasting!S529</f>
        <v>0</v>
      </c>
      <c r="T503" s="110">
        <f>Forecasting!T529</f>
        <v>0</v>
      </c>
      <c r="U503" s="110">
        <f>Forecasting!U529</f>
        <v>0</v>
      </c>
      <c r="V503" s="110">
        <f>Forecasting!V529</f>
        <v>0</v>
      </c>
      <c r="W503" s="106" t="e">
        <f>+(Q503/M503)^(1/4)-1</f>
        <v>#DIV/0!</v>
      </c>
      <c r="X503" s="106" t="e">
        <f>+(V503/Q503)^(1/5)-1</f>
        <v>#DIV/0!</v>
      </c>
    </row>
    <row r="504" spans="1:27">
      <c r="A504" s="57"/>
      <c r="B504" s="57"/>
      <c r="C504" s="61" t="s">
        <v>892</v>
      </c>
      <c r="D504" s="61"/>
      <c r="E504" s="61"/>
      <c r="F504" s="61"/>
      <c r="G504" s="61"/>
      <c r="H504" s="61"/>
      <c r="I504" s="61"/>
      <c r="J504" s="61" t="s">
        <v>58</v>
      </c>
      <c r="K504" s="58"/>
      <c r="L504" s="59"/>
      <c r="M504" s="62" t="e">
        <v>#DIV/0!</v>
      </c>
      <c r="N504" s="62" t="e">
        <f t="shared" ref="N504:V504" si="369">N503/M503-1</f>
        <v>#DIV/0!</v>
      </c>
      <c r="O504" s="62" t="e">
        <f t="shared" si="369"/>
        <v>#DIV/0!</v>
      </c>
      <c r="P504" s="62" t="e">
        <f t="shared" si="369"/>
        <v>#DIV/0!</v>
      </c>
      <c r="Q504" s="62" t="e">
        <f t="shared" si="369"/>
        <v>#DIV/0!</v>
      </c>
      <c r="R504" s="62" t="e">
        <f t="shared" si="369"/>
        <v>#DIV/0!</v>
      </c>
      <c r="S504" s="62" t="e">
        <f t="shared" si="369"/>
        <v>#DIV/0!</v>
      </c>
      <c r="T504" s="62" t="e">
        <f t="shared" si="369"/>
        <v>#DIV/0!</v>
      </c>
      <c r="U504" s="62" t="e">
        <f t="shared" si="369"/>
        <v>#DIV/0!</v>
      </c>
      <c r="V504" s="62" t="e">
        <f t="shared" si="369"/>
        <v>#DIV/0!</v>
      </c>
      <c r="W504" s="259"/>
      <c r="X504" s="259"/>
    </row>
    <row r="505" spans="1:27">
      <c r="A505" s="55" t="str">
        <f>Home!$B$1</f>
        <v>Poland</v>
      </c>
      <c r="B505" s="84" t="s">
        <v>94</v>
      </c>
      <c r="C505" s="84" t="s">
        <v>130</v>
      </c>
      <c r="D505" s="84" t="s">
        <v>70</v>
      </c>
      <c r="E505" s="97" t="s">
        <v>880</v>
      </c>
      <c r="F505" s="84" t="s">
        <v>882</v>
      </c>
      <c r="G505" s="84"/>
      <c r="H505" s="84"/>
      <c r="I505" s="84"/>
      <c r="J505" s="57" t="s">
        <v>99</v>
      </c>
      <c r="K505" s="98"/>
      <c r="L505" s="361">
        <f>'Seasonality&amp; Avg.stay'!B206</f>
        <v>134.62580622548694</v>
      </c>
      <c r="M505" s="361">
        <f>'Seasonality&amp; Avg.stay'!C206</f>
        <v>113.00152602826763</v>
      </c>
      <c r="N505" s="361">
        <f>'Seasonality&amp; Avg.stay'!D206</f>
        <v>103.3937052330171</v>
      </c>
      <c r="O505" s="361">
        <f>'Seasonality&amp; Avg.stay'!E206</f>
        <v>119.90965126419432</v>
      </c>
      <c r="P505" s="361">
        <f>'Seasonality&amp; Avg.stay'!F206</f>
        <v>119.40595989696668</v>
      </c>
      <c r="Q505" s="361">
        <f>'Seasonality&amp; Avg.stay'!G206</f>
        <v>141.49119239388128</v>
      </c>
      <c r="R505" s="110">
        <f>Forecasting!R531</f>
        <v>0</v>
      </c>
      <c r="S505" s="110">
        <f>Forecasting!S531</f>
        <v>0</v>
      </c>
      <c r="T505" s="110">
        <f>Forecasting!T531</f>
        <v>0</v>
      </c>
      <c r="U505" s="110">
        <f>Forecasting!U531</f>
        <v>0</v>
      </c>
      <c r="V505" s="110">
        <f>Forecasting!V531</f>
        <v>0</v>
      </c>
      <c r="W505" s="106">
        <f>+(Q505/M505)^(1/4)-1</f>
        <v>5.7818783702454635E-2</v>
      </c>
      <c r="X505" s="106">
        <f>+(V505/Q505)^(1/5)-1</f>
        <v>-1</v>
      </c>
      <c r="Y505" s="41"/>
      <c r="Z505" s="41"/>
      <c r="AA505" s="41"/>
    </row>
    <row r="506" spans="1:27">
      <c r="A506" s="57"/>
      <c r="B506" s="57"/>
      <c r="C506" s="61" t="s">
        <v>892</v>
      </c>
      <c r="D506" s="61"/>
      <c r="E506" s="61"/>
      <c r="F506" s="61"/>
      <c r="G506" s="61"/>
      <c r="H506" s="61"/>
      <c r="I506" s="61"/>
      <c r="J506" s="61" t="s">
        <v>58</v>
      </c>
      <c r="K506" s="58"/>
      <c r="L506" s="59"/>
      <c r="M506" s="62">
        <f t="shared" ref="M506" si="370">M505/L505-1</f>
        <v>-0.1606250748166399</v>
      </c>
      <c r="N506" s="62">
        <f t="shared" ref="N506" si="371">N505/M505-1</f>
        <v>-8.5023814570850176E-2</v>
      </c>
      <c r="O506" s="62">
        <f t="shared" ref="O506:V506" si="372">O505/N505-1</f>
        <v>0.15973840954780982</v>
      </c>
      <c r="P506" s="62">
        <f t="shared" si="372"/>
        <v>-4.2005907107333096E-3</v>
      </c>
      <c r="Q506" s="62">
        <f t="shared" si="372"/>
        <v>0.18495921406244342</v>
      </c>
      <c r="R506" s="62">
        <f t="shared" si="372"/>
        <v>-1</v>
      </c>
      <c r="S506" s="62" t="e">
        <f t="shared" si="372"/>
        <v>#DIV/0!</v>
      </c>
      <c r="T506" s="62" t="e">
        <f t="shared" si="372"/>
        <v>#DIV/0!</v>
      </c>
      <c r="U506" s="62" t="e">
        <f t="shared" si="372"/>
        <v>#DIV/0!</v>
      </c>
      <c r="V506" s="62" t="e">
        <f t="shared" si="372"/>
        <v>#DIV/0!</v>
      </c>
      <c r="W506" s="259"/>
      <c r="X506" s="259"/>
    </row>
    <row r="507" spans="1:27">
      <c r="A507" s="55" t="str">
        <f>Home!$B$1</f>
        <v>Poland</v>
      </c>
      <c r="B507" s="56" t="s">
        <v>94</v>
      </c>
      <c r="C507" s="56" t="s">
        <v>130</v>
      </c>
      <c r="D507" s="55" t="s">
        <v>72</v>
      </c>
      <c r="E507" s="57"/>
      <c r="F507" s="57" t="s">
        <v>450</v>
      </c>
      <c r="G507" s="57" t="s">
        <v>15</v>
      </c>
      <c r="H507" s="57" t="s">
        <v>16</v>
      </c>
      <c r="I507" s="57"/>
      <c r="J507" s="57" t="s">
        <v>99</v>
      </c>
      <c r="K507" s="86">
        <f>SUM(K508:K510)</f>
        <v>15992</v>
      </c>
      <c r="L507" s="80">
        <f t="shared" ref="L507:Q507" si="373">SUM(L509,L511,L513)</f>
        <v>346.2128642351725</v>
      </c>
      <c r="M507" s="80">
        <f t="shared" si="373"/>
        <v>299.37164272563712</v>
      </c>
      <c r="N507" s="80">
        <f t="shared" si="373"/>
        <v>262.23558628407193</v>
      </c>
      <c r="O507" s="80">
        <f t="shared" si="373"/>
        <v>296.45312197728828</v>
      </c>
      <c r="P507" s="80">
        <f t="shared" si="373"/>
        <v>304.31440017805778</v>
      </c>
      <c r="Q507" s="80">
        <f t="shared" si="373"/>
        <v>339.37671561471467</v>
      </c>
      <c r="R507" s="110">
        <f>Forecasting!R533</f>
        <v>352.75667966869656</v>
      </c>
      <c r="S507" s="110">
        <f>Forecasting!S533</f>
        <v>368.37296657187579</v>
      </c>
      <c r="T507" s="110">
        <f>Forecasting!T533</f>
        <v>386.43752938715971</v>
      </c>
      <c r="U507" s="110">
        <f>Forecasting!U533</f>
        <v>401.25995750132438</v>
      </c>
      <c r="V507" s="110">
        <f>Forecasting!V533</f>
        <v>417.31188669197456</v>
      </c>
      <c r="W507" s="106">
        <f>+(Q507/M507)^(1/4)-1</f>
        <v>3.1853034014171611E-2</v>
      </c>
      <c r="X507" s="106">
        <f>+(V507/Q507)^(1/5)-1</f>
        <v>4.221121592433108E-2</v>
      </c>
    </row>
    <row r="508" spans="1:27">
      <c r="A508" s="57"/>
      <c r="B508" s="57"/>
      <c r="C508" s="61" t="s">
        <v>892</v>
      </c>
      <c r="D508" s="61"/>
      <c r="E508" s="61"/>
      <c r="F508" s="61"/>
      <c r="G508" s="61"/>
      <c r="H508" s="61"/>
      <c r="I508" s="61"/>
      <c r="J508" s="61" t="s">
        <v>58</v>
      </c>
      <c r="K508" s="58"/>
      <c r="L508" s="59"/>
      <c r="M508" s="62">
        <v>-0.14425427872860641</v>
      </c>
      <c r="N508" s="62">
        <f t="shared" ref="N508:V508" si="374">N507/M507-1</f>
        <v>-0.12404667357087984</v>
      </c>
      <c r="O508" s="62">
        <f t="shared" si="374"/>
        <v>0.13048395215190034</v>
      </c>
      <c r="P508" s="62">
        <f t="shared" si="374"/>
        <v>2.6517778420872107E-2</v>
      </c>
      <c r="Q508" s="62">
        <f t="shared" si="374"/>
        <v>0.11521740481601106</v>
      </c>
      <c r="R508" s="62">
        <f t="shared" si="374"/>
        <v>3.9425109143821802E-2</v>
      </c>
      <c r="S508" s="62">
        <f t="shared" si="374"/>
        <v>4.4269287594626894E-2</v>
      </c>
      <c r="T508" s="62">
        <f t="shared" si="374"/>
        <v>4.9038785292512044E-2</v>
      </c>
      <c r="U508" s="62">
        <f t="shared" si="374"/>
        <v>3.8356595793558546E-2</v>
      </c>
      <c r="V508" s="62">
        <f t="shared" si="374"/>
        <v>4.0003815208990101E-2</v>
      </c>
      <c r="W508" s="259"/>
      <c r="X508" s="259"/>
    </row>
    <row r="509" spans="1:27">
      <c r="A509" s="55" t="str">
        <f>Home!$B$1</f>
        <v>Poland</v>
      </c>
      <c r="B509" s="56" t="s">
        <v>94</v>
      </c>
      <c r="C509" s="56" t="s">
        <v>130</v>
      </c>
      <c r="D509" s="56" t="s">
        <v>72</v>
      </c>
      <c r="E509" s="55" t="s">
        <v>451</v>
      </c>
      <c r="F509" s="57" t="s">
        <v>452</v>
      </c>
      <c r="G509" s="57" t="s">
        <v>15</v>
      </c>
      <c r="H509" s="57" t="s">
        <v>16</v>
      </c>
      <c r="I509" s="57"/>
      <c r="J509" s="57" t="s">
        <v>99</v>
      </c>
      <c r="K509" s="58">
        <v>15992</v>
      </c>
      <c r="L509" s="361">
        <f>'Seasonality&amp; Avg.stay'!B188</f>
        <v>45.896268227840721</v>
      </c>
      <c r="M509" s="361">
        <f>'Seasonality&amp; Avg.stay'!C188</f>
        <v>42.763728471674511</v>
      </c>
      <c r="N509" s="361">
        <f>'Seasonality&amp; Avg.stay'!D188</f>
        <v>35.52062726637439</v>
      </c>
      <c r="O509" s="361">
        <f>'Seasonality&amp; Avg.stay'!E188</f>
        <v>43.126700360656933</v>
      </c>
      <c r="P509" s="361">
        <f>'Seasonality&amp; Avg.stay'!F188</f>
        <v>42.033918533133075</v>
      </c>
      <c r="Q509" s="361">
        <f>'Seasonality&amp; Avg.stay'!G188</f>
        <v>45.14764701687939</v>
      </c>
      <c r="R509" s="110">
        <f>Forecasting!R545</f>
        <v>0</v>
      </c>
      <c r="S509" s="110">
        <f>Forecasting!S545</f>
        <v>0</v>
      </c>
      <c r="T509" s="110">
        <f>Forecasting!T545</f>
        <v>0</v>
      </c>
      <c r="U509" s="110">
        <f>Forecasting!U545</f>
        <v>0</v>
      </c>
      <c r="V509" s="110">
        <f>Forecasting!V545</f>
        <v>0</v>
      </c>
      <c r="W509" s="106">
        <f>+(Q509/M509)^(1/4)-1</f>
        <v>1.3654352193729125E-2</v>
      </c>
      <c r="X509" s="106">
        <f>+(V509/Q509)^(1/5)-1</f>
        <v>-1</v>
      </c>
      <c r="Z509" s="12"/>
    </row>
    <row r="510" spans="1:27">
      <c r="A510" s="57"/>
      <c r="B510" s="57"/>
      <c r="C510" s="61" t="s">
        <v>892</v>
      </c>
      <c r="D510" s="61"/>
      <c r="E510" s="61"/>
      <c r="F510" s="61"/>
      <c r="G510" s="61"/>
      <c r="H510" s="61"/>
      <c r="I510" s="61"/>
      <c r="J510" s="61" t="s">
        <v>58</v>
      </c>
      <c r="K510" s="58"/>
      <c r="L510" s="59"/>
      <c r="M510" s="62">
        <f t="shared" ref="M510:V510" si="375">M509/L509-1</f>
        <v>-6.8252602599747081E-2</v>
      </c>
      <c r="N510" s="62">
        <f t="shared" si="375"/>
        <v>-0.16937487595586398</v>
      </c>
      <c r="O510" s="62">
        <f t="shared" si="375"/>
        <v>0.21413115926257409</v>
      </c>
      <c r="P510" s="62">
        <f t="shared" si="375"/>
        <v>-2.533886938683505E-2</v>
      </c>
      <c r="Q510" s="62">
        <f t="shared" si="375"/>
        <v>7.4076569408867421E-2</v>
      </c>
      <c r="R510" s="62">
        <f t="shared" si="375"/>
        <v>-1</v>
      </c>
      <c r="S510" s="62" t="e">
        <f t="shared" si="375"/>
        <v>#DIV/0!</v>
      </c>
      <c r="T510" s="62" t="e">
        <f t="shared" si="375"/>
        <v>#DIV/0!</v>
      </c>
      <c r="U510" s="62" t="e">
        <f t="shared" si="375"/>
        <v>#DIV/0!</v>
      </c>
      <c r="V510" s="62" t="e">
        <f t="shared" si="375"/>
        <v>#DIV/0!</v>
      </c>
      <c r="W510" s="259"/>
      <c r="X510" s="259"/>
    </row>
    <row r="511" spans="1:27">
      <c r="A511" s="55" t="str">
        <f>Home!$B$1</f>
        <v>Poland</v>
      </c>
      <c r="B511" s="56" t="s">
        <v>94</v>
      </c>
      <c r="C511" s="56" t="s">
        <v>130</v>
      </c>
      <c r="D511" s="56" t="s">
        <v>72</v>
      </c>
      <c r="E511" s="55" t="s">
        <v>453</v>
      </c>
      <c r="F511" s="57" t="s">
        <v>454</v>
      </c>
      <c r="G511" s="57" t="s">
        <v>15</v>
      </c>
      <c r="H511" s="57" t="s">
        <v>16</v>
      </c>
      <c r="I511" s="57"/>
      <c r="J511" s="57" t="s">
        <v>99</v>
      </c>
      <c r="K511" s="58">
        <v>13317</v>
      </c>
      <c r="L511" s="361">
        <f>'Seasonality&amp; Avg.stay'!B207</f>
        <v>16.382974071338502</v>
      </c>
      <c r="M511" s="361">
        <f>'Seasonality&amp; Avg.stay'!C207</f>
        <v>14.000912197431335</v>
      </c>
      <c r="N511" s="361">
        <f>'Seasonality&amp; Avg.stay'!D207</f>
        <v>11.71495901769754</v>
      </c>
      <c r="O511" s="361">
        <f>'Seasonality&amp; Avg.stay'!E207</f>
        <v>13.326421616631322</v>
      </c>
      <c r="P511" s="361">
        <f>'Seasonality&amp; Avg.stay'!F207</f>
        <v>12.28048164492469</v>
      </c>
      <c r="Q511" s="361">
        <f>'Seasonality&amp; Avg.stay'!G207</f>
        <v>14.229068597835298</v>
      </c>
      <c r="R511" s="110">
        <f>Forecasting!R547</f>
        <v>0</v>
      </c>
      <c r="S511" s="110">
        <f>Forecasting!S547</f>
        <v>0</v>
      </c>
      <c r="T511" s="110">
        <f>Forecasting!T547</f>
        <v>0</v>
      </c>
      <c r="U511" s="110">
        <f>Forecasting!U547</f>
        <v>0</v>
      </c>
      <c r="V511" s="110">
        <f>Forecasting!V547</f>
        <v>0</v>
      </c>
      <c r="W511" s="106">
        <f>+(Q511/M511)^(1/4)-1</f>
        <v>4.0492943494856437E-3</v>
      </c>
      <c r="X511" s="106">
        <f>+(V511/Q511)^(1/5)-1</f>
        <v>-1</v>
      </c>
      <c r="Z511" s="12"/>
    </row>
    <row r="512" spans="1:27">
      <c r="A512" s="57"/>
      <c r="B512" s="57"/>
      <c r="C512" s="61" t="s">
        <v>892</v>
      </c>
      <c r="D512" s="61"/>
      <c r="E512" s="61"/>
      <c r="F512" s="61"/>
      <c r="G512" s="61"/>
      <c r="H512" s="61"/>
      <c r="I512" s="61"/>
      <c r="J512" s="61" t="s">
        <v>58</v>
      </c>
      <c r="K512" s="58"/>
      <c r="L512" s="59"/>
      <c r="M512" s="62">
        <f t="shared" ref="M512:V512" si="376">M511/L511-1</f>
        <v>-0.14539862320080876</v>
      </c>
      <c r="N512" s="62">
        <f t="shared" si="376"/>
        <v>-0.16327173169139542</v>
      </c>
      <c r="O512" s="62">
        <f t="shared" si="376"/>
        <v>0.13755597407548592</v>
      </c>
      <c r="P512" s="62">
        <f t="shared" si="376"/>
        <v>-7.8486183447873503E-2</v>
      </c>
      <c r="Q512" s="62">
        <f t="shared" si="376"/>
        <v>0.1586734958165037</v>
      </c>
      <c r="R512" s="62">
        <f t="shared" si="376"/>
        <v>-1</v>
      </c>
      <c r="S512" s="62" t="e">
        <f t="shared" si="376"/>
        <v>#DIV/0!</v>
      </c>
      <c r="T512" s="62" t="e">
        <f t="shared" si="376"/>
        <v>#DIV/0!</v>
      </c>
      <c r="U512" s="62" t="e">
        <f t="shared" si="376"/>
        <v>#DIV/0!</v>
      </c>
      <c r="V512" s="62" t="e">
        <f t="shared" si="376"/>
        <v>#DIV/0!</v>
      </c>
      <c r="W512" s="259"/>
      <c r="X512" s="259"/>
    </row>
    <row r="513" spans="1:26">
      <c r="A513" s="55" t="str">
        <f>Home!$B$1</f>
        <v>Poland</v>
      </c>
      <c r="B513" s="56" t="s">
        <v>94</v>
      </c>
      <c r="C513" s="56" t="s">
        <v>130</v>
      </c>
      <c r="D513" s="56" t="s">
        <v>72</v>
      </c>
      <c r="E513" s="55" t="s">
        <v>455</v>
      </c>
      <c r="F513" s="57" t="s">
        <v>456</v>
      </c>
      <c r="G513" s="57" t="s">
        <v>15</v>
      </c>
      <c r="H513" s="57" t="s">
        <v>16</v>
      </c>
      <c r="I513" s="57"/>
      <c r="J513" s="57" t="s">
        <v>99</v>
      </c>
      <c r="K513" s="58"/>
      <c r="L513" s="59">
        <f>'Seasonality&amp; Avg.stay'!B172</f>
        <v>283.9336219359933</v>
      </c>
      <c r="M513" s="59">
        <f>'Seasonality&amp; Avg.stay'!C172</f>
        <v>242.60700205653126</v>
      </c>
      <c r="N513" s="59">
        <f>'Seasonality&amp; Avg.stay'!D172</f>
        <v>215</v>
      </c>
      <c r="O513" s="59">
        <f>'Seasonality&amp; Avg.stay'!E172</f>
        <v>240</v>
      </c>
      <c r="P513" s="59">
        <f>'Seasonality&amp; Avg.stay'!F172</f>
        <v>250</v>
      </c>
      <c r="Q513" s="59">
        <f>'Seasonality&amp; Avg.stay'!G172</f>
        <v>280</v>
      </c>
      <c r="R513" s="110">
        <f>Forecasting!R549</f>
        <v>0</v>
      </c>
      <c r="S513" s="110">
        <f>Forecasting!S549</f>
        <v>0</v>
      </c>
      <c r="T513" s="110">
        <f>Forecasting!T549</f>
        <v>0</v>
      </c>
      <c r="U513" s="110">
        <f>Forecasting!U549</f>
        <v>0</v>
      </c>
      <c r="V513" s="110">
        <f>Forecasting!V549</f>
        <v>0</v>
      </c>
      <c r="W513" s="106">
        <f>+(Q513/M513)^(1/4)-1</f>
        <v>3.6486560036040672E-2</v>
      </c>
      <c r="X513" s="106">
        <f>+(V513/Q513)^(1/5)-1</f>
        <v>-1</v>
      </c>
    </row>
    <row r="514" spans="1:26">
      <c r="A514" s="57"/>
      <c r="B514" s="57"/>
      <c r="C514" s="61" t="s">
        <v>892</v>
      </c>
      <c r="D514" s="61"/>
      <c r="E514" s="61"/>
      <c r="F514" s="61"/>
      <c r="G514" s="61"/>
      <c r="H514" s="61"/>
      <c r="I514" s="61"/>
      <c r="J514" s="61" t="s">
        <v>58</v>
      </c>
      <c r="K514" s="58"/>
      <c r="L514" s="59"/>
      <c r="M514" s="62">
        <v>-0.18429003021148038</v>
      </c>
      <c r="N514" s="62">
        <f t="shared" ref="N514:V514" si="377">N513/M513-1</f>
        <v>-0.11379309674705262</v>
      </c>
      <c r="O514" s="62">
        <f t="shared" si="377"/>
        <v>0.11627906976744184</v>
      </c>
      <c r="P514" s="62">
        <f t="shared" si="377"/>
        <v>4.1666666666666741E-2</v>
      </c>
      <c r="Q514" s="62">
        <f t="shared" si="377"/>
        <v>0.12000000000000011</v>
      </c>
      <c r="R514" s="62">
        <f t="shared" si="377"/>
        <v>-1</v>
      </c>
      <c r="S514" s="62" t="e">
        <f t="shared" si="377"/>
        <v>#DIV/0!</v>
      </c>
      <c r="T514" s="62" t="e">
        <f t="shared" si="377"/>
        <v>#DIV/0!</v>
      </c>
      <c r="U514" s="62" t="e">
        <f t="shared" si="377"/>
        <v>#DIV/0!</v>
      </c>
      <c r="V514" s="62" t="e">
        <f t="shared" si="377"/>
        <v>#DIV/0!</v>
      </c>
      <c r="W514" s="259"/>
      <c r="X514" s="259"/>
    </row>
    <row r="515" spans="1:26">
      <c r="A515" s="55" t="str">
        <f>Home!$B$1</f>
        <v>Poland</v>
      </c>
      <c r="B515" s="56" t="s">
        <v>94</v>
      </c>
      <c r="C515" s="56" t="s">
        <v>130</v>
      </c>
      <c r="D515" s="55" t="s">
        <v>74</v>
      </c>
      <c r="E515" s="57"/>
      <c r="F515" s="57" t="s">
        <v>457</v>
      </c>
      <c r="G515" s="57" t="s">
        <v>15</v>
      </c>
      <c r="H515" s="57" t="s">
        <v>16</v>
      </c>
      <c r="I515" s="57"/>
      <c r="J515" s="57" t="s">
        <v>99</v>
      </c>
      <c r="K515" s="86">
        <f>SUM(K516:K552)</f>
        <v>2266.15</v>
      </c>
      <c r="L515" s="267">
        <f>SUM(L517,L519,L521,L523,L525,L527,L529,L531,L533,L535,L537,L539,L541,L543,L545,L547,L549,L551,L553,L555,L557,L559,L561,L563,L565,L567,L569,L571,L573,L575,L577,L579,L581,L583,L585,L587,L589,L591)</f>
        <v>124.7215478821098</v>
      </c>
      <c r="M515" s="267">
        <f t="shared" ref="M515:Q515" si="378">SUM(M517,M519,M521,M523,M525,M527,M529,M531,M533,M535,M537,M539,M541,M543,M545,M547,M549,M551,M553,M555,M557,M559,M561,M563,M565,M567,M569,M571,M573,M575,M577,M579,M581,M583,M585,M587,M589,M591)</f>
        <v>105.61380313813152</v>
      </c>
      <c r="N515" s="267">
        <f t="shared" si="378"/>
        <v>89.982485120907882</v>
      </c>
      <c r="O515" s="267">
        <f t="shared" si="378"/>
        <v>101.64829680960473</v>
      </c>
      <c r="P515" s="267">
        <f t="shared" si="378"/>
        <v>92.827273713447013</v>
      </c>
      <c r="Q515" s="267">
        <f t="shared" si="378"/>
        <v>110.3944584958241</v>
      </c>
      <c r="R515" s="110">
        <f>Forecasting!R551</f>
        <v>115.36232275436232</v>
      </c>
      <c r="S515" s="110">
        <f>Forecasting!S551</f>
        <v>118.28013619075453</v>
      </c>
      <c r="T515" s="110">
        <f>Forecasting!T551</f>
        <v>120.27753185432343</v>
      </c>
      <c r="U515" s="110">
        <f>Forecasting!U551</f>
        <v>123.76897001992225</v>
      </c>
      <c r="V515" s="110">
        <f>Forecasting!V551</f>
        <v>126.42703074011808</v>
      </c>
      <c r="W515" s="106">
        <f>+(Q515/M515)^(1/4)-1</f>
        <v>1.1129189632818504E-2</v>
      </c>
      <c r="X515" s="106">
        <f>+(V515/Q515)^(1/5)-1</f>
        <v>2.7492198201930051E-2</v>
      </c>
    </row>
    <row r="516" spans="1:26">
      <c r="A516" s="57"/>
      <c r="B516" s="57"/>
      <c r="C516" s="61" t="s">
        <v>892</v>
      </c>
      <c r="D516" s="61"/>
      <c r="E516" s="61"/>
      <c r="F516" s="61"/>
      <c r="G516" s="61"/>
      <c r="H516" s="61"/>
      <c r="I516" s="61"/>
      <c r="J516" s="61" t="s">
        <v>58</v>
      </c>
      <c r="K516" s="58"/>
      <c r="L516" s="59"/>
      <c r="M516" s="62">
        <v>-4.0763458383481499E-3</v>
      </c>
      <c r="N516" s="62">
        <f t="shared" ref="N516:V516" si="379">N515/M515-1</f>
        <v>-0.14800449896477597</v>
      </c>
      <c r="O516" s="62">
        <f t="shared" si="379"/>
        <v>0.12964536012782601</v>
      </c>
      <c r="P516" s="62">
        <f t="shared" si="379"/>
        <v>-8.6779841601086427E-2</v>
      </c>
      <c r="Q516" s="62">
        <f t="shared" si="379"/>
        <v>0.18924594119402971</v>
      </c>
      <c r="R516" s="62">
        <f t="shared" si="379"/>
        <v>4.5001029274727156E-2</v>
      </c>
      <c r="S516" s="62">
        <f t="shared" si="379"/>
        <v>2.5292603050347973E-2</v>
      </c>
      <c r="T516" s="62">
        <f t="shared" si="379"/>
        <v>1.6886991576908761E-2</v>
      </c>
      <c r="U516" s="62">
        <f t="shared" si="379"/>
        <v>2.9028182668626279E-2</v>
      </c>
      <c r="V516" s="62">
        <f t="shared" si="379"/>
        <v>2.1475986426710891E-2</v>
      </c>
      <c r="W516" s="259"/>
      <c r="X516" s="259"/>
    </row>
    <row r="517" spans="1:26">
      <c r="A517" s="55" t="str">
        <f>Home!$B$1</f>
        <v>Poland</v>
      </c>
      <c r="B517" s="56" t="s">
        <v>94</v>
      </c>
      <c r="C517" s="56" t="s">
        <v>130</v>
      </c>
      <c r="D517" s="56" t="s">
        <v>74</v>
      </c>
      <c r="E517" s="55" t="s">
        <v>458</v>
      </c>
      <c r="F517" s="57" t="s">
        <v>459</v>
      </c>
      <c r="G517" s="57" t="s">
        <v>15</v>
      </c>
      <c r="H517" s="57" t="s">
        <v>16</v>
      </c>
      <c r="I517" s="57"/>
      <c r="J517" s="57" t="s">
        <v>99</v>
      </c>
      <c r="K517" s="58">
        <v>212.096</v>
      </c>
      <c r="L517" s="80"/>
      <c r="M517" s="80"/>
      <c r="N517" s="80"/>
      <c r="O517" s="80"/>
      <c r="P517" s="80"/>
      <c r="Q517" s="80"/>
      <c r="R517" s="110">
        <f>Forecasting!R563</f>
        <v>0</v>
      </c>
      <c r="S517" s="110">
        <f>Forecasting!S563</f>
        <v>0</v>
      </c>
      <c r="T517" s="110">
        <f>Forecasting!T563</f>
        <v>0</v>
      </c>
      <c r="U517" s="110">
        <f>Forecasting!U563</f>
        <v>0</v>
      </c>
      <c r="V517" s="110">
        <f>Forecasting!V563</f>
        <v>0</v>
      </c>
      <c r="W517" s="106" t="e">
        <f>+(Q517/M517)^(1/4)-1</f>
        <v>#DIV/0!</v>
      </c>
      <c r="X517" s="106" t="e">
        <f>+(V517/Q517)^(1/5)-1</f>
        <v>#DIV/0!</v>
      </c>
      <c r="Z517" s="12"/>
    </row>
    <row r="518" spans="1:26">
      <c r="A518" s="57"/>
      <c r="B518" s="57"/>
      <c r="C518" s="61" t="s">
        <v>892</v>
      </c>
      <c r="D518" s="61"/>
      <c r="E518" s="61"/>
      <c r="F518" s="61"/>
      <c r="G518" s="61"/>
      <c r="H518" s="61"/>
      <c r="I518" s="61"/>
      <c r="J518" s="61" t="s">
        <v>58</v>
      </c>
      <c r="K518" s="58"/>
      <c r="L518" s="59"/>
      <c r="M518" s="62" t="e">
        <v>#DIV/0!</v>
      </c>
      <c r="N518" s="62" t="e">
        <f t="shared" ref="N518:V518" si="380">N517/M517-1</f>
        <v>#DIV/0!</v>
      </c>
      <c r="O518" s="62" t="e">
        <f t="shared" si="380"/>
        <v>#DIV/0!</v>
      </c>
      <c r="P518" s="62" t="e">
        <f t="shared" si="380"/>
        <v>#DIV/0!</v>
      </c>
      <c r="Q518" s="62" t="e">
        <f t="shared" si="380"/>
        <v>#DIV/0!</v>
      </c>
      <c r="R518" s="62" t="e">
        <f t="shared" si="380"/>
        <v>#DIV/0!</v>
      </c>
      <c r="S518" s="62" t="e">
        <f t="shared" si="380"/>
        <v>#DIV/0!</v>
      </c>
      <c r="T518" s="62" t="e">
        <f t="shared" si="380"/>
        <v>#DIV/0!</v>
      </c>
      <c r="U518" s="62" t="e">
        <f t="shared" si="380"/>
        <v>#DIV/0!</v>
      </c>
      <c r="V518" s="62" t="e">
        <f t="shared" si="380"/>
        <v>#DIV/0!</v>
      </c>
      <c r="W518" s="259"/>
      <c r="X518" s="259"/>
    </row>
    <row r="519" spans="1:26">
      <c r="A519" s="55" t="str">
        <f>Home!$B$1</f>
        <v>Poland</v>
      </c>
      <c r="B519" s="56" t="s">
        <v>94</v>
      </c>
      <c r="C519" s="56" t="s">
        <v>130</v>
      </c>
      <c r="D519" s="56" t="s">
        <v>74</v>
      </c>
      <c r="E519" s="55" t="s">
        <v>460</v>
      </c>
      <c r="F519" s="57" t="s">
        <v>461</v>
      </c>
      <c r="G519" s="57" t="s">
        <v>15</v>
      </c>
      <c r="H519" s="57" t="s">
        <v>16</v>
      </c>
      <c r="I519" s="57"/>
      <c r="J519" s="57" t="s">
        <v>99</v>
      </c>
      <c r="K519" s="58"/>
      <c r="L519" s="80"/>
      <c r="M519" s="80"/>
      <c r="N519" s="80"/>
      <c r="O519" s="80"/>
      <c r="P519" s="80"/>
      <c r="Q519" s="80"/>
      <c r="R519" s="110">
        <f>Forecasting!R565</f>
        <v>0</v>
      </c>
      <c r="S519" s="110">
        <f>Forecasting!S565</f>
        <v>0</v>
      </c>
      <c r="T519" s="110">
        <f>Forecasting!T565</f>
        <v>0</v>
      </c>
      <c r="U519" s="110">
        <f>Forecasting!U565</f>
        <v>0</v>
      </c>
      <c r="V519" s="110">
        <f>Forecasting!V565</f>
        <v>0</v>
      </c>
      <c r="W519" s="106" t="e">
        <f>+(Q519/M519)^(1/4)-1</f>
        <v>#DIV/0!</v>
      </c>
      <c r="X519" s="106" t="e">
        <f>+(V519/Q519)^(1/5)-1</f>
        <v>#DIV/0!</v>
      </c>
    </row>
    <row r="520" spans="1:26">
      <c r="A520" s="57"/>
      <c r="B520" s="57"/>
      <c r="C520" s="61" t="s">
        <v>892</v>
      </c>
      <c r="D520" s="61"/>
      <c r="E520" s="61"/>
      <c r="F520" s="61"/>
      <c r="G520" s="61"/>
      <c r="H520" s="61"/>
      <c r="I520" s="61"/>
      <c r="J520" s="61" t="s">
        <v>58</v>
      </c>
      <c r="K520" s="58"/>
      <c r="L520" s="59"/>
      <c r="M520" s="62" t="e">
        <v>#DIV/0!</v>
      </c>
      <c r="N520" s="62" t="e">
        <f t="shared" ref="N520:V520" si="381">N519/M519-1</f>
        <v>#DIV/0!</v>
      </c>
      <c r="O520" s="62" t="e">
        <f t="shared" si="381"/>
        <v>#DIV/0!</v>
      </c>
      <c r="P520" s="62" t="e">
        <f t="shared" si="381"/>
        <v>#DIV/0!</v>
      </c>
      <c r="Q520" s="62" t="e">
        <f t="shared" si="381"/>
        <v>#DIV/0!</v>
      </c>
      <c r="R520" s="62" t="e">
        <f t="shared" si="381"/>
        <v>#DIV/0!</v>
      </c>
      <c r="S520" s="62" t="e">
        <f t="shared" si="381"/>
        <v>#DIV/0!</v>
      </c>
      <c r="T520" s="62" t="e">
        <f t="shared" si="381"/>
        <v>#DIV/0!</v>
      </c>
      <c r="U520" s="62" t="e">
        <f t="shared" si="381"/>
        <v>#DIV/0!</v>
      </c>
      <c r="V520" s="62" t="e">
        <f t="shared" si="381"/>
        <v>#DIV/0!</v>
      </c>
      <c r="W520" s="259"/>
      <c r="X520" s="259"/>
    </row>
    <row r="521" spans="1:26">
      <c r="A521" s="55" t="str">
        <f>Home!$B$1</f>
        <v>Poland</v>
      </c>
      <c r="B521" s="56" t="s">
        <v>94</v>
      </c>
      <c r="C521" s="56" t="s">
        <v>130</v>
      </c>
      <c r="D521" s="56" t="s">
        <v>74</v>
      </c>
      <c r="E521" s="55" t="s">
        <v>462</v>
      </c>
      <c r="F521" s="57" t="s">
        <v>463</v>
      </c>
      <c r="G521" s="57" t="s">
        <v>15</v>
      </c>
      <c r="H521" s="57" t="s">
        <v>16</v>
      </c>
      <c r="I521" s="57"/>
      <c r="J521" s="57" t="s">
        <v>99</v>
      </c>
      <c r="K521" s="58">
        <v>243.3</v>
      </c>
      <c r="L521" s="80"/>
      <c r="M521" s="80"/>
      <c r="N521" s="80"/>
      <c r="O521" s="80"/>
      <c r="P521" s="80"/>
      <c r="Q521" s="80"/>
      <c r="R521" s="110">
        <f>Forecasting!R567</f>
        <v>0</v>
      </c>
      <c r="S521" s="110">
        <f>Forecasting!S567</f>
        <v>0</v>
      </c>
      <c r="T521" s="110">
        <f>Forecasting!T567</f>
        <v>0</v>
      </c>
      <c r="U521" s="110">
        <f>Forecasting!U567</f>
        <v>0</v>
      </c>
      <c r="V521" s="110">
        <f>Forecasting!V567</f>
        <v>0</v>
      </c>
      <c r="W521" s="106" t="e">
        <f>+(Q521/M521)^(1/4)-1</f>
        <v>#DIV/0!</v>
      </c>
      <c r="X521" s="106" t="e">
        <f>+(V521/Q521)^(1/5)-1</f>
        <v>#DIV/0!</v>
      </c>
      <c r="Z521" s="12"/>
    </row>
    <row r="522" spans="1:26">
      <c r="A522" s="57"/>
      <c r="B522" s="57"/>
      <c r="C522" s="61" t="s">
        <v>892</v>
      </c>
      <c r="D522" s="61"/>
      <c r="E522" s="61"/>
      <c r="F522" s="61"/>
      <c r="G522" s="61"/>
      <c r="H522" s="61"/>
      <c r="I522" s="61"/>
      <c r="J522" s="61" t="s">
        <v>58</v>
      </c>
      <c r="K522" s="58"/>
      <c r="L522" s="59"/>
      <c r="M522" s="62" t="e">
        <v>#DIV/0!</v>
      </c>
      <c r="N522" s="62" t="e">
        <f t="shared" ref="N522:V522" si="382">N521/M521-1</f>
        <v>#DIV/0!</v>
      </c>
      <c r="O522" s="62" t="e">
        <f t="shared" si="382"/>
        <v>#DIV/0!</v>
      </c>
      <c r="P522" s="62" t="e">
        <f t="shared" si="382"/>
        <v>#DIV/0!</v>
      </c>
      <c r="Q522" s="62" t="e">
        <f t="shared" si="382"/>
        <v>#DIV/0!</v>
      </c>
      <c r="R522" s="62" t="e">
        <f t="shared" si="382"/>
        <v>#DIV/0!</v>
      </c>
      <c r="S522" s="62" t="e">
        <f t="shared" si="382"/>
        <v>#DIV/0!</v>
      </c>
      <c r="T522" s="62" t="e">
        <f t="shared" si="382"/>
        <v>#DIV/0!</v>
      </c>
      <c r="U522" s="62" t="e">
        <f t="shared" si="382"/>
        <v>#DIV/0!</v>
      </c>
      <c r="V522" s="62" t="e">
        <f t="shared" si="382"/>
        <v>#DIV/0!</v>
      </c>
      <c r="W522" s="259"/>
      <c r="X522" s="259"/>
    </row>
    <row r="523" spans="1:26">
      <c r="A523" s="55" t="str">
        <f>Home!$B$1</f>
        <v>Poland</v>
      </c>
      <c r="B523" s="56" t="s">
        <v>94</v>
      </c>
      <c r="C523" s="56" t="s">
        <v>130</v>
      </c>
      <c r="D523" s="56" t="s">
        <v>74</v>
      </c>
      <c r="E523" s="55" t="s">
        <v>464</v>
      </c>
      <c r="F523" s="57" t="s">
        <v>465</v>
      </c>
      <c r="G523" s="57" t="s">
        <v>15</v>
      </c>
      <c r="H523" s="57" t="s">
        <v>16</v>
      </c>
      <c r="I523" s="57"/>
      <c r="J523" s="57" t="s">
        <v>99</v>
      </c>
      <c r="K523" s="58"/>
      <c r="L523" s="80"/>
      <c r="M523" s="80"/>
      <c r="N523" s="80"/>
      <c r="O523" s="80"/>
      <c r="P523" s="80"/>
      <c r="Q523" s="80"/>
      <c r="R523" s="110">
        <f>Forecasting!R569</f>
        <v>0</v>
      </c>
      <c r="S523" s="110">
        <f>Forecasting!S569</f>
        <v>0</v>
      </c>
      <c r="T523" s="110">
        <f>Forecasting!T569</f>
        <v>0</v>
      </c>
      <c r="U523" s="110">
        <f>Forecasting!U569</f>
        <v>0</v>
      </c>
      <c r="V523" s="110">
        <f>Forecasting!V569</f>
        <v>0</v>
      </c>
      <c r="W523" s="106" t="e">
        <f>+(Q523/M523)^(1/4)-1</f>
        <v>#DIV/0!</v>
      </c>
      <c r="X523" s="106" t="e">
        <f>+(V523/Q523)^(1/5)-1</f>
        <v>#DIV/0!</v>
      </c>
    </row>
    <row r="524" spans="1:26">
      <c r="A524" s="57"/>
      <c r="B524" s="57"/>
      <c r="C524" s="61" t="s">
        <v>892</v>
      </c>
      <c r="D524" s="61"/>
      <c r="E524" s="61"/>
      <c r="F524" s="61"/>
      <c r="G524" s="61"/>
      <c r="H524" s="61"/>
      <c r="I524" s="61"/>
      <c r="J524" s="61" t="s">
        <v>58</v>
      </c>
      <c r="K524" s="58"/>
      <c r="L524" s="59"/>
      <c r="M524" s="62" t="e">
        <v>#DIV/0!</v>
      </c>
      <c r="N524" s="62" t="e">
        <f t="shared" ref="N524:V524" si="383">N523/M523-1</f>
        <v>#DIV/0!</v>
      </c>
      <c r="O524" s="62" t="e">
        <f t="shared" si="383"/>
        <v>#DIV/0!</v>
      </c>
      <c r="P524" s="62" t="e">
        <f t="shared" si="383"/>
        <v>#DIV/0!</v>
      </c>
      <c r="Q524" s="62" t="e">
        <f t="shared" si="383"/>
        <v>#DIV/0!</v>
      </c>
      <c r="R524" s="62" t="e">
        <f t="shared" si="383"/>
        <v>#DIV/0!</v>
      </c>
      <c r="S524" s="62" t="e">
        <f t="shared" si="383"/>
        <v>#DIV/0!</v>
      </c>
      <c r="T524" s="62" t="e">
        <f t="shared" si="383"/>
        <v>#DIV/0!</v>
      </c>
      <c r="U524" s="62" t="e">
        <f t="shared" si="383"/>
        <v>#DIV/0!</v>
      </c>
      <c r="V524" s="62" t="e">
        <f t="shared" si="383"/>
        <v>#DIV/0!</v>
      </c>
      <c r="W524" s="259"/>
      <c r="X524" s="259"/>
    </row>
    <row r="525" spans="1:26">
      <c r="A525" s="55" t="str">
        <f>Home!$B$1</f>
        <v>Poland</v>
      </c>
      <c r="B525" s="56" t="s">
        <v>94</v>
      </c>
      <c r="C525" s="56" t="s">
        <v>130</v>
      </c>
      <c r="D525" s="56" t="s">
        <v>74</v>
      </c>
      <c r="E525" s="55" t="s">
        <v>466</v>
      </c>
      <c r="F525" s="57" t="s">
        <v>467</v>
      </c>
      <c r="G525" s="57" t="s">
        <v>15</v>
      </c>
      <c r="H525" s="57" t="s">
        <v>16</v>
      </c>
      <c r="I525" s="57"/>
      <c r="J525" s="57" t="s">
        <v>99</v>
      </c>
      <c r="K525" s="58"/>
      <c r="L525" s="80"/>
      <c r="M525" s="80"/>
      <c r="N525" s="80"/>
      <c r="O525" s="80"/>
      <c r="P525" s="80"/>
      <c r="Q525" s="80"/>
      <c r="R525" s="110">
        <f>Forecasting!R571</f>
        <v>0</v>
      </c>
      <c r="S525" s="110">
        <f>Forecasting!S571</f>
        <v>0</v>
      </c>
      <c r="T525" s="110">
        <f>Forecasting!T571</f>
        <v>0</v>
      </c>
      <c r="U525" s="110">
        <f>Forecasting!U571</f>
        <v>0</v>
      </c>
      <c r="V525" s="110">
        <f>Forecasting!V571</f>
        <v>0</v>
      </c>
      <c r="W525" s="106" t="e">
        <f>+(Q525/M525)^(1/4)-1</f>
        <v>#DIV/0!</v>
      </c>
      <c r="X525" s="106" t="e">
        <f>+(V525/Q525)^(1/5)-1</f>
        <v>#DIV/0!</v>
      </c>
    </row>
    <row r="526" spans="1:26">
      <c r="A526" s="57"/>
      <c r="B526" s="57"/>
      <c r="C526" s="61" t="s">
        <v>892</v>
      </c>
      <c r="D526" s="61"/>
      <c r="E526" s="61"/>
      <c r="F526" s="61"/>
      <c r="G526" s="61"/>
      <c r="H526" s="61"/>
      <c r="I526" s="61"/>
      <c r="J526" s="61" t="s">
        <v>58</v>
      </c>
      <c r="K526" s="58"/>
      <c r="L526" s="59"/>
      <c r="M526" s="62" t="e">
        <v>#DIV/0!</v>
      </c>
      <c r="N526" s="62" t="e">
        <f t="shared" ref="N526:V526" si="384">N525/M525-1</f>
        <v>#DIV/0!</v>
      </c>
      <c r="O526" s="62" t="e">
        <f t="shared" si="384"/>
        <v>#DIV/0!</v>
      </c>
      <c r="P526" s="62" t="e">
        <f t="shared" si="384"/>
        <v>#DIV/0!</v>
      </c>
      <c r="Q526" s="62" t="e">
        <f t="shared" si="384"/>
        <v>#DIV/0!</v>
      </c>
      <c r="R526" s="62" t="e">
        <f t="shared" si="384"/>
        <v>#DIV/0!</v>
      </c>
      <c r="S526" s="62" t="e">
        <f t="shared" si="384"/>
        <v>#DIV/0!</v>
      </c>
      <c r="T526" s="62" t="e">
        <f t="shared" si="384"/>
        <v>#DIV/0!</v>
      </c>
      <c r="U526" s="62" t="e">
        <f t="shared" si="384"/>
        <v>#DIV/0!</v>
      </c>
      <c r="V526" s="62" t="e">
        <f t="shared" si="384"/>
        <v>#DIV/0!</v>
      </c>
      <c r="W526" s="259"/>
      <c r="X526" s="259"/>
    </row>
    <row r="527" spans="1:26">
      <c r="A527" s="55" t="str">
        <f>Home!$B$1</f>
        <v>Poland</v>
      </c>
      <c r="B527" s="56" t="s">
        <v>94</v>
      </c>
      <c r="C527" s="56" t="s">
        <v>130</v>
      </c>
      <c r="D527" s="56" t="s">
        <v>74</v>
      </c>
      <c r="E527" s="55" t="s">
        <v>468</v>
      </c>
      <c r="F527" s="57" t="s">
        <v>469</v>
      </c>
      <c r="G527" s="57" t="s">
        <v>15</v>
      </c>
      <c r="H527" s="57" t="s">
        <v>16</v>
      </c>
      <c r="I527" s="57"/>
      <c r="J527" s="57" t="s">
        <v>99</v>
      </c>
      <c r="K527" s="58"/>
      <c r="L527" s="80"/>
      <c r="M527" s="80"/>
      <c r="N527" s="80"/>
      <c r="O527" s="80"/>
      <c r="P527" s="80"/>
      <c r="Q527" s="80"/>
      <c r="R527" s="110">
        <f>Forecasting!R573</f>
        <v>0</v>
      </c>
      <c r="S527" s="110">
        <f>Forecasting!S573</f>
        <v>0</v>
      </c>
      <c r="T527" s="110">
        <f>Forecasting!T573</f>
        <v>0</v>
      </c>
      <c r="U527" s="110">
        <f>Forecasting!U573</f>
        <v>0</v>
      </c>
      <c r="V527" s="110">
        <f>Forecasting!V573</f>
        <v>0</v>
      </c>
      <c r="W527" s="106" t="e">
        <f>+(Q527/M527)^(1/4)-1</f>
        <v>#DIV/0!</v>
      </c>
      <c r="X527" s="106" t="e">
        <f>+(V527/Q527)^(1/5)-1</f>
        <v>#DIV/0!</v>
      </c>
    </row>
    <row r="528" spans="1:26">
      <c r="A528" s="57"/>
      <c r="B528" s="57"/>
      <c r="C528" s="61" t="s">
        <v>892</v>
      </c>
      <c r="D528" s="61"/>
      <c r="E528" s="61"/>
      <c r="F528" s="61"/>
      <c r="G528" s="61"/>
      <c r="H528" s="61"/>
      <c r="I528" s="61"/>
      <c r="J528" s="61" t="s">
        <v>58</v>
      </c>
      <c r="K528" s="58"/>
      <c r="L528" s="59"/>
      <c r="M528" s="62" t="e">
        <v>#DIV/0!</v>
      </c>
      <c r="N528" s="62" t="e">
        <f t="shared" ref="N528:V528" si="385">N527/M527-1</f>
        <v>#DIV/0!</v>
      </c>
      <c r="O528" s="62" t="e">
        <f t="shared" si="385"/>
        <v>#DIV/0!</v>
      </c>
      <c r="P528" s="62" t="e">
        <f t="shared" si="385"/>
        <v>#DIV/0!</v>
      </c>
      <c r="Q528" s="62" t="e">
        <f t="shared" si="385"/>
        <v>#DIV/0!</v>
      </c>
      <c r="R528" s="62" t="e">
        <f t="shared" si="385"/>
        <v>#DIV/0!</v>
      </c>
      <c r="S528" s="62" t="e">
        <f t="shared" si="385"/>
        <v>#DIV/0!</v>
      </c>
      <c r="T528" s="62" t="e">
        <f t="shared" si="385"/>
        <v>#DIV/0!</v>
      </c>
      <c r="U528" s="62" t="e">
        <f t="shared" si="385"/>
        <v>#DIV/0!</v>
      </c>
      <c r="V528" s="62" t="e">
        <f t="shared" si="385"/>
        <v>#DIV/0!</v>
      </c>
      <c r="W528" s="259"/>
      <c r="X528" s="259"/>
    </row>
    <row r="529" spans="1:26">
      <c r="A529" s="55" t="str">
        <f>Home!$B$1</f>
        <v>Poland</v>
      </c>
      <c r="B529" s="56" t="s">
        <v>94</v>
      </c>
      <c r="C529" s="56" t="s">
        <v>130</v>
      </c>
      <c r="D529" s="56" t="s">
        <v>74</v>
      </c>
      <c r="E529" s="55" t="s">
        <v>470</v>
      </c>
      <c r="F529" s="57" t="s">
        <v>471</v>
      </c>
      <c r="G529" s="57" t="s">
        <v>15</v>
      </c>
      <c r="H529" s="57" t="s">
        <v>16</v>
      </c>
      <c r="I529" s="57"/>
      <c r="J529" s="57" t="s">
        <v>99</v>
      </c>
      <c r="K529" s="58">
        <v>525.27099999999996</v>
      </c>
      <c r="L529" s="80"/>
      <c r="M529" s="80"/>
      <c r="N529" s="80"/>
      <c r="O529" s="80"/>
      <c r="P529" s="80"/>
      <c r="Q529" s="80"/>
      <c r="R529" s="110">
        <f>Forecasting!R575</f>
        <v>0</v>
      </c>
      <c r="S529" s="110">
        <f>Forecasting!S575</f>
        <v>0</v>
      </c>
      <c r="T529" s="110">
        <f>Forecasting!T575</f>
        <v>0</v>
      </c>
      <c r="U529" s="110">
        <f>Forecasting!U575</f>
        <v>0</v>
      </c>
      <c r="V529" s="110">
        <f>Forecasting!V575</f>
        <v>0</v>
      </c>
      <c r="W529" s="106" t="e">
        <f>+(Q529/M529)^(1/4)-1</f>
        <v>#DIV/0!</v>
      </c>
      <c r="X529" s="106" t="e">
        <f>+(V529/Q529)^(1/5)-1</f>
        <v>#DIV/0!</v>
      </c>
      <c r="Z529" s="12"/>
    </row>
    <row r="530" spans="1:26">
      <c r="A530" s="57"/>
      <c r="B530" s="57"/>
      <c r="C530" s="61" t="s">
        <v>892</v>
      </c>
      <c r="D530" s="61"/>
      <c r="E530" s="61"/>
      <c r="F530" s="61"/>
      <c r="G530" s="61"/>
      <c r="H530" s="61"/>
      <c r="I530" s="61"/>
      <c r="J530" s="61" t="s">
        <v>58</v>
      </c>
      <c r="K530" s="58"/>
      <c r="L530" s="59"/>
      <c r="M530" s="62" t="e">
        <v>#DIV/0!</v>
      </c>
      <c r="N530" s="62" t="e">
        <f t="shared" ref="N530:V530" si="386">N529/M529-1</f>
        <v>#DIV/0!</v>
      </c>
      <c r="O530" s="62" t="e">
        <f t="shared" si="386"/>
        <v>#DIV/0!</v>
      </c>
      <c r="P530" s="62" t="e">
        <f t="shared" si="386"/>
        <v>#DIV/0!</v>
      </c>
      <c r="Q530" s="62" t="e">
        <f t="shared" si="386"/>
        <v>#DIV/0!</v>
      </c>
      <c r="R530" s="62" t="e">
        <f t="shared" si="386"/>
        <v>#DIV/0!</v>
      </c>
      <c r="S530" s="62" t="e">
        <f t="shared" si="386"/>
        <v>#DIV/0!</v>
      </c>
      <c r="T530" s="62" t="e">
        <f t="shared" si="386"/>
        <v>#DIV/0!</v>
      </c>
      <c r="U530" s="62" t="e">
        <f t="shared" si="386"/>
        <v>#DIV/0!</v>
      </c>
      <c r="V530" s="62" t="e">
        <f t="shared" si="386"/>
        <v>#DIV/0!</v>
      </c>
      <c r="W530" s="259"/>
      <c r="X530" s="259"/>
    </row>
    <row r="531" spans="1:26">
      <c r="A531" s="55" t="str">
        <f>Home!$B$1</f>
        <v>Poland</v>
      </c>
      <c r="B531" s="56" t="s">
        <v>94</v>
      </c>
      <c r="C531" s="56" t="s">
        <v>130</v>
      </c>
      <c r="D531" s="56" t="s">
        <v>74</v>
      </c>
      <c r="E531" s="55" t="s">
        <v>472</v>
      </c>
      <c r="F531" s="57" t="s">
        <v>473</v>
      </c>
      <c r="G531" s="57" t="s">
        <v>15</v>
      </c>
      <c r="H531" s="57" t="s">
        <v>16</v>
      </c>
      <c r="I531" s="57"/>
      <c r="J531" s="57" t="s">
        <v>99</v>
      </c>
      <c r="K531" s="58">
        <v>110.143</v>
      </c>
      <c r="L531" s="80"/>
      <c r="M531" s="80"/>
      <c r="N531" s="80"/>
      <c r="O531" s="80"/>
      <c r="P531" s="80"/>
      <c r="Q531" s="80"/>
      <c r="R531" s="110">
        <f>Forecasting!R577</f>
        <v>0</v>
      </c>
      <c r="S531" s="110">
        <f>Forecasting!S577</f>
        <v>0</v>
      </c>
      <c r="T531" s="110">
        <f>Forecasting!T577</f>
        <v>0</v>
      </c>
      <c r="U531" s="110">
        <f>Forecasting!U577</f>
        <v>0</v>
      </c>
      <c r="V531" s="110">
        <f>Forecasting!V577</f>
        <v>0</v>
      </c>
      <c r="W531" s="106" t="e">
        <f>+(Q531/M531)^(1/4)-1</f>
        <v>#DIV/0!</v>
      </c>
      <c r="X531" s="106" t="e">
        <f>+(V531/Q531)^(1/5)-1</f>
        <v>#DIV/0!</v>
      </c>
      <c r="Z531" s="12"/>
    </row>
    <row r="532" spans="1:26">
      <c r="A532" s="57"/>
      <c r="B532" s="57"/>
      <c r="C532" s="61" t="s">
        <v>892</v>
      </c>
      <c r="D532" s="61"/>
      <c r="E532" s="61"/>
      <c r="F532" s="61"/>
      <c r="G532" s="61"/>
      <c r="H532" s="61"/>
      <c r="I532" s="61"/>
      <c r="J532" s="61" t="s">
        <v>58</v>
      </c>
      <c r="K532" s="58"/>
      <c r="L532" s="59"/>
      <c r="M532" s="62" t="e">
        <v>#DIV/0!</v>
      </c>
      <c r="N532" s="62" t="e">
        <f t="shared" ref="N532:V532" si="387">N531/M531-1</f>
        <v>#DIV/0!</v>
      </c>
      <c r="O532" s="62" t="e">
        <f t="shared" si="387"/>
        <v>#DIV/0!</v>
      </c>
      <c r="P532" s="62" t="e">
        <f t="shared" si="387"/>
        <v>#DIV/0!</v>
      </c>
      <c r="Q532" s="62" t="e">
        <f t="shared" si="387"/>
        <v>#DIV/0!</v>
      </c>
      <c r="R532" s="62" t="e">
        <f t="shared" si="387"/>
        <v>#DIV/0!</v>
      </c>
      <c r="S532" s="62" t="e">
        <f t="shared" si="387"/>
        <v>#DIV/0!</v>
      </c>
      <c r="T532" s="62" t="e">
        <f t="shared" si="387"/>
        <v>#DIV/0!</v>
      </c>
      <c r="U532" s="62" t="e">
        <f t="shared" si="387"/>
        <v>#DIV/0!</v>
      </c>
      <c r="V532" s="62" t="e">
        <f t="shared" si="387"/>
        <v>#DIV/0!</v>
      </c>
      <c r="W532" s="259"/>
      <c r="X532" s="259"/>
    </row>
    <row r="533" spans="1:26">
      <c r="A533" s="55" t="str">
        <f>Home!$B$1</f>
        <v>Poland</v>
      </c>
      <c r="B533" s="56" t="s">
        <v>94</v>
      </c>
      <c r="C533" s="56" t="s">
        <v>130</v>
      </c>
      <c r="D533" s="56" t="s">
        <v>74</v>
      </c>
      <c r="E533" s="55" t="s">
        <v>474</v>
      </c>
      <c r="F533" s="57" t="s">
        <v>475</v>
      </c>
      <c r="G533" s="57" t="s">
        <v>15</v>
      </c>
      <c r="H533" s="57" t="s">
        <v>16</v>
      </c>
      <c r="I533" s="57"/>
      <c r="J533" s="57" t="s">
        <v>99</v>
      </c>
      <c r="K533" s="58">
        <v>348.38799999999998</v>
      </c>
      <c r="L533" s="80"/>
      <c r="M533" s="80"/>
      <c r="N533" s="80"/>
      <c r="O533" s="80"/>
      <c r="P533" s="80"/>
      <c r="Q533" s="80"/>
      <c r="R533" s="110">
        <f>Forecasting!R579</f>
        <v>0</v>
      </c>
      <c r="S533" s="110">
        <f>Forecasting!S579</f>
        <v>0</v>
      </c>
      <c r="T533" s="110">
        <f>Forecasting!T579</f>
        <v>0</v>
      </c>
      <c r="U533" s="110">
        <f>Forecasting!U579</f>
        <v>0</v>
      </c>
      <c r="V533" s="110">
        <f>Forecasting!V579</f>
        <v>0</v>
      </c>
      <c r="W533" s="106" t="e">
        <f>+(Q533/M533)^(1/4)-1</f>
        <v>#DIV/0!</v>
      </c>
      <c r="X533" s="106" t="e">
        <f>+(V533/Q533)^(1/5)-1</f>
        <v>#DIV/0!</v>
      </c>
      <c r="Z533" s="12"/>
    </row>
    <row r="534" spans="1:26">
      <c r="A534" s="57"/>
      <c r="B534" s="57"/>
      <c r="C534" s="61" t="s">
        <v>892</v>
      </c>
      <c r="D534" s="61"/>
      <c r="E534" s="61"/>
      <c r="F534" s="61"/>
      <c r="G534" s="61"/>
      <c r="H534" s="61"/>
      <c r="I534" s="61"/>
      <c r="J534" s="61" t="s">
        <v>58</v>
      </c>
      <c r="K534" s="58"/>
      <c r="L534" s="59"/>
      <c r="M534" s="62" t="e">
        <v>#DIV/0!</v>
      </c>
      <c r="N534" s="62" t="e">
        <f t="shared" ref="N534:V534" si="388">N533/M533-1</f>
        <v>#DIV/0!</v>
      </c>
      <c r="O534" s="62" t="e">
        <f t="shared" si="388"/>
        <v>#DIV/0!</v>
      </c>
      <c r="P534" s="62" t="e">
        <f t="shared" si="388"/>
        <v>#DIV/0!</v>
      </c>
      <c r="Q534" s="62" t="e">
        <f t="shared" si="388"/>
        <v>#DIV/0!</v>
      </c>
      <c r="R534" s="62" t="e">
        <f t="shared" si="388"/>
        <v>#DIV/0!</v>
      </c>
      <c r="S534" s="62" t="e">
        <f t="shared" si="388"/>
        <v>#DIV/0!</v>
      </c>
      <c r="T534" s="62" t="e">
        <f t="shared" si="388"/>
        <v>#DIV/0!</v>
      </c>
      <c r="U534" s="62" t="e">
        <f t="shared" si="388"/>
        <v>#DIV/0!</v>
      </c>
      <c r="V534" s="62" t="e">
        <f t="shared" si="388"/>
        <v>#DIV/0!</v>
      </c>
      <c r="W534" s="259"/>
      <c r="X534" s="259"/>
    </row>
    <row r="535" spans="1:26">
      <c r="A535" s="55" t="str">
        <f>Home!$B$1</f>
        <v>Poland</v>
      </c>
      <c r="B535" s="56" t="s">
        <v>94</v>
      </c>
      <c r="C535" s="56" t="s">
        <v>130</v>
      </c>
      <c r="D535" s="56" t="s">
        <v>74</v>
      </c>
      <c r="E535" s="55" t="s">
        <v>476</v>
      </c>
      <c r="F535" s="57" t="s">
        <v>477</v>
      </c>
      <c r="G535" s="57" t="s">
        <v>15</v>
      </c>
      <c r="H535" s="57" t="s">
        <v>16</v>
      </c>
      <c r="I535" s="57"/>
      <c r="J535" s="57" t="s">
        <v>99</v>
      </c>
      <c r="K535" s="58">
        <v>130.702</v>
      </c>
      <c r="L535" s="80"/>
      <c r="M535" s="80"/>
      <c r="N535" s="80"/>
      <c r="O535" s="80"/>
      <c r="P535" s="80"/>
      <c r="Q535" s="80"/>
      <c r="R535" s="110">
        <f>Forecasting!R581</f>
        <v>0</v>
      </c>
      <c r="S535" s="110">
        <f>Forecasting!S581</f>
        <v>0</v>
      </c>
      <c r="T535" s="110">
        <f>Forecasting!T581</f>
        <v>0</v>
      </c>
      <c r="U535" s="110">
        <f>Forecasting!U581</f>
        <v>0</v>
      </c>
      <c r="V535" s="110">
        <f>Forecasting!V581</f>
        <v>0</v>
      </c>
      <c r="W535" s="106" t="e">
        <f>+(Q535/M535)^(1/4)-1</f>
        <v>#DIV/0!</v>
      </c>
      <c r="X535" s="106" t="e">
        <f>+(V535/Q535)^(1/5)-1</f>
        <v>#DIV/0!</v>
      </c>
      <c r="Z535" s="12"/>
    </row>
    <row r="536" spans="1:26">
      <c r="A536" s="57"/>
      <c r="B536" s="57"/>
      <c r="C536" s="61" t="s">
        <v>892</v>
      </c>
      <c r="D536" s="61"/>
      <c r="E536" s="61"/>
      <c r="F536" s="61"/>
      <c r="G536" s="61"/>
      <c r="H536" s="61"/>
      <c r="I536" s="61"/>
      <c r="J536" s="61" t="s">
        <v>58</v>
      </c>
      <c r="K536" s="58"/>
      <c r="L536" s="59"/>
      <c r="M536" s="62" t="e">
        <v>#DIV/0!</v>
      </c>
      <c r="N536" s="62" t="e">
        <f t="shared" ref="N536:V536" si="389">N535/M535-1</f>
        <v>#DIV/0!</v>
      </c>
      <c r="O536" s="62" t="e">
        <f t="shared" si="389"/>
        <v>#DIV/0!</v>
      </c>
      <c r="P536" s="62" t="e">
        <f t="shared" si="389"/>
        <v>#DIV/0!</v>
      </c>
      <c r="Q536" s="62" t="e">
        <f t="shared" si="389"/>
        <v>#DIV/0!</v>
      </c>
      <c r="R536" s="62" t="e">
        <f t="shared" si="389"/>
        <v>#DIV/0!</v>
      </c>
      <c r="S536" s="62" t="e">
        <f t="shared" si="389"/>
        <v>#DIV/0!</v>
      </c>
      <c r="T536" s="62" t="e">
        <f t="shared" si="389"/>
        <v>#DIV/0!</v>
      </c>
      <c r="U536" s="62" t="e">
        <f t="shared" si="389"/>
        <v>#DIV/0!</v>
      </c>
      <c r="V536" s="62" t="e">
        <f t="shared" si="389"/>
        <v>#DIV/0!</v>
      </c>
      <c r="W536" s="259"/>
      <c r="X536" s="259"/>
    </row>
    <row r="537" spans="1:26">
      <c r="A537" s="55" t="str">
        <f>Home!$B$1</f>
        <v>Poland</v>
      </c>
      <c r="B537" s="56" t="s">
        <v>94</v>
      </c>
      <c r="C537" s="56" t="s">
        <v>130</v>
      </c>
      <c r="D537" s="56" t="s">
        <v>74</v>
      </c>
      <c r="E537" s="55" t="s">
        <v>478</v>
      </c>
      <c r="F537" s="57" t="s">
        <v>479</v>
      </c>
      <c r="G537" s="57" t="s">
        <v>15</v>
      </c>
      <c r="H537" s="57" t="s">
        <v>16</v>
      </c>
      <c r="I537" s="57"/>
      <c r="J537" s="57" t="s">
        <v>99</v>
      </c>
      <c r="K537" s="58"/>
      <c r="L537" s="80"/>
      <c r="M537" s="80"/>
      <c r="N537" s="80"/>
      <c r="O537" s="80"/>
      <c r="P537" s="80"/>
      <c r="Q537" s="80"/>
      <c r="R537" s="110">
        <f>Forecasting!R583</f>
        <v>0</v>
      </c>
      <c r="S537" s="110">
        <f>Forecasting!S583</f>
        <v>0</v>
      </c>
      <c r="T537" s="110">
        <f>Forecasting!T583</f>
        <v>0</v>
      </c>
      <c r="U537" s="110">
        <f>Forecasting!U583</f>
        <v>0</v>
      </c>
      <c r="V537" s="110">
        <f>Forecasting!V583</f>
        <v>0</v>
      </c>
      <c r="W537" s="106" t="e">
        <f>+(Q537/M537)^(1/4)-1</f>
        <v>#DIV/0!</v>
      </c>
      <c r="X537" s="106" t="e">
        <f>+(V537/Q537)^(1/5)-1</f>
        <v>#DIV/0!</v>
      </c>
    </row>
    <row r="538" spans="1:26">
      <c r="A538" s="57"/>
      <c r="B538" s="57"/>
      <c r="C538" s="61" t="s">
        <v>892</v>
      </c>
      <c r="D538" s="61"/>
      <c r="E538" s="61"/>
      <c r="F538" s="61"/>
      <c r="G538" s="61"/>
      <c r="H538" s="61"/>
      <c r="I538" s="61"/>
      <c r="J538" s="61" t="s">
        <v>58</v>
      </c>
      <c r="K538" s="58"/>
      <c r="L538" s="59"/>
      <c r="M538" s="62" t="e">
        <v>#DIV/0!</v>
      </c>
      <c r="N538" s="62" t="e">
        <f t="shared" ref="N538:V538" si="390">N537/M537-1</f>
        <v>#DIV/0!</v>
      </c>
      <c r="O538" s="62" t="e">
        <f t="shared" si="390"/>
        <v>#DIV/0!</v>
      </c>
      <c r="P538" s="62" t="e">
        <f t="shared" si="390"/>
        <v>#DIV/0!</v>
      </c>
      <c r="Q538" s="62" t="e">
        <f t="shared" si="390"/>
        <v>#DIV/0!</v>
      </c>
      <c r="R538" s="62" t="e">
        <f t="shared" si="390"/>
        <v>#DIV/0!</v>
      </c>
      <c r="S538" s="62" t="e">
        <f t="shared" si="390"/>
        <v>#DIV/0!</v>
      </c>
      <c r="T538" s="62" t="e">
        <f t="shared" si="390"/>
        <v>#DIV/0!</v>
      </c>
      <c r="U538" s="62" t="e">
        <f t="shared" si="390"/>
        <v>#DIV/0!</v>
      </c>
      <c r="V538" s="62" t="e">
        <f t="shared" si="390"/>
        <v>#DIV/0!</v>
      </c>
      <c r="W538" s="259"/>
      <c r="X538" s="259"/>
    </row>
    <row r="539" spans="1:26">
      <c r="A539" s="55" t="str">
        <f>Home!$B$1</f>
        <v>Poland</v>
      </c>
      <c r="B539" s="56" t="s">
        <v>94</v>
      </c>
      <c r="C539" s="56" t="s">
        <v>130</v>
      </c>
      <c r="D539" s="56" t="s">
        <v>74</v>
      </c>
      <c r="E539" s="55" t="s">
        <v>480</v>
      </c>
      <c r="F539" s="57" t="s">
        <v>481</v>
      </c>
      <c r="G539" s="57" t="s">
        <v>15</v>
      </c>
      <c r="H539" s="57" t="s">
        <v>16</v>
      </c>
      <c r="I539" s="57"/>
      <c r="J539" s="57" t="s">
        <v>99</v>
      </c>
      <c r="K539" s="58">
        <v>221.44900000000001</v>
      </c>
      <c r="L539" s="80"/>
      <c r="M539" s="80"/>
      <c r="N539" s="80"/>
      <c r="O539" s="80"/>
      <c r="P539" s="80"/>
      <c r="Q539" s="80"/>
      <c r="R539" s="110">
        <f>Forecasting!R585</f>
        <v>0</v>
      </c>
      <c r="S539" s="110">
        <f>Forecasting!S585</f>
        <v>0</v>
      </c>
      <c r="T539" s="110">
        <f>Forecasting!T585</f>
        <v>0</v>
      </c>
      <c r="U539" s="110">
        <f>Forecasting!U585</f>
        <v>0</v>
      </c>
      <c r="V539" s="110">
        <f>Forecasting!V585</f>
        <v>0</v>
      </c>
      <c r="W539" s="106" t="e">
        <f>+(Q539/M539)^(1/4)-1</f>
        <v>#DIV/0!</v>
      </c>
      <c r="X539" s="106" t="e">
        <f>+(V539/Q539)^(1/5)-1</f>
        <v>#DIV/0!</v>
      </c>
      <c r="Z539" s="12"/>
    </row>
    <row r="540" spans="1:26">
      <c r="A540" s="57"/>
      <c r="B540" s="57"/>
      <c r="C540" s="61" t="s">
        <v>892</v>
      </c>
      <c r="D540" s="61"/>
      <c r="E540" s="61"/>
      <c r="F540" s="61"/>
      <c r="G540" s="61"/>
      <c r="H540" s="61"/>
      <c r="I540" s="61"/>
      <c r="J540" s="61" t="s">
        <v>58</v>
      </c>
      <c r="K540" s="58"/>
      <c r="L540" s="59"/>
      <c r="M540" s="62" t="e">
        <v>#DIV/0!</v>
      </c>
      <c r="N540" s="62" t="e">
        <f t="shared" ref="N540:V540" si="391">N539/M539-1</f>
        <v>#DIV/0!</v>
      </c>
      <c r="O540" s="62" t="e">
        <f t="shared" si="391"/>
        <v>#DIV/0!</v>
      </c>
      <c r="P540" s="62" t="e">
        <f t="shared" si="391"/>
        <v>#DIV/0!</v>
      </c>
      <c r="Q540" s="62" t="e">
        <f t="shared" si="391"/>
        <v>#DIV/0!</v>
      </c>
      <c r="R540" s="62" t="e">
        <f t="shared" si="391"/>
        <v>#DIV/0!</v>
      </c>
      <c r="S540" s="62" t="e">
        <f t="shared" si="391"/>
        <v>#DIV/0!</v>
      </c>
      <c r="T540" s="62" t="e">
        <f t="shared" si="391"/>
        <v>#DIV/0!</v>
      </c>
      <c r="U540" s="62" t="e">
        <f t="shared" si="391"/>
        <v>#DIV/0!</v>
      </c>
      <c r="V540" s="62" t="e">
        <f t="shared" si="391"/>
        <v>#DIV/0!</v>
      </c>
      <c r="W540" s="259"/>
      <c r="X540" s="259"/>
    </row>
    <row r="541" spans="1:26">
      <c r="A541" s="55" t="str">
        <f>Home!$B$1</f>
        <v>Poland</v>
      </c>
      <c r="B541" s="56" t="s">
        <v>94</v>
      </c>
      <c r="C541" s="56" t="s">
        <v>130</v>
      </c>
      <c r="D541" s="56" t="s">
        <v>74</v>
      </c>
      <c r="E541" s="55" t="s">
        <v>482</v>
      </c>
      <c r="F541" s="57" t="s">
        <v>483</v>
      </c>
      <c r="G541" s="57" t="s">
        <v>15</v>
      </c>
      <c r="H541" s="57" t="s">
        <v>16</v>
      </c>
      <c r="I541" s="57"/>
      <c r="J541" s="57" t="s">
        <v>99</v>
      </c>
      <c r="K541" s="58">
        <v>147.173</v>
      </c>
      <c r="L541" s="80"/>
      <c r="M541" s="80"/>
      <c r="N541" s="80"/>
      <c r="O541" s="80"/>
      <c r="P541" s="80"/>
      <c r="Q541" s="80"/>
      <c r="R541" s="110">
        <f>Forecasting!R587</f>
        <v>0</v>
      </c>
      <c r="S541" s="110">
        <f>Forecasting!S587</f>
        <v>0</v>
      </c>
      <c r="T541" s="110">
        <f>Forecasting!T587</f>
        <v>0</v>
      </c>
      <c r="U541" s="110">
        <f>Forecasting!U587</f>
        <v>0</v>
      </c>
      <c r="V541" s="110">
        <f>Forecasting!V587</f>
        <v>0</v>
      </c>
      <c r="W541" s="106" t="e">
        <f>+(Q541/M541)^(1/4)-1</f>
        <v>#DIV/0!</v>
      </c>
      <c r="X541" s="106" t="e">
        <f>+(V541/Q541)^(1/5)-1</f>
        <v>#DIV/0!</v>
      </c>
      <c r="Z541" s="12"/>
    </row>
    <row r="542" spans="1:26">
      <c r="A542" s="57"/>
      <c r="B542" s="57"/>
      <c r="C542" s="61" t="s">
        <v>892</v>
      </c>
      <c r="D542" s="61"/>
      <c r="E542" s="61"/>
      <c r="F542" s="61"/>
      <c r="G542" s="61"/>
      <c r="H542" s="61"/>
      <c r="I542" s="61"/>
      <c r="J542" s="61" t="s">
        <v>58</v>
      </c>
      <c r="K542" s="58"/>
      <c r="L542" s="59"/>
      <c r="M542" s="62" t="e">
        <v>#DIV/0!</v>
      </c>
      <c r="N542" s="62" t="e">
        <f t="shared" ref="N542:V542" si="392">N541/M541-1</f>
        <v>#DIV/0!</v>
      </c>
      <c r="O542" s="62" t="e">
        <f t="shared" si="392"/>
        <v>#DIV/0!</v>
      </c>
      <c r="P542" s="62" t="e">
        <f t="shared" si="392"/>
        <v>#DIV/0!</v>
      </c>
      <c r="Q542" s="62" t="e">
        <f t="shared" si="392"/>
        <v>#DIV/0!</v>
      </c>
      <c r="R542" s="62" t="e">
        <f t="shared" si="392"/>
        <v>#DIV/0!</v>
      </c>
      <c r="S542" s="62" t="e">
        <f t="shared" si="392"/>
        <v>#DIV/0!</v>
      </c>
      <c r="T542" s="62" t="e">
        <f t="shared" si="392"/>
        <v>#DIV/0!</v>
      </c>
      <c r="U542" s="62" t="e">
        <f t="shared" si="392"/>
        <v>#DIV/0!</v>
      </c>
      <c r="V542" s="62" t="e">
        <f t="shared" si="392"/>
        <v>#DIV/0!</v>
      </c>
      <c r="W542" s="259"/>
      <c r="X542" s="259"/>
    </row>
    <row r="543" spans="1:26">
      <c r="A543" s="55" t="str">
        <f>Home!$B$1</f>
        <v>Poland</v>
      </c>
      <c r="B543" s="56" t="s">
        <v>94</v>
      </c>
      <c r="C543" s="56" t="s">
        <v>130</v>
      </c>
      <c r="D543" s="56" t="s">
        <v>74</v>
      </c>
      <c r="E543" s="55" t="s">
        <v>484</v>
      </c>
      <c r="F543" s="57" t="s">
        <v>485</v>
      </c>
      <c r="G543" s="57" t="s">
        <v>15</v>
      </c>
      <c r="H543" s="57" t="s">
        <v>16</v>
      </c>
      <c r="I543" s="57"/>
      <c r="J543" s="57" t="s">
        <v>99</v>
      </c>
      <c r="K543" s="58">
        <v>153.83500000000001</v>
      </c>
      <c r="L543" s="80"/>
      <c r="M543" s="80"/>
      <c r="N543" s="80"/>
      <c r="O543" s="80"/>
      <c r="P543" s="80"/>
      <c r="Q543" s="80"/>
      <c r="R543" s="110">
        <f>Forecasting!R589</f>
        <v>0</v>
      </c>
      <c r="S543" s="110">
        <f>Forecasting!S589</f>
        <v>0</v>
      </c>
      <c r="T543" s="110">
        <f>Forecasting!T589</f>
        <v>0</v>
      </c>
      <c r="U543" s="110">
        <f>Forecasting!U589</f>
        <v>0</v>
      </c>
      <c r="V543" s="110">
        <f>Forecasting!V589</f>
        <v>0</v>
      </c>
      <c r="W543" s="106" t="e">
        <f>+(Q543/M543)^(1/4)-1</f>
        <v>#DIV/0!</v>
      </c>
      <c r="X543" s="106" t="e">
        <f>+(V543/Q543)^(1/5)-1</f>
        <v>#DIV/0!</v>
      </c>
      <c r="Z543" s="12"/>
    </row>
    <row r="544" spans="1:26">
      <c r="A544" s="57"/>
      <c r="B544" s="57"/>
      <c r="C544" s="61" t="s">
        <v>892</v>
      </c>
      <c r="D544" s="61"/>
      <c r="E544" s="61"/>
      <c r="F544" s="61"/>
      <c r="G544" s="61"/>
      <c r="H544" s="61"/>
      <c r="I544" s="61"/>
      <c r="J544" s="61" t="s">
        <v>58</v>
      </c>
      <c r="K544" s="58"/>
      <c r="L544" s="59"/>
      <c r="M544" s="62" t="e">
        <v>#DIV/0!</v>
      </c>
      <c r="N544" s="62" t="e">
        <f t="shared" ref="N544:V544" si="393">N543/M543-1</f>
        <v>#DIV/0!</v>
      </c>
      <c r="O544" s="62" t="e">
        <f t="shared" si="393"/>
        <v>#DIV/0!</v>
      </c>
      <c r="P544" s="62" t="e">
        <f t="shared" si="393"/>
        <v>#DIV/0!</v>
      </c>
      <c r="Q544" s="62" t="e">
        <f t="shared" si="393"/>
        <v>#DIV/0!</v>
      </c>
      <c r="R544" s="62" t="e">
        <f t="shared" si="393"/>
        <v>#DIV/0!</v>
      </c>
      <c r="S544" s="62" t="e">
        <f t="shared" si="393"/>
        <v>#DIV/0!</v>
      </c>
      <c r="T544" s="62" t="e">
        <f t="shared" si="393"/>
        <v>#DIV/0!</v>
      </c>
      <c r="U544" s="62" t="e">
        <f t="shared" si="393"/>
        <v>#DIV/0!</v>
      </c>
      <c r="V544" s="62" t="e">
        <f t="shared" si="393"/>
        <v>#DIV/0!</v>
      </c>
      <c r="W544" s="259"/>
      <c r="X544" s="259"/>
    </row>
    <row r="545" spans="1:26">
      <c r="A545" s="55" t="str">
        <f>Home!$B$1</f>
        <v>Poland</v>
      </c>
      <c r="B545" s="56" t="s">
        <v>94</v>
      </c>
      <c r="C545" s="56" t="s">
        <v>130</v>
      </c>
      <c r="D545" s="56" t="s">
        <v>74</v>
      </c>
      <c r="E545" s="55" t="s">
        <v>486</v>
      </c>
      <c r="F545" s="57" t="s">
        <v>487</v>
      </c>
      <c r="G545" s="57" t="s">
        <v>15</v>
      </c>
      <c r="H545" s="57" t="s">
        <v>16</v>
      </c>
      <c r="I545" s="57"/>
      <c r="J545" s="57" t="s">
        <v>99</v>
      </c>
      <c r="K545" s="58"/>
      <c r="L545" s="80"/>
      <c r="M545" s="80"/>
      <c r="N545" s="80"/>
      <c r="O545" s="80"/>
      <c r="P545" s="80"/>
      <c r="Q545" s="80"/>
      <c r="R545" s="110">
        <f>Forecasting!R591</f>
        <v>0</v>
      </c>
      <c r="S545" s="110">
        <f>Forecasting!S591</f>
        <v>0</v>
      </c>
      <c r="T545" s="110">
        <f>Forecasting!T591</f>
        <v>0</v>
      </c>
      <c r="U545" s="110">
        <f>Forecasting!U591</f>
        <v>0</v>
      </c>
      <c r="V545" s="110">
        <f>Forecasting!V591</f>
        <v>0</v>
      </c>
      <c r="W545" s="106" t="e">
        <f>+(Q545/M545)^(1/4)-1</f>
        <v>#DIV/0!</v>
      </c>
      <c r="X545" s="106" t="e">
        <f>+(V545/Q545)^(1/5)-1</f>
        <v>#DIV/0!</v>
      </c>
    </row>
    <row r="546" spans="1:26">
      <c r="A546" s="57"/>
      <c r="B546" s="57"/>
      <c r="C546" s="61" t="s">
        <v>892</v>
      </c>
      <c r="D546" s="61"/>
      <c r="E546" s="61"/>
      <c r="F546" s="61"/>
      <c r="G546" s="61"/>
      <c r="H546" s="61"/>
      <c r="I546" s="61"/>
      <c r="J546" s="61" t="s">
        <v>58</v>
      </c>
      <c r="K546" s="58"/>
      <c r="L546" s="59"/>
      <c r="M546" s="62" t="e">
        <v>#DIV/0!</v>
      </c>
      <c r="N546" s="62" t="e">
        <f t="shared" ref="N546:V546" si="394">N545/M545-1</f>
        <v>#DIV/0!</v>
      </c>
      <c r="O546" s="62" t="e">
        <f t="shared" si="394"/>
        <v>#DIV/0!</v>
      </c>
      <c r="P546" s="62" t="e">
        <f t="shared" si="394"/>
        <v>#DIV/0!</v>
      </c>
      <c r="Q546" s="62" t="e">
        <f t="shared" si="394"/>
        <v>#DIV/0!</v>
      </c>
      <c r="R546" s="62" t="e">
        <f t="shared" si="394"/>
        <v>#DIV/0!</v>
      </c>
      <c r="S546" s="62" t="e">
        <f t="shared" si="394"/>
        <v>#DIV/0!</v>
      </c>
      <c r="T546" s="62" t="e">
        <f t="shared" si="394"/>
        <v>#DIV/0!</v>
      </c>
      <c r="U546" s="62" t="e">
        <f t="shared" si="394"/>
        <v>#DIV/0!</v>
      </c>
      <c r="V546" s="62" t="e">
        <f t="shared" si="394"/>
        <v>#DIV/0!</v>
      </c>
      <c r="W546" s="259"/>
      <c r="X546" s="259"/>
    </row>
    <row r="547" spans="1:26">
      <c r="A547" s="55" t="str">
        <f>Home!$B$1</f>
        <v>Poland</v>
      </c>
      <c r="B547" s="56" t="s">
        <v>94</v>
      </c>
      <c r="C547" s="56" t="s">
        <v>130</v>
      </c>
      <c r="D547" s="56" t="s">
        <v>74</v>
      </c>
      <c r="E547" s="55" t="s">
        <v>488</v>
      </c>
      <c r="F547" s="57" t="s">
        <v>489</v>
      </c>
      <c r="G547" s="57" t="s">
        <v>15</v>
      </c>
      <c r="H547" s="57" t="s">
        <v>16</v>
      </c>
      <c r="I547" s="57"/>
      <c r="J547" s="57" t="s">
        <v>99</v>
      </c>
      <c r="K547" s="58"/>
      <c r="L547" s="80"/>
      <c r="M547" s="80"/>
      <c r="N547" s="80"/>
      <c r="O547" s="80"/>
      <c r="P547" s="80"/>
      <c r="Q547" s="80"/>
      <c r="R547" s="110">
        <f>Forecasting!R593</f>
        <v>0</v>
      </c>
      <c r="S547" s="110">
        <f>Forecasting!S593</f>
        <v>0</v>
      </c>
      <c r="T547" s="110">
        <f>Forecasting!T593</f>
        <v>0</v>
      </c>
      <c r="U547" s="110">
        <f>Forecasting!U593</f>
        <v>0</v>
      </c>
      <c r="V547" s="110">
        <f>Forecasting!V593</f>
        <v>0</v>
      </c>
      <c r="W547" s="106" t="e">
        <f>+(Q547/M547)^(1/4)-1</f>
        <v>#DIV/0!</v>
      </c>
      <c r="X547" s="106" t="e">
        <f>+(V547/Q547)^(1/5)-1</f>
        <v>#DIV/0!</v>
      </c>
    </row>
    <row r="548" spans="1:26">
      <c r="A548" s="57"/>
      <c r="B548" s="57"/>
      <c r="C548" s="61" t="s">
        <v>892</v>
      </c>
      <c r="D548" s="61"/>
      <c r="E548" s="61"/>
      <c r="F548" s="61"/>
      <c r="G548" s="61"/>
      <c r="H548" s="61"/>
      <c r="I548" s="61"/>
      <c r="J548" s="61" t="s">
        <v>58</v>
      </c>
      <c r="K548" s="58"/>
      <c r="L548" s="59"/>
      <c r="M548" s="62" t="e">
        <v>#DIV/0!</v>
      </c>
      <c r="N548" s="62" t="e">
        <f t="shared" ref="N548:V548" si="395">N547/M547-1</f>
        <v>#DIV/0!</v>
      </c>
      <c r="O548" s="62" t="e">
        <f t="shared" si="395"/>
        <v>#DIV/0!</v>
      </c>
      <c r="P548" s="62" t="e">
        <f t="shared" si="395"/>
        <v>#DIV/0!</v>
      </c>
      <c r="Q548" s="62" t="e">
        <f t="shared" si="395"/>
        <v>#DIV/0!</v>
      </c>
      <c r="R548" s="62" t="e">
        <f t="shared" si="395"/>
        <v>#DIV/0!</v>
      </c>
      <c r="S548" s="62" t="e">
        <f t="shared" si="395"/>
        <v>#DIV/0!</v>
      </c>
      <c r="T548" s="62" t="e">
        <f t="shared" si="395"/>
        <v>#DIV/0!</v>
      </c>
      <c r="U548" s="62" t="e">
        <f t="shared" si="395"/>
        <v>#DIV/0!</v>
      </c>
      <c r="V548" s="62" t="e">
        <f t="shared" si="395"/>
        <v>#DIV/0!</v>
      </c>
      <c r="W548" s="259"/>
      <c r="X548" s="259"/>
    </row>
    <row r="549" spans="1:26">
      <c r="A549" s="55" t="str">
        <f>Home!$B$1</f>
        <v>Poland</v>
      </c>
      <c r="B549" s="56" t="s">
        <v>94</v>
      </c>
      <c r="C549" s="56" t="s">
        <v>130</v>
      </c>
      <c r="D549" s="56" t="s">
        <v>74</v>
      </c>
      <c r="E549" s="55" t="s">
        <v>490</v>
      </c>
      <c r="F549" s="57" t="s">
        <v>491</v>
      </c>
      <c r="G549" s="57" t="s">
        <v>15</v>
      </c>
      <c r="H549" s="57" t="s">
        <v>16</v>
      </c>
      <c r="I549" s="57"/>
      <c r="J549" s="57" t="s">
        <v>99</v>
      </c>
      <c r="K549" s="58"/>
      <c r="L549" s="80"/>
      <c r="M549" s="80"/>
      <c r="N549" s="80"/>
      <c r="O549" s="80"/>
      <c r="P549" s="80"/>
      <c r="Q549" s="80"/>
      <c r="R549" s="110">
        <f>Forecasting!R595</f>
        <v>0</v>
      </c>
      <c r="S549" s="110">
        <f>Forecasting!S595</f>
        <v>0</v>
      </c>
      <c r="T549" s="110">
        <f>Forecasting!T595</f>
        <v>0</v>
      </c>
      <c r="U549" s="110">
        <f>Forecasting!U595</f>
        <v>0</v>
      </c>
      <c r="V549" s="110">
        <f>Forecasting!V595</f>
        <v>0</v>
      </c>
      <c r="W549" s="106" t="e">
        <f>+(Q549/M549)^(1/4)-1</f>
        <v>#DIV/0!</v>
      </c>
      <c r="X549" s="106" t="e">
        <f>+(V549/Q549)^(1/5)-1</f>
        <v>#DIV/0!</v>
      </c>
    </row>
    <row r="550" spans="1:26">
      <c r="A550" s="57"/>
      <c r="B550" s="57"/>
      <c r="C550" s="61" t="s">
        <v>892</v>
      </c>
      <c r="D550" s="61"/>
      <c r="E550" s="61"/>
      <c r="F550" s="61"/>
      <c r="G550" s="61"/>
      <c r="H550" s="61"/>
      <c r="I550" s="61"/>
      <c r="J550" s="61" t="s">
        <v>58</v>
      </c>
      <c r="K550" s="58"/>
      <c r="L550" s="59"/>
      <c r="M550" s="62" t="e">
        <v>#DIV/0!</v>
      </c>
      <c r="N550" s="62" t="e">
        <f t="shared" ref="N550:V550" si="396">N549/M549-1</f>
        <v>#DIV/0!</v>
      </c>
      <c r="O550" s="62" t="e">
        <f t="shared" si="396"/>
        <v>#DIV/0!</v>
      </c>
      <c r="P550" s="62" t="e">
        <f t="shared" si="396"/>
        <v>#DIV/0!</v>
      </c>
      <c r="Q550" s="62" t="e">
        <f t="shared" si="396"/>
        <v>#DIV/0!</v>
      </c>
      <c r="R550" s="62" t="e">
        <f t="shared" si="396"/>
        <v>#DIV/0!</v>
      </c>
      <c r="S550" s="62" t="e">
        <f t="shared" si="396"/>
        <v>#DIV/0!</v>
      </c>
      <c r="T550" s="62" t="e">
        <f t="shared" si="396"/>
        <v>#DIV/0!</v>
      </c>
      <c r="U550" s="62" t="e">
        <f t="shared" si="396"/>
        <v>#DIV/0!</v>
      </c>
      <c r="V550" s="62" t="e">
        <f t="shared" si="396"/>
        <v>#DIV/0!</v>
      </c>
      <c r="W550" s="259"/>
      <c r="X550" s="259"/>
    </row>
    <row r="551" spans="1:26">
      <c r="A551" s="55" t="str">
        <f>Home!$B$1</f>
        <v>Poland</v>
      </c>
      <c r="B551" s="56" t="s">
        <v>94</v>
      </c>
      <c r="C551" s="56" t="s">
        <v>130</v>
      </c>
      <c r="D551" s="56" t="s">
        <v>74</v>
      </c>
      <c r="E551" s="55" t="s">
        <v>492</v>
      </c>
      <c r="F551" s="57" t="s">
        <v>493</v>
      </c>
      <c r="G551" s="57" t="s">
        <v>15</v>
      </c>
      <c r="H551" s="57" t="s">
        <v>16</v>
      </c>
      <c r="I551" s="57"/>
      <c r="J551" s="57" t="s">
        <v>99</v>
      </c>
      <c r="K551" s="58">
        <v>173.79300000000001</v>
      </c>
      <c r="L551" s="80"/>
      <c r="M551" s="80"/>
      <c r="N551" s="80"/>
      <c r="O551" s="80"/>
      <c r="P551" s="80"/>
      <c r="Q551" s="80"/>
      <c r="R551" s="110">
        <f>Forecasting!R597</f>
        <v>0</v>
      </c>
      <c r="S551" s="110">
        <f>Forecasting!S597</f>
        <v>0</v>
      </c>
      <c r="T551" s="110">
        <f>Forecasting!T597</f>
        <v>0</v>
      </c>
      <c r="U551" s="110">
        <f>Forecasting!U597</f>
        <v>0</v>
      </c>
      <c r="V551" s="110">
        <f>Forecasting!V597</f>
        <v>0</v>
      </c>
      <c r="W551" s="106" t="e">
        <f>+(Q551/M551)^(1/4)-1</f>
        <v>#DIV/0!</v>
      </c>
      <c r="X551" s="106" t="e">
        <f>+(V551/Q551)^(1/5)-1</f>
        <v>#DIV/0!</v>
      </c>
      <c r="Z551" s="12"/>
    </row>
    <row r="552" spans="1:26">
      <c r="A552" s="57"/>
      <c r="B552" s="57"/>
      <c r="C552" s="61" t="s">
        <v>892</v>
      </c>
      <c r="D552" s="61"/>
      <c r="E552" s="61"/>
      <c r="F552" s="61"/>
      <c r="G552" s="61"/>
      <c r="H552" s="61"/>
      <c r="I552" s="61"/>
      <c r="J552" s="61" t="s">
        <v>58</v>
      </c>
      <c r="K552" s="58"/>
      <c r="L552" s="59"/>
      <c r="M552" s="62" t="e">
        <v>#DIV/0!</v>
      </c>
      <c r="N552" s="62" t="e">
        <f t="shared" ref="N552:V552" si="397">N551/M551-1</f>
        <v>#DIV/0!</v>
      </c>
      <c r="O552" s="62" t="e">
        <f t="shared" si="397"/>
        <v>#DIV/0!</v>
      </c>
      <c r="P552" s="62" t="e">
        <f t="shared" si="397"/>
        <v>#DIV/0!</v>
      </c>
      <c r="Q552" s="62" t="e">
        <f t="shared" si="397"/>
        <v>#DIV/0!</v>
      </c>
      <c r="R552" s="62" t="e">
        <f t="shared" si="397"/>
        <v>#DIV/0!</v>
      </c>
      <c r="S552" s="62" t="e">
        <f t="shared" si="397"/>
        <v>#DIV/0!</v>
      </c>
      <c r="T552" s="62" t="e">
        <f t="shared" si="397"/>
        <v>#DIV/0!</v>
      </c>
      <c r="U552" s="62" t="e">
        <f t="shared" si="397"/>
        <v>#DIV/0!</v>
      </c>
      <c r="V552" s="62" t="e">
        <f t="shared" si="397"/>
        <v>#DIV/0!</v>
      </c>
      <c r="W552" s="259"/>
      <c r="X552" s="259"/>
    </row>
    <row r="553" spans="1:26">
      <c r="A553" s="55" t="str">
        <f>Home!$B$1</f>
        <v>Poland</v>
      </c>
      <c r="B553" s="56" t="s">
        <v>94</v>
      </c>
      <c r="C553" s="56" t="s">
        <v>130</v>
      </c>
      <c r="D553" s="56" t="s">
        <v>74</v>
      </c>
      <c r="E553" s="55" t="s">
        <v>494</v>
      </c>
      <c r="F553" s="57" t="s">
        <v>495</v>
      </c>
      <c r="G553" s="57" t="s">
        <v>15</v>
      </c>
      <c r="H553" s="57" t="s">
        <v>16</v>
      </c>
      <c r="I553" s="57"/>
      <c r="J553" s="57" t="s">
        <v>99</v>
      </c>
      <c r="K553" s="58"/>
      <c r="L553" s="80"/>
      <c r="M553" s="80"/>
      <c r="N553" s="80"/>
      <c r="O553" s="80"/>
      <c r="P553" s="80"/>
      <c r="Q553" s="80"/>
      <c r="R553" s="110">
        <f>Forecasting!R599</f>
        <v>0</v>
      </c>
      <c r="S553" s="110">
        <f>Forecasting!S599</f>
        <v>0</v>
      </c>
      <c r="T553" s="110">
        <f>Forecasting!T599</f>
        <v>0</v>
      </c>
      <c r="U553" s="110">
        <f>Forecasting!U599</f>
        <v>0</v>
      </c>
      <c r="V553" s="110">
        <f>Forecasting!V599</f>
        <v>0</v>
      </c>
      <c r="W553" s="106" t="e">
        <f>+(Q553/M553)^(1/4)-1</f>
        <v>#DIV/0!</v>
      </c>
      <c r="X553" s="106" t="e">
        <f>+(V553/Q553)^(1/5)-1</f>
        <v>#DIV/0!</v>
      </c>
    </row>
    <row r="554" spans="1:26">
      <c r="A554" s="57"/>
      <c r="B554" s="57"/>
      <c r="C554" s="61" t="s">
        <v>892</v>
      </c>
      <c r="D554" s="61"/>
      <c r="E554" s="61"/>
      <c r="F554" s="61"/>
      <c r="G554" s="61"/>
      <c r="H554" s="61"/>
      <c r="I554" s="61"/>
      <c r="J554" s="61" t="s">
        <v>58</v>
      </c>
      <c r="K554" s="58"/>
      <c r="L554" s="59"/>
      <c r="M554" s="62" t="e">
        <v>#DIV/0!</v>
      </c>
      <c r="N554" s="62" t="e">
        <f t="shared" ref="N554:V554" si="398">N553/M553-1</f>
        <v>#DIV/0!</v>
      </c>
      <c r="O554" s="62" t="e">
        <f t="shared" si="398"/>
        <v>#DIV/0!</v>
      </c>
      <c r="P554" s="62" t="e">
        <f t="shared" si="398"/>
        <v>#DIV/0!</v>
      </c>
      <c r="Q554" s="62" t="e">
        <f t="shared" si="398"/>
        <v>#DIV/0!</v>
      </c>
      <c r="R554" s="62" t="e">
        <f t="shared" si="398"/>
        <v>#DIV/0!</v>
      </c>
      <c r="S554" s="62" t="e">
        <f t="shared" si="398"/>
        <v>#DIV/0!</v>
      </c>
      <c r="T554" s="62" t="e">
        <f t="shared" si="398"/>
        <v>#DIV/0!</v>
      </c>
      <c r="U554" s="62" t="e">
        <f t="shared" si="398"/>
        <v>#DIV/0!</v>
      </c>
      <c r="V554" s="62" t="e">
        <f t="shared" si="398"/>
        <v>#DIV/0!</v>
      </c>
      <c r="W554" s="259"/>
      <c r="X554" s="259"/>
    </row>
    <row r="555" spans="1:26">
      <c r="A555" s="55" t="str">
        <f>Home!$B$1</f>
        <v>Poland</v>
      </c>
      <c r="B555" s="56" t="s">
        <v>94</v>
      </c>
      <c r="C555" s="56" t="s">
        <v>130</v>
      </c>
      <c r="D555" s="56" t="s">
        <v>74</v>
      </c>
      <c r="E555" s="55" t="s">
        <v>496</v>
      </c>
      <c r="F555" s="57" t="s">
        <v>497</v>
      </c>
      <c r="G555" s="57" t="s">
        <v>15</v>
      </c>
      <c r="H555" s="57" t="s">
        <v>16</v>
      </c>
      <c r="I555" s="57"/>
      <c r="J555" s="57" t="s">
        <v>99</v>
      </c>
      <c r="K555" s="58">
        <v>58.917999999999999</v>
      </c>
      <c r="L555" s="80"/>
      <c r="M555" s="80"/>
      <c r="N555" s="80"/>
      <c r="O555" s="80"/>
      <c r="P555" s="80"/>
      <c r="Q555" s="80"/>
      <c r="R555" s="110">
        <f>Forecasting!R601</f>
        <v>0</v>
      </c>
      <c r="S555" s="110">
        <f>Forecasting!S601</f>
        <v>0</v>
      </c>
      <c r="T555" s="110">
        <f>Forecasting!T601</f>
        <v>0</v>
      </c>
      <c r="U555" s="110">
        <f>Forecasting!U601</f>
        <v>0</v>
      </c>
      <c r="V555" s="110">
        <f>Forecasting!V601</f>
        <v>0</v>
      </c>
      <c r="W555" s="106" t="e">
        <f>+(Q555/M555)^(1/4)-1</f>
        <v>#DIV/0!</v>
      </c>
      <c r="X555" s="106" t="e">
        <f>+(V555/Q555)^(1/5)-1</f>
        <v>#DIV/0!</v>
      </c>
      <c r="Z555" s="12"/>
    </row>
    <row r="556" spans="1:26">
      <c r="A556" s="57"/>
      <c r="B556" s="57"/>
      <c r="C556" s="61" t="s">
        <v>892</v>
      </c>
      <c r="D556" s="61"/>
      <c r="E556" s="61"/>
      <c r="F556" s="61"/>
      <c r="G556" s="61"/>
      <c r="H556" s="61"/>
      <c r="I556" s="61"/>
      <c r="J556" s="61" t="s">
        <v>58</v>
      </c>
      <c r="K556" s="58"/>
      <c r="L556" s="59"/>
      <c r="M556" s="62" t="e">
        <v>#DIV/0!</v>
      </c>
      <c r="N556" s="62" t="e">
        <f t="shared" ref="N556:V556" si="399">N555/M555-1</f>
        <v>#DIV/0!</v>
      </c>
      <c r="O556" s="62" t="e">
        <f t="shared" si="399"/>
        <v>#DIV/0!</v>
      </c>
      <c r="P556" s="62" t="e">
        <f t="shared" si="399"/>
        <v>#DIV/0!</v>
      </c>
      <c r="Q556" s="62" t="e">
        <f t="shared" si="399"/>
        <v>#DIV/0!</v>
      </c>
      <c r="R556" s="62" t="e">
        <f t="shared" si="399"/>
        <v>#DIV/0!</v>
      </c>
      <c r="S556" s="62" t="e">
        <f t="shared" si="399"/>
        <v>#DIV/0!</v>
      </c>
      <c r="T556" s="62" t="e">
        <f t="shared" si="399"/>
        <v>#DIV/0!</v>
      </c>
      <c r="U556" s="62" t="e">
        <f t="shared" si="399"/>
        <v>#DIV/0!</v>
      </c>
      <c r="V556" s="62" t="e">
        <f t="shared" si="399"/>
        <v>#DIV/0!</v>
      </c>
      <c r="W556" s="259"/>
      <c r="X556" s="259"/>
    </row>
    <row r="557" spans="1:26">
      <c r="A557" s="55" t="str">
        <f>Home!$B$1</f>
        <v>Poland</v>
      </c>
      <c r="B557" s="56" t="s">
        <v>94</v>
      </c>
      <c r="C557" s="56" t="s">
        <v>130</v>
      </c>
      <c r="D557" s="56" t="s">
        <v>74</v>
      </c>
      <c r="E557" s="55" t="s">
        <v>498</v>
      </c>
      <c r="F557" s="57" t="s">
        <v>499</v>
      </c>
      <c r="G557" s="57" t="s">
        <v>15</v>
      </c>
      <c r="H557" s="57" t="s">
        <v>16</v>
      </c>
      <c r="I557" s="57"/>
      <c r="J557" s="57" t="s">
        <v>99</v>
      </c>
      <c r="K557" s="58">
        <v>92.444999999999993</v>
      </c>
      <c r="L557" s="80"/>
      <c r="M557" s="80"/>
      <c r="N557" s="80"/>
      <c r="O557" s="80"/>
      <c r="P557" s="80"/>
      <c r="Q557" s="80"/>
      <c r="R557" s="110">
        <f>Forecasting!R603</f>
        <v>0</v>
      </c>
      <c r="S557" s="110">
        <f>Forecasting!S603</f>
        <v>0</v>
      </c>
      <c r="T557" s="110">
        <f>Forecasting!T603</f>
        <v>0</v>
      </c>
      <c r="U557" s="110">
        <f>Forecasting!U603</f>
        <v>0</v>
      </c>
      <c r="V557" s="110">
        <f>Forecasting!V603</f>
        <v>0</v>
      </c>
      <c r="W557" s="106" t="e">
        <f>+(Q557/M557)^(1/4)-1</f>
        <v>#DIV/0!</v>
      </c>
      <c r="X557" s="106" t="e">
        <f>+(V557/Q557)^(1/5)-1</f>
        <v>#DIV/0!</v>
      </c>
      <c r="Z557" s="12"/>
    </row>
    <row r="558" spans="1:26">
      <c r="A558" s="57"/>
      <c r="B558" s="57"/>
      <c r="C558" s="61" t="s">
        <v>892</v>
      </c>
      <c r="D558" s="61"/>
      <c r="E558" s="61"/>
      <c r="F558" s="61"/>
      <c r="G558" s="61"/>
      <c r="H558" s="61"/>
      <c r="I558" s="61"/>
      <c r="J558" s="61" t="s">
        <v>58</v>
      </c>
      <c r="K558" s="58"/>
      <c r="L558" s="59"/>
      <c r="M558" s="62" t="e">
        <v>#DIV/0!</v>
      </c>
      <c r="N558" s="62" t="e">
        <f t="shared" ref="N558:V558" si="400">N557/M557-1</f>
        <v>#DIV/0!</v>
      </c>
      <c r="O558" s="62" t="e">
        <f t="shared" si="400"/>
        <v>#DIV/0!</v>
      </c>
      <c r="P558" s="62" t="e">
        <f t="shared" si="400"/>
        <v>#DIV/0!</v>
      </c>
      <c r="Q558" s="62" t="e">
        <f t="shared" si="400"/>
        <v>#DIV/0!</v>
      </c>
      <c r="R558" s="62" t="e">
        <f t="shared" si="400"/>
        <v>#DIV/0!</v>
      </c>
      <c r="S558" s="62" t="e">
        <f t="shared" si="400"/>
        <v>#DIV/0!</v>
      </c>
      <c r="T558" s="62" t="e">
        <f t="shared" si="400"/>
        <v>#DIV/0!</v>
      </c>
      <c r="U558" s="62" t="e">
        <f t="shared" si="400"/>
        <v>#DIV/0!</v>
      </c>
      <c r="V558" s="62" t="e">
        <f t="shared" si="400"/>
        <v>#DIV/0!</v>
      </c>
      <c r="W558" s="259"/>
      <c r="X558" s="259"/>
    </row>
    <row r="559" spans="1:26">
      <c r="A559" s="55" t="str">
        <f>Home!$B$1</f>
        <v>Poland</v>
      </c>
      <c r="B559" s="56" t="s">
        <v>94</v>
      </c>
      <c r="C559" s="56" t="s">
        <v>130</v>
      </c>
      <c r="D559" s="56" t="s">
        <v>74</v>
      </c>
      <c r="E559" s="55" t="s">
        <v>500</v>
      </c>
      <c r="F559" s="57" t="s">
        <v>501</v>
      </c>
      <c r="G559" s="57" t="s">
        <v>15</v>
      </c>
      <c r="H559" s="57" t="s">
        <v>16</v>
      </c>
      <c r="I559" s="57"/>
      <c r="J559" s="57" t="s">
        <v>99</v>
      </c>
      <c r="K559" s="58">
        <v>204.91200000000001</v>
      </c>
      <c r="L559" s="80"/>
      <c r="M559" s="80"/>
      <c r="N559" s="80"/>
      <c r="O559" s="80"/>
      <c r="P559" s="80"/>
      <c r="Q559" s="80"/>
      <c r="R559" s="110">
        <f>Forecasting!R605</f>
        <v>0</v>
      </c>
      <c r="S559" s="110">
        <f>Forecasting!S605</f>
        <v>0</v>
      </c>
      <c r="T559" s="110">
        <f>Forecasting!T605</f>
        <v>0</v>
      </c>
      <c r="U559" s="110">
        <f>Forecasting!U605</f>
        <v>0</v>
      </c>
      <c r="V559" s="110">
        <f>Forecasting!V605</f>
        <v>0</v>
      </c>
      <c r="W559" s="106" t="e">
        <f>+(Q559/M559)^(1/4)-1</f>
        <v>#DIV/0!</v>
      </c>
      <c r="X559" s="106" t="e">
        <f>+(V559/Q559)^(1/5)-1</f>
        <v>#DIV/0!</v>
      </c>
      <c r="Z559" s="12"/>
    </row>
    <row r="560" spans="1:26">
      <c r="A560" s="57"/>
      <c r="B560" s="57"/>
      <c r="C560" s="61" t="s">
        <v>892</v>
      </c>
      <c r="D560" s="61"/>
      <c r="E560" s="61"/>
      <c r="F560" s="61"/>
      <c r="G560" s="61"/>
      <c r="H560" s="61"/>
      <c r="I560" s="61"/>
      <c r="J560" s="61" t="s">
        <v>58</v>
      </c>
      <c r="K560" s="58"/>
      <c r="L560" s="59"/>
      <c r="M560" s="62" t="e">
        <v>#DIV/0!</v>
      </c>
      <c r="N560" s="62" t="e">
        <f t="shared" ref="N560:V560" si="401">N559/M559-1</f>
        <v>#DIV/0!</v>
      </c>
      <c r="O560" s="62" t="e">
        <f t="shared" si="401"/>
        <v>#DIV/0!</v>
      </c>
      <c r="P560" s="62" t="e">
        <f t="shared" si="401"/>
        <v>#DIV/0!</v>
      </c>
      <c r="Q560" s="62" t="e">
        <f t="shared" si="401"/>
        <v>#DIV/0!</v>
      </c>
      <c r="R560" s="62" t="e">
        <f t="shared" si="401"/>
        <v>#DIV/0!</v>
      </c>
      <c r="S560" s="62" t="e">
        <f t="shared" si="401"/>
        <v>#DIV/0!</v>
      </c>
      <c r="T560" s="62" t="e">
        <f t="shared" si="401"/>
        <v>#DIV/0!</v>
      </c>
      <c r="U560" s="62" t="e">
        <f t="shared" si="401"/>
        <v>#DIV/0!</v>
      </c>
      <c r="V560" s="62" t="e">
        <f t="shared" si="401"/>
        <v>#DIV/0!</v>
      </c>
      <c r="W560" s="259"/>
      <c r="X560" s="259"/>
    </row>
    <row r="561" spans="1:26">
      <c r="A561" s="55" t="str">
        <f>Home!$B$1</f>
        <v>Poland</v>
      </c>
      <c r="B561" s="56" t="s">
        <v>94</v>
      </c>
      <c r="C561" s="56" t="s">
        <v>130</v>
      </c>
      <c r="D561" s="56" t="s">
        <v>74</v>
      </c>
      <c r="E561" s="55" t="s">
        <v>502</v>
      </c>
      <c r="F561" s="57" t="s">
        <v>503</v>
      </c>
      <c r="G561" s="57" t="s">
        <v>15</v>
      </c>
      <c r="H561" s="57" t="s">
        <v>16</v>
      </c>
      <c r="I561" s="57"/>
      <c r="J561" s="57" t="s">
        <v>99</v>
      </c>
      <c r="K561" s="58"/>
      <c r="L561" s="80"/>
      <c r="M561" s="80"/>
      <c r="N561" s="80"/>
      <c r="O561" s="80"/>
      <c r="P561" s="80"/>
      <c r="Q561" s="80"/>
      <c r="R561" s="110">
        <f>Forecasting!R607</f>
        <v>0</v>
      </c>
      <c r="S561" s="110">
        <f>Forecasting!S607</f>
        <v>0</v>
      </c>
      <c r="T561" s="110">
        <f>Forecasting!T607</f>
        <v>0</v>
      </c>
      <c r="U561" s="110">
        <f>Forecasting!U607</f>
        <v>0</v>
      </c>
      <c r="V561" s="110">
        <f>Forecasting!V607</f>
        <v>0</v>
      </c>
      <c r="W561" s="106" t="e">
        <f>+(Q561/M561)^(1/4)-1</f>
        <v>#DIV/0!</v>
      </c>
      <c r="X561" s="106" t="e">
        <f>+(V561/Q561)^(1/5)-1</f>
        <v>#DIV/0!</v>
      </c>
    </row>
    <row r="562" spans="1:26">
      <c r="A562" s="57"/>
      <c r="B562" s="57"/>
      <c r="C562" s="61" t="s">
        <v>892</v>
      </c>
      <c r="D562" s="61"/>
      <c r="E562" s="61"/>
      <c r="F562" s="61"/>
      <c r="G562" s="61"/>
      <c r="H562" s="61"/>
      <c r="I562" s="61"/>
      <c r="J562" s="61" t="s">
        <v>58</v>
      </c>
      <c r="K562" s="58"/>
      <c r="L562" s="59"/>
      <c r="M562" s="62" t="e">
        <v>#DIV/0!</v>
      </c>
      <c r="N562" s="62" t="e">
        <f t="shared" ref="N562:V562" si="402">N561/M561-1</f>
        <v>#DIV/0!</v>
      </c>
      <c r="O562" s="62" t="e">
        <f t="shared" si="402"/>
        <v>#DIV/0!</v>
      </c>
      <c r="P562" s="62" t="e">
        <f t="shared" si="402"/>
        <v>#DIV/0!</v>
      </c>
      <c r="Q562" s="62" t="e">
        <f t="shared" si="402"/>
        <v>#DIV/0!</v>
      </c>
      <c r="R562" s="62" t="e">
        <f t="shared" si="402"/>
        <v>#DIV/0!</v>
      </c>
      <c r="S562" s="62" t="e">
        <f t="shared" si="402"/>
        <v>#DIV/0!</v>
      </c>
      <c r="T562" s="62" t="e">
        <f t="shared" si="402"/>
        <v>#DIV/0!</v>
      </c>
      <c r="U562" s="62" t="e">
        <f t="shared" si="402"/>
        <v>#DIV/0!</v>
      </c>
      <c r="V562" s="62" t="e">
        <f t="shared" si="402"/>
        <v>#DIV/0!</v>
      </c>
      <c r="W562" s="259"/>
      <c r="X562" s="259"/>
    </row>
    <row r="563" spans="1:26">
      <c r="A563" s="55" t="str">
        <f>Home!$B$1</f>
        <v>Poland</v>
      </c>
      <c r="B563" s="56" t="s">
        <v>94</v>
      </c>
      <c r="C563" s="56" t="s">
        <v>130</v>
      </c>
      <c r="D563" s="56" t="s">
        <v>74</v>
      </c>
      <c r="E563" s="55" t="s">
        <v>504</v>
      </c>
      <c r="F563" s="57" t="s">
        <v>505</v>
      </c>
      <c r="G563" s="57" t="s">
        <v>15</v>
      </c>
      <c r="H563" s="57" t="s">
        <v>16</v>
      </c>
      <c r="I563" s="57"/>
      <c r="J563" s="57" t="s">
        <v>99</v>
      </c>
      <c r="K563" s="58"/>
      <c r="L563" s="80"/>
      <c r="M563" s="80"/>
      <c r="N563" s="80"/>
      <c r="O563" s="80"/>
      <c r="P563" s="80"/>
      <c r="Q563" s="80"/>
      <c r="R563" s="110">
        <f>Forecasting!R609</f>
        <v>0</v>
      </c>
      <c r="S563" s="110">
        <f>Forecasting!S609</f>
        <v>0</v>
      </c>
      <c r="T563" s="110">
        <f>Forecasting!T609</f>
        <v>0</v>
      </c>
      <c r="U563" s="110">
        <f>Forecasting!U609</f>
        <v>0</v>
      </c>
      <c r="V563" s="110">
        <f>Forecasting!V609</f>
        <v>0</v>
      </c>
      <c r="W563" s="106" t="e">
        <f>+(Q563/M563)^(1/4)-1</f>
        <v>#DIV/0!</v>
      </c>
      <c r="X563" s="106" t="e">
        <f>+(V563/Q563)^(1/5)-1</f>
        <v>#DIV/0!</v>
      </c>
    </row>
    <row r="564" spans="1:26">
      <c r="A564" s="57"/>
      <c r="B564" s="57"/>
      <c r="C564" s="61" t="s">
        <v>892</v>
      </c>
      <c r="D564" s="61"/>
      <c r="E564" s="61"/>
      <c r="F564" s="61"/>
      <c r="G564" s="61"/>
      <c r="H564" s="61"/>
      <c r="I564" s="61"/>
      <c r="J564" s="61" t="s">
        <v>58</v>
      </c>
      <c r="K564" s="58"/>
      <c r="L564" s="59"/>
      <c r="M564" s="62" t="e">
        <v>#DIV/0!</v>
      </c>
      <c r="N564" s="62" t="e">
        <f t="shared" ref="N564:V564" si="403">N563/M563-1</f>
        <v>#DIV/0!</v>
      </c>
      <c r="O564" s="62" t="e">
        <f t="shared" si="403"/>
        <v>#DIV/0!</v>
      </c>
      <c r="P564" s="62" t="e">
        <f t="shared" si="403"/>
        <v>#DIV/0!</v>
      </c>
      <c r="Q564" s="62" t="e">
        <f t="shared" si="403"/>
        <v>#DIV/0!</v>
      </c>
      <c r="R564" s="62" t="e">
        <f t="shared" si="403"/>
        <v>#DIV/0!</v>
      </c>
      <c r="S564" s="62" t="e">
        <f t="shared" si="403"/>
        <v>#DIV/0!</v>
      </c>
      <c r="T564" s="62" t="e">
        <f t="shared" si="403"/>
        <v>#DIV/0!</v>
      </c>
      <c r="U564" s="62" t="e">
        <f t="shared" si="403"/>
        <v>#DIV/0!</v>
      </c>
      <c r="V564" s="62" t="e">
        <f t="shared" si="403"/>
        <v>#DIV/0!</v>
      </c>
      <c r="W564" s="259"/>
      <c r="X564" s="259"/>
    </row>
    <row r="565" spans="1:26">
      <c r="A565" s="55" t="str">
        <f>Home!$B$1</f>
        <v>Poland</v>
      </c>
      <c r="B565" s="56" t="s">
        <v>94</v>
      </c>
      <c r="C565" s="56" t="s">
        <v>130</v>
      </c>
      <c r="D565" s="56" t="s">
        <v>74</v>
      </c>
      <c r="E565" s="55" t="s">
        <v>506</v>
      </c>
      <c r="F565" s="57" t="s">
        <v>507</v>
      </c>
      <c r="G565" s="57" t="s">
        <v>15</v>
      </c>
      <c r="H565" s="57" t="s">
        <v>16</v>
      </c>
      <c r="I565" s="57"/>
      <c r="J565" s="57" t="s">
        <v>99</v>
      </c>
      <c r="K565" s="58"/>
      <c r="L565" s="80"/>
      <c r="M565" s="80"/>
      <c r="N565" s="80"/>
      <c r="O565" s="80"/>
      <c r="P565" s="80"/>
      <c r="Q565" s="80"/>
      <c r="R565" s="110">
        <f>Forecasting!R611</f>
        <v>0</v>
      </c>
      <c r="S565" s="110">
        <f>Forecasting!S611</f>
        <v>0</v>
      </c>
      <c r="T565" s="110">
        <f>Forecasting!T611</f>
        <v>0</v>
      </c>
      <c r="U565" s="110">
        <f>Forecasting!U611</f>
        <v>0</v>
      </c>
      <c r="V565" s="110">
        <f>Forecasting!V611</f>
        <v>0</v>
      </c>
      <c r="W565" s="106" t="e">
        <f>+(Q565/M565)^(1/4)-1</f>
        <v>#DIV/0!</v>
      </c>
      <c r="X565" s="106" t="e">
        <f>+(V565/Q565)^(1/5)-1</f>
        <v>#DIV/0!</v>
      </c>
    </row>
    <row r="566" spans="1:26">
      <c r="A566" s="57"/>
      <c r="B566" s="57"/>
      <c r="C566" s="61" t="s">
        <v>892</v>
      </c>
      <c r="D566" s="61"/>
      <c r="E566" s="61"/>
      <c r="F566" s="61"/>
      <c r="G566" s="61"/>
      <c r="H566" s="61"/>
      <c r="I566" s="61"/>
      <c r="J566" s="61" t="s">
        <v>58</v>
      </c>
      <c r="K566" s="58"/>
      <c r="L566" s="59"/>
      <c r="M566" s="62" t="e">
        <v>#DIV/0!</v>
      </c>
      <c r="N566" s="62" t="e">
        <f t="shared" ref="N566:V566" si="404">N565/M565-1</f>
        <v>#DIV/0!</v>
      </c>
      <c r="O566" s="62" t="e">
        <f t="shared" si="404"/>
        <v>#DIV/0!</v>
      </c>
      <c r="P566" s="62" t="e">
        <f t="shared" si="404"/>
        <v>#DIV/0!</v>
      </c>
      <c r="Q566" s="62" t="e">
        <f t="shared" si="404"/>
        <v>#DIV/0!</v>
      </c>
      <c r="R566" s="62" t="e">
        <f t="shared" si="404"/>
        <v>#DIV/0!</v>
      </c>
      <c r="S566" s="62" t="e">
        <f t="shared" si="404"/>
        <v>#DIV/0!</v>
      </c>
      <c r="T566" s="62" t="e">
        <f t="shared" si="404"/>
        <v>#DIV/0!</v>
      </c>
      <c r="U566" s="62" t="e">
        <f t="shared" si="404"/>
        <v>#DIV/0!</v>
      </c>
      <c r="V566" s="62" t="e">
        <f t="shared" si="404"/>
        <v>#DIV/0!</v>
      </c>
      <c r="W566" s="259"/>
      <c r="X566" s="259"/>
    </row>
    <row r="567" spans="1:26">
      <c r="A567" s="55" t="str">
        <f>Home!$B$1</f>
        <v>Poland</v>
      </c>
      <c r="B567" s="56" t="s">
        <v>94</v>
      </c>
      <c r="C567" s="56" t="s">
        <v>130</v>
      </c>
      <c r="D567" s="56" t="s">
        <v>74</v>
      </c>
      <c r="E567" s="55" t="s">
        <v>508</v>
      </c>
      <c r="F567" s="57" t="s">
        <v>509</v>
      </c>
      <c r="G567" s="57" t="s">
        <v>15</v>
      </c>
      <c r="H567" s="57" t="s">
        <v>16</v>
      </c>
      <c r="I567" s="57"/>
      <c r="J567" s="57" t="s">
        <v>99</v>
      </c>
      <c r="K567" s="58">
        <v>81.358000000000004</v>
      </c>
      <c r="L567" s="80"/>
      <c r="M567" s="80"/>
      <c r="N567" s="80"/>
      <c r="O567" s="80"/>
      <c r="P567" s="80"/>
      <c r="Q567" s="80"/>
      <c r="R567" s="110">
        <f>Forecasting!R613</f>
        <v>0</v>
      </c>
      <c r="S567" s="110">
        <f>Forecasting!S613</f>
        <v>0</v>
      </c>
      <c r="T567" s="110">
        <f>Forecasting!T613</f>
        <v>0</v>
      </c>
      <c r="U567" s="110">
        <f>Forecasting!U613</f>
        <v>0</v>
      </c>
      <c r="V567" s="110">
        <f>Forecasting!V613</f>
        <v>0</v>
      </c>
      <c r="W567" s="106" t="e">
        <f>+(Q567/M567)^(1/4)-1</f>
        <v>#DIV/0!</v>
      </c>
      <c r="X567" s="106" t="e">
        <f>+(V567/Q567)^(1/5)-1</f>
        <v>#DIV/0!</v>
      </c>
      <c r="Z567" s="12"/>
    </row>
    <row r="568" spans="1:26">
      <c r="A568" s="57"/>
      <c r="B568" s="57"/>
      <c r="C568" s="61" t="s">
        <v>892</v>
      </c>
      <c r="D568" s="61"/>
      <c r="E568" s="61"/>
      <c r="F568" s="61"/>
      <c r="G568" s="61"/>
      <c r="H568" s="61"/>
      <c r="I568" s="61"/>
      <c r="J568" s="61" t="s">
        <v>58</v>
      </c>
      <c r="K568" s="58"/>
      <c r="L568" s="59"/>
      <c r="M568" s="62" t="e">
        <v>#DIV/0!</v>
      </c>
      <c r="N568" s="62" t="e">
        <f t="shared" ref="N568:V568" si="405">N567/M567-1</f>
        <v>#DIV/0!</v>
      </c>
      <c r="O568" s="62" t="e">
        <f t="shared" si="405"/>
        <v>#DIV/0!</v>
      </c>
      <c r="P568" s="62" t="e">
        <f t="shared" si="405"/>
        <v>#DIV/0!</v>
      </c>
      <c r="Q568" s="62" t="e">
        <f t="shared" si="405"/>
        <v>#DIV/0!</v>
      </c>
      <c r="R568" s="62" t="e">
        <f t="shared" si="405"/>
        <v>#DIV/0!</v>
      </c>
      <c r="S568" s="62" t="e">
        <f t="shared" si="405"/>
        <v>#DIV/0!</v>
      </c>
      <c r="T568" s="62" t="e">
        <f t="shared" si="405"/>
        <v>#DIV/0!</v>
      </c>
      <c r="U568" s="62" t="e">
        <f t="shared" si="405"/>
        <v>#DIV/0!</v>
      </c>
      <c r="V568" s="62" t="e">
        <f t="shared" si="405"/>
        <v>#DIV/0!</v>
      </c>
      <c r="W568" s="259"/>
      <c r="X568" s="259"/>
    </row>
    <row r="569" spans="1:26">
      <c r="A569" s="55" t="str">
        <f>Home!$B$1</f>
        <v>Poland</v>
      </c>
      <c r="B569" s="56" t="s">
        <v>94</v>
      </c>
      <c r="C569" s="56" t="s">
        <v>130</v>
      </c>
      <c r="D569" s="56" t="s">
        <v>74</v>
      </c>
      <c r="E569" s="55" t="s">
        <v>510</v>
      </c>
      <c r="F569" s="57" t="s">
        <v>511</v>
      </c>
      <c r="G569" s="57" t="s">
        <v>15</v>
      </c>
      <c r="H569" s="57" t="s">
        <v>16</v>
      </c>
      <c r="I569" s="57"/>
      <c r="J569" s="57" t="s">
        <v>99</v>
      </c>
      <c r="K569" s="58"/>
      <c r="L569" s="80"/>
      <c r="M569" s="80"/>
      <c r="N569" s="80"/>
      <c r="O569" s="80"/>
      <c r="P569" s="80"/>
      <c r="Q569" s="80"/>
      <c r="R569" s="110">
        <f>Forecasting!R615</f>
        <v>0</v>
      </c>
      <c r="S569" s="110">
        <f>Forecasting!S615</f>
        <v>0</v>
      </c>
      <c r="T569" s="110">
        <f>Forecasting!T615</f>
        <v>0</v>
      </c>
      <c r="U569" s="110">
        <f>Forecasting!U615</f>
        <v>0</v>
      </c>
      <c r="V569" s="110">
        <f>Forecasting!V615</f>
        <v>0</v>
      </c>
      <c r="W569" s="106" t="e">
        <f>+(Q569/M569)^(1/4)-1</f>
        <v>#DIV/0!</v>
      </c>
      <c r="X569" s="106" t="e">
        <f>+(V569/Q569)^(1/5)-1</f>
        <v>#DIV/0!</v>
      </c>
    </row>
    <row r="570" spans="1:26">
      <c r="A570" s="57"/>
      <c r="B570" s="57"/>
      <c r="C570" s="61" t="s">
        <v>892</v>
      </c>
      <c r="D570" s="61"/>
      <c r="E570" s="61"/>
      <c r="F570" s="61"/>
      <c r="G570" s="61"/>
      <c r="H570" s="61"/>
      <c r="I570" s="61"/>
      <c r="J570" s="61" t="s">
        <v>58</v>
      </c>
      <c r="K570" s="58"/>
      <c r="L570" s="59"/>
      <c r="M570" s="62" t="e">
        <v>#DIV/0!</v>
      </c>
      <c r="N570" s="62" t="e">
        <f t="shared" ref="N570:V570" si="406">N569/M569-1</f>
        <v>#DIV/0!</v>
      </c>
      <c r="O570" s="62" t="e">
        <f t="shared" si="406"/>
        <v>#DIV/0!</v>
      </c>
      <c r="P570" s="62" t="e">
        <f t="shared" si="406"/>
        <v>#DIV/0!</v>
      </c>
      <c r="Q570" s="62" t="e">
        <f t="shared" si="406"/>
        <v>#DIV/0!</v>
      </c>
      <c r="R570" s="62" t="e">
        <f t="shared" si="406"/>
        <v>#DIV/0!</v>
      </c>
      <c r="S570" s="62" t="e">
        <f t="shared" si="406"/>
        <v>#DIV/0!</v>
      </c>
      <c r="T570" s="62" t="e">
        <f t="shared" si="406"/>
        <v>#DIV/0!</v>
      </c>
      <c r="U570" s="62" t="e">
        <f t="shared" si="406"/>
        <v>#DIV/0!</v>
      </c>
      <c r="V570" s="62" t="e">
        <f t="shared" si="406"/>
        <v>#DIV/0!</v>
      </c>
      <c r="W570" s="259"/>
      <c r="X570" s="259"/>
    </row>
    <row r="571" spans="1:26">
      <c r="A571" s="55" t="str">
        <f>Home!$B$1</f>
        <v>Poland</v>
      </c>
      <c r="B571" s="56" t="s">
        <v>94</v>
      </c>
      <c r="C571" s="56" t="s">
        <v>130</v>
      </c>
      <c r="D571" s="56" t="s">
        <v>74</v>
      </c>
      <c r="E571" s="55" t="s">
        <v>512</v>
      </c>
      <c r="F571" s="57" t="s">
        <v>513</v>
      </c>
      <c r="G571" s="57" t="s">
        <v>15</v>
      </c>
      <c r="H571" s="57" t="s">
        <v>16</v>
      </c>
      <c r="I571" s="57"/>
      <c r="J571" s="57" t="s">
        <v>99</v>
      </c>
      <c r="K571" s="58">
        <v>133.398</v>
      </c>
      <c r="L571" s="80"/>
      <c r="M571" s="80"/>
      <c r="N571" s="80"/>
      <c r="O571" s="80"/>
      <c r="P571" s="80"/>
      <c r="Q571" s="80"/>
      <c r="R571" s="110">
        <f>Forecasting!R617</f>
        <v>0</v>
      </c>
      <c r="S571" s="110">
        <f>Forecasting!S617</f>
        <v>0</v>
      </c>
      <c r="T571" s="110">
        <f>Forecasting!T617</f>
        <v>0</v>
      </c>
      <c r="U571" s="110">
        <f>Forecasting!U617</f>
        <v>0</v>
      </c>
      <c r="V571" s="110">
        <f>Forecasting!V617</f>
        <v>0</v>
      </c>
      <c r="W571" s="106" t="e">
        <f>+(Q571/M571)^(1/4)-1</f>
        <v>#DIV/0!</v>
      </c>
      <c r="X571" s="106" t="e">
        <f>+(V571/Q571)^(1/5)-1</f>
        <v>#DIV/0!</v>
      </c>
      <c r="Z571" s="12"/>
    </row>
    <row r="572" spans="1:26">
      <c r="A572" s="57"/>
      <c r="B572" s="57"/>
      <c r="C572" s="61" t="s">
        <v>892</v>
      </c>
      <c r="D572" s="61"/>
      <c r="E572" s="61"/>
      <c r="F572" s="61"/>
      <c r="G572" s="61"/>
      <c r="H572" s="61"/>
      <c r="I572" s="61"/>
      <c r="J572" s="61" t="s">
        <v>58</v>
      </c>
      <c r="K572" s="58"/>
      <c r="L572" s="59"/>
      <c r="M572" s="62" t="e">
        <v>#DIV/0!</v>
      </c>
      <c r="N572" s="62" t="e">
        <f t="shared" ref="N572:V572" si="407">N571/M571-1</f>
        <v>#DIV/0!</v>
      </c>
      <c r="O572" s="62" t="e">
        <f t="shared" si="407"/>
        <v>#DIV/0!</v>
      </c>
      <c r="P572" s="62" t="e">
        <f t="shared" si="407"/>
        <v>#DIV/0!</v>
      </c>
      <c r="Q572" s="62" t="e">
        <f t="shared" si="407"/>
        <v>#DIV/0!</v>
      </c>
      <c r="R572" s="62" t="e">
        <f t="shared" si="407"/>
        <v>#DIV/0!</v>
      </c>
      <c r="S572" s="62" t="e">
        <f t="shared" si="407"/>
        <v>#DIV/0!</v>
      </c>
      <c r="T572" s="62" t="e">
        <f t="shared" si="407"/>
        <v>#DIV/0!</v>
      </c>
      <c r="U572" s="62" t="e">
        <f t="shared" si="407"/>
        <v>#DIV/0!</v>
      </c>
      <c r="V572" s="62" t="e">
        <f t="shared" si="407"/>
        <v>#DIV/0!</v>
      </c>
      <c r="W572" s="259"/>
      <c r="X572" s="259"/>
    </row>
    <row r="573" spans="1:26">
      <c r="A573" s="55" t="str">
        <f>Home!$B$1</f>
        <v>Poland</v>
      </c>
      <c r="B573" s="56" t="s">
        <v>94</v>
      </c>
      <c r="C573" s="56" t="s">
        <v>130</v>
      </c>
      <c r="D573" s="56" t="s">
        <v>74</v>
      </c>
      <c r="E573" s="55" t="s">
        <v>514</v>
      </c>
      <c r="F573" s="57" t="s">
        <v>515</v>
      </c>
      <c r="G573" s="57" t="s">
        <v>15</v>
      </c>
      <c r="H573" s="57" t="s">
        <v>16</v>
      </c>
      <c r="I573" s="57"/>
      <c r="J573" s="57" t="s">
        <v>99</v>
      </c>
      <c r="K573" s="58"/>
      <c r="L573" s="80"/>
      <c r="M573" s="80"/>
      <c r="N573" s="80"/>
      <c r="O573" s="80"/>
      <c r="P573" s="80"/>
      <c r="Q573" s="80"/>
      <c r="R573" s="110">
        <f>Forecasting!R619</f>
        <v>0</v>
      </c>
      <c r="S573" s="110">
        <f>Forecasting!S619</f>
        <v>0</v>
      </c>
      <c r="T573" s="110">
        <f>Forecasting!T619</f>
        <v>0</v>
      </c>
      <c r="U573" s="110">
        <f>Forecasting!U619</f>
        <v>0</v>
      </c>
      <c r="V573" s="110">
        <f>Forecasting!V619</f>
        <v>0</v>
      </c>
      <c r="W573" s="106" t="e">
        <f>+(Q573/M573)^(1/4)-1</f>
        <v>#DIV/0!</v>
      </c>
      <c r="X573" s="106" t="e">
        <f>+(V573/Q573)^(1/5)-1</f>
        <v>#DIV/0!</v>
      </c>
    </row>
    <row r="574" spans="1:26">
      <c r="A574" s="57"/>
      <c r="B574" s="57"/>
      <c r="C574" s="61" t="s">
        <v>892</v>
      </c>
      <c r="D574" s="61"/>
      <c r="E574" s="61"/>
      <c r="F574" s="61"/>
      <c r="G574" s="61"/>
      <c r="H574" s="61"/>
      <c r="I574" s="61"/>
      <c r="J574" s="61" t="s">
        <v>58</v>
      </c>
      <c r="K574" s="58"/>
      <c r="L574" s="59"/>
      <c r="M574" s="62" t="e">
        <v>#DIV/0!</v>
      </c>
      <c r="N574" s="62" t="e">
        <f t="shared" ref="N574:V574" si="408">N573/M573-1</f>
        <v>#DIV/0!</v>
      </c>
      <c r="O574" s="62" t="e">
        <f t="shared" si="408"/>
        <v>#DIV/0!</v>
      </c>
      <c r="P574" s="62" t="e">
        <f t="shared" si="408"/>
        <v>#DIV/0!</v>
      </c>
      <c r="Q574" s="62" t="e">
        <f t="shared" si="408"/>
        <v>#DIV/0!</v>
      </c>
      <c r="R574" s="62" t="e">
        <f t="shared" si="408"/>
        <v>#DIV/0!</v>
      </c>
      <c r="S574" s="62" t="e">
        <f t="shared" si="408"/>
        <v>#DIV/0!</v>
      </c>
      <c r="T574" s="62" t="e">
        <f t="shared" si="408"/>
        <v>#DIV/0!</v>
      </c>
      <c r="U574" s="62" t="e">
        <f t="shared" si="408"/>
        <v>#DIV/0!</v>
      </c>
      <c r="V574" s="62" t="e">
        <f t="shared" si="408"/>
        <v>#DIV/0!</v>
      </c>
      <c r="W574" s="259"/>
      <c r="X574" s="259"/>
    </row>
    <row r="575" spans="1:26">
      <c r="A575" s="55" t="str">
        <f>Home!$B$1</f>
        <v>Poland</v>
      </c>
      <c r="B575" s="56" t="s">
        <v>94</v>
      </c>
      <c r="C575" s="56" t="s">
        <v>130</v>
      </c>
      <c r="D575" s="56" t="s">
        <v>74</v>
      </c>
      <c r="E575" s="55" t="s">
        <v>516</v>
      </c>
      <c r="F575" s="57" t="s">
        <v>517</v>
      </c>
      <c r="G575" s="57" t="s">
        <v>15</v>
      </c>
      <c r="H575" s="57" t="s">
        <v>16</v>
      </c>
      <c r="I575" s="57"/>
      <c r="J575" s="57" t="s">
        <v>99</v>
      </c>
      <c r="K575" s="58"/>
      <c r="L575" s="80"/>
      <c r="M575" s="80"/>
      <c r="N575" s="80"/>
      <c r="O575" s="80"/>
      <c r="P575" s="80"/>
      <c r="Q575" s="80"/>
      <c r="R575" s="110">
        <f>Forecasting!R621</f>
        <v>0</v>
      </c>
      <c r="S575" s="110">
        <f>Forecasting!S621</f>
        <v>0</v>
      </c>
      <c r="T575" s="110">
        <f>Forecasting!T621</f>
        <v>0</v>
      </c>
      <c r="U575" s="110">
        <f>Forecasting!U621</f>
        <v>0</v>
      </c>
      <c r="V575" s="110">
        <f>Forecasting!V621</f>
        <v>0</v>
      </c>
      <c r="W575" s="106" t="e">
        <f>+(Q575/M575)^(1/4)-1</f>
        <v>#DIV/0!</v>
      </c>
      <c r="X575" s="106" t="e">
        <f>+(V575/Q575)^(1/5)-1</f>
        <v>#DIV/0!</v>
      </c>
    </row>
    <row r="576" spans="1:26">
      <c r="A576" s="57"/>
      <c r="B576" s="57"/>
      <c r="C576" s="61" t="s">
        <v>892</v>
      </c>
      <c r="D576" s="61"/>
      <c r="E576" s="61"/>
      <c r="F576" s="61"/>
      <c r="G576" s="61"/>
      <c r="H576" s="61"/>
      <c r="I576" s="61"/>
      <c r="J576" s="61" t="s">
        <v>58</v>
      </c>
      <c r="K576" s="58"/>
      <c r="L576" s="59"/>
      <c r="M576" s="62" t="e">
        <v>#DIV/0!</v>
      </c>
      <c r="N576" s="62" t="e">
        <f t="shared" ref="N576:V576" si="409">N575/M575-1</f>
        <v>#DIV/0!</v>
      </c>
      <c r="O576" s="62" t="e">
        <f t="shared" si="409"/>
        <v>#DIV/0!</v>
      </c>
      <c r="P576" s="62" t="e">
        <f t="shared" si="409"/>
        <v>#DIV/0!</v>
      </c>
      <c r="Q576" s="62" t="e">
        <f t="shared" si="409"/>
        <v>#DIV/0!</v>
      </c>
      <c r="R576" s="62" t="e">
        <f t="shared" si="409"/>
        <v>#DIV/0!</v>
      </c>
      <c r="S576" s="62" t="e">
        <f t="shared" si="409"/>
        <v>#DIV/0!</v>
      </c>
      <c r="T576" s="62" t="e">
        <f t="shared" si="409"/>
        <v>#DIV/0!</v>
      </c>
      <c r="U576" s="62" t="e">
        <f t="shared" si="409"/>
        <v>#DIV/0!</v>
      </c>
      <c r="V576" s="62" t="e">
        <f t="shared" si="409"/>
        <v>#DIV/0!</v>
      </c>
      <c r="W576" s="259"/>
      <c r="X576" s="259"/>
    </row>
    <row r="577" spans="1:27">
      <c r="A577" s="55" t="str">
        <f>Home!$B$1</f>
        <v>Poland</v>
      </c>
      <c r="B577" s="56" t="s">
        <v>94</v>
      </c>
      <c r="C577" s="56" t="s">
        <v>130</v>
      </c>
      <c r="D577" s="56" t="s">
        <v>74</v>
      </c>
      <c r="E577" s="55" t="s">
        <v>518</v>
      </c>
      <c r="F577" s="57" t="s">
        <v>519</v>
      </c>
      <c r="G577" s="57" t="s">
        <v>15</v>
      </c>
      <c r="H577" s="57" t="s">
        <v>16</v>
      </c>
      <c r="I577" s="57"/>
      <c r="J577" s="57" t="s">
        <v>99</v>
      </c>
      <c r="K577" s="58"/>
      <c r="L577" s="80"/>
      <c r="M577" s="80"/>
      <c r="N577" s="80"/>
      <c r="O577" s="80"/>
      <c r="P577" s="80"/>
      <c r="Q577" s="80"/>
      <c r="R577" s="110">
        <f>Forecasting!R623</f>
        <v>0</v>
      </c>
      <c r="S577" s="110">
        <f>Forecasting!S623</f>
        <v>0</v>
      </c>
      <c r="T577" s="110">
        <f>Forecasting!T623</f>
        <v>0</v>
      </c>
      <c r="U577" s="110">
        <f>Forecasting!U623</f>
        <v>0</v>
      </c>
      <c r="V577" s="110">
        <f>Forecasting!V623</f>
        <v>0</v>
      </c>
      <c r="W577" s="106" t="e">
        <f>+(Q577/M577)^(1/4)-1</f>
        <v>#DIV/0!</v>
      </c>
      <c r="X577" s="106" t="e">
        <f>+(V577/Q577)^(1/5)-1</f>
        <v>#DIV/0!</v>
      </c>
    </row>
    <row r="578" spans="1:27">
      <c r="A578" s="57"/>
      <c r="B578" s="57"/>
      <c r="C578" s="61" t="s">
        <v>892</v>
      </c>
      <c r="D578" s="61"/>
      <c r="E578" s="61"/>
      <c r="F578" s="61"/>
      <c r="G578" s="61"/>
      <c r="H578" s="61"/>
      <c r="I578" s="61"/>
      <c r="J578" s="61" t="s">
        <v>58</v>
      </c>
      <c r="K578" s="58"/>
      <c r="L578" s="59"/>
      <c r="M578" s="62" t="e">
        <v>#DIV/0!</v>
      </c>
      <c r="N578" s="62" t="e">
        <f t="shared" ref="N578:V578" si="410">N577/M577-1</f>
        <v>#DIV/0!</v>
      </c>
      <c r="O578" s="62" t="e">
        <f t="shared" si="410"/>
        <v>#DIV/0!</v>
      </c>
      <c r="P578" s="62" t="e">
        <f t="shared" si="410"/>
        <v>#DIV/0!</v>
      </c>
      <c r="Q578" s="62" t="e">
        <f t="shared" si="410"/>
        <v>#DIV/0!</v>
      </c>
      <c r="R578" s="62" t="e">
        <f t="shared" si="410"/>
        <v>#DIV/0!</v>
      </c>
      <c r="S578" s="62" t="e">
        <f t="shared" si="410"/>
        <v>#DIV/0!</v>
      </c>
      <c r="T578" s="62" t="e">
        <f t="shared" si="410"/>
        <v>#DIV/0!</v>
      </c>
      <c r="U578" s="62" t="e">
        <f t="shared" si="410"/>
        <v>#DIV/0!</v>
      </c>
      <c r="V578" s="62" t="e">
        <f t="shared" si="410"/>
        <v>#DIV/0!</v>
      </c>
      <c r="W578" s="259"/>
      <c r="X578" s="259"/>
    </row>
    <row r="579" spans="1:27">
      <c r="A579" s="55" t="str">
        <f>Home!$B$1</f>
        <v>Poland</v>
      </c>
      <c r="B579" s="56" t="s">
        <v>94</v>
      </c>
      <c r="C579" s="56" t="s">
        <v>130</v>
      </c>
      <c r="D579" s="56" t="s">
        <v>74</v>
      </c>
      <c r="E579" s="55" t="s">
        <v>520</v>
      </c>
      <c r="F579" s="57" t="s">
        <v>521</v>
      </c>
      <c r="G579" s="57" t="s">
        <v>15</v>
      </c>
      <c r="H579" s="57" t="s">
        <v>16</v>
      </c>
      <c r="I579" s="57"/>
      <c r="J579" s="57" t="s">
        <v>99</v>
      </c>
      <c r="K579" s="58"/>
      <c r="L579" s="80"/>
      <c r="M579" s="80"/>
      <c r="N579" s="80"/>
      <c r="O579" s="80"/>
      <c r="P579" s="80"/>
      <c r="Q579" s="80"/>
      <c r="R579" s="110">
        <f>Forecasting!R625</f>
        <v>0</v>
      </c>
      <c r="S579" s="110">
        <f>Forecasting!S625</f>
        <v>0</v>
      </c>
      <c r="T579" s="110">
        <f>Forecasting!T625</f>
        <v>0</v>
      </c>
      <c r="U579" s="110">
        <f>Forecasting!U625</f>
        <v>0</v>
      </c>
      <c r="V579" s="110">
        <f>Forecasting!V625</f>
        <v>0</v>
      </c>
      <c r="W579" s="106" t="e">
        <f>+(Q579/M579)^(1/4)-1</f>
        <v>#DIV/0!</v>
      </c>
      <c r="X579" s="106" t="e">
        <f>+(V579/Q579)^(1/5)-1</f>
        <v>#DIV/0!</v>
      </c>
    </row>
    <row r="580" spans="1:27">
      <c r="A580" s="57"/>
      <c r="B580" s="57"/>
      <c r="C580" s="61" t="s">
        <v>892</v>
      </c>
      <c r="D580" s="61"/>
      <c r="E580" s="61"/>
      <c r="F580" s="61"/>
      <c r="G580" s="61"/>
      <c r="H580" s="61"/>
      <c r="I580" s="61"/>
      <c r="J580" s="61" t="s">
        <v>58</v>
      </c>
      <c r="K580" s="58"/>
      <c r="L580" s="59"/>
      <c r="M580" s="62" t="e">
        <v>#DIV/0!</v>
      </c>
      <c r="N580" s="62" t="e">
        <f t="shared" ref="N580:V580" si="411">N579/M579-1</f>
        <v>#DIV/0!</v>
      </c>
      <c r="O580" s="62" t="e">
        <f t="shared" si="411"/>
        <v>#DIV/0!</v>
      </c>
      <c r="P580" s="62" t="e">
        <f t="shared" si="411"/>
        <v>#DIV/0!</v>
      </c>
      <c r="Q580" s="62" t="e">
        <f t="shared" si="411"/>
        <v>#DIV/0!</v>
      </c>
      <c r="R580" s="62" t="e">
        <f t="shared" si="411"/>
        <v>#DIV/0!</v>
      </c>
      <c r="S580" s="62" t="e">
        <f t="shared" si="411"/>
        <v>#DIV/0!</v>
      </c>
      <c r="T580" s="62" t="e">
        <f t="shared" si="411"/>
        <v>#DIV/0!</v>
      </c>
      <c r="U580" s="62" t="e">
        <f t="shared" si="411"/>
        <v>#DIV/0!</v>
      </c>
      <c r="V580" s="62" t="e">
        <f t="shared" si="411"/>
        <v>#DIV/0!</v>
      </c>
      <c r="W580" s="259"/>
      <c r="X580" s="259"/>
    </row>
    <row r="581" spans="1:27">
      <c r="A581" s="55" t="str">
        <f>Home!$B$1</f>
        <v>Poland</v>
      </c>
      <c r="B581" s="56" t="s">
        <v>94</v>
      </c>
      <c r="C581" s="56" t="s">
        <v>130</v>
      </c>
      <c r="D581" s="56" t="s">
        <v>74</v>
      </c>
      <c r="E581" s="55" t="s">
        <v>522</v>
      </c>
      <c r="F581" s="57" t="s">
        <v>523</v>
      </c>
      <c r="G581" s="57" t="s">
        <v>15</v>
      </c>
      <c r="H581" s="57" t="s">
        <v>16</v>
      </c>
      <c r="I581" s="57"/>
      <c r="J581" s="57" t="s">
        <v>99</v>
      </c>
      <c r="K581" s="58"/>
      <c r="L581" s="80"/>
      <c r="M581" s="80"/>
      <c r="N581" s="80"/>
      <c r="O581" s="80"/>
      <c r="P581" s="80"/>
      <c r="Q581" s="80"/>
      <c r="R581" s="110">
        <f>Forecasting!R627</f>
        <v>0</v>
      </c>
      <c r="S581" s="110">
        <f>Forecasting!S627</f>
        <v>0</v>
      </c>
      <c r="T581" s="110">
        <f>Forecasting!T627</f>
        <v>0</v>
      </c>
      <c r="U581" s="110">
        <f>Forecasting!U627</f>
        <v>0</v>
      </c>
      <c r="V581" s="110">
        <f>Forecasting!V627</f>
        <v>0</v>
      </c>
      <c r="W581" s="106" t="e">
        <f>+(Q581/M581)^(1/4)-1</f>
        <v>#DIV/0!</v>
      </c>
      <c r="X581" s="106" t="e">
        <f>+(V581/Q581)^(1/5)-1</f>
        <v>#DIV/0!</v>
      </c>
    </row>
    <row r="582" spans="1:27">
      <c r="A582" s="57"/>
      <c r="B582" s="57"/>
      <c r="C582" s="61" t="s">
        <v>892</v>
      </c>
      <c r="D582" s="61"/>
      <c r="E582" s="61"/>
      <c r="F582" s="61"/>
      <c r="G582" s="61"/>
      <c r="H582" s="61"/>
      <c r="I582" s="61"/>
      <c r="J582" s="61" t="s">
        <v>58</v>
      </c>
      <c r="K582" s="58"/>
      <c r="L582" s="59"/>
      <c r="M582" s="62" t="e">
        <v>#DIV/0!</v>
      </c>
      <c r="N582" s="62" t="e">
        <f t="shared" ref="N582:V582" si="412">N581/M581-1</f>
        <v>#DIV/0!</v>
      </c>
      <c r="O582" s="62" t="e">
        <f t="shared" si="412"/>
        <v>#DIV/0!</v>
      </c>
      <c r="P582" s="62" t="e">
        <f t="shared" si="412"/>
        <v>#DIV/0!</v>
      </c>
      <c r="Q582" s="62" t="e">
        <f t="shared" si="412"/>
        <v>#DIV/0!</v>
      </c>
      <c r="R582" s="62" t="e">
        <f t="shared" si="412"/>
        <v>#DIV/0!</v>
      </c>
      <c r="S582" s="62" t="e">
        <f t="shared" si="412"/>
        <v>#DIV/0!</v>
      </c>
      <c r="T582" s="62" t="e">
        <f t="shared" si="412"/>
        <v>#DIV/0!</v>
      </c>
      <c r="U582" s="62" t="e">
        <f t="shared" si="412"/>
        <v>#DIV/0!</v>
      </c>
      <c r="V582" s="62" t="e">
        <f t="shared" si="412"/>
        <v>#DIV/0!</v>
      </c>
      <c r="W582" s="259"/>
      <c r="X582" s="259"/>
    </row>
    <row r="583" spans="1:27">
      <c r="A583" s="55" t="str">
        <f>Home!$B$1</f>
        <v>Poland</v>
      </c>
      <c r="B583" s="56" t="s">
        <v>94</v>
      </c>
      <c r="C583" s="56" t="s">
        <v>130</v>
      </c>
      <c r="D583" s="56" t="s">
        <v>74</v>
      </c>
      <c r="E583" s="55" t="s">
        <v>524</v>
      </c>
      <c r="F583" s="57" t="s">
        <v>525</v>
      </c>
      <c r="G583" s="57" t="s">
        <v>15</v>
      </c>
      <c r="H583" s="57" t="s">
        <v>16</v>
      </c>
      <c r="I583" s="57"/>
      <c r="J583" s="57" t="s">
        <v>99</v>
      </c>
      <c r="K583" s="58">
        <v>133.90600000000001</v>
      </c>
      <c r="L583" s="80"/>
      <c r="M583" s="80"/>
      <c r="N583" s="80"/>
      <c r="O583" s="80"/>
      <c r="P583" s="80"/>
      <c r="Q583" s="80"/>
      <c r="R583" s="110">
        <f>Forecasting!R629</f>
        <v>0</v>
      </c>
      <c r="S583" s="110">
        <f>Forecasting!S629</f>
        <v>0</v>
      </c>
      <c r="T583" s="110">
        <f>Forecasting!T629</f>
        <v>0</v>
      </c>
      <c r="U583" s="110">
        <f>Forecasting!U629</f>
        <v>0</v>
      </c>
      <c r="V583" s="110">
        <f>Forecasting!V629</f>
        <v>0</v>
      </c>
      <c r="W583" s="106" t="e">
        <f>+(Q583/M583)^(1/4)-1</f>
        <v>#DIV/0!</v>
      </c>
      <c r="X583" s="106" t="e">
        <f>+(V583/Q583)^(1/5)-1</f>
        <v>#DIV/0!</v>
      </c>
      <c r="Z583" s="12"/>
    </row>
    <row r="584" spans="1:27">
      <c r="A584" s="57"/>
      <c r="B584" s="57"/>
      <c r="C584" s="61" t="s">
        <v>892</v>
      </c>
      <c r="D584" s="61"/>
      <c r="E584" s="61"/>
      <c r="F584" s="61"/>
      <c r="G584" s="61"/>
      <c r="H584" s="61"/>
      <c r="I584" s="61"/>
      <c r="J584" s="61" t="s">
        <v>58</v>
      </c>
      <c r="K584" s="58"/>
      <c r="L584" s="59"/>
      <c r="M584" s="62" t="e">
        <v>#DIV/0!</v>
      </c>
      <c r="N584" s="62" t="e">
        <f t="shared" ref="N584:V584" si="413">N583/M583-1</f>
        <v>#DIV/0!</v>
      </c>
      <c r="O584" s="62" t="e">
        <f t="shared" si="413"/>
        <v>#DIV/0!</v>
      </c>
      <c r="P584" s="62" t="e">
        <f t="shared" si="413"/>
        <v>#DIV/0!</v>
      </c>
      <c r="Q584" s="62" t="e">
        <f t="shared" si="413"/>
        <v>#DIV/0!</v>
      </c>
      <c r="R584" s="62" t="e">
        <f t="shared" si="413"/>
        <v>#DIV/0!</v>
      </c>
      <c r="S584" s="62" t="e">
        <f t="shared" si="413"/>
        <v>#DIV/0!</v>
      </c>
      <c r="T584" s="62" t="e">
        <f t="shared" si="413"/>
        <v>#DIV/0!</v>
      </c>
      <c r="U584" s="62" t="e">
        <f t="shared" si="413"/>
        <v>#DIV/0!</v>
      </c>
      <c r="V584" s="62" t="e">
        <f t="shared" si="413"/>
        <v>#DIV/0!</v>
      </c>
      <c r="W584" s="259"/>
      <c r="X584" s="259"/>
    </row>
    <row r="585" spans="1:27">
      <c r="A585" s="55" t="str">
        <f>Home!$B$1</f>
        <v>Poland</v>
      </c>
      <c r="B585" s="56" t="s">
        <v>94</v>
      </c>
      <c r="C585" s="56" t="s">
        <v>130</v>
      </c>
      <c r="D585" s="56" t="s">
        <v>74</v>
      </c>
      <c r="E585" s="55" t="s">
        <v>526</v>
      </c>
      <c r="F585" s="57" t="s">
        <v>527</v>
      </c>
      <c r="G585" s="57" t="s">
        <v>15</v>
      </c>
      <c r="H585" s="57" t="s">
        <v>16</v>
      </c>
      <c r="I585" s="57"/>
      <c r="J585" s="57" t="s">
        <v>99</v>
      </c>
      <c r="K585" s="58"/>
      <c r="L585" s="80"/>
      <c r="M585" s="80"/>
      <c r="N585" s="80"/>
      <c r="O585" s="80"/>
      <c r="P585" s="80"/>
      <c r="Q585" s="80"/>
      <c r="R585" s="110">
        <f>Forecasting!R631</f>
        <v>0</v>
      </c>
      <c r="S585" s="110">
        <f>Forecasting!S631</f>
        <v>0</v>
      </c>
      <c r="T585" s="110">
        <f>Forecasting!T631</f>
        <v>0</v>
      </c>
      <c r="U585" s="110">
        <f>Forecasting!U631</f>
        <v>0</v>
      </c>
      <c r="V585" s="110">
        <f>Forecasting!V631</f>
        <v>0</v>
      </c>
      <c r="W585" s="106" t="e">
        <f>+(Q585/M585)^(1/4)-1</f>
        <v>#DIV/0!</v>
      </c>
      <c r="X585" s="106" t="e">
        <f>+(V585/Q585)^(1/5)-1</f>
        <v>#DIV/0!</v>
      </c>
    </row>
    <row r="586" spans="1:27">
      <c r="A586" s="57"/>
      <c r="B586" s="57"/>
      <c r="C586" s="61" t="s">
        <v>892</v>
      </c>
      <c r="D586" s="61"/>
      <c r="E586" s="61"/>
      <c r="F586" s="61"/>
      <c r="G586" s="61"/>
      <c r="H586" s="61"/>
      <c r="I586" s="61"/>
      <c r="J586" s="61" t="s">
        <v>58</v>
      </c>
      <c r="K586" s="58"/>
      <c r="L586" s="59"/>
      <c r="M586" s="62" t="e">
        <v>#DIV/0!</v>
      </c>
      <c r="N586" s="62" t="e">
        <f t="shared" ref="N586:V586" si="414">N585/M585-1</f>
        <v>#DIV/0!</v>
      </c>
      <c r="O586" s="62" t="e">
        <f t="shared" si="414"/>
        <v>#DIV/0!</v>
      </c>
      <c r="P586" s="62" t="e">
        <f t="shared" si="414"/>
        <v>#DIV/0!</v>
      </c>
      <c r="Q586" s="62" t="e">
        <f t="shared" si="414"/>
        <v>#DIV/0!</v>
      </c>
      <c r="R586" s="62" t="e">
        <f t="shared" si="414"/>
        <v>#DIV/0!</v>
      </c>
      <c r="S586" s="62" t="e">
        <f t="shared" si="414"/>
        <v>#DIV/0!</v>
      </c>
      <c r="T586" s="62" t="e">
        <f t="shared" si="414"/>
        <v>#DIV/0!</v>
      </c>
      <c r="U586" s="62" t="e">
        <f t="shared" si="414"/>
        <v>#DIV/0!</v>
      </c>
      <c r="V586" s="62" t="e">
        <f t="shared" si="414"/>
        <v>#DIV/0!</v>
      </c>
      <c r="W586" s="259"/>
      <c r="X586" s="259"/>
    </row>
    <row r="587" spans="1:27">
      <c r="A587" s="55" t="str">
        <f>Home!$B$1</f>
        <v>Poland</v>
      </c>
      <c r="B587" s="56" t="s">
        <v>94</v>
      </c>
      <c r="C587" s="56" t="s">
        <v>130</v>
      </c>
      <c r="D587" s="56" t="s">
        <v>74</v>
      </c>
      <c r="E587" s="55" t="s">
        <v>528</v>
      </c>
      <c r="F587" s="57" t="s">
        <v>529</v>
      </c>
      <c r="G587" s="57" t="s">
        <v>15</v>
      </c>
      <c r="H587" s="57" t="s">
        <v>16</v>
      </c>
      <c r="I587" s="57"/>
      <c r="J587" s="57" t="s">
        <v>99</v>
      </c>
      <c r="K587" s="58"/>
      <c r="L587" s="80"/>
      <c r="M587" s="80"/>
      <c r="N587" s="80"/>
      <c r="O587" s="80"/>
      <c r="P587" s="80"/>
      <c r="Q587" s="80"/>
      <c r="R587" s="110">
        <f>Forecasting!R633</f>
        <v>0</v>
      </c>
      <c r="S587" s="110">
        <f>Forecasting!S633</f>
        <v>0</v>
      </c>
      <c r="T587" s="110">
        <f>Forecasting!T633</f>
        <v>0</v>
      </c>
      <c r="U587" s="110">
        <f>Forecasting!U633</f>
        <v>0</v>
      </c>
      <c r="V587" s="110">
        <f>Forecasting!V633</f>
        <v>0</v>
      </c>
      <c r="W587" s="106" t="e">
        <f>+(Q587/M587)^(1/4)-1</f>
        <v>#DIV/0!</v>
      </c>
      <c r="X587" s="106" t="e">
        <f>+(V587/Q587)^(1/5)-1</f>
        <v>#DIV/0!</v>
      </c>
    </row>
    <row r="588" spans="1:27">
      <c r="A588" s="57"/>
      <c r="B588" s="57"/>
      <c r="C588" s="61" t="s">
        <v>892</v>
      </c>
      <c r="D588" s="61"/>
      <c r="E588" s="61"/>
      <c r="F588" s="61"/>
      <c r="G588" s="61"/>
      <c r="H588" s="61"/>
      <c r="I588" s="61"/>
      <c r="J588" s="61" t="s">
        <v>58</v>
      </c>
      <c r="K588" s="58"/>
      <c r="L588" s="59"/>
      <c r="M588" s="62" t="e">
        <v>#DIV/0!</v>
      </c>
      <c r="N588" s="62" t="e">
        <f t="shared" ref="N588:V588" si="415">N587/M587-1</f>
        <v>#DIV/0!</v>
      </c>
      <c r="O588" s="62" t="e">
        <f t="shared" si="415"/>
        <v>#DIV/0!</v>
      </c>
      <c r="P588" s="62" t="e">
        <f t="shared" si="415"/>
        <v>#DIV/0!</v>
      </c>
      <c r="Q588" s="62" t="e">
        <f t="shared" si="415"/>
        <v>#DIV/0!</v>
      </c>
      <c r="R588" s="62" t="e">
        <f t="shared" si="415"/>
        <v>#DIV/0!</v>
      </c>
      <c r="S588" s="62" t="e">
        <f t="shared" si="415"/>
        <v>#DIV/0!</v>
      </c>
      <c r="T588" s="62" t="e">
        <f t="shared" si="415"/>
        <v>#DIV/0!</v>
      </c>
      <c r="U588" s="62" t="e">
        <f t="shared" si="415"/>
        <v>#DIV/0!</v>
      </c>
      <c r="V588" s="62" t="e">
        <f t="shared" si="415"/>
        <v>#DIV/0!</v>
      </c>
      <c r="W588" s="259"/>
      <c r="X588" s="259"/>
    </row>
    <row r="589" spans="1:27">
      <c r="A589" s="55" t="str">
        <f>Home!$B$1</f>
        <v>Poland</v>
      </c>
      <c r="B589" s="56" t="s">
        <v>94</v>
      </c>
      <c r="C589" s="56" t="s">
        <v>130</v>
      </c>
      <c r="D589" s="56" t="s">
        <v>74</v>
      </c>
      <c r="E589" s="55" t="s">
        <v>530</v>
      </c>
      <c r="F589" s="57" t="s">
        <v>531</v>
      </c>
      <c r="G589" s="57" t="s">
        <v>15</v>
      </c>
      <c r="H589" s="57" t="s">
        <v>16</v>
      </c>
      <c r="I589" s="57"/>
      <c r="J589" s="57" t="s">
        <v>99</v>
      </c>
      <c r="K589" s="58">
        <v>369.03699999999998</v>
      </c>
      <c r="L589" s="80"/>
      <c r="M589" s="80"/>
      <c r="N589" s="80"/>
      <c r="O589" s="80"/>
      <c r="P589" s="80"/>
      <c r="Q589" s="80"/>
      <c r="R589" s="110">
        <f>Forecasting!R635</f>
        <v>0</v>
      </c>
      <c r="S589" s="110">
        <f>Forecasting!S635</f>
        <v>0</v>
      </c>
      <c r="T589" s="110">
        <f>Forecasting!T635</f>
        <v>0</v>
      </c>
      <c r="U589" s="110">
        <f>Forecasting!U635</f>
        <v>0</v>
      </c>
      <c r="V589" s="110">
        <f>Forecasting!V635</f>
        <v>0</v>
      </c>
      <c r="W589" s="106" t="e">
        <f>+(Q589/M589)^(1/4)-1</f>
        <v>#DIV/0!</v>
      </c>
      <c r="X589" s="106" t="e">
        <f>+(V589/Q589)^(1/5)-1</f>
        <v>#DIV/0!</v>
      </c>
      <c r="Z589" s="12"/>
    </row>
    <row r="590" spans="1:27">
      <c r="A590" s="57"/>
      <c r="B590" s="57"/>
      <c r="C590" s="61" t="s">
        <v>892</v>
      </c>
      <c r="D590" s="61"/>
      <c r="E590" s="61"/>
      <c r="F590" s="61"/>
      <c r="G590" s="61"/>
      <c r="H590" s="61"/>
      <c r="I590" s="61"/>
      <c r="J590" s="61" t="s">
        <v>58</v>
      </c>
      <c r="K590" s="58"/>
      <c r="L590" s="59"/>
      <c r="M590" s="62" t="e">
        <v>#DIV/0!</v>
      </c>
      <c r="N590" s="62" t="e">
        <f t="shared" ref="N590:V590" si="416">N589/M589-1</f>
        <v>#DIV/0!</v>
      </c>
      <c r="O590" s="62" t="e">
        <f t="shared" si="416"/>
        <v>#DIV/0!</v>
      </c>
      <c r="P590" s="62" t="e">
        <f t="shared" si="416"/>
        <v>#DIV/0!</v>
      </c>
      <c r="Q590" s="62" t="e">
        <f t="shared" si="416"/>
        <v>#DIV/0!</v>
      </c>
      <c r="R590" s="62" t="e">
        <f t="shared" si="416"/>
        <v>#DIV/0!</v>
      </c>
      <c r="S590" s="62" t="e">
        <f t="shared" si="416"/>
        <v>#DIV/0!</v>
      </c>
      <c r="T590" s="62" t="e">
        <f t="shared" si="416"/>
        <v>#DIV/0!</v>
      </c>
      <c r="U590" s="62" t="e">
        <f t="shared" si="416"/>
        <v>#DIV/0!</v>
      </c>
      <c r="V590" s="62" t="e">
        <f t="shared" si="416"/>
        <v>#DIV/0!</v>
      </c>
      <c r="W590" s="259"/>
      <c r="X590" s="259"/>
    </row>
    <row r="591" spans="1:27">
      <c r="A591" s="55" t="str">
        <f>Home!$B$1</f>
        <v>Poland</v>
      </c>
      <c r="B591" s="84" t="s">
        <v>94</v>
      </c>
      <c r="C591" s="84" t="s">
        <v>130</v>
      </c>
      <c r="D591" s="84" t="s">
        <v>74</v>
      </c>
      <c r="E591" s="97" t="s">
        <v>881</v>
      </c>
      <c r="F591" s="84" t="s">
        <v>882</v>
      </c>
      <c r="G591" s="84" t="s">
        <v>15</v>
      </c>
      <c r="H591" s="84" t="s">
        <v>16</v>
      </c>
      <c r="I591" s="84"/>
      <c r="J591" s="57" t="s">
        <v>99</v>
      </c>
      <c r="K591" s="101"/>
      <c r="L591" s="361">
        <f>'Seasonality&amp; Avg.stay'!B208</f>
        <v>124.7215478821098</v>
      </c>
      <c r="M591" s="361">
        <f>'Seasonality&amp; Avg.stay'!C208</f>
        <v>105.61380313813152</v>
      </c>
      <c r="N591" s="361">
        <f>'Seasonality&amp; Avg.stay'!D208</f>
        <v>89.982485120907882</v>
      </c>
      <c r="O591" s="361">
        <f>'Seasonality&amp; Avg.stay'!E208</f>
        <v>101.64829680960473</v>
      </c>
      <c r="P591" s="361">
        <f>'Seasonality&amp; Avg.stay'!F208</f>
        <v>92.827273713447013</v>
      </c>
      <c r="Q591" s="361">
        <f>'Seasonality&amp; Avg.stay'!G208</f>
        <v>110.3944584958241</v>
      </c>
      <c r="R591" s="110">
        <f>Forecasting!R637</f>
        <v>0</v>
      </c>
      <c r="S591" s="110">
        <f>Forecasting!S637</f>
        <v>0</v>
      </c>
      <c r="T591" s="110">
        <f>Forecasting!T637</f>
        <v>0</v>
      </c>
      <c r="U591" s="110">
        <f>Forecasting!U637</f>
        <v>0</v>
      </c>
      <c r="V591" s="110">
        <f>Forecasting!V637</f>
        <v>0</v>
      </c>
      <c r="W591" s="107">
        <f>+(Q591/M591)^(1/4)-1</f>
        <v>1.1129189632818504E-2</v>
      </c>
      <c r="X591" s="107">
        <f>+(V591/Q591)^(1/5)-1</f>
        <v>-1</v>
      </c>
      <c r="Y591" s="41"/>
      <c r="Z591" s="41"/>
      <c r="AA591" s="41"/>
    </row>
    <row r="592" spans="1:27">
      <c r="A592" s="57"/>
      <c r="B592" s="57"/>
      <c r="C592" s="61" t="s">
        <v>892</v>
      </c>
      <c r="D592" s="61"/>
      <c r="E592" s="61"/>
      <c r="F592" s="61"/>
      <c r="G592" s="61"/>
      <c r="H592" s="61"/>
      <c r="I592" s="61"/>
      <c r="J592" s="61" t="s">
        <v>58</v>
      </c>
      <c r="K592" s="58"/>
      <c r="L592" s="59"/>
      <c r="M592" s="62">
        <f t="shared" ref="M592:V592" si="417">M591/L591-1</f>
        <v>-0.15320323607625086</v>
      </c>
      <c r="N592" s="62">
        <f t="shared" si="417"/>
        <v>-0.14800449896477597</v>
      </c>
      <c r="O592" s="62">
        <f t="shared" si="417"/>
        <v>0.12964536012782601</v>
      </c>
      <c r="P592" s="62">
        <f t="shared" si="417"/>
        <v>-8.6779841601086427E-2</v>
      </c>
      <c r="Q592" s="62">
        <f t="shared" si="417"/>
        <v>0.18924594119402971</v>
      </c>
      <c r="R592" s="62">
        <f t="shared" si="417"/>
        <v>-1</v>
      </c>
      <c r="S592" s="62" t="e">
        <f t="shared" si="417"/>
        <v>#DIV/0!</v>
      </c>
      <c r="T592" s="62" t="e">
        <f t="shared" si="417"/>
        <v>#DIV/0!</v>
      </c>
      <c r="U592" s="62" t="e">
        <f t="shared" si="417"/>
        <v>#DIV/0!</v>
      </c>
      <c r="V592" s="62" t="e">
        <f t="shared" si="417"/>
        <v>#DIV/0!</v>
      </c>
      <c r="W592" s="259"/>
      <c r="X592" s="259"/>
    </row>
    <row r="593" spans="1:28">
      <c r="A593" s="46" t="str">
        <f>Home!$B$1</f>
        <v>Poland</v>
      </c>
      <c r="B593" s="47" t="s">
        <v>94</v>
      </c>
      <c r="C593" s="46" t="s">
        <v>885</v>
      </c>
      <c r="D593" s="48"/>
      <c r="E593" s="48"/>
      <c r="F593" s="48" t="s">
        <v>532</v>
      </c>
      <c r="G593" s="48" t="s">
        <v>15</v>
      </c>
      <c r="H593" s="48" t="s">
        <v>111</v>
      </c>
      <c r="I593" s="48"/>
      <c r="J593" s="46" t="s">
        <v>99</v>
      </c>
      <c r="K593" s="76"/>
      <c r="L593" s="269">
        <f>L177</f>
        <v>14975.131262212246</v>
      </c>
      <c r="M593" s="269">
        <f t="shared" ref="M593:Q593" si="418">M177</f>
        <v>12959.850226300863</v>
      </c>
      <c r="N593" s="269">
        <f t="shared" si="418"/>
        <v>11890</v>
      </c>
      <c r="O593" s="269">
        <f t="shared" si="418"/>
        <v>12470</v>
      </c>
      <c r="P593" s="269">
        <f t="shared" si="418"/>
        <v>13350</v>
      </c>
      <c r="Q593" s="269">
        <f t="shared" si="418"/>
        <v>14840.000000000002</v>
      </c>
      <c r="R593" s="264">
        <f>Forecasting!R639</f>
        <v>15491.394687244565</v>
      </c>
      <c r="S593" s="264">
        <f>Forecasting!S639</f>
        <v>16075.885905664962</v>
      </c>
      <c r="T593" s="264">
        <f>Forecasting!T639</f>
        <v>16743.512843757366</v>
      </c>
      <c r="U593" s="264">
        <f>Forecasting!U639</f>
        <v>17530.93536460535</v>
      </c>
      <c r="V593" s="264">
        <f>Forecasting!V639</f>
        <v>18417.93995094355</v>
      </c>
      <c r="W593" s="262">
        <f>+(Q593/M593)^(1/4)-1</f>
        <v>3.4447560113938902E-2</v>
      </c>
      <c r="X593" s="262">
        <f>+(V593/Q593)^(1/5)-1</f>
        <v>4.4146483873642506E-2</v>
      </c>
    </row>
    <row r="594" spans="1:28">
      <c r="A594" s="48"/>
      <c r="B594" s="48"/>
      <c r="C594" s="52" t="s">
        <v>892</v>
      </c>
      <c r="D594" s="52"/>
      <c r="E594" s="52"/>
      <c r="F594" s="52"/>
      <c r="G594" s="52"/>
      <c r="H594" s="52"/>
      <c r="I594" s="52"/>
      <c r="J594" s="52" t="s">
        <v>58</v>
      </c>
      <c r="K594" s="49"/>
      <c r="L594" s="53"/>
      <c r="M594" s="54">
        <f t="shared" ref="M594:V594" si="419">M593/L593-1</f>
        <v>-0.13457518339065755</v>
      </c>
      <c r="N594" s="54">
        <f t="shared" si="419"/>
        <v>-8.2551125793853486E-2</v>
      </c>
      <c r="O594" s="54">
        <f t="shared" si="419"/>
        <v>4.8780487804878092E-2</v>
      </c>
      <c r="P594" s="54">
        <f t="shared" si="419"/>
        <v>7.0569366479551032E-2</v>
      </c>
      <c r="Q594" s="54">
        <f t="shared" si="419"/>
        <v>0.11161048689138586</v>
      </c>
      <c r="R594" s="54">
        <f t="shared" si="419"/>
        <v>4.3894520703811502E-2</v>
      </c>
      <c r="S594" s="54">
        <f t="shared" si="419"/>
        <v>3.7730057894765245E-2</v>
      </c>
      <c r="T594" s="54">
        <f t="shared" si="419"/>
        <v>4.1529713635074961E-2</v>
      </c>
      <c r="U594" s="54">
        <f t="shared" si="419"/>
        <v>4.7028513561989227E-2</v>
      </c>
      <c r="V594" s="54">
        <f t="shared" si="419"/>
        <v>5.0596535090138284E-2</v>
      </c>
      <c r="W594" s="258"/>
      <c r="X594" s="258"/>
    </row>
    <row r="595" spans="1:28">
      <c r="A595" s="46" t="str">
        <f>Home!$B$1</f>
        <v>Poland</v>
      </c>
      <c r="B595" s="47" t="s">
        <v>94</v>
      </c>
      <c r="C595" s="47" t="s">
        <v>885</v>
      </c>
      <c r="D595" s="46" t="s">
        <v>112</v>
      </c>
      <c r="E595" s="48"/>
      <c r="F595" s="48" t="s">
        <v>533</v>
      </c>
      <c r="G595" s="48" t="s">
        <v>15</v>
      </c>
      <c r="H595" s="48" t="s">
        <v>111</v>
      </c>
      <c r="I595" s="48" t="s">
        <v>114</v>
      </c>
      <c r="J595" s="48" t="s">
        <v>99</v>
      </c>
      <c r="K595" s="49" t="e">
        <f>26%*#REF!</f>
        <v>#REF!</v>
      </c>
      <c r="L595" s="268">
        <f>L601*L$593</f>
        <v>4297.9058436177911</v>
      </c>
      <c r="M595" s="268">
        <f>M601*M$593</f>
        <v>3628.7580633642419</v>
      </c>
      <c r="N595" s="268">
        <f t="shared" ref="N595:Q595" si="420">N601*N$593</f>
        <v>3210.3</v>
      </c>
      <c r="O595" s="268">
        <f>O601*O$593</f>
        <v>3117.5</v>
      </c>
      <c r="P595" s="268">
        <f t="shared" si="420"/>
        <v>3471</v>
      </c>
      <c r="Q595" s="268">
        <f t="shared" si="420"/>
        <v>3839.5399690028439</v>
      </c>
      <c r="R595" s="264">
        <f>Forecasting!R641</f>
        <v>3933.6136609789919</v>
      </c>
      <c r="S595" s="264">
        <f>Forecasting!S641</f>
        <v>4020.2576053901921</v>
      </c>
      <c r="T595" s="264">
        <f>Forecasting!T641</f>
        <v>4103.80165074468</v>
      </c>
      <c r="U595" s="264">
        <f>Forecasting!U641</f>
        <v>4234.7066364105376</v>
      </c>
      <c r="V595" s="264">
        <f>Forecasting!V641</f>
        <v>4377.6053695505616</v>
      </c>
      <c r="W595" s="102">
        <f>+(Q595/M595)^(1/4)-1</f>
        <v>1.4215619747853347E-2</v>
      </c>
      <c r="X595" s="102">
        <f>+(V595/Q595)^(1/5)-1</f>
        <v>2.6576889481508159E-2</v>
      </c>
      <c r="Y595" s="13"/>
    </row>
    <row r="596" spans="1:28">
      <c r="A596" s="48"/>
      <c r="B596" s="48"/>
      <c r="C596" s="52" t="s">
        <v>892</v>
      </c>
      <c r="D596" s="52"/>
      <c r="E596" s="52"/>
      <c r="F596" s="52"/>
      <c r="G596" s="52"/>
      <c r="H596" s="52"/>
      <c r="I596" s="52"/>
      <c r="J596" s="52" t="s">
        <v>58</v>
      </c>
      <c r="K596" s="49"/>
      <c r="L596" s="53"/>
      <c r="M596" s="54">
        <f t="shared" ref="M596:V596" si="421">M595/L595-1</f>
        <v>-0.15569158669383265</v>
      </c>
      <c r="N596" s="54">
        <f t="shared" si="421"/>
        <v>-0.1153171570155016</v>
      </c>
      <c r="O596" s="54">
        <f t="shared" si="421"/>
        <v>-2.8906955736224038E-2</v>
      </c>
      <c r="P596" s="54">
        <f t="shared" si="421"/>
        <v>0.11339214113873286</v>
      </c>
      <c r="Q596" s="54">
        <f t="shared" si="421"/>
        <v>0.10617688533645753</v>
      </c>
      <c r="R596" s="54">
        <f t="shared" si="421"/>
        <v>2.4501292533902097E-2</v>
      </c>
      <c r="S596" s="54">
        <f t="shared" si="421"/>
        <v>2.2026551633857361E-2</v>
      </c>
      <c r="T596" s="54">
        <f t="shared" si="421"/>
        <v>2.0780769183167624E-2</v>
      </c>
      <c r="U596" s="54">
        <f t="shared" si="421"/>
        <v>3.1898468007610203E-2</v>
      </c>
      <c r="V596" s="54">
        <f t="shared" si="421"/>
        <v>3.3744659408366795E-2</v>
      </c>
      <c r="W596" s="258"/>
      <c r="X596" s="258"/>
    </row>
    <row r="597" spans="1:28">
      <c r="A597" s="46" t="str">
        <f>Home!$B$1</f>
        <v>Poland</v>
      </c>
      <c r="B597" s="47" t="s">
        <v>94</v>
      </c>
      <c r="C597" s="47" t="s">
        <v>885</v>
      </c>
      <c r="D597" s="46" t="s">
        <v>115</v>
      </c>
      <c r="E597" s="48"/>
      <c r="F597" s="48" t="s">
        <v>534</v>
      </c>
      <c r="G597" s="48" t="s">
        <v>15</v>
      </c>
      <c r="H597" s="48" t="s">
        <v>111</v>
      </c>
      <c r="I597" s="48" t="s">
        <v>114</v>
      </c>
      <c r="J597" s="48" t="s">
        <v>99</v>
      </c>
      <c r="K597" s="49" t="e">
        <f>0.7*#REF!</f>
        <v>#REF!</v>
      </c>
      <c r="L597" s="268">
        <f t="shared" ref="L597:Q597" si="422">L603*L$593</f>
        <v>9019.9085652861395</v>
      </c>
      <c r="M597" s="268">
        <f>M603*M$593</f>
        <v>7775.9101357805193</v>
      </c>
      <c r="N597" s="268">
        <f>N603*N$593</f>
        <v>7015.0999999999995</v>
      </c>
      <c r="O597" s="268">
        <f t="shared" si="422"/>
        <v>7606.7</v>
      </c>
      <c r="P597" s="268">
        <f>P603*P$593</f>
        <v>8010.0000000000009</v>
      </c>
      <c r="Q597" s="268">
        <f t="shared" si="422"/>
        <v>8941.8938197013758</v>
      </c>
      <c r="R597" s="264">
        <f>Forecasting!R643</f>
        <v>9353.6538367743979</v>
      </c>
      <c r="S597" s="264">
        <f>Forecasting!S643</f>
        <v>9704.2452729572615</v>
      </c>
      <c r="T597" s="264">
        <f>Forecasting!T643</f>
        <v>10161.509202673269</v>
      </c>
      <c r="U597" s="264">
        <f>Forecasting!U643</f>
        <v>10680.483105977279</v>
      </c>
      <c r="V597" s="264">
        <f>Forecasting!V643</f>
        <v>11263.114246042038</v>
      </c>
      <c r="W597" s="102">
        <f>+(Q597/M597)^(1/4)-1</f>
        <v>3.5546413577605351E-2</v>
      </c>
      <c r="X597" s="102">
        <f>+(V597/Q597)^(1/5)-1</f>
        <v>4.7238973115547367E-2</v>
      </c>
      <c r="Y597" s="13"/>
    </row>
    <row r="598" spans="1:28">
      <c r="A598" s="48"/>
      <c r="B598" s="48"/>
      <c r="C598" s="52" t="s">
        <v>892</v>
      </c>
      <c r="D598" s="52"/>
      <c r="E598" s="52"/>
      <c r="F598" s="52"/>
      <c r="G598" s="52"/>
      <c r="H598" s="52"/>
      <c r="I598" s="52"/>
      <c r="J598" s="52" t="s">
        <v>58</v>
      </c>
      <c r="K598" s="49"/>
      <c r="L598" s="53"/>
      <c r="M598" s="54">
        <f t="shared" ref="M598:V598" si="423">M597/L597-1</f>
        <v>-0.13791696672993459</v>
      </c>
      <c r="N598" s="54">
        <f t="shared" si="423"/>
        <v>-9.7841940363956215E-2</v>
      </c>
      <c r="O598" s="54">
        <f t="shared" si="423"/>
        <v>8.4332368747416453E-2</v>
      </c>
      <c r="P598" s="54">
        <f t="shared" si="423"/>
        <v>5.3019048996279849E-2</v>
      </c>
      <c r="Q598" s="54">
        <f t="shared" si="423"/>
        <v>0.11634130083662608</v>
      </c>
      <c r="R598" s="54">
        <f t="shared" si="423"/>
        <v>4.6048412716085396E-2</v>
      </c>
      <c r="S598" s="54">
        <f t="shared" si="423"/>
        <v>3.7481762988116341E-2</v>
      </c>
      <c r="T598" s="54">
        <f t="shared" si="423"/>
        <v>4.7119988917660782E-2</v>
      </c>
      <c r="U598" s="54">
        <f t="shared" si="423"/>
        <v>5.1072522098142503E-2</v>
      </c>
      <c r="V598" s="54">
        <f t="shared" si="423"/>
        <v>5.455100993874451E-2</v>
      </c>
      <c r="W598" s="258"/>
      <c r="X598" s="258"/>
    </row>
    <row r="599" spans="1:28">
      <c r="A599" s="46" t="str">
        <f>Home!$B$1</f>
        <v>Poland</v>
      </c>
      <c r="B599" s="47" t="s">
        <v>94</v>
      </c>
      <c r="C599" s="47" t="s">
        <v>885</v>
      </c>
      <c r="D599" s="46" t="s">
        <v>117</v>
      </c>
      <c r="E599" s="46"/>
      <c r="F599" s="48" t="s">
        <v>535</v>
      </c>
      <c r="G599" s="48" t="s">
        <v>15</v>
      </c>
      <c r="H599" s="48" t="s">
        <v>111</v>
      </c>
      <c r="I599" s="48" t="s">
        <v>114</v>
      </c>
      <c r="J599" s="48" t="s">
        <v>99</v>
      </c>
      <c r="K599" s="49" t="e">
        <f>0.04*#REF!</f>
        <v>#REF!</v>
      </c>
      <c r="L599" s="268">
        <f t="shared" ref="L599:P599" si="424">L605*L$593</f>
        <v>1657.3168533083151</v>
      </c>
      <c r="M599" s="268">
        <f>M605*M$593</f>
        <v>1555.1820271561021</v>
      </c>
      <c r="N599" s="268">
        <f t="shared" si="424"/>
        <v>1664.6000000000001</v>
      </c>
      <c r="O599" s="268">
        <f t="shared" si="424"/>
        <v>1745.8000000000002</v>
      </c>
      <c r="P599" s="268">
        <f t="shared" si="424"/>
        <v>1868.9999999999986</v>
      </c>
      <c r="Q599" s="268">
        <f>Q605*Q$593</f>
        <v>2058.566211295783</v>
      </c>
      <c r="R599" s="264">
        <f>Forecasting!R645</f>
        <v>2204.1271894911756</v>
      </c>
      <c r="S599" s="264">
        <f>Forecasting!S645</f>
        <v>2351.3830273175081</v>
      </c>
      <c r="T599" s="264">
        <f>Forecasting!T645</f>
        <v>2478.2019903394175</v>
      </c>
      <c r="U599" s="264">
        <f>Forecasting!U645</f>
        <v>2615.7456222175324</v>
      </c>
      <c r="V599" s="264">
        <f>Forecasting!V645</f>
        <v>2777.2203353509494</v>
      </c>
      <c r="W599" s="102">
        <f>+(Q599/M599)^(1/4)-1</f>
        <v>7.2620030516287182E-2</v>
      </c>
      <c r="X599" s="102">
        <f>+(V599/Q599)^(1/5)-1</f>
        <v>6.1717801969430441E-2</v>
      </c>
      <c r="Y599" s="13"/>
    </row>
    <row r="600" spans="1:28">
      <c r="A600" s="48"/>
      <c r="B600" s="48"/>
      <c r="C600" s="52" t="s">
        <v>892</v>
      </c>
      <c r="D600" s="52"/>
      <c r="E600" s="52"/>
      <c r="F600" s="52"/>
      <c r="G600" s="52"/>
      <c r="H600" s="52"/>
      <c r="I600" s="52"/>
      <c r="J600" s="52" t="s">
        <v>58</v>
      </c>
      <c r="K600" s="49"/>
      <c r="L600" s="53"/>
      <c r="M600" s="54">
        <f t="shared" ref="M600:V600" si="425">M599/L599-1</f>
        <v>-6.1626614095145915E-2</v>
      </c>
      <c r="N600" s="54">
        <f t="shared" si="425"/>
        <v>7.0357019907172136E-2</v>
      </c>
      <c r="O600" s="54">
        <f t="shared" si="425"/>
        <v>4.8780487804878092E-2</v>
      </c>
      <c r="P600" s="54">
        <f t="shared" si="425"/>
        <v>7.0569366479549922E-2</v>
      </c>
      <c r="Q600" s="54">
        <f t="shared" si="425"/>
        <v>0.10142654429951015</v>
      </c>
      <c r="R600" s="54">
        <f t="shared" si="425"/>
        <v>7.0709884091494812E-2</v>
      </c>
      <c r="S600" s="54">
        <f t="shared" si="425"/>
        <v>6.6809138115267563E-2</v>
      </c>
      <c r="T600" s="54">
        <f t="shared" si="425"/>
        <v>5.393377495226126E-2</v>
      </c>
      <c r="U600" s="54">
        <f t="shared" si="425"/>
        <v>5.5501380603474093E-2</v>
      </c>
      <c r="V600" s="54">
        <f t="shared" si="425"/>
        <v>6.1731810525415209E-2</v>
      </c>
      <c r="W600" s="258"/>
      <c r="X600" s="258"/>
    </row>
    <row r="601" spans="1:28" s="72" customFormat="1" outlineLevel="1">
      <c r="A601" s="67"/>
      <c r="B601" s="67"/>
      <c r="C601" s="68"/>
      <c r="D601" s="69" t="s">
        <v>112</v>
      </c>
      <c r="E601" s="68"/>
      <c r="F601" s="68"/>
      <c r="G601" s="68"/>
      <c r="H601" s="68"/>
      <c r="I601" s="68"/>
      <c r="J601" s="68"/>
      <c r="K601" s="74"/>
      <c r="L601" s="73">
        <f>'Seasonality&amp; Avg.stay'!C221</f>
        <v>0.28700288287041498</v>
      </c>
      <c r="M601" s="73">
        <f>'Seasonality&amp; Avg.stay'!D221</f>
        <v>0.28000000000000003</v>
      </c>
      <c r="N601" s="73">
        <f>'Seasonality&amp; Avg.stay'!E221</f>
        <v>0.27</v>
      </c>
      <c r="O601" s="73">
        <f>'Seasonality&amp; Avg.stay'!F221</f>
        <v>0.25</v>
      </c>
      <c r="P601" s="73">
        <f>'Seasonality&amp; Avg.stay'!G221</f>
        <v>0.26</v>
      </c>
      <c r="Q601" s="73">
        <f>'Seasonality&amp; Avg.stay'!H221</f>
        <v>0.25872910842337221</v>
      </c>
      <c r="R601" s="71"/>
      <c r="S601" s="71"/>
      <c r="T601" s="71"/>
      <c r="U601" s="71"/>
      <c r="V601" s="71"/>
      <c r="W601" s="75"/>
      <c r="X601" s="75"/>
      <c r="Y601" s="67"/>
      <c r="Z601" s="67"/>
      <c r="AA601" s="67"/>
      <c r="AB601" s="67"/>
    </row>
    <row r="602" spans="1:28" s="72" customFormat="1" outlineLevel="1">
      <c r="A602" s="67"/>
      <c r="B602" s="67"/>
      <c r="C602" s="68"/>
      <c r="D602" s="68"/>
      <c r="E602" s="68"/>
      <c r="F602" s="68"/>
      <c r="G602" s="68"/>
      <c r="H602" s="68"/>
      <c r="I602" s="68"/>
      <c r="J602" s="68"/>
      <c r="K602" s="74"/>
      <c r="L602" s="73"/>
      <c r="M602" s="163"/>
      <c r="N602" s="163"/>
      <c r="O602" s="163"/>
      <c r="P602" s="163"/>
      <c r="Q602" s="71"/>
      <c r="R602" s="71"/>
      <c r="S602" s="71"/>
      <c r="T602" s="71"/>
      <c r="U602" s="71"/>
      <c r="V602" s="71"/>
      <c r="W602" s="75"/>
      <c r="X602" s="75"/>
      <c r="Y602" s="67"/>
      <c r="Z602" s="67"/>
      <c r="AA602" s="67"/>
      <c r="AB602" s="67"/>
    </row>
    <row r="603" spans="1:28" s="72" customFormat="1" outlineLevel="1">
      <c r="A603" s="67"/>
      <c r="B603" s="67"/>
      <c r="C603" s="68"/>
      <c r="D603" s="69" t="s">
        <v>115</v>
      </c>
      <c r="E603" s="68"/>
      <c r="F603" s="68"/>
      <c r="G603" s="68"/>
      <c r="H603" s="68"/>
      <c r="I603" s="68"/>
      <c r="J603" s="68"/>
      <c r="K603" s="74"/>
      <c r="L603" s="73">
        <f>'Seasonality&amp; Avg.stay'!C222</f>
        <v>0.60232584324964689</v>
      </c>
      <c r="M603" s="73">
        <f>'Seasonality&amp; Avg.stay'!D222</f>
        <v>0.60000000000000009</v>
      </c>
      <c r="N603" s="73">
        <f>'Seasonality&amp; Avg.stay'!E222</f>
        <v>0.59</v>
      </c>
      <c r="O603" s="73">
        <f>'Seasonality&amp; Avg.stay'!F222</f>
        <v>0.61</v>
      </c>
      <c r="P603" s="73">
        <f>'Seasonality&amp; Avg.stay'!G222</f>
        <v>0.60000000000000009</v>
      </c>
      <c r="Q603" s="73">
        <f>'Seasonality&amp; Avg.stay'!H222</f>
        <v>0.60255349189362362</v>
      </c>
      <c r="R603" s="71"/>
      <c r="S603" s="71"/>
      <c r="T603" s="71"/>
      <c r="U603" s="71"/>
      <c r="V603" s="71"/>
      <c r="W603" s="75"/>
      <c r="X603" s="75"/>
      <c r="Y603" s="67"/>
      <c r="Z603" s="67"/>
      <c r="AA603" s="67"/>
      <c r="AB603" s="67"/>
    </row>
    <row r="604" spans="1:28" s="72" customFormat="1" outlineLevel="1">
      <c r="A604" s="67"/>
      <c r="B604" s="67"/>
      <c r="C604" s="68"/>
      <c r="D604" s="68"/>
      <c r="E604" s="68"/>
      <c r="F604" s="68"/>
      <c r="G604" s="68"/>
      <c r="H604" s="68"/>
      <c r="I604" s="68"/>
      <c r="J604" s="68"/>
      <c r="K604" s="74"/>
      <c r="L604" s="73"/>
      <c r="M604" s="163"/>
      <c r="N604" s="163"/>
      <c r="O604" s="163"/>
      <c r="P604" s="163"/>
      <c r="Q604" s="71"/>
      <c r="R604" s="71"/>
      <c r="S604" s="71"/>
      <c r="T604" s="71"/>
      <c r="U604" s="71"/>
      <c r="V604" s="71"/>
      <c r="W604" s="75"/>
      <c r="X604" s="75"/>
      <c r="Y604" s="67"/>
      <c r="Z604" s="67"/>
      <c r="AA604" s="67"/>
      <c r="AB604" s="67"/>
    </row>
    <row r="605" spans="1:28" s="72" customFormat="1" outlineLevel="1">
      <c r="A605" s="67"/>
      <c r="B605" s="67"/>
      <c r="C605" s="68"/>
      <c r="D605" s="69" t="s">
        <v>117</v>
      </c>
      <c r="E605" s="68"/>
      <c r="F605" s="68"/>
      <c r="G605" s="68"/>
      <c r="H605" s="68"/>
      <c r="I605" s="68"/>
      <c r="J605" s="68"/>
      <c r="K605" s="74"/>
      <c r="L605" s="73">
        <f>1-SUM(L601:L603)</f>
        <v>0.11067127387993814</v>
      </c>
      <c r="M605" s="73">
        <f t="shared" ref="M605:Q605" si="426">1-SUM(M601:M603)</f>
        <v>0.11999999999999988</v>
      </c>
      <c r="N605" s="73">
        <f t="shared" si="426"/>
        <v>0.14000000000000001</v>
      </c>
      <c r="O605" s="73">
        <f t="shared" si="426"/>
        <v>0.14000000000000001</v>
      </c>
      <c r="P605" s="73">
        <f t="shared" si="426"/>
        <v>0.1399999999999999</v>
      </c>
      <c r="Q605" s="73">
        <f t="shared" si="426"/>
        <v>0.13871739968300423</v>
      </c>
      <c r="R605" s="71"/>
      <c r="S605" s="71"/>
      <c r="T605" s="71"/>
      <c r="U605" s="71"/>
      <c r="V605" s="71"/>
      <c r="W605" s="75"/>
      <c r="X605" s="75"/>
      <c r="Y605" s="67"/>
      <c r="Z605" s="67"/>
      <c r="AA605" s="67"/>
      <c r="AB605" s="67"/>
    </row>
    <row r="606" spans="1:28">
      <c r="A606" s="46" t="str">
        <f>Home!$B$1</f>
        <v>Poland</v>
      </c>
      <c r="B606" s="47" t="s">
        <v>94</v>
      </c>
      <c r="C606" s="46" t="s">
        <v>546</v>
      </c>
      <c r="D606" s="48"/>
      <c r="E606" s="48"/>
      <c r="F606" s="48" t="s">
        <v>547</v>
      </c>
      <c r="G606" s="48" t="s">
        <v>15</v>
      </c>
      <c r="H606" s="48" t="s">
        <v>96</v>
      </c>
      <c r="I606" s="48"/>
      <c r="J606" s="46" t="s">
        <v>99</v>
      </c>
      <c r="K606" s="76">
        <f>SUM($K$284,$K$340,$K$386,$K$432,$K$448,$K$452,$K$490)</f>
        <v>0</v>
      </c>
      <c r="L606" s="269">
        <f>SUM(L608,L720,L812,L904,L936,L944)</f>
        <v>6917.0000000000009</v>
      </c>
      <c r="M606" s="269">
        <f t="shared" ref="M606:Q606" si="427">SUM(M608,M720,M812,M904,M936,M944)</f>
        <v>7574</v>
      </c>
      <c r="N606" s="269">
        <f t="shared" si="427"/>
        <v>6318</v>
      </c>
      <c r="O606" s="269">
        <f t="shared" si="427"/>
        <v>7121.5</v>
      </c>
      <c r="P606" s="269">
        <f t="shared" si="427"/>
        <v>6326.5999999999995</v>
      </c>
      <c r="Q606" s="269">
        <f t="shared" si="427"/>
        <v>6195.141275822938</v>
      </c>
      <c r="R606" s="264">
        <f>Forecasting!R652</f>
        <v>6270.8569376655214</v>
      </c>
      <c r="S606" s="264">
        <f>Forecasting!S652</f>
        <v>6371.8975225233071</v>
      </c>
      <c r="T606" s="264">
        <f>Forecasting!T652</f>
        <v>6422.7908983747702</v>
      </c>
      <c r="U606" s="264">
        <f>Forecasting!U652</f>
        <v>6503.3045829005732</v>
      </c>
      <c r="V606" s="264">
        <f>Forecasting!V652</f>
        <v>6579.1028306528524</v>
      </c>
      <c r="W606" s="262">
        <f>+(Q606/M606)^(1/4)-1</f>
        <v>-4.8997894506850437E-2</v>
      </c>
      <c r="X606" s="262">
        <f>+(V606/Q606)^(1/5)-1</f>
        <v>1.209922420888665E-2</v>
      </c>
      <c r="Z606" s="11"/>
    </row>
    <row r="607" spans="1:28">
      <c r="A607" s="48"/>
      <c r="B607" s="48"/>
      <c r="C607" s="52" t="s">
        <v>892</v>
      </c>
      <c r="D607" s="52"/>
      <c r="E607" s="52"/>
      <c r="F607" s="52"/>
      <c r="G607" s="52"/>
      <c r="H607" s="52"/>
      <c r="I607" s="52"/>
      <c r="J607" s="52" t="s">
        <v>58</v>
      </c>
      <c r="K607" s="49"/>
      <c r="L607" s="53"/>
      <c r="M607" s="54">
        <f t="shared" ref="M607:V607" si="428">M606/L606-1</f>
        <v>9.498337429521464E-2</v>
      </c>
      <c r="N607" s="54">
        <f t="shared" si="428"/>
        <v>-0.16583047266965933</v>
      </c>
      <c r="O607" s="54">
        <f t="shared" si="428"/>
        <v>0.12717632162076598</v>
      </c>
      <c r="P607" s="54">
        <f t="shared" si="428"/>
        <v>-0.11161974303166478</v>
      </c>
      <c r="Q607" s="54">
        <f t="shared" si="428"/>
        <v>-2.077873173221978E-2</v>
      </c>
      <c r="R607" s="54">
        <f t="shared" si="428"/>
        <v>1.2221781307566015E-2</v>
      </c>
      <c r="S607" s="54">
        <f t="shared" si="428"/>
        <v>1.6112723645614002E-2</v>
      </c>
      <c r="T607" s="54">
        <f t="shared" si="428"/>
        <v>7.9871617005085049E-3</v>
      </c>
      <c r="U607" s="54">
        <f t="shared" si="428"/>
        <v>1.2535622877926311E-2</v>
      </c>
      <c r="V607" s="54">
        <f t="shared" si="428"/>
        <v>1.1655343339074031E-2</v>
      </c>
      <c r="W607" s="258"/>
      <c r="X607" s="258"/>
    </row>
    <row r="608" spans="1:28">
      <c r="A608" s="46" t="str">
        <f>Home!$B$1</f>
        <v>Poland</v>
      </c>
      <c r="B608" s="47" t="s">
        <v>94</v>
      </c>
      <c r="C608" s="47" t="s">
        <v>546</v>
      </c>
      <c r="D608" s="46" t="s">
        <v>65</v>
      </c>
      <c r="E608" s="48"/>
      <c r="F608" s="48" t="s">
        <v>548</v>
      </c>
      <c r="G608" s="48" t="s">
        <v>15</v>
      </c>
      <c r="H608" s="48" t="s">
        <v>16</v>
      </c>
      <c r="I608" s="48"/>
      <c r="J608" s="48" t="s">
        <v>99</v>
      </c>
      <c r="K608" s="76">
        <f>SUM(K609:K662)</f>
        <v>0</v>
      </c>
      <c r="L608" s="91">
        <f>SUM(L610,L612,L614,L616,L618,L620,L622,L624,L626,L628,L630,L632,L634,L636,L638,L640,L642,L644,L646,L648,L650,L652,L654,L656,L658,L660,L662,L664,L666,L668,L670,L672,L674,L676,L678,L680,L682,L684,L686,L688,L690,L692,L694,L696,L698,L700,L702,L704,L706,L708,L710,L712,L714,L716,L718)</f>
        <v>382.89155755482369</v>
      </c>
      <c r="M608" s="91">
        <f t="shared" ref="M608:Q608" si="429">SUM(M610,M612,M614,M616,M618,M620,M622,M624,M626,M628,M630,M632,M634,M636,M638,M640,M642,M644,M646,M648,M650,M652,M654,M656,M658,M660,M662,M664,M666,M668,M670,M672,M674,M676,M678,M680,M682,M684,M686,M688,M690,M692,M694,M696,M698,M700,M702,M704,M706,M708,M710,M712,M714,M716,M718)</f>
        <v>398.72415455056625</v>
      </c>
      <c r="N608" s="91">
        <f t="shared" si="429"/>
        <v>366.04683107076875</v>
      </c>
      <c r="O608" s="91">
        <f t="shared" si="429"/>
        <v>383</v>
      </c>
      <c r="P608" s="91">
        <f t="shared" si="429"/>
        <v>353</v>
      </c>
      <c r="Q608" s="91">
        <f t="shared" si="429"/>
        <v>345.89910164252427</v>
      </c>
      <c r="R608" s="110">
        <f>Forecasting!R654</f>
        <v>351.02611919350994</v>
      </c>
      <c r="S608" s="110">
        <f>Forecasting!S654</f>
        <v>354.91081683862433</v>
      </c>
      <c r="T608" s="110">
        <f>Forecasting!T654</f>
        <v>357.97148839283631</v>
      </c>
      <c r="U608" s="110">
        <f>Forecasting!U654</f>
        <v>362.49630884309539</v>
      </c>
      <c r="V608" s="110">
        <f>Forecasting!V654</f>
        <v>369.06629403248792</v>
      </c>
      <c r="W608" s="102">
        <f>+(Q608/M608)^(1/4)-1</f>
        <v>-3.490687456807684E-2</v>
      </c>
      <c r="X608" s="102">
        <f>+(V608/Q608)^(1/5)-1</f>
        <v>1.305025443728991E-2</v>
      </c>
      <c r="Z608" s="11"/>
    </row>
    <row r="609" spans="1:26">
      <c r="A609" s="48"/>
      <c r="B609" s="48"/>
      <c r="C609" s="52" t="s">
        <v>892</v>
      </c>
      <c r="D609" s="52"/>
      <c r="E609" s="52"/>
      <c r="F609" s="52"/>
      <c r="G609" s="52"/>
      <c r="H609" s="52"/>
      <c r="I609" s="52"/>
      <c r="J609" s="52" t="s">
        <v>58</v>
      </c>
      <c r="K609" s="49"/>
      <c r="L609" s="53"/>
      <c r="M609" s="54">
        <f t="shared" ref="M609:V609" si="430">M608/L608-1</f>
        <v>4.1350081200146604E-2</v>
      </c>
      <c r="N609" s="54">
        <f t="shared" si="430"/>
        <v>-8.1954712567215093E-2</v>
      </c>
      <c r="O609" s="54">
        <f t="shared" si="430"/>
        <v>4.6314207610101299E-2</v>
      </c>
      <c r="P609" s="54">
        <f t="shared" si="430"/>
        <v>-7.8328981723237545E-2</v>
      </c>
      <c r="Q609" s="54">
        <f t="shared" si="430"/>
        <v>-2.0115859369619571E-2</v>
      </c>
      <c r="R609" s="54">
        <f t="shared" si="430"/>
        <v>1.482229218474318E-2</v>
      </c>
      <c r="S609" s="54">
        <f t="shared" si="430"/>
        <v>1.1066691145489527E-2</v>
      </c>
      <c r="T609" s="54">
        <f t="shared" si="430"/>
        <v>8.6237764784826698E-3</v>
      </c>
      <c r="U609" s="54">
        <f t="shared" si="430"/>
        <v>1.2640169949215574E-2</v>
      </c>
      <c r="V609" s="54">
        <f t="shared" si="430"/>
        <v>1.8124281624716687E-2</v>
      </c>
      <c r="W609" s="258"/>
      <c r="X609" s="258"/>
    </row>
    <row r="610" spans="1:26">
      <c r="A610" s="46" t="str">
        <f>Home!$B$1</f>
        <v>Poland</v>
      </c>
      <c r="B610" s="47" t="s">
        <v>94</v>
      </c>
      <c r="C610" s="47" t="s">
        <v>546</v>
      </c>
      <c r="D610" s="47" t="s">
        <v>65</v>
      </c>
      <c r="E610" s="46" t="s">
        <v>133</v>
      </c>
      <c r="F610" s="48" t="s">
        <v>549</v>
      </c>
      <c r="G610" s="48" t="s">
        <v>15</v>
      </c>
      <c r="H610" s="48" t="s">
        <v>16</v>
      </c>
      <c r="I610" s="48"/>
      <c r="J610" s="48" t="s">
        <v>99</v>
      </c>
      <c r="K610" s="49"/>
      <c r="L610" s="92"/>
      <c r="M610" s="92"/>
      <c r="N610" s="92"/>
      <c r="O610" s="92"/>
      <c r="P610" s="92"/>
      <c r="Q610" s="92">
        <f>Forecasting!Q668</f>
        <v>0</v>
      </c>
      <c r="R610" s="110">
        <f>Forecasting!R668</f>
        <v>0</v>
      </c>
      <c r="S610" s="110">
        <f>Forecasting!S668</f>
        <v>0</v>
      </c>
      <c r="T610" s="110">
        <f>Forecasting!T668</f>
        <v>0</v>
      </c>
      <c r="U610" s="110">
        <f>Forecasting!U668</f>
        <v>0</v>
      </c>
      <c r="V610" s="110">
        <f>Forecasting!V668</f>
        <v>0</v>
      </c>
      <c r="W610" s="102" t="e">
        <f>+(Q610/M610)^(1/4)-1</f>
        <v>#DIV/0!</v>
      </c>
      <c r="X610" s="102" t="e">
        <f>+(V610/Q610)^(1/5)-1</f>
        <v>#DIV/0!</v>
      </c>
      <c r="Z610" s="11"/>
    </row>
    <row r="611" spans="1:26">
      <c r="A611" s="48"/>
      <c r="B611" s="48"/>
      <c r="C611" s="52" t="s">
        <v>892</v>
      </c>
      <c r="D611" s="52"/>
      <c r="E611" s="52"/>
      <c r="F611" s="52"/>
      <c r="G611" s="52"/>
      <c r="H611" s="52"/>
      <c r="I611" s="52"/>
      <c r="J611" s="52" t="s">
        <v>58</v>
      </c>
      <c r="K611" s="49"/>
      <c r="L611" s="53"/>
      <c r="M611" s="54" t="e">
        <f t="shared" ref="M611:V611" si="431">M610/L610-1</f>
        <v>#DIV/0!</v>
      </c>
      <c r="N611" s="54" t="e">
        <f t="shared" si="431"/>
        <v>#DIV/0!</v>
      </c>
      <c r="O611" s="54" t="e">
        <f t="shared" si="431"/>
        <v>#DIV/0!</v>
      </c>
      <c r="P611" s="54" t="e">
        <f t="shared" si="431"/>
        <v>#DIV/0!</v>
      </c>
      <c r="Q611" s="54" t="e">
        <f t="shared" si="431"/>
        <v>#DIV/0!</v>
      </c>
      <c r="R611" s="54" t="e">
        <f t="shared" si="431"/>
        <v>#DIV/0!</v>
      </c>
      <c r="S611" s="54" t="e">
        <f t="shared" si="431"/>
        <v>#DIV/0!</v>
      </c>
      <c r="T611" s="54" t="e">
        <f t="shared" si="431"/>
        <v>#DIV/0!</v>
      </c>
      <c r="U611" s="54" t="e">
        <f t="shared" si="431"/>
        <v>#DIV/0!</v>
      </c>
      <c r="V611" s="54" t="e">
        <f t="shared" si="431"/>
        <v>#DIV/0!</v>
      </c>
      <c r="W611" s="258"/>
      <c r="X611" s="258"/>
    </row>
    <row r="612" spans="1:26">
      <c r="A612" s="46" t="str">
        <f>Home!$B$1</f>
        <v>Poland</v>
      </c>
      <c r="B612" s="47" t="s">
        <v>94</v>
      </c>
      <c r="C612" s="47" t="s">
        <v>546</v>
      </c>
      <c r="D612" s="47" t="s">
        <v>65</v>
      </c>
      <c r="E612" s="46" t="s">
        <v>135</v>
      </c>
      <c r="F612" s="48" t="s">
        <v>550</v>
      </c>
      <c r="G612" s="48" t="s">
        <v>15</v>
      </c>
      <c r="H612" s="48" t="s">
        <v>16</v>
      </c>
      <c r="I612" s="48"/>
      <c r="J612" s="48" t="s">
        <v>99</v>
      </c>
      <c r="K612" s="49"/>
      <c r="L612" s="92"/>
      <c r="M612" s="92"/>
      <c r="N612" s="92"/>
      <c r="O612" s="92"/>
      <c r="P612" s="92"/>
      <c r="Q612" s="92">
        <f>Forecasting!Q670</f>
        <v>0</v>
      </c>
      <c r="R612" s="110">
        <f>Forecasting!R670</f>
        <v>0</v>
      </c>
      <c r="S612" s="110">
        <f>Forecasting!S670</f>
        <v>0</v>
      </c>
      <c r="T612" s="110">
        <f>Forecasting!T670</f>
        <v>0</v>
      </c>
      <c r="U612" s="110">
        <f>Forecasting!U670</f>
        <v>0</v>
      </c>
      <c r="V612" s="110">
        <f>Forecasting!V670</f>
        <v>0</v>
      </c>
      <c r="W612" s="102" t="e">
        <f>+(Q612/M612)^(1/4)-1</f>
        <v>#DIV/0!</v>
      </c>
      <c r="X612" s="102" t="e">
        <f>+(V612/Q612)^(1/5)-1</f>
        <v>#DIV/0!</v>
      </c>
      <c r="Z612" s="11"/>
    </row>
    <row r="613" spans="1:26">
      <c r="A613" s="48"/>
      <c r="B613" s="48"/>
      <c r="C613" s="52" t="s">
        <v>892</v>
      </c>
      <c r="D613" s="52"/>
      <c r="E613" s="52"/>
      <c r="F613" s="52"/>
      <c r="G613" s="52"/>
      <c r="H613" s="52"/>
      <c r="I613" s="52"/>
      <c r="J613" s="52" t="s">
        <v>58</v>
      </c>
      <c r="K613" s="49"/>
      <c r="L613" s="53"/>
      <c r="M613" s="54" t="e">
        <f t="shared" ref="M613:V613" si="432">M612/L612-1</f>
        <v>#DIV/0!</v>
      </c>
      <c r="N613" s="54" t="e">
        <f t="shared" si="432"/>
        <v>#DIV/0!</v>
      </c>
      <c r="O613" s="54" t="e">
        <f t="shared" si="432"/>
        <v>#DIV/0!</v>
      </c>
      <c r="P613" s="54" t="e">
        <f t="shared" si="432"/>
        <v>#DIV/0!</v>
      </c>
      <c r="Q613" s="54" t="e">
        <f t="shared" si="432"/>
        <v>#DIV/0!</v>
      </c>
      <c r="R613" s="54" t="e">
        <f t="shared" si="432"/>
        <v>#DIV/0!</v>
      </c>
      <c r="S613" s="54" t="e">
        <f t="shared" si="432"/>
        <v>#DIV/0!</v>
      </c>
      <c r="T613" s="54" t="e">
        <f t="shared" si="432"/>
        <v>#DIV/0!</v>
      </c>
      <c r="U613" s="54" t="e">
        <f t="shared" si="432"/>
        <v>#DIV/0!</v>
      </c>
      <c r="V613" s="54" t="e">
        <f t="shared" si="432"/>
        <v>#DIV/0!</v>
      </c>
      <c r="W613" s="258"/>
      <c r="X613" s="258"/>
    </row>
    <row r="614" spans="1:26">
      <c r="A614" s="46" t="str">
        <f>Home!$B$1</f>
        <v>Poland</v>
      </c>
      <c r="B614" s="47" t="s">
        <v>94</v>
      </c>
      <c r="C614" s="47" t="s">
        <v>546</v>
      </c>
      <c r="D614" s="47" t="s">
        <v>65</v>
      </c>
      <c r="E614" s="46" t="s">
        <v>137</v>
      </c>
      <c r="F614" s="48" t="s">
        <v>551</v>
      </c>
      <c r="G614" s="48" t="s">
        <v>15</v>
      </c>
      <c r="H614" s="48" t="s">
        <v>16</v>
      </c>
      <c r="I614" s="48"/>
      <c r="J614" s="48" t="s">
        <v>99</v>
      </c>
      <c r="K614" s="49"/>
      <c r="L614" s="92"/>
      <c r="M614" s="92"/>
      <c r="N614" s="92"/>
      <c r="O614" s="92"/>
      <c r="P614" s="92"/>
      <c r="Q614" s="92">
        <f>Forecasting!Q672</f>
        <v>0</v>
      </c>
      <c r="R614" s="110">
        <f>Forecasting!R672</f>
        <v>0</v>
      </c>
      <c r="S614" s="110">
        <f>Forecasting!S672</f>
        <v>0</v>
      </c>
      <c r="T614" s="110">
        <f>Forecasting!T672</f>
        <v>0</v>
      </c>
      <c r="U614" s="110">
        <f>Forecasting!U672</f>
        <v>0</v>
      </c>
      <c r="V614" s="110">
        <f>Forecasting!V672</f>
        <v>0</v>
      </c>
      <c r="W614" s="102" t="e">
        <f>+(Q614/M614)^(1/4)-1</f>
        <v>#DIV/0!</v>
      </c>
      <c r="X614" s="102" t="e">
        <f>+(V614/Q614)^(1/5)-1</f>
        <v>#DIV/0!</v>
      </c>
      <c r="Z614" s="11"/>
    </row>
    <row r="615" spans="1:26">
      <c r="A615" s="48"/>
      <c r="B615" s="48"/>
      <c r="C615" s="52" t="s">
        <v>892</v>
      </c>
      <c r="D615" s="52"/>
      <c r="E615" s="52"/>
      <c r="F615" s="52"/>
      <c r="G615" s="52"/>
      <c r="H615" s="52"/>
      <c r="I615" s="52"/>
      <c r="J615" s="52" t="s">
        <v>58</v>
      </c>
      <c r="K615" s="49"/>
      <c r="L615" s="53"/>
      <c r="M615" s="54" t="e">
        <f t="shared" ref="M615:V615" si="433">M614/L614-1</f>
        <v>#DIV/0!</v>
      </c>
      <c r="N615" s="54" t="e">
        <f t="shared" si="433"/>
        <v>#DIV/0!</v>
      </c>
      <c r="O615" s="54" t="e">
        <f t="shared" si="433"/>
        <v>#DIV/0!</v>
      </c>
      <c r="P615" s="54" t="e">
        <f t="shared" si="433"/>
        <v>#DIV/0!</v>
      </c>
      <c r="Q615" s="54" t="e">
        <f t="shared" si="433"/>
        <v>#DIV/0!</v>
      </c>
      <c r="R615" s="54" t="e">
        <f t="shared" si="433"/>
        <v>#DIV/0!</v>
      </c>
      <c r="S615" s="54" t="e">
        <f t="shared" si="433"/>
        <v>#DIV/0!</v>
      </c>
      <c r="T615" s="54" t="e">
        <f t="shared" si="433"/>
        <v>#DIV/0!</v>
      </c>
      <c r="U615" s="54" t="e">
        <f t="shared" si="433"/>
        <v>#DIV/0!</v>
      </c>
      <c r="V615" s="54" t="e">
        <f t="shared" si="433"/>
        <v>#DIV/0!</v>
      </c>
      <c r="W615" s="258"/>
      <c r="X615" s="258"/>
    </row>
    <row r="616" spans="1:26">
      <c r="A616" s="46" t="str">
        <f>Home!$B$1</f>
        <v>Poland</v>
      </c>
      <c r="B616" s="47" t="s">
        <v>94</v>
      </c>
      <c r="C616" s="47" t="s">
        <v>546</v>
      </c>
      <c r="D616" s="47" t="s">
        <v>65</v>
      </c>
      <c r="E616" s="46" t="s">
        <v>139</v>
      </c>
      <c r="F616" s="48" t="s">
        <v>552</v>
      </c>
      <c r="G616" s="48" t="s">
        <v>15</v>
      </c>
      <c r="H616" s="48" t="s">
        <v>16</v>
      </c>
      <c r="I616" s="48"/>
      <c r="J616" s="48" t="s">
        <v>99</v>
      </c>
      <c r="K616" s="49"/>
      <c r="L616" s="92"/>
      <c r="M616" s="92"/>
      <c r="N616" s="92"/>
      <c r="O616" s="92"/>
      <c r="P616" s="92"/>
      <c r="Q616" s="92">
        <f>Forecasting!Q674</f>
        <v>0</v>
      </c>
      <c r="R616" s="110">
        <f>Forecasting!R674</f>
        <v>0</v>
      </c>
      <c r="S616" s="110">
        <f>Forecasting!S674</f>
        <v>0</v>
      </c>
      <c r="T616" s="110">
        <f>Forecasting!T674</f>
        <v>0</v>
      </c>
      <c r="U616" s="110">
        <f>Forecasting!U674</f>
        <v>0</v>
      </c>
      <c r="V616" s="110">
        <f>Forecasting!V674</f>
        <v>0</v>
      </c>
      <c r="W616" s="102" t="e">
        <f>+(Q616/M616)^(1/4)-1</f>
        <v>#DIV/0!</v>
      </c>
      <c r="X616" s="102" t="e">
        <f>+(V616/Q616)^(1/5)-1</f>
        <v>#DIV/0!</v>
      </c>
      <c r="Z616" s="11"/>
    </row>
    <row r="617" spans="1:26">
      <c r="A617" s="48"/>
      <c r="B617" s="48"/>
      <c r="C617" s="52" t="s">
        <v>892</v>
      </c>
      <c r="D617" s="52"/>
      <c r="E617" s="52"/>
      <c r="F617" s="52"/>
      <c r="G617" s="52"/>
      <c r="H617" s="52"/>
      <c r="I617" s="52"/>
      <c r="J617" s="52" t="s">
        <v>58</v>
      </c>
      <c r="K617" s="49"/>
      <c r="L617" s="53"/>
      <c r="M617" s="54" t="e">
        <f t="shared" ref="M617:V617" si="434">M616/L616-1</f>
        <v>#DIV/0!</v>
      </c>
      <c r="N617" s="54" t="e">
        <f t="shared" si="434"/>
        <v>#DIV/0!</v>
      </c>
      <c r="O617" s="54" t="e">
        <f t="shared" si="434"/>
        <v>#DIV/0!</v>
      </c>
      <c r="P617" s="54" t="e">
        <f t="shared" si="434"/>
        <v>#DIV/0!</v>
      </c>
      <c r="Q617" s="54" t="e">
        <f t="shared" si="434"/>
        <v>#DIV/0!</v>
      </c>
      <c r="R617" s="54" t="e">
        <f t="shared" si="434"/>
        <v>#DIV/0!</v>
      </c>
      <c r="S617" s="54" t="e">
        <f t="shared" si="434"/>
        <v>#DIV/0!</v>
      </c>
      <c r="T617" s="54" t="e">
        <f t="shared" si="434"/>
        <v>#DIV/0!</v>
      </c>
      <c r="U617" s="54" t="e">
        <f t="shared" si="434"/>
        <v>#DIV/0!</v>
      </c>
      <c r="V617" s="54" t="e">
        <f t="shared" si="434"/>
        <v>#DIV/0!</v>
      </c>
      <c r="W617" s="258"/>
      <c r="X617" s="258"/>
    </row>
    <row r="618" spans="1:26">
      <c r="A618" s="46" t="str">
        <f>Home!$B$1</f>
        <v>Poland</v>
      </c>
      <c r="B618" s="47" t="s">
        <v>94</v>
      </c>
      <c r="C618" s="47" t="s">
        <v>546</v>
      </c>
      <c r="D618" s="47" t="s">
        <v>65</v>
      </c>
      <c r="E618" s="46" t="s">
        <v>141</v>
      </c>
      <c r="F618" s="48" t="s">
        <v>553</v>
      </c>
      <c r="G618" s="48" t="s">
        <v>15</v>
      </c>
      <c r="H618" s="48" t="s">
        <v>16</v>
      </c>
      <c r="I618" s="48"/>
      <c r="J618" s="48" t="s">
        <v>99</v>
      </c>
      <c r="K618" s="49"/>
      <c r="L618" s="92"/>
      <c r="M618" s="92"/>
      <c r="N618" s="92"/>
      <c r="O618" s="92"/>
      <c r="P618" s="92"/>
      <c r="Q618" s="92">
        <f>Forecasting!Q676</f>
        <v>0</v>
      </c>
      <c r="R618" s="110">
        <f>Forecasting!R676</f>
        <v>0</v>
      </c>
      <c r="S618" s="110">
        <f>Forecasting!S676</f>
        <v>0</v>
      </c>
      <c r="T618" s="110">
        <f>Forecasting!T676</f>
        <v>0</v>
      </c>
      <c r="U618" s="110">
        <f>Forecasting!U676</f>
        <v>0</v>
      </c>
      <c r="V618" s="110">
        <f>Forecasting!V676</f>
        <v>0</v>
      </c>
      <c r="W618" s="102" t="e">
        <f>+(Q618/M618)^(1/4)-1</f>
        <v>#DIV/0!</v>
      </c>
      <c r="X618" s="102" t="e">
        <f>+(V618/Q618)^(1/5)-1</f>
        <v>#DIV/0!</v>
      </c>
      <c r="Z618" s="11"/>
    </row>
    <row r="619" spans="1:26">
      <c r="A619" s="48"/>
      <c r="B619" s="48"/>
      <c r="C619" s="52" t="s">
        <v>892</v>
      </c>
      <c r="D619" s="52"/>
      <c r="E619" s="52"/>
      <c r="F619" s="52"/>
      <c r="G619" s="52"/>
      <c r="H619" s="52"/>
      <c r="I619" s="52"/>
      <c r="J619" s="52" t="s">
        <v>58</v>
      </c>
      <c r="K619" s="49"/>
      <c r="L619" s="53"/>
      <c r="M619" s="54" t="e">
        <f t="shared" ref="M619:V619" si="435">M618/L618-1</f>
        <v>#DIV/0!</v>
      </c>
      <c r="N619" s="54" t="e">
        <f t="shared" si="435"/>
        <v>#DIV/0!</v>
      </c>
      <c r="O619" s="54" t="e">
        <f t="shared" si="435"/>
        <v>#DIV/0!</v>
      </c>
      <c r="P619" s="54" t="e">
        <f t="shared" si="435"/>
        <v>#DIV/0!</v>
      </c>
      <c r="Q619" s="54" t="e">
        <f t="shared" si="435"/>
        <v>#DIV/0!</v>
      </c>
      <c r="R619" s="54" t="e">
        <f t="shared" si="435"/>
        <v>#DIV/0!</v>
      </c>
      <c r="S619" s="54" t="e">
        <f t="shared" si="435"/>
        <v>#DIV/0!</v>
      </c>
      <c r="T619" s="54" t="e">
        <f t="shared" si="435"/>
        <v>#DIV/0!</v>
      </c>
      <c r="U619" s="54" t="e">
        <f t="shared" si="435"/>
        <v>#DIV/0!</v>
      </c>
      <c r="V619" s="54" t="e">
        <f t="shared" si="435"/>
        <v>#DIV/0!</v>
      </c>
      <c r="W619" s="258"/>
      <c r="X619" s="258"/>
    </row>
    <row r="620" spans="1:26">
      <c r="A620" s="46" t="str">
        <f>Home!$B$1</f>
        <v>Poland</v>
      </c>
      <c r="B620" s="47" t="s">
        <v>94</v>
      </c>
      <c r="C620" s="47" t="s">
        <v>546</v>
      </c>
      <c r="D620" s="47" t="s">
        <v>65</v>
      </c>
      <c r="E620" s="46" t="s">
        <v>143</v>
      </c>
      <c r="F620" s="48" t="s">
        <v>554</v>
      </c>
      <c r="G620" s="48" t="s">
        <v>15</v>
      </c>
      <c r="H620" s="48" t="s">
        <v>16</v>
      </c>
      <c r="I620" s="48"/>
      <c r="J620" s="48" t="s">
        <v>99</v>
      </c>
      <c r="K620" s="49"/>
      <c r="L620" s="92"/>
      <c r="M620" s="92"/>
      <c r="N620" s="92"/>
      <c r="O620" s="92"/>
      <c r="P620" s="92"/>
      <c r="Q620" s="92">
        <f>Forecasting!Q678</f>
        <v>0</v>
      </c>
      <c r="R620" s="110">
        <f>Forecasting!R678</f>
        <v>0</v>
      </c>
      <c r="S620" s="110">
        <f>Forecasting!S678</f>
        <v>0</v>
      </c>
      <c r="T620" s="110">
        <f>Forecasting!T678</f>
        <v>0</v>
      </c>
      <c r="U620" s="110">
        <f>Forecasting!U678</f>
        <v>0</v>
      </c>
      <c r="V620" s="110">
        <f>Forecasting!V678</f>
        <v>0</v>
      </c>
      <c r="W620" s="102" t="e">
        <f>+(Q620/M620)^(1/4)-1</f>
        <v>#DIV/0!</v>
      </c>
      <c r="X620" s="102" t="e">
        <f>+(V620/Q620)^(1/5)-1</f>
        <v>#DIV/0!</v>
      </c>
      <c r="Z620" s="11"/>
    </row>
    <row r="621" spans="1:26">
      <c r="A621" s="48"/>
      <c r="B621" s="48"/>
      <c r="C621" s="52" t="s">
        <v>892</v>
      </c>
      <c r="D621" s="52"/>
      <c r="E621" s="52"/>
      <c r="F621" s="52"/>
      <c r="G621" s="52"/>
      <c r="H621" s="52"/>
      <c r="I621" s="52"/>
      <c r="J621" s="52" t="s">
        <v>58</v>
      </c>
      <c r="K621" s="49"/>
      <c r="L621" s="53"/>
      <c r="M621" s="54" t="e">
        <f t="shared" ref="M621:V621" si="436">M620/L620-1</f>
        <v>#DIV/0!</v>
      </c>
      <c r="N621" s="54" t="e">
        <f t="shared" si="436"/>
        <v>#DIV/0!</v>
      </c>
      <c r="O621" s="54" t="e">
        <f t="shared" si="436"/>
        <v>#DIV/0!</v>
      </c>
      <c r="P621" s="54" t="e">
        <f t="shared" si="436"/>
        <v>#DIV/0!</v>
      </c>
      <c r="Q621" s="54" t="e">
        <f t="shared" si="436"/>
        <v>#DIV/0!</v>
      </c>
      <c r="R621" s="54" t="e">
        <f t="shared" si="436"/>
        <v>#DIV/0!</v>
      </c>
      <c r="S621" s="54" t="e">
        <f t="shared" si="436"/>
        <v>#DIV/0!</v>
      </c>
      <c r="T621" s="54" t="e">
        <f t="shared" si="436"/>
        <v>#DIV/0!</v>
      </c>
      <c r="U621" s="54" t="e">
        <f t="shared" si="436"/>
        <v>#DIV/0!</v>
      </c>
      <c r="V621" s="54" t="e">
        <f t="shared" si="436"/>
        <v>#DIV/0!</v>
      </c>
      <c r="W621" s="258"/>
      <c r="X621" s="258"/>
    </row>
    <row r="622" spans="1:26">
      <c r="A622" s="46" t="str">
        <f>Home!$B$1</f>
        <v>Poland</v>
      </c>
      <c r="B622" s="47" t="s">
        <v>94</v>
      </c>
      <c r="C622" s="47" t="s">
        <v>546</v>
      </c>
      <c r="D622" s="47" t="s">
        <v>65</v>
      </c>
      <c r="E622" s="46" t="s">
        <v>145</v>
      </c>
      <c r="F622" s="48" t="s">
        <v>555</v>
      </c>
      <c r="G622" s="48" t="s">
        <v>15</v>
      </c>
      <c r="H622" s="48" t="s">
        <v>16</v>
      </c>
      <c r="I622" s="48"/>
      <c r="J622" s="48" t="s">
        <v>99</v>
      </c>
      <c r="K622" s="49"/>
      <c r="L622" s="92"/>
      <c r="M622" s="92"/>
      <c r="N622" s="92"/>
      <c r="O622" s="92"/>
      <c r="P622" s="92"/>
      <c r="Q622" s="92"/>
      <c r="R622" s="110">
        <f>Forecasting!R680</f>
        <v>0</v>
      </c>
      <c r="S622" s="110">
        <f>Forecasting!S680</f>
        <v>0</v>
      </c>
      <c r="T622" s="110">
        <f>Forecasting!T680</f>
        <v>0</v>
      </c>
      <c r="U622" s="110">
        <f>Forecasting!U680</f>
        <v>0</v>
      </c>
      <c r="V622" s="110">
        <f>Forecasting!V680</f>
        <v>0</v>
      </c>
      <c r="W622" s="102" t="e">
        <f>+(Q622/M622)^(1/4)-1</f>
        <v>#DIV/0!</v>
      </c>
      <c r="X622" s="102" t="e">
        <f>+(V622/Q622)^(1/5)-1</f>
        <v>#DIV/0!</v>
      </c>
      <c r="Z622" s="11"/>
    </row>
    <row r="623" spans="1:26">
      <c r="A623" s="48"/>
      <c r="B623" s="48"/>
      <c r="C623" s="52" t="s">
        <v>892</v>
      </c>
      <c r="D623" s="52"/>
      <c r="E623" s="52"/>
      <c r="F623" s="52"/>
      <c r="G623" s="52"/>
      <c r="H623" s="52"/>
      <c r="I623" s="52"/>
      <c r="J623" s="52" t="s">
        <v>58</v>
      </c>
      <c r="K623" s="49"/>
      <c r="L623" s="53"/>
      <c r="M623" s="54" t="e">
        <f t="shared" ref="M623:V623" si="437">M622/L622-1</f>
        <v>#DIV/0!</v>
      </c>
      <c r="N623" s="54" t="e">
        <f t="shared" si="437"/>
        <v>#DIV/0!</v>
      </c>
      <c r="O623" s="54" t="e">
        <f t="shared" si="437"/>
        <v>#DIV/0!</v>
      </c>
      <c r="P623" s="54" t="e">
        <f t="shared" si="437"/>
        <v>#DIV/0!</v>
      </c>
      <c r="Q623" s="54" t="e">
        <f t="shared" si="437"/>
        <v>#DIV/0!</v>
      </c>
      <c r="R623" s="54" t="e">
        <f t="shared" si="437"/>
        <v>#DIV/0!</v>
      </c>
      <c r="S623" s="54" t="e">
        <f t="shared" si="437"/>
        <v>#DIV/0!</v>
      </c>
      <c r="T623" s="54" t="e">
        <f t="shared" si="437"/>
        <v>#DIV/0!</v>
      </c>
      <c r="U623" s="54" t="e">
        <f t="shared" si="437"/>
        <v>#DIV/0!</v>
      </c>
      <c r="V623" s="54" t="e">
        <f t="shared" si="437"/>
        <v>#DIV/0!</v>
      </c>
      <c r="W623" s="258"/>
      <c r="X623" s="258"/>
    </row>
    <row r="624" spans="1:26">
      <c r="A624" s="46" t="str">
        <f>Home!$B$1</f>
        <v>Poland</v>
      </c>
      <c r="B624" s="47" t="s">
        <v>94</v>
      </c>
      <c r="C624" s="47" t="s">
        <v>546</v>
      </c>
      <c r="D624" s="47" t="s">
        <v>65</v>
      </c>
      <c r="E624" s="46" t="s">
        <v>147</v>
      </c>
      <c r="F624" s="48" t="s">
        <v>556</v>
      </c>
      <c r="G624" s="48" t="s">
        <v>15</v>
      </c>
      <c r="H624" s="48" t="s">
        <v>16</v>
      </c>
      <c r="I624" s="48"/>
      <c r="J624" s="48" t="s">
        <v>99</v>
      </c>
      <c r="K624" s="49"/>
      <c r="L624" s="92"/>
      <c r="M624" s="92"/>
      <c r="N624" s="92"/>
      <c r="O624" s="92"/>
      <c r="P624" s="92"/>
      <c r="Q624" s="92"/>
      <c r="R624" s="110">
        <f>Forecasting!R682</f>
        <v>0</v>
      </c>
      <c r="S624" s="110">
        <f>Forecasting!S682</f>
        <v>0</v>
      </c>
      <c r="T624" s="110">
        <f>Forecasting!T682</f>
        <v>0</v>
      </c>
      <c r="U624" s="110">
        <f>Forecasting!U682</f>
        <v>0</v>
      </c>
      <c r="V624" s="110">
        <f>Forecasting!V682</f>
        <v>0</v>
      </c>
      <c r="W624" s="102" t="e">
        <f>+(Q624/M624)^(1/4)-1</f>
        <v>#DIV/0!</v>
      </c>
      <c r="X624" s="102" t="e">
        <f>+(V624/Q624)^(1/5)-1</f>
        <v>#DIV/0!</v>
      </c>
      <c r="Z624" s="11"/>
    </row>
    <row r="625" spans="1:26">
      <c r="A625" s="48"/>
      <c r="B625" s="48"/>
      <c r="C625" s="52" t="s">
        <v>892</v>
      </c>
      <c r="D625" s="52"/>
      <c r="E625" s="52"/>
      <c r="F625" s="52"/>
      <c r="G625" s="52"/>
      <c r="H625" s="52"/>
      <c r="I625" s="52"/>
      <c r="J625" s="52" t="s">
        <v>58</v>
      </c>
      <c r="K625" s="49"/>
      <c r="L625" s="53"/>
      <c r="M625" s="54" t="e">
        <f t="shared" ref="M625:V625" si="438">M624/L624-1</f>
        <v>#DIV/0!</v>
      </c>
      <c r="N625" s="54" t="e">
        <f t="shared" si="438"/>
        <v>#DIV/0!</v>
      </c>
      <c r="O625" s="54" t="e">
        <f t="shared" si="438"/>
        <v>#DIV/0!</v>
      </c>
      <c r="P625" s="54" t="e">
        <f t="shared" si="438"/>
        <v>#DIV/0!</v>
      </c>
      <c r="Q625" s="54" t="e">
        <f t="shared" si="438"/>
        <v>#DIV/0!</v>
      </c>
      <c r="R625" s="54" t="e">
        <f t="shared" si="438"/>
        <v>#DIV/0!</v>
      </c>
      <c r="S625" s="54" t="e">
        <f t="shared" si="438"/>
        <v>#DIV/0!</v>
      </c>
      <c r="T625" s="54" t="e">
        <f t="shared" si="438"/>
        <v>#DIV/0!</v>
      </c>
      <c r="U625" s="54" t="e">
        <f t="shared" si="438"/>
        <v>#DIV/0!</v>
      </c>
      <c r="V625" s="54" t="e">
        <f t="shared" si="438"/>
        <v>#DIV/0!</v>
      </c>
      <c r="W625" s="258"/>
      <c r="X625" s="258"/>
    </row>
    <row r="626" spans="1:26">
      <c r="A626" s="46" t="str">
        <f>Home!$B$1</f>
        <v>Poland</v>
      </c>
      <c r="B626" s="47" t="s">
        <v>94</v>
      </c>
      <c r="C626" s="47" t="s">
        <v>546</v>
      </c>
      <c r="D626" s="47" t="s">
        <v>65</v>
      </c>
      <c r="E626" s="46" t="s">
        <v>149</v>
      </c>
      <c r="F626" s="48" t="s">
        <v>557</v>
      </c>
      <c r="G626" s="48" t="s">
        <v>15</v>
      </c>
      <c r="H626" s="48" t="s">
        <v>16</v>
      </c>
      <c r="I626" s="48"/>
      <c r="J626" s="48" t="s">
        <v>99</v>
      </c>
      <c r="K626" s="49"/>
      <c r="L626" s="92"/>
      <c r="M626" s="92"/>
      <c r="N626" s="92"/>
      <c r="O626" s="92"/>
      <c r="P626" s="92"/>
      <c r="Q626" s="92"/>
      <c r="R626" s="110">
        <f>Forecasting!R684</f>
        <v>0</v>
      </c>
      <c r="S626" s="110">
        <f>Forecasting!S684</f>
        <v>0</v>
      </c>
      <c r="T626" s="110">
        <f>Forecasting!T684</f>
        <v>0</v>
      </c>
      <c r="U626" s="110">
        <f>Forecasting!U684</f>
        <v>0</v>
      </c>
      <c r="V626" s="110">
        <f>Forecasting!V684</f>
        <v>0</v>
      </c>
      <c r="W626" s="102" t="e">
        <f>+(Q626/M626)^(1/4)-1</f>
        <v>#DIV/0!</v>
      </c>
      <c r="X626" s="102" t="e">
        <f>+(V626/Q626)^(1/5)-1</f>
        <v>#DIV/0!</v>
      </c>
      <c r="Z626" s="11"/>
    </row>
    <row r="627" spans="1:26">
      <c r="A627" s="48"/>
      <c r="B627" s="48"/>
      <c r="C627" s="52" t="s">
        <v>892</v>
      </c>
      <c r="D627" s="52"/>
      <c r="E627" s="52"/>
      <c r="F627" s="52"/>
      <c r="G627" s="52"/>
      <c r="H627" s="52"/>
      <c r="I627" s="52"/>
      <c r="J627" s="52" t="s">
        <v>58</v>
      </c>
      <c r="K627" s="49"/>
      <c r="L627" s="53"/>
      <c r="M627" s="54" t="e">
        <f t="shared" ref="M627:V627" si="439">M626/L626-1</f>
        <v>#DIV/0!</v>
      </c>
      <c r="N627" s="54" t="e">
        <f t="shared" si="439"/>
        <v>#DIV/0!</v>
      </c>
      <c r="O627" s="54" t="e">
        <f t="shared" si="439"/>
        <v>#DIV/0!</v>
      </c>
      <c r="P627" s="54" t="e">
        <f t="shared" si="439"/>
        <v>#DIV/0!</v>
      </c>
      <c r="Q627" s="54" t="e">
        <f t="shared" si="439"/>
        <v>#DIV/0!</v>
      </c>
      <c r="R627" s="54" t="e">
        <f t="shared" si="439"/>
        <v>#DIV/0!</v>
      </c>
      <c r="S627" s="54" t="e">
        <f t="shared" si="439"/>
        <v>#DIV/0!</v>
      </c>
      <c r="T627" s="54" t="e">
        <f t="shared" si="439"/>
        <v>#DIV/0!</v>
      </c>
      <c r="U627" s="54" t="e">
        <f t="shared" si="439"/>
        <v>#DIV/0!</v>
      </c>
      <c r="V627" s="54" t="e">
        <f t="shared" si="439"/>
        <v>#DIV/0!</v>
      </c>
      <c r="W627" s="258"/>
      <c r="X627" s="258"/>
    </row>
    <row r="628" spans="1:26">
      <c r="A628" s="46" t="str">
        <f>Home!$B$1</f>
        <v>Poland</v>
      </c>
      <c r="B628" s="47" t="s">
        <v>94</v>
      </c>
      <c r="C628" s="47" t="s">
        <v>546</v>
      </c>
      <c r="D628" s="47" t="s">
        <v>65</v>
      </c>
      <c r="E628" s="46" t="s">
        <v>151</v>
      </c>
      <c r="F628" s="48" t="s">
        <v>558</v>
      </c>
      <c r="G628" s="48" t="s">
        <v>15</v>
      </c>
      <c r="H628" s="48" t="s">
        <v>16</v>
      </c>
      <c r="I628" s="48"/>
      <c r="J628" s="48" t="s">
        <v>99</v>
      </c>
      <c r="K628" s="49"/>
      <c r="L628" s="92"/>
      <c r="M628" s="92"/>
      <c r="N628" s="92"/>
      <c r="O628" s="92"/>
      <c r="P628" s="92"/>
      <c r="Q628" s="92"/>
      <c r="R628" s="110">
        <f>Forecasting!R686</f>
        <v>0</v>
      </c>
      <c r="S628" s="110">
        <f>Forecasting!S686</f>
        <v>0</v>
      </c>
      <c r="T628" s="110">
        <f>Forecasting!T686</f>
        <v>0</v>
      </c>
      <c r="U628" s="110">
        <f>Forecasting!U686</f>
        <v>0</v>
      </c>
      <c r="V628" s="110">
        <f>Forecasting!V686</f>
        <v>0</v>
      </c>
      <c r="W628" s="102" t="e">
        <f>+(Q628/M628)^(1/4)-1</f>
        <v>#DIV/0!</v>
      </c>
      <c r="X628" s="102" t="e">
        <f>+(V628/Q628)^(1/5)-1</f>
        <v>#DIV/0!</v>
      </c>
      <c r="Z628" s="11"/>
    </row>
    <row r="629" spans="1:26">
      <c r="A629" s="48"/>
      <c r="B629" s="48"/>
      <c r="C629" s="52" t="s">
        <v>892</v>
      </c>
      <c r="D629" s="52"/>
      <c r="E629" s="52"/>
      <c r="F629" s="52"/>
      <c r="G629" s="52"/>
      <c r="H629" s="52"/>
      <c r="I629" s="52"/>
      <c r="J629" s="52" t="s">
        <v>58</v>
      </c>
      <c r="K629" s="49"/>
      <c r="L629" s="53"/>
      <c r="M629" s="54" t="e">
        <f t="shared" ref="M629:V629" si="440">M628/L628-1</f>
        <v>#DIV/0!</v>
      </c>
      <c r="N629" s="54" t="e">
        <f t="shared" si="440"/>
        <v>#DIV/0!</v>
      </c>
      <c r="O629" s="54" t="e">
        <f t="shared" si="440"/>
        <v>#DIV/0!</v>
      </c>
      <c r="P629" s="54" t="e">
        <f t="shared" si="440"/>
        <v>#DIV/0!</v>
      </c>
      <c r="Q629" s="54" t="e">
        <f t="shared" si="440"/>
        <v>#DIV/0!</v>
      </c>
      <c r="R629" s="54" t="e">
        <f t="shared" si="440"/>
        <v>#DIV/0!</v>
      </c>
      <c r="S629" s="54" t="e">
        <f t="shared" si="440"/>
        <v>#DIV/0!</v>
      </c>
      <c r="T629" s="54" t="e">
        <f t="shared" si="440"/>
        <v>#DIV/0!</v>
      </c>
      <c r="U629" s="54" t="e">
        <f t="shared" si="440"/>
        <v>#DIV/0!</v>
      </c>
      <c r="V629" s="54" t="e">
        <f t="shared" si="440"/>
        <v>#DIV/0!</v>
      </c>
      <c r="W629" s="258"/>
      <c r="X629" s="258"/>
    </row>
    <row r="630" spans="1:26">
      <c r="A630" s="46" t="str">
        <f>Home!$B$1</f>
        <v>Poland</v>
      </c>
      <c r="B630" s="47" t="s">
        <v>94</v>
      </c>
      <c r="C630" s="47" t="s">
        <v>546</v>
      </c>
      <c r="D630" s="47" t="s">
        <v>65</v>
      </c>
      <c r="E630" s="46" t="s">
        <v>153</v>
      </c>
      <c r="F630" s="48" t="s">
        <v>559</v>
      </c>
      <c r="G630" s="48" t="s">
        <v>15</v>
      </c>
      <c r="H630" s="48" t="s">
        <v>16</v>
      </c>
      <c r="I630" s="48"/>
      <c r="J630" s="48" t="s">
        <v>99</v>
      </c>
      <c r="K630" s="49"/>
      <c r="L630" s="92"/>
      <c r="M630" s="92"/>
      <c r="N630" s="92"/>
      <c r="O630" s="92"/>
      <c r="P630" s="92"/>
      <c r="Q630" s="92"/>
      <c r="R630" s="110">
        <f>Forecasting!R688</f>
        <v>0</v>
      </c>
      <c r="S630" s="110">
        <f>Forecasting!S688</f>
        <v>0</v>
      </c>
      <c r="T630" s="110">
        <f>Forecasting!T688</f>
        <v>0</v>
      </c>
      <c r="U630" s="110">
        <f>Forecasting!U688</f>
        <v>0</v>
      </c>
      <c r="V630" s="110">
        <f>Forecasting!V688</f>
        <v>0</v>
      </c>
      <c r="W630" s="102" t="e">
        <f>+(Q630/M630)^(1/4)-1</f>
        <v>#DIV/0!</v>
      </c>
      <c r="X630" s="102" t="e">
        <f>+(V630/Q630)^(1/5)-1</f>
        <v>#DIV/0!</v>
      </c>
      <c r="Z630" s="11"/>
    </row>
    <row r="631" spans="1:26">
      <c r="A631" s="48"/>
      <c r="B631" s="48"/>
      <c r="C631" s="52" t="s">
        <v>892</v>
      </c>
      <c r="D631" s="52"/>
      <c r="E631" s="52"/>
      <c r="F631" s="52"/>
      <c r="G631" s="52"/>
      <c r="H631" s="52"/>
      <c r="I631" s="52"/>
      <c r="J631" s="52" t="s">
        <v>58</v>
      </c>
      <c r="K631" s="49"/>
      <c r="L631" s="53"/>
      <c r="M631" s="54" t="e">
        <f t="shared" ref="M631:V631" si="441">M630/L630-1</f>
        <v>#DIV/0!</v>
      </c>
      <c r="N631" s="54" t="e">
        <f t="shared" si="441"/>
        <v>#DIV/0!</v>
      </c>
      <c r="O631" s="54" t="e">
        <f t="shared" si="441"/>
        <v>#DIV/0!</v>
      </c>
      <c r="P631" s="54" t="e">
        <f t="shared" si="441"/>
        <v>#DIV/0!</v>
      </c>
      <c r="Q631" s="54" t="e">
        <f t="shared" si="441"/>
        <v>#DIV/0!</v>
      </c>
      <c r="R631" s="54" t="e">
        <f t="shared" si="441"/>
        <v>#DIV/0!</v>
      </c>
      <c r="S631" s="54" t="e">
        <f t="shared" si="441"/>
        <v>#DIV/0!</v>
      </c>
      <c r="T631" s="54" t="e">
        <f t="shared" si="441"/>
        <v>#DIV/0!</v>
      </c>
      <c r="U631" s="54" t="e">
        <f t="shared" si="441"/>
        <v>#DIV/0!</v>
      </c>
      <c r="V631" s="54" t="e">
        <f t="shared" si="441"/>
        <v>#DIV/0!</v>
      </c>
      <c r="W631" s="258"/>
      <c r="X631" s="258"/>
    </row>
    <row r="632" spans="1:26">
      <c r="A632" s="46" t="str">
        <f>Home!$B$1</f>
        <v>Poland</v>
      </c>
      <c r="B632" s="47" t="s">
        <v>94</v>
      </c>
      <c r="C632" s="47" t="s">
        <v>546</v>
      </c>
      <c r="D632" s="47" t="s">
        <v>65</v>
      </c>
      <c r="E632" s="46" t="s">
        <v>155</v>
      </c>
      <c r="F632" s="48" t="s">
        <v>560</v>
      </c>
      <c r="G632" s="48" t="s">
        <v>15</v>
      </c>
      <c r="H632" s="48" t="s">
        <v>16</v>
      </c>
      <c r="I632" s="48"/>
      <c r="J632" s="48" t="s">
        <v>99</v>
      </c>
      <c r="K632" s="49"/>
      <c r="L632" s="92"/>
      <c r="M632" s="92"/>
      <c r="N632" s="92"/>
      <c r="O632" s="92"/>
      <c r="P632" s="92"/>
      <c r="Q632" s="92"/>
      <c r="R632" s="110">
        <f>Forecasting!R690</f>
        <v>0</v>
      </c>
      <c r="S632" s="110">
        <f>Forecasting!S690</f>
        <v>0</v>
      </c>
      <c r="T632" s="110">
        <f>Forecasting!T690</f>
        <v>0</v>
      </c>
      <c r="U632" s="110">
        <f>Forecasting!U690</f>
        <v>0</v>
      </c>
      <c r="V632" s="110">
        <f>Forecasting!V690</f>
        <v>0</v>
      </c>
      <c r="W632" s="102" t="e">
        <f>+(Q632/M632)^(1/4)-1</f>
        <v>#DIV/0!</v>
      </c>
      <c r="X632" s="102" t="e">
        <f>+(V632/Q632)^(1/5)-1</f>
        <v>#DIV/0!</v>
      </c>
      <c r="Z632" s="11"/>
    </row>
    <row r="633" spans="1:26">
      <c r="A633" s="48"/>
      <c r="B633" s="48"/>
      <c r="C633" s="52" t="s">
        <v>892</v>
      </c>
      <c r="D633" s="52"/>
      <c r="E633" s="52"/>
      <c r="F633" s="52"/>
      <c r="G633" s="52"/>
      <c r="H633" s="52"/>
      <c r="I633" s="52"/>
      <c r="J633" s="52" t="s">
        <v>58</v>
      </c>
      <c r="K633" s="49"/>
      <c r="L633" s="53"/>
      <c r="M633" s="54" t="e">
        <f t="shared" ref="M633:V633" si="442">M632/L632-1</f>
        <v>#DIV/0!</v>
      </c>
      <c r="N633" s="54" t="e">
        <f t="shared" si="442"/>
        <v>#DIV/0!</v>
      </c>
      <c r="O633" s="54" t="e">
        <f t="shared" si="442"/>
        <v>#DIV/0!</v>
      </c>
      <c r="P633" s="54" t="e">
        <f t="shared" si="442"/>
        <v>#DIV/0!</v>
      </c>
      <c r="Q633" s="54" t="e">
        <f t="shared" si="442"/>
        <v>#DIV/0!</v>
      </c>
      <c r="R633" s="54" t="e">
        <f t="shared" si="442"/>
        <v>#DIV/0!</v>
      </c>
      <c r="S633" s="54" t="e">
        <f t="shared" si="442"/>
        <v>#DIV/0!</v>
      </c>
      <c r="T633" s="54" t="e">
        <f t="shared" si="442"/>
        <v>#DIV/0!</v>
      </c>
      <c r="U633" s="54" t="e">
        <f t="shared" si="442"/>
        <v>#DIV/0!</v>
      </c>
      <c r="V633" s="54" t="e">
        <f t="shared" si="442"/>
        <v>#DIV/0!</v>
      </c>
      <c r="W633" s="258"/>
      <c r="X633" s="258"/>
    </row>
    <row r="634" spans="1:26">
      <c r="A634" s="46" t="str">
        <f>Home!$B$1</f>
        <v>Poland</v>
      </c>
      <c r="B634" s="47" t="s">
        <v>94</v>
      </c>
      <c r="C634" s="47" t="s">
        <v>546</v>
      </c>
      <c r="D634" s="47" t="s">
        <v>65</v>
      </c>
      <c r="E634" s="46" t="s">
        <v>157</v>
      </c>
      <c r="F634" s="48" t="s">
        <v>561</v>
      </c>
      <c r="G634" s="48" t="s">
        <v>15</v>
      </c>
      <c r="H634" s="48" t="s">
        <v>16</v>
      </c>
      <c r="I634" s="48"/>
      <c r="J634" s="48" t="s">
        <v>99</v>
      </c>
      <c r="K634" s="49"/>
      <c r="L634" s="92"/>
      <c r="M634" s="92"/>
      <c r="N634" s="92"/>
      <c r="O634" s="92"/>
      <c r="P634" s="92"/>
      <c r="Q634" s="92"/>
      <c r="R634" s="110">
        <f>Forecasting!R692</f>
        <v>0</v>
      </c>
      <c r="S634" s="110">
        <f>Forecasting!S692</f>
        <v>0</v>
      </c>
      <c r="T634" s="110">
        <f>Forecasting!T692</f>
        <v>0</v>
      </c>
      <c r="U634" s="110">
        <f>Forecasting!U692</f>
        <v>0</v>
      </c>
      <c r="V634" s="110">
        <f>Forecasting!V692</f>
        <v>0</v>
      </c>
      <c r="W634" s="102" t="e">
        <f>+(Q634/M634)^(1/4)-1</f>
        <v>#DIV/0!</v>
      </c>
      <c r="X634" s="102" t="e">
        <f>+(V634/Q634)^(1/5)-1</f>
        <v>#DIV/0!</v>
      </c>
      <c r="Z634" s="11"/>
    </row>
    <row r="635" spans="1:26">
      <c r="A635" s="48"/>
      <c r="B635" s="48"/>
      <c r="C635" s="52" t="s">
        <v>892</v>
      </c>
      <c r="D635" s="52"/>
      <c r="E635" s="52"/>
      <c r="F635" s="52"/>
      <c r="G635" s="52"/>
      <c r="H635" s="52"/>
      <c r="I635" s="52"/>
      <c r="J635" s="52" t="s">
        <v>58</v>
      </c>
      <c r="K635" s="49"/>
      <c r="L635" s="53"/>
      <c r="M635" s="54" t="e">
        <f t="shared" ref="M635:V635" si="443">M634/L634-1</f>
        <v>#DIV/0!</v>
      </c>
      <c r="N635" s="54" t="e">
        <f t="shared" si="443"/>
        <v>#DIV/0!</v>
      </c>
      <c r="O635" s="54" t="e">
        <f t="shared" si="443"/>
        <v>#DIV/0!</v>
      </c>
      <c r="P635" s="54" t="e">
        <f t="shared" si="443"/>
        <v>#DIV/0!</v>
      </c>
      <c r="Q635" s="54" t="e">
        <f t="shared" si="443"/>
        <v>#DIV/0!</v>
      </c>
      <c r="R635" s="54" t="e">
        <f t="shared" si="443"/>
        <v>#DIV/0!</v>
      </c>
      <c r="S635" s="54" t="e">
        <f t="shared" si="443"/>
        <v>#DIV/0!</v>
      </c>
      <c r="T635" s="54" t="e">
        <f t="shared" si="443"/>
        <v>#DIV/0!</v>
      </c>
      <c r="U635" s="54" t="e">
        <f t="shared" si="443"/>
        <v>#DIV/0!</v>
      </c>
      <c r="V635" s="54" t="e">
        <f t="shared" si="443"/>
        <v>#DIV/0!</v>
      </c>
      <c r="W635" s="258"/>
      <c r="X635" s="258"/>
    </row>
    <row r="636" spans="1:26">
      <c r="A636" s="46" t="str">
        <f>Home!$B$1</f>
        <v>Poland</v>
      </c>
      <c r="B636" s="47" t="s">
        <v>94</v>
      </c>
      <c r="C636" s="47" t="s">
        <v>546</v>
      </c>
      <c r="D636" s="47" t="s">
        <v>65</v>
      </c>
      <c r="E636" s="46" t="s">
        <v>159</v>
      </c>
      <c r="F636" s="48" t="s">
        <v>562</v>
      </c>
      <c r="G636" s="48" t="s">
        <v>15</v>
      </c>
      <c r="H636" s="48" t="s">
        <v>16</v>
      </c>
      <c r="I636" s="48"/>
      <c r="J636" s="48" t="s">
        <v>99</v>
      </c>
      <c r="K636" s="49"/>
      <c r="L636" s="92"/>
      <c r="M636" s="92"/>
      <c r="N636" s="92"/>
      <c r="O636" s="92"/>
      <c r="P636" s="92"/>
      <c r="Q636" s="92"/>
      <c r="R636" s="110">
        <f>Forecasting!R694</f>
        <v>0</v>
      </c>
      <c r="S636" s="110">
        <f>Forecasting!S694</f>
        <v>0</v>
      </c>
      <c r="T636" s="110">
        <f>Forecasting!T694</f>
        <v>0</v>
      </c>
      <c r="U636" s="110">
        <f>Forecasting!U694</f>
        <v>0</v>
      </c>
      <c r="V636" s="110">
        <f>Forecasting!V694</f>
        <v>0</v>
      </c>
      <c r="W636" s="102" t="e">
        <f>+(Q636/M636)^(1/4)-1</f>
        <v>#DIV/0!</v>
      </c>
      <c r="X636" s="102" t="e">
        <f>+(V636/Q636)^(1/5)-1</f>
        <v>#DIV/0!</v>
      </c>
      <c r="Z636" s="11"/>
    </row>
    <row r="637" spans="1:26">
      <c r="A637" s="48"/>
      <c r="B637" s="48"/>
      <c r="C637" s="52" t="s">
        <v>892</v>
      </c>
      <c r="D637" s="52"/>
      <c r="E637" s="52"/>
      <c r="F637" s="52"/>
      <c r="G637" s="52"/>
      <c r="H637" s="52"/>
      <c r="I637" s="52"/>
      <c r="J637" s="52" t="s">
        <v>58</v>
      </c>
      <c r="K637" s="49"/>
      <c r="L637" s="53"/>
      <c r="M637" s="54" t="e">
        <f t="shared" ref="M637:V637" si="444">M636/L636-1</f>
        <v>#DIV/0!</v>
      </c>
      <c r="N637" s="54" t="e">
        <f t="shared" si="444"/>
        <v>#DIV/0!</v>
      </c>
      <c r="O637" s="54" t="e">
        <f t="shared" si="444"/>
        <v>#DIV/0!</v>
      </c>
      <c r="P637" s="54" t="e">
        <f t="shared" si="444"/>
        <v>#DIV/0!</v>
      </c>
      <c r="Q637" s="54" t="e">
        <f t="shared" si="444"/>
        <v>#DIV/0!</v>
      </c>
      <c r="R637" s="54" t="e">
        <f t="shared" si="444"/>
        <v>#DIV/0!</v>
      </c>
      <c r="S637" s="54" t="e">
        <f t="shared" si="444"/>
        <v>#DIV/0!</v>
      </c>
      <c r="T637" s="54" t="e">
        <f t="shared" si="444"/>
        <v>#DIV/0!</v>
      </c>
      <c r="U637" s="54" t="e">
        <f t="shared" si="444"/>
        <v>#DIV/0!</v>
      </c>
      <c r="V637" s="54" t="e">
        <f t="shared" si="444"/>
        <v>#DIV/0!</v>
      </c>
      <c r="W637" s="258"/>
      <c r="X637" s="258"/>
    </row>
    <row r="638" spans="1:26">
      <c r="A638" s="46" t="str">
        <f>Home!$B$1</f>
        <v>Poland</v>
      </c>
      <c r="B638" s="47" t="s">
        <v>94</v>
      </c>
      <c r="C638" s="47" t="s">
        <v>546</v>
      </c>
      <c r="D638" s="47" t="s">
        <v>65</v>
      </c>
      <c r="E638" s="46" t="s">
        <v>161</v>
      </c>
      <c r="F638" s="48" t="s">
        <v>563</v>
      </c>
      <c r="G638" s="48" t="s">
        <v>15</v>
      </c>
      <c r="H638" s="48" t="s">
        <v>16</v>
      </c>
      <c r="I638" s="48"/>
      <c r="J638" s="48" t="s">
        <v>99</v>
      </c>
      <c r="K638" s="49"/>
      <c r="L638" s="92"/>
      <c r="M638" s="92"/>
      <c r="N638" s="92"/>
      <c r="O638" s="92"/>
      <c r="P638" s="92"/>
      <c r="Q638" s="92"/>
      <c r="R638" s="110">
        <f>Forecasting!R696</f>
        <v>0</v>
      </c>
      <c r="S638" s="110">
        <f>Forecasting!S696</f>
        <v>0</v>
      </c>
      <c r="T638" s="110">
        <f>Forecasting!T696</f>
        <v>0</v>
      </c>
      <c r="U638" s="110">
        <f>Forecasting!U696</f>
        <v>0</v>
      </c>
      <c r="V638" s="110">
        <f>Forecasting!V696</f>
        <v>0</v>
      </c>
      <c r="W638" s="102" t="e">
        <f>+(Q638/M638)^(1/4)-1</f>
        <v>#DIV/0!</v>
      </c>
      <c r="X638" s="102" t="e">
        <f>+(V638/Q638)^(1/5)-1</f>
        <v>#DIV/0!</v>
      </c>
      <c r="Z638" s="11"/>
    </row>
    <row r="639" spans="1:26">
      <c r="A639" s="48"/>
      <c r="B639" s="48"/>
      <c r="C639" s="52" t="s">
        <v>892</v>
      </c>
      <c r="D639" s="52"/>
      <c r="E639" s="52"/>
      <c r="F639" s="52"/>
      <c r="G639" s="52"/>
      <c r="H639" s="52"/>
      <c r="I639" s="52"/>
      <c r="J639" s="52" t="s">
        <v>58</v>
      </c>
      <c r="K639" s="49"/>
      <c r="L639" s="53"/>
      <c r="M639" s="54" t="e">
        <f t="shared" ref="M639:V639" si="445">M638/L638-1</f>
        <v>#DIV/0!</v>
      </c>
      <c r="N639" s="54" t="e">
        <f t="shared" si="445"/>
        <v>#DIV/0!</v>
      </c>
      <c r="O639" s="54" t="e">
        <f t="shared" si="445"/>
        <v>#DIV/0!</v>
      </c>
      <c r="P639" s="54" t="e">
        <f t="shared" si="445"/>
        <v>#DIV/0!</v>
      </c>
      <c r="Q639" s="54" t="e">
        <f t="shared" si="445"/>
        <v>#DIV/0!</v>
      </c>
      <c r="R639" s="54" t="e">
        <f t="shared" si="445"/>
        <v>#DIV/0!</v>
      </c>
      <c r="S639" s="54" t="e">
        <f t="shared" si="445"/>
        <v>#DIV/0!</v>
      </c>
      <c r="T639" s="54" t="e">
        <f t="shared" si="445"/>
        <v>#DIV/0!</v>
      </c>
      <c r="U639" s="54" t="e">
        <f t="shared" si="445"/>
        <v>#DIV/0!</v>
      </c>
      <c r="V639" s="54" t="e">
        <f t="shared" si="445"/>
        <v>#DIV/0!</v>
      </c>
      <c r="W639" s="258"/>
      <c r="X639" s="258"/>
    </row>
    <row r="640" spans="1:26">
      <c r="A640" s="46" t="str">
        <f>Home!$B$1</f>
        <v>Poland</v>
      </c>
      <c r="B640" s="47" t="s">
        <v>94</v>
      </c>
      <c r="C640" s="47" t="s">
        <v>546</v>
      </c>
      <c r="D640" s="47" t="s">
        <v>65</v>
      </c>
      <c r="E640" s="46" t="s">
        <v>163</v>
      </c>
      <c r="F640" s="48" t="s">
        <v>564</v>
      </c>
      <c r="G640" s="48" t="s">
        <v>15</v>
      </c>
      <c r="H640" s="48" t="s">
        <v>16</v>
      </c>
      <c r="I640" s="48"/>
      <c r="J640" s="48" t="s">
        <v>99</v>
      </c>
      <c r="K640" s="49" t="s">
        <v>565</v>
      </c>
      <c r="L640" s="92"/>
      <c r="M640" s="92"/>
      <c r="N640" s="92"/>
      <c r="O640" s="92"/>
      <c r="P640" s="349"/>
      <c r="Q640" s="349"/>
      <c r="R640" s="110">
        <f>Forecasting!R698</f>
        <v>0</v>
      </c>
      <c r="S640" s="110">
        <f>Forecasting!S698</f>
        <v>0</v>
      </c>
      <c r="T640" s="110">
        <f>Forecasting!T698</f>
        <v>0</v>
      </c>
      <c r="U640" s="110">
        <f>Forecasting!U698</f>
        <v>0</v>
      </c>
      <c r="V640" s="110">
        <f>Forecasting!V698</f>
        <v>0</v>
      </c>
      <c r="W640" s="102" t="e">
        <f>+(Q640/M640)^(1/4)-1</f>
        <v>#DIV/0!</v>
      </c>
      <c r="X640" s="102" t="e">
        <f>+(V640/Q640)^(1/5)-1</f>
        <v>#DIV/0!</v>
      </c>
      <c r="Z640" s="11"/>
    </row>
    <row r="641" spans="1:26">
      <c r="A641" s="48"/>
      <c r="B641" s="48"/>
      <c r="C641" s="52" t="s">
        <v>892</v>
      </c>
      <c r="D641" s="52"/>
      <c r="E641" s="52"/>
      <c r="F641" s="52"/>
      <c r="G641" s="52"/>
      <c r="H641" s="52"/>
      <c r="I641" s="52"/>
      <c r="J641" s="52" t="s">
        <v>58</v>
      </c>
      <c r="K641" s="49"/>
      <c r="L641" s="53"/>
      <c r="M641" s="54" t="e">
        <f t="shared" ref="M641:V641" si="446">M640/L640-1</f>
        <v>#DIV/0!</v>
      </c>
      <c r="N641" s="54" t="e">
        <f t="shared" si="446"/>
        <v>#DIV/0!</v>
      </c>
      <c r="O641" s="54" t="e">
        <f t="shared" si="446"/>
        <v>#DIV/0!</v>
      </c>
      <c r="P641" s="54" t="e">
        <f t="shared" si="446"/>
        <v>#DIV/0!</v>
      </c>
      <c r="Q641" s="54" t="e">
        <f t="shared" si="446"/>
        <v>#DIV/0!</v>
      </c>
      <c r="R641" s="54" t="e">
        <f t="shared" si="446"/>
        <v>#DIV/0!</v>
      </c>
      <c r="S641" s="54" t="e">
        <f t="shared" si="446"/>
        <v>#DIV/0!</v>
      </c>
      <c r="T641" s="54" t="e">
        <f t="shared" si="446"/>
        <v>#DIV/0!</v>
      </c>
      <c r="U641" s="54" t="e">
        <f t="shared" si="446"/>
        <v>#DIV/0!</v>
      </c>
      <c r="V641" s="54" t="e">
        <f t="shared" si="446"/>
        <v>#DIV/0!</v>
      </c>
      <c r="W641" s="258"/>
      <c r="X641" s="258"/>
    </row>
    <row r="642" spans="1:26">
      <c r="A642" s="46" t="str">
        <f>Home!$B$1</f>
        <v>Poland</v>
      </c>
      <c r="B642" s="47" t="s">
        <v>94</v>
      </c>
      <c r="C642" s="47" t="s">
        <v>546</v>
      </c>
      <c r="D642" s="47" t="s">
        <v>65</v>
      </c>
      <c r="E642" s="46" t="s">
        <v>165</v>
      </c>
      <c r="F642" s="48" t="s">
        <v>566</v>
      </c>
      <c r="G642" s="48" t="s">
        <v>15</v>
      </c>
      <c r="H642" s="48" t="s">
        <v>16</v>
      </c>
      <c r="I642" s="48"/>
      <c r="J642" s="48" t="s">
        <v>99</v>
      </c>
      <c r="K642" s="49"/>
      <c r="L642" s="92"/>
      <c r="M642" s="92"/>
      <c r="N642" s="92"/>
      <c r="O642" s="92"/>
      <c r="P642" s="92"/>
      <c r="Q642" s="92"/>
      <c r="R642" s="110">
        <f>Forecasting!R700</f>
        <v>0</v>
      </c>
      <c r="S642" s="110">
        <f>Forecasting!S700</f>
        <v>0</v>
      </c>
      <c r="T642" s="110">
        <f>Forecasting!T700</f>
        <v>0</v>
      </c>
      <c r="U642" s="110">
        <f>Forecasting!U700</f>
        <v>0</v>
      </c>
      <c r="V642" s="110">
        <f>Forecasting!V700</f>
        <v>0</v>
      </c>
      <c r="W642" s="102" t="e">
        <f>+(Q642/M642)^(1/4)-1</f>
        <v>#DIV/0!</v>
      </c>
      <c r="X642" s="102" t="e">
        <f>+(V642/Q642)^(1/5)-1</f>
        <v>#DIV/0!</v>
      </c>
      <c r="Z642" s="11"/>
    </row>
    <row r="643" spans="1:26">
      <c r="A643" s="48"/>
      <c r="B643" s="48"/>
      <c r="C643" s="52" t="s">
        <v>892</v>
      </c>
      <c r="D643" s="52"/>
      <c r="E643" s="52"/>
      <c r="F643" s="52"/>
      <c r="G643" s="52"/>
      <c r="H643" s="52"/>
      <c r="I643" s="52"/>
      <c r="J643" s="52" t="s">
        <v>58</v>
      </c>
      <c r="K643" s="49"/>
      <c r="L643" s="53"/>
      <c r="M643" s="54" t="e">
        <f t="shared" ref="M643:V643" si="447">M642/L642-1</f>
        <v>#DIV/0!</v>
      </c>
      <c r="N643" s="54" t="e">
        <f t="shared" si="447"/>
        <v>#DIV/0!</v>
      </c>
      <c r="O643" s="54" t="e">
        <f t="shared" si="447"/>
        <v>#DIV/0!</v>
      </c>
      <c r="P643" s="54" t="e">
        <f t="shared" si="447"/>
        <v>#DIV/0!</v>
      </c>
      <c r="Q643" s="54" t="e">
        <f t="shared" si="447"/>
        <v>#DIV/0!</v>
      </c>
      <c r="R643" s="54" t="e">
        <f t="shared" si="447"/>
        <v>#DIV/0!</v>
      </c>
      <c r="S643" s="54" t="e">
        <f t="shared" si="447"/>
        <v>#DIV/0!</v>
      </c>
      <c r="T643" s="54" t="e">
        <f t="shared" si="447"/>
        <v>#DIV/0!</v>
      </c>
      <c r="U643" s="54" t="e">
        <f t="shared" si="447"/>
        <v>#DIV/0!</v>
      </c>
      <c r="V643" s="54" t="e">
        <f t="shared" si="447"/>
        <v>#DIV/0!</v>
      </c>
      <c r="W643" s="258"/>
      <c r="X643" s="258"/>
    </row>
    <row r="644" spans="1:26">
      <c r="A644" s="46" t="str">
        <f>Home!$B$1</f>
        <v>Poland</v>
      </c>
      <c r="B644" s="47" t="s">
        <v>94</v>
      </c>
      <c r="C644" s="47" t="s">
        <v>546</v>
      </c>
      <c r="D644" s="47" t="s">
        <v>65</v>
      </c>
      <c r="E644" s="46" t="s">
        <v>167</v>
      </c>
      <c r="F644" s="48" t="s">
        <v>567</v>
      </c>
      <c r="G644" s="48" t="s">
        <v>15</v>
      </c>
      <c r="H644" s="48" t="s">
        <v>16</v>
      </c>
      <c r="I644" s="48"/>
      <c r="J644" s="48" t="s">
        <v>99</v>
      </c>
      <c r="K644" s="49"/>
      <c r="L644" s="92"/>
      <c r="M644" s="92"/>
      <c r="N644" s="92"/>
      <c r="O644" s="92"/>
      <c r="P644" s="92"/>
      <c r="Q644" s="92"/>
      <c r="R644" s="110">
        <f>Forecasting!R702</f>
        <v>0</v>
      </c>
      <c r="S644" s="110">
        <f>Forecasting!S702</f>
        <v>0</v>
      </c>
      <c r="T644" s="110">
        <f>Forecasting!T702</f>
        <v>0</v>
      </c>
      <c r="U644" s="110">
        <f>Forecasting!U702</f>
        <v>0</v>
      </c>
      <c r="V644" s="110">
        <f>Forecasting!V702</f>
        <v>0</v>
      </c>
      <c r="W644" s="102" t="e">
        <f>+(Q644/M644)^(1/4)-1</f>
        <v>#DIV/0!</v>
      </c>
      <c r="X644" s="102" t="e">
        <f>+(V644/Q644)^(1/5)-1</f>
        <v>#DIV/0!</v>
      </c>
      <c r="Z644" s="11"/>
    </row>
    <row r="645" spans="1:26">
      <c r="A645" s="48"/>
      <c r="B645" s="48"/>
      <c r="C645" s="52" t="s">
        <v>892</v>
      </c>
      <c r="D645" s="52"/>
      <c r="E645" s="52"/>
      <c r="F645" s="52"/>
      <c r="G645" s="52"/>
      <c r="H645" s="52"/>
      <c r="I645" s="52"/>
      <c r="J645" s="52" t="s">
        <v>58</v>
      </c>
      <c r="K645" s="49"/>
      <c r="L645" s="53"/>
      <c r="M645" s="54" t="e">
        <f t="shared" ref="M645:V645" si="448">M644/L644-1</f>
        <v>#DIV/0!</v>
      </c>
      <c r="N645" s="54" t="e">
        <f t="shared" si="448"/>
        <v>#DIV/0!</v>
      </c>
      <c r="O645" s="54" t="e">
        <f t="shared" si="448"/>
        <v>#DIV/0!</v>
      </c>
      <c r="P645" s="54" t="e">
        <f t="shared" si="448"/>
        <v>#DIV/0!</v>
      </c>
      <c r="Q645" s="54" t="e">
        <f t="shared" si="448"/>
        <v>#DIV/0!</v>
      </c>
      <c r="R645" s="54" t="e">
        <f t="shared" si="448"/>
        <v>#DIV/0!</v>
      </c>
      <c r="S645" s="54" t="e">
        <f t="shared" si="448"/>
        <v>#DIV/0!</v>
      </c>
      <c r="T645" s="54" t="e">
        <f t="shared" si="448"/>
        <v>#DIV/0!</v>
      </c>
      <c r="U645" s="54" t="e">
        <f t="shared" si="448"/>
        <v>#DIV/0!</v>
      </c>
      <c r="V645" s="54" t="e">
        <f t="shared" si="448"/>
        <v>#DIV/0!</v>
      </c>
      <c r="W645" s="258"/>
      <c r="X645" s="258"/>
    </row>
    <row r="646" spans="1:26">
      <c r="A646" s="46" t="str">
        <f>Home!$B$1</f>
        <v>Poland</v>
      </c>
      <c r="B646" s="47" t="s">
        <v>94</v>
      </c>
      <c r="C646" s="47" t="s">
        <v>546</v>
      </c>
      <c r="D646" s="47" t="s">
        <v>65</v>
      </c>
      <c r="E646" s="46" t="s">
        <v>169</v>
      </c>
      <c r="F646" s="48" t="s">
        <v>568</v>
      </c>
      <c r="G646" s="48" t="s">
        <v>15</v>
      </c>
      <c r="H646" s="48" t="s">
        <v>16</v>
      </c>
      <c r="I646" s="48"/>
      <c r="J646" s="48" t="s">
        <v>99</v>
      </c>
      <c r="K646" s="49"/>
      <c r="L646" s="92"/>
      <c r="M646" s="92"/>
      <c r="N646" s="92"/>
      <c r="O646" s="92"/>
      <c r="P646" s="92"/>
      <c r="Q646" s="92"/>
      <c r="R646" s="110">
        <f>Forecasting!R704</f>
        <v>0</v>
      </c>
      <c r="S646" s="110">
        <f>Forecasting!S704</f>
        <v>0</v>
      </c>
      <c r="T646" s="110">
        <f>Forecasting!T704</f>
        <v>0</v>
      </c>
      <c r="U646" s="110">
        <f>Forecasting!U704</f>
        <v>0</v>
      </c>
      <c r="V646" s="110">
        <f>Forecasting!V704</f>
        <v>0</v>
      </c>
      <c r="W646" s="102" t="e">
        <f>+(Q646/M646)^(1/4)-1</f>
        <v>#DIV/0!</v>
      </c>
      <c r="X646" s="102" t="e">
        <f>+(V646/Q646)^(1/5)-1</f>
        <v>#DIV/0!</v>
      </c>
      <c r="Z646" s="11"/>
    </row>
    <row r="647" spans="1:26">
      <c r="A647" s="48"/>
      <c r="B647" s="48"/>
      <c r="C647" s="52" t="s">
        <v>892</v>
      </c>
      <c r="D647" s="52"/>
      <c r="E647" s="52"/>
      <c r="F647" s="52"/>
      <c r="G647" s="52"/>
      <c r="H647" s="52"/>
      <c r="I647" s="52"/>
      <c r="J647" s="52" t="s">
        <v>58</v>
      </c>
      <c r="K647" s="49"/>
      <c r="L647" s="53"/>
      <c r="M647" s="54" t="e">
        <f t="shared" ref="M647:V647" si="449">M646/L646-1</f>
        <v>#DIV/0!</v>
      </c>
      <c r="N647" s="54" t="e">
        <f t="shared" si="449"/>
        <v>#DIV/0!</v>
      </c>
      <c r="O647" s="54" t="e">
        <f t="shared" si="449"/>
        <v>#DIV/0!</v>
      </c>
      <c r="P647" s="54" t="e">
        <f t="shared" si="449"/>
        <v>#DIV/0!</v>
      </c>
      <c r="Q647" s="54" t="e">
        <f t="shared" si="449"/>
        <v>#DIV/0!</v>
      </c>
      <c r="R647" s="54" t="e">
        <f t="shared" si="449"/>
        <v>#DIV/0!</v>
      </c>
      <c r="S647" s="54" t="e">
        <f t="shared" si="449"/>
        <v>#DIV/0!</v>
      </c>
      <c r="T647" s="54" t="e">
        <f t="shared" si="449"/>
        <v>#DIV/0!</v>
      </c>
      <c r="U647" s="54" t="e">
        <f t="shared" si="449"/>
        <v>#DIV/0!</v>
      </c>
      <c r="V647" s="54" t="e">
        <f t="shared" si="449"/>
        <v>#DIV/0!</v>
      </c>
      <c r="W647" s="258"/>
      <c r="X647" s="258"/>
    </row>
    <row r="648" spans="1:26">
      <c r="A648" s="46" t="str">
        <f>Home!$B$1</f>
        <v>Poland</v>
      </c>
      <c r="B648" s="47" t="s">
        <v>94</v>
      </c>
      <c r="C648" s="47" t="s">
        <v>546</v>
      </c>
      <c r="D648" s="47" t="s">
        <v>65</v>
      </c>
      <c r="E648" s="46" t="s">
        <v>171</v>
      </c>
      <c r="F648" s="48" t="s">
        <v>569</v>
      </c>
      <c r="G648" s="48" t="s">
        <v>15</v>
      </c>
      <c r="H648" s="48" t="s">
        <v>16</v>
      </c>
      <c r="I648" s="48"/>
      <c r="J648" s="48" t="s">
        <v>99</v>
      </c>
      <c r="K648" s="49"/>
      <c r="L648" s="92"/>
      <c r="M648" s="92"/>
      <c r="N648" s="92"/>
      <c r="O648" s="92"/>
      <c r="P648" s="92"/>
      <c r="Q648" s="92"/>
      <c r="R648" s="110">
        <f>Forecasting!R706</f>
        <v>0</v>
      </c>
      <c r="S648" s="110">
        <f>Forecasting!S706</f>
        <v>0</v>
      </c>
      <c r="T648" s="110">
        <f>Forecasting!T706</f>
        <v>0</v>
      </c>
      <c r="U648" s="110">
        <f>Forecasting!U706</f>
        <v>0</v>
      </c>
      <c r="V648" s="110">
        <f>Forecasting!V706</f>
        <v>0</v>
      </c>
      <c r="W648" s="102" t="e">
        <f>+(Q648/M648)^(1/4)-1</f>
        <v>#DIV/0!</v>
      </c>
      <c r="X648" s="102" t="e">
        <f>+(V648/Q648)^(1/5)-1</f>
        <v>#DIV/0!</v>
      </c>
      <c r="Z648" s="11"/>
    </row>
    <row r="649" spans="1:26">
      <c r="A649" s="48"/>
      <c r="B649" s="48"/>
      <c r="C649" s="52" t="s">
        <v>892</v>
      </c>
      <c r="D649" s="52"/>
      <c r="E649" s="52"/>
      <c r="F649" s="52"/>
      <c r="G649" s="52"/>
      <c r="H649" s="52"/>
      <c r="I649" s="52"/>
      <c r="J649" s="52" t="s">
        <v>58</v>
      </c>
      <c r="K649" s="49"/>
      <c r="L649" s="53"/>
      <c r="M649" s="54" t="e">
        <f t="shared" ref="M649:V649" si="450">M648/L648-1</f>
        <v>#DIV/0!</v>
      </c>
      <c r="N649" s="54" t="e">
        <f t="shared" si="450"/>
        <v>#DIV/0!</v>
      </c>
      <c r="O649" s="54" t="e">
        <f t="shared" si="450"/>
        <v>#DIV/0!</v>
      </c>
      <c r="P649" s="54" t="e">
        <f t="shared" si="450"/>
        <v>#DIV/0!</v>
      </c>
      <c r="Q649" s="54" t="e">
        <f t="shared" si="450"/>
        <v>#DIV/0!</v>
      </c>
      <c r="R649" s="54" t="e">
        <f t="shared" si="450"/>
        <v>#DIV/0!</v>
      </c>
      <c r="S649" s="54" t="e">
        <f t="shared" si="450"/>
        <v>#DIV/0!</v>
      </c>
      <c r="T649" s="54" t="e">
        <f t="shared" si="450"/>
        <v>#DIV/0!</v>
      </c>
      <c r="U649" s="54" t="e">
        <f t="shared" si="450"/>
        <v>#DIV/0!</v>
      </c>
      <c r="V649" s="54" t="e">
        <f t="shared" si="450"/>
        <v>#DIV/0!</v>
      </c>
      <c r="W649" s="258"/>
      <c r="X649" s="258"/>
    </row>
    <row r="650" spans="1:26">
      <c r="A650" s="46" t="str">
        <f>Home!$B$1</f>
        <v>Poland</v>
      </c>
      <c r="B650" s="47" t="s">
        <v>94</v>
      </c>
      <c r="C650" s="47" t="s">
        <v>546</v>
      </c>
      <c r="D650" s="47" t="s">
        <v>65</v>
      </c>
      <c r="E650" s="46" t="s">
        <v>173</v>
      </c>
      <c r="F650" s="48" t="s">
        <v>570</v>
      </c>
      <c r="G650" s="48" t="s">
        <v>15</v>
      </c>
      <c r="H650" s="48" t="s">
        <v>16</v>
      </c>
      <c r="I650" s="48"/>
      <c r="J650" s="48" t="s">
        <v>99</v>
      </c>
      <c r="K650" s="49"/>
      <c r="L650" s="92"/>
      <c r="M650" s="92"/>
      <c r="N650" s="92"/>
      <c r="O650" s="92"/>
      <c r="P650" s="92"/>
      <c r="Q650" s="92"/>
      <c r="R650" s="110">
        <f>Forecasting!R708</f>
        <v>0</v>
      </c>
      <c r="S650" s="110">
        <f>Forecasting!S708</f>
        <v>0</v>
      </c>
      <c r="T650" s="110">
        <f>Forecasting!T708</f>
        <v>0</v>
      </c>
      <c r="U650" s="110">
        <f>Forecasting!U708</f>
        <v>0</v>
      </c>
      <c r="V650" s="110">
        <f>Forecasting!V708</f>
        <v>0</v>
      </c>
      <c r="W650" s="102" t="e">
        <f>+(Q650/M650)^(1/4)-1</f>
        <v>#DIV/0!</v>
      </c>
      <c r="X650" s="102" t="e">
        <f>+(V650/Q650)^(1/5)-1</f>
        <v>#DIV/0!</v>
      </c>
      <c r="Z650" s="11"/>
    </row>
    <row r="651" spans="1:26">
      <c r="A651" s="48"/>
      <c r="B651" s="48"/>
      <c r="C651" s="52" t="s">
        <v>892</v>
      </c>
      <c r="D651" s="52"/>
      <c r="E651" s="52"/>
      <c r="F651" s="52"/>
      <c r="G651" s="52"/>
      <c r="H651" s="52"/>
      <c r="I651" s="52"/>
      <c r="J651" s="52" t="s">
        <v>58</v>
      </c>
      <c r="K651" s="49"/>
      <c r="L651" s="53"/>
      <c r="M651" s="54" t="e">
        <f t="shared" ref="M651:V651" si="451">M650/L650-1</f>
        <v>#DIV/0!</v>
      </c>
      <c r="N651" s="54" t="e">
        <f t="shared" si="451"/>
        <v>#DIV/0!</v>
      </c>
      <c r="O651" s="54" t="e">
        <f t="shared" si="451"/>
        <v>#DIV/0!</v>
      </c>
      <c r="P651" s="54" t="e">
        <f t="shared" si="451"/>
        <v>#DIV/0!</v>
      </c>
      <c r="Q651" s="54" t="e">
        <f t="shared" si="451"/>
        <v>#DIV/0!</v>
      </c>
      <c r="R651" s="54" t="e">
        <f t="shared" si="451"/>
        <v>#DIV/0!</v>
      </c>
      <c r="S651" s="54" t="e">
        <f t="shared" si="451"/>
        <v>#DIV/0!</v>
      </c>
      <c r="T651" s="54" t="e">
        <f t="shared" si="451"/>
        <v>#DIV/0!</v>
      </c>
      <c r="U651" s="54" t="e">
        <f t="shared" si="451"/>
        <v>#DIV/0!</v>
      </c>
      <c r="V651" s="54" t="e">
        <f t="shared" si="451"/>
        <v>#DIV/0!</v>
      </c>
      <c r="W651" s="258"/>
      <c r="X651" s="258"/>
    </row>
    <row r="652" spans="1:26">
      <c r="A652" s="46" t="str">
        <f>Home!$B$1</f>
        <v>Poland</v>
      </c>
      <c r="B652" s="47" t="s">
        <v>94</v>
      </c>
      <c r="C652" s="47" t="s">
        <v>546</v>
      </c>
      <c r="D652" s="47" t="s">
        <v>65</v>
      </c>
      <c r="E652" s="46" t="s">
        <v>175</v>
      </c>
      <c r="F652" s="48" t="s">
        <v>571</v>
      </c>
      <c r="G652" s="48" t="s">
        <v>15</v>
      </c>
      <c r="H652" s="48" t="s">
        <v>16</v>
      </c>
      <c r="I652" s="48"/>
      <c r="J652" s="48" t="s">
        <v>99</v>
      </c>
      <c r="K652" s="49"/>
      <c r="L652" s="92"/>
      <c r="M652" s="92"/>
      <c r="N652" s="92"/>
      <c r="O652" s="92"/>
      <c r="P652" s="92"/>
      <c r="Q652" s="92"/>
      <c r="R652" s="110">
        <f>Forecasting!R710</f>
        <v>0</v>
      </c>
      <c r="S652" s="110">
        <f>Forecasting!S710</f>
        <v>0</v>
      </c>
      <c r="T652" s="110">
        <f>Forecasting!T710</f>
        <v>0</v>
      </c>
      <c r="U652" s="110">
        <f>Forecasting!U710</f>
        <v>0</v>
      </c>
      <c r="V652" s="110">
        <f>Forecasting!V710</f>
        <v>0</v>
      </c>
      <c r="W652" s="102" t="e">
        <f>+(Q652/M652)^(1/4)-1</f>
        <v>#DIV/0!</v>
      </c>
      <c r="X652" s="102" t="e">
        <f>+(V652/Q652)^(1/5)-1</f>
        <v>#DIV/0!</v>
      </c>
      <c r="Z652" s="11"/>
    </row>
    <row r="653" spans="1:26">
      <c r="A653" s="48"/>
      <c r="B653" s="48"/>
      <c r="C653" s="52" t="s">
        <v>892</v>
      </c>
      <c r="D653" s="52"/>
      <c r="E653" s="52"/>
      <c r="F653" s="52"/>
      <c r="G653" s="52"/>
      <c r="H653" s="52"/>
      <c r="I653" s="52"/>
      <c r="J653" s="52" t="s">
        <v>58</v>
      </c>
      <c r="K653" s="49"/>
      <c r="L653" s="53"/>
      <c r="M653" s="54" t="e">
        <f t="shared" ref="M653:V653" si="452">M652/L652-1</f>
        <v>#DIV/0!</v>
      </c>
      <c r="N653" s="54" t="e">
        <f t="shared" si="452"/>
        <v>#DIV/0!</v>
      </c>
      <c r="O653" s="54" t="e">
        <f t="shared" si="452"/>
        <v>#DIV/0!</v>
      </c>
      <c r="P653" s="54" t="e">
        <f t="shared" si="452"/>
        <v>#DIV/0!</v>
      </c>
      <c r="Q653" s="54" t="e">
        <f t="shared" si="452"/>
        <v>#DIV/0!</v>
      </c>
      <c r="R653" s="54" t="e">
        <f t="shared" si="452"/>
        <v>#DIV/0!</v>
      </c>
      <c r="S653" s="54" t="e">
        <f t="shared" si="452"/>
        <v>#DIV/0!</v>
      </c>
      <c r="T653" s="54" t="e">
        <f t="shared" si="452"/>
        <v>#DIV/0!</v>
      </c>
      <c r="U653" s="54" t="e">
        <f t="shared" si="452"/>
        <v>#DIV/0!</v>
      </c>
      <c r="V653" s="54" t="e">
        <f t="shared" si="452"/>
        <v>#DIV/0!</v>
      </c>
      <c r="W653" s="258"/>
      <c r="X653" s="258"/>
    </row>
    <row r="654" spans="1:26">
      <c r="A654" s="46" t="str">
        <f>Home!$B$1</f>
        <v>Poland</v>
      </c>
      <c r="B654" s="47" t="s">
        <v>94</v>
      </c>
      <c r="C654" s="47" t="s">
        <v>546</v>
      </c>
      <c r="D654" s="47" t="s">
        <v>65</v>
      </c>
      <c r="E654" s="46" t="s">
        <v>177</v>
      </c>
      <c r="F654" s="48" t="s">
        <v>572</v>
      </c>
      <c r="G654" s="48" t="s">
        <v>15</v>
      </c>
      <c r="H654" s="48" t="s">
        <v>16</v>
      </c>
      <c r="I654" s="48"/>
      <c r="J654" s="48" t="s">
        <v>99</v>
      </c>
      <c r="K654" s="49"/>
      <c r="L654" s="92"/>
      <c r="M654" s="92"/>
      <c r="N654" s="92"/>
      <c r="O654" s="92"/>
      <c r="P654" s="92"/>
      <c r="Q654" s="92"/>
      <c r="R654" s="110">
        <f>Forecasting!R712</f>
        <v>0</v>
      </c>
      <c r="S654" s="110">
        <f>Forecasting!S712</f>
        <v>0</v>
      </c>
      <c r="T654" s="110">
        <f>Forecasting!T712</f>
        <v>0</v>
      </c>
      <c r="U654" s="110">
        <f>Forecasting!U712</f>
        <v>0</v>
      </c>
      <c r="V654" s="110">
        <f>Forecasting!V712</f>
        <v>0</v>
      </c>
      <c r="W654" s="102" t="e">
        <f>+(Q654/M654)^(1/4)-1</f>
        <v>#DIV/0!</v>
      </c>
      <c r="X654" s="102" t="e">
        <f>+(V654/Q654)^(1/5)-1</f>
        <v>#DIV/0!</v>
      </c>
      <c r="Z654" s="11"/>
    </row>
    <row r="655" spans="1:26">
      <c r="A655" s="48"/>
      <c r="B655" s="48"/>
      <c r="C655" s="52" t="s">
        <v>892</v>
      </c>
      <c r="D655" s="52"/>
      <c r="E655" s="52"/>
      <c r="F655" s="52"/>
      <c r="G655" s="52"/>
      <c r="H655" s="52"/>
      <c r="I655" s="52"/>
      <c r="J655" s="52" t="s">
        <v>58</v>
      </c>
      <c r="K655" s="49"/>
      <c r="L655" s="53"/>
      <c r="M655" s="54" t="e">
        <f t="shared" ref="M655:V655" si="453">M654/L654-1</f>
        <v>#DIV/0!</v>
      </c>
      <c r="N655" s="54" t="e">
        <f t="shared" si="453"/>
        <v>#DIV/0!</v>
      </c>
      <c r="O655" s="54" t="e">
        <f t="shared" si="453"/>
        <v>#DIV/0!</v>
      </c>
      <c r="P655" s="54" t="e">
        <f t="shared" si="453"/>
        <v>#DIV/0!</v>
      </c>
      <c r="Q655" s="54" t="e">
        <f t="shared" si="453"/>
        <v>#DIV/0!</v>
      </c>
      <c r="R655" s="54" t="e">
        <f t="shared" si="453"/>
        <v>#DIV/0!</v>
      </c>
      <c r="S655" s="54" t="e">
        <f t="shared" si="453"/>
        <v>#DIV/0!</v>
      </c>
      <c r="T655" s="54" t="e">
        <f t="shared" si="453"/>
        <v>#DIV/0!</v>
      </c>
      <c r="U655" s="54" t="e">
        <f t="shared" si="453"/>
        <v>#DIV/0!</v>
      </c>
      <c r="V655" s="54" t="e">
        <f t="shared" si="453"/>
        <v>#DIV/0!</v>
      </c>
      <c r="W655" s="258"/>
      <c r="X655" s="258"/>
    </row>
    <row r="656" spans="1:26">
      <c r="A656" s="46" t="str">
        <f>Home!$B$1</f>
        <v>Poland</v>
      </c>
      <c r="B656" s="47" t="s">
        <v>94</v>
      </c>
      <c r="C656" s="47" t="s">
        <v>546</v>
      </c>
      <c r="D656" s="47" t="s">
        <v>65</v>
      </c>
      <c r="E656" s="46" t="s">
        <v>179</v>
      </c>
      <c r="F656" s="48" t="s">
        <v>573</v>
      </c>
      <c r="G656" s="48" t="s">
        <v>15</v>
      </c>
      <c r="H656" s="48" t="s">
        <v>16</v>
      </c>
      <c r="I656" s="48"/>
      <c r="J656" s="48" t="s">
        <v>99</v>
      </c>
      <c r="K656" s="49"/>
      <c r="L656" s="92"/>
      <c r="M656" s="92"/>
      <c r="N656" s="92"/>
      <c r="O656" s="92"/>
      <c r="P656" s="92"/>
      <c r="Q656" s="92"/>
      <c r="R656" s="110">
        <f>Forecasting!R714</f>
        <v>0</v>
      </c>
      <c r="S656" s="110">
        <f>Forecasting!S714</f>
        <v>0</v>
      </c>
      <c r="T656" s="110">
        <f>Forecasting!T714</f>
        <v>0</v>
      </c>
      <c r="U656" s="110">
        <f>Forecasting!U714</f>
        <v>0</v>
      </c>
      <c r="V656" s="110">
        <f>Forecasting!V714</f>
        <v>0</v>
      </c>
      <c r="W656" s="102" t="e">
        <f>+(Q656/M656)^(1/4)-1</f>
        <v>#DIV/0!</v>
      </c>
      <c r="X656" s="102" t="e">
        <f>+(V656/Q656)^(1/5)-1</f>
        <v>#DIV/0!</v>
      </c>
      <c r="Z656" s="11"/>
    </row>
    <row r="657" spans="1:26">
      <c r="A657" s="48"/>
      <c r="B657" s="48"/>
      <c r="C657" s="52" t="s">
        <v>892</v>
      </c>
      <c r="D657" s="52"/>
      <c r="E657" s="52"/>
      <c r="F657" s="52"/>
      <c r="G657" s="52"/>
      <c r="H657" s="52"/>
      <c r="I657" s="52"/>
      <c r="J657" s="52" t="s">
        <v>58</v>
      </c>
      <c r="K657" s="49"/>
      <c r="L657" s="53"/>
      <c r="M657" s="54" t="e">
        <f t="shared" ref="M657:V657" si="454">M656/L656-1</f>
        <v>#DIV/0!</v>
      </c>
      <c r="N657" s="54" t="e">
        <f t="shared" si="454"/>
        <v>#DIV/0!</v>
      </c>
      <c r="O657" s="54" t="e">
        <f t="shared" si="454"/>
        <v>#DIV/0!</v>
      </c>
      <c r="P657" s="54" t="e">
        <f t="shared" si="454"/>
        <v>#DIV/0!</v>
      </c>
      <c r="Q657" s="54" t="e">
        <f t="shared" si="454"/>
        <v>#DIV/0!</v>
      </c>
      <c r="R657" s="54" t="e">
        <f t="shared" si="454"/>
        <v>#DIV/0!</v>
      </c>
      <c r="S657" s="54" t="e">
        <f t="shared" si="454"/>
        <v>#DIV/0!</v>
      </c>
      <c r="T657" s="54" t="e">
        <f t="shared" si="454"/>
        <v>#DIV/0!</v>
      </c>
      <c r="U657" s="54" t="e">
        <f t="shared" si="454"/>
        <v>#DIV/0!</v>
      </c>
      <c r="V657" s="54" t="e">
        <f t="shared" si="454"/>
        <v>#DIV/0!</v>
      </c>
      <c r="W657" s="258"/>
      <c r="X657" s="258"/>
    </row>
    <row r="658" spans="1:26">
      <c r="A658" s="46" t="str">
        <f>Home!$B$1</f>
        <v>Poland</v>
      </c>
      <c r="B658" s="47" t="s">
        <v>94</v>
      </c>
      <c r="C658" s="47" t="s">
        <v>546</v>
      </c>
      <c r="D658" s="47" t="s">
        <v>65</v>
      </c>
      <c r="E658" s="46" t="s">
        <v>181</v>
      </c>
      <c r="F658" s="48" t="s">
        <v>574</v>
      </c>
      <c r="G658" s="48" t="s">
        <v>15</v>
      </c>
      <c r="H658" s="48" t="s">
        <v>16</v>
      </c>
      <c r="I658" s="48"/>
      <c r="J658" s="48" t="s">
        <v>99</v>
      </c>
      <c r="K658" s="49"/>
      <c r="L658" s="92"/>
      <c r="M658" s="92"/>
      <c r="N658" s="92"/>
      <c r="O658" s="92"/>
      <c r="P658" s="92"/>
      <c r="Q658" s="92"/>
      <c r="R658" s="110">
        <f>Forecasting!R716</f>
        <v>0</v>
      </c>
      <c r="S658" s="110">
        <f>Forecasting!S716</f>
        <v>0</v>
      </c>
      <c r="T658" s="110">
        <f>Forecasting!T716</f>
        <v>0</v>
      </c>
      <c r="U658" s="110">
        <f>Forecasting!U716</f>
        <v>0</v>
      </c>
      <c r="V658" s="110">
        <f>Forecasting!V716</f>
        <v>0</v>
      </c>
      <c r="W658" s="102" t="e">
        <f>+(Q658/M658)^(1/4)-1</f>
        <v>#DIV/0!</v>
      </c>
      <c r="X658" s="102" t="e">
        <f>+(V658/Q658)^(1/5)-1</f>
        <v>#DIV/0!</v>
      </c>
      <c r="Z658" s="11"/>
    </row>
    <row r="659" spans="1:26">
      <c r="A659" s="48"/>
      <c r="B659" s="48"/>
      <c r="C659" s="52" t="s">
        <v>892</v>
      </c>
      <c r="D659" s="52"/>
      <c r="E659" s="52"/>
      <c r="F659" s="52"/>
      <c r="G659" s="52"/>
      <c r="H659" s="52"/>
      <c r="I659" s="52"/>
      <c r="J659" s="52" t="s">
        <v>58</v>
      </c>
      <c r="K659" s="49"/>
      <c r="L659" s="53"/>
      <c r="M659" s="54" t="e">
        <f t="shared" ref="M659:V659" si="455">M658/L658-1</f>
        <v>#DIV/0!</v>
      </c>
      <c r="N659" s="54" t="e">
        <f t="shared" si="455"/>
        <v>#DIV/0!</v>
      </c>
      <c r="O659" s="54" t="e">
        <f t="shared" si="455"/>
        <v>#DIV/0!</v>
      </c>
      <c r="P659" s="54" t="e">
        <f t="shared" si="455"/>
        <v>#DIV/0!</v>
      </c>
      <c r="Q659" s="54" t="e">
        <f t="shared" si="455"/>
        <v>#DIV/0!</v>
      </c>
      <c r="R659" s="54" t="e">
        <f t="shared" si="455"/>
        <v>#DIV/0!</v>
      </c>
      <c r="S659" s="54" t="e">
        <f t="shared" si="455"/>
        <v>#DIV/0!</v>
      </c>
      <c r="T659" s="54" t="e">
        <f t="shared" si="455"/>
        <v>#DIV/0!</v>
      </c>
      <c r="U659" s="54" t="e">
        <f t="shared" si="455"/>
        <v>#DIV/0!</v>
      </c>
      <c r="V659" s="54" t="e">
        <f t="shared" si="455"/>
        <v>#DIV/0!</v>
      </c>
      <c r="W659" s="258"/>
      <c r="X659" s="258"/>
    </row>
    <row r="660" spans="1:26">
      <c r="A660" s="46" t="str">
        <f>Home!$B$1</f>
        <v>Poland</v>
      </c>
      <c r="B660" s="47" t="s">
        <v>94</v>
      </c>
      <c r="C660" s="47" t="s">
        <v>546</v>
      </c>
      <c r="D660" s="47" t="s">
        <v>65</v>
      </c>
      <c r="E660" s="46" t="s">
        <v>183</v>
      </c>
      <c r="F660" s="48" t="s">
        <v>575</v>
      </c>
      <c r="G660" s="48" t="s">
        <v>15</v>
      </c>
      <c r="H660" s="48" t="s">
        <v>16</v>
      </c>
      <c r="I660" s="48"/>
      <c r="J660" s="48" t="s">
        <v>99</v>
      </c>
      <c r="K660" s="49"/>
      <c r="L660" s="92"/>
      <c r="M660" s="92"/>
      <c r="N660" s="92"/>
      <c r="O660" s="92"/>
      <c r="P660" s="92"/>
      <c r="Q660" s="92"/>
      <c r="R660" s="110">
        <f>Forecasting!R718</f>
        <v>0</v>
      </c>
      <c r="S660" s="110">
        <f>Forecasting!S718</f>
        <v>0</v>
      </c>
      <c r="T660" s="110">
        <f>Forecasting!T718</f>
        <v>0</v>
      </c>
      <c r="U660" s="110">
        <f>Forecasting!U718</f>
        <v>0</v>
      </c>
      <c r="V660" s="110">
        <f>Forecasting!V718</f>
        <v>0</v>
      </c>
      <c r="W660" s="102" t="e">
        <f>+(Q660/M660)^(1/4)-1</f>
        <v>#DIV/0!</v>
      </c>
      <c r="X660" s="102" t="e">
        <f>+(V660/Q660)^(1/5)-1</f>
        <v>#DIV/0!</v>
      </c>
      <c r="Z660" s="11"/>
    </row>
    <row r="661" spans="1:26">
      <c r="A661" s="48"/>
      <c r="B661" s="48"/>
      <c r="C661" s="52" t="s">
        <v>892</v>
      </c>
      <c r="D661" s="52"/>
      <c r="E661" s="52"/>
      <c r="F661" s="52"/>
      <c r="G661" s="52"/>
      <c r="H661" s="52"/>
      <c r="I661" s="52"/>
      <c r="J661" s="52" t="s">
        <v>58</v>
      </c>
      <c r="K661" s="49"/>
      <c r="L661" s="53"/>
      <c r="M661" s="54" t="e">
        <f t="shared" ref="M661:V661" si="456">M660/L660-1</f>
        <v>#DIV/0!</v>
      </c>
      <c r="N661" s="54" t="e">
        <f t="shared" si="456"/>
        <v>#DIV/0!</v>
      </c>
      <c r="O661" s="54" t="e">
        <f t="shared" si="456"/>
        <v>#DIV/0!</v>
      </c>
      <c r="P661" s="54" t="e">
        <f t="shared" si="456"/>
        <v>#DIV/0!</v>
      </c>
      <c r="Q661" s="54" t="e">
        <f t="shared" si="456"/>
        <v>#DIV/0!</v>
      </c>
      <c r="R661" s="54" t="e">
        <f t="shared" si="456"/>
        <v>#DIV/0!</v>
      </c>
      <c r="S661" s="54" t="e">
        <f t="shared" si="456"/>
        <v>#DIV/0!</v>
      </c>
      <c r="T661" s="54" t="e">
        <f t="shared" si="456"/>
        <v>#DIV/0!</v>
      </c>
      <c r="U661" s="54" t="e">
        <f t="shared" si="456"/>
        <v>#DIV/0!</v>
      </c>
      <c r="V661" s="54" t="e">
        <f t="shared" si="456"/>
        <v>#DIV/0!</v>
      </c>
      <c r="W661" s="258"/>
      <c r="X661" s="258"/>
    </row>
    <row r="662" spans="1:26">
      <c r="A662" s="46" t="str">
        <f>Home!$B$1</f>
        <v>Poland</v>
      </c>
      <c r="B662" s="47" t="s">
        <v>94</v>
      </c>
      <c r="C662" s="47" t="s">
        <v>546</v>
      </c>
      <c r="D662" s="47" t="s">
        <v>65</v>
      </c>
      <c r="E662" s="46" t="s">
        <v>185</v>
      </c>
      <c r="F662" s="48" t="s">
        <v>576</v>
      </c>
      <c r="G662" s="48" t="s">
        <v>15</v>
      </c>
      <c r="H662" s="48" t="s">
        <v>16</v>
      </c>
      <c r="I662" s="48"/>
      <c r="J662" s="48" t="s">
        <v>99</v>
      </c>
      <c r="K662" s="49"/>
      <c r="L662" s="92"/>
      <c r="M662" s="92"/>
      <c r="N662" s="92"/>
      <c r="O662" s="92"/>
      <c r="P662" s="92"/>
      <c r="Q662" s="92"/>
      <c r="R662" s="110">
        <f>Forecasting!R720</f>
        <v>0</v>
      </c>
      <c r="S662" s="110">
        <f>Forecasting!S720</f>
        <v>0</v>
      </c>
      <c r="T662" s="110">
        <f>Forecasting!T720</f>
        <v>0</v>
      </c>
      <c r="U662" s="110">
        <f>Forecasting!U720</f>
        <v>0</v>
      </c>
      <c r="V662" s="110">
        <f>Forecasting!V720</f>
        <v>0</v>
      </c>
      <c r="W662" s="102" t="e">
        <f>+(Q662/M662)^(1/4)-1</f>
        <v>#DIV/0!</v>
      </c>
      <c r="X662" s="102" t="e">
        <f>+(V662/Q662)^(1/5)-1</f>
        <v>#DIV/0!</v>
      </c>
      <c r="Z662" s="11"/>
    </row>
    <row r="663" spans="1:26">
      <c r="A663" s="48"/>
      <c r="B663" s="48"/>
      <c r="C663" s="52" t="s">
        <v>892</v>
      </c>
      <c r="D663" s="52"/>
      <c r="E663" s="52"/>
      <c r="F663" s="52"/>
      <c r="G663" s="52"/>
      <c r="H663" s="52"/>
      <c r="I663" s="52"/>
      <c r="J663" s="52" t="s">
        <v>58</v>
      </c>
      <c r="K663" s="49"/>
      <c r="L663" s="53"/>
      <c r="M663" s="54" t="e">
        <f t="shared" ref="M663:V663" si="457">M662/L662-1</f>
        <v>#DIV/0!</v>
      </c>
      <c r="N663" s="54" t="e">
        <f t="shared" si="457"/>
        <v>#DIV/0!</v>
      </c>
      <c r="O663" s="54" t="e">
        <f t="shared" si="457"/>
        <v>#DIV/0!</v>
      </c>
      <c r="P663" s="54" t="e">
        <f t="shared" si="457"/>
        <v>#DIV/0!</v>
      </c>
      <c r="Q663" s="54" t="e">
        <f t="shared" si="457"/>
        <v>#DIV/0!</v>
      </c>
      <c r="R663" s="54" t="e">
        <f t="shared" si="457"/>
        <v>#DIV/0!</v>
      </c>
      <c r="S663" s="54" t="e">
        <f t="shared" si="457"/>
        <v>#DIV/0!</v>
      </c>
      <c r="T663" s="54" t="e">
        <f t="shared" si="457"/>
        <v>#DIV/0!</v>
      </c>
      <c r="U663" s="54" t="e">
        <f t="shared" si="457"/>
        <v>#DIV/0!</v>
      </c>
      <c r="V663" s="54" t="e">
        <f t="shared" si="457"/>
        <v>#DIV/0!</v>
      </c>
      <c r="W663" s="258"/>
      <c r="X663" s="258"/>
    </row>
    <row r="664" spans="1:26">
      <c r="A664" s="46" t="str">
        <f>Home!$B$1</f>
        <v>Poland</v>
      </c>
      <c r="B664" s="47" t="s">
        <v>94</v>
      </c>
      <c r="C664" s="47" t="s">
        <v>546</v>
      </c>
      <c r="D664" s="47" t="s">
        <v>65</v>
      </c>
      <c r="E664" s="46" t="s">
        <v>187</v>
      </c>
      <c r="F664" s="48" t="s">
        <v>577</v>
      </c>
      <c r="G664" s="48" t="s">
        <v>15</v>
      </c>
      <c r="H664" s="48" t="s">
        <v>16</v>
      </c>
      <c r="I664" s="48"/>
      <c r="J664" s="48" t="s">
        <v>99</v>
      </c>
      <c r="K664" s="49"/>
      <c r="L664" s="92"/>
      <c r="M664" s="92"/>
      <c r="N664" s="92"/>
      <c r="O664" s="92"/>
      <c r="P664" s="92"/>
      <c r="Q664" s="92"/>
      <c r="R664" s="110">
        <f>Forecasting!R722</f>
        <v>0</v>
      </c>
      <c r="S664" s="110">
        <f>Forecasting!S722</f>
        <v>0</v>
      </c>
      <c r="T664" s="110">
        <f>Forecasting!T722</f>
        <v>0</v>
      </c>
      <c r="U664" s="110">
        <f>Forecasting!U722</f>
        <v>0</v>
      </c>
      <c r="V664" s="110">
        <f>Forecasting!V722</f>
        <v>0</v>
      </c>
      <c r="W664" s="102" t="e">
        <f>+(Q664/M664)^(1/4)-1</f>
        <v>#DIV/0!</v>
      </c>
      <c r="X664" s="102" t="e">
        <f>+(V664/Q664)^(1/5)-1</f>
        <v>#DIV/0!</v>
      </c>
      <c r="Z664" s="11"/>
    </row>
    <row r="665" spans="1:26">
      <c r="A665" s="48"/>
      <c r="B665" s="48"/>
      <c r="C665" s="52" t="s">
        <v>892</v>
      </c>
      <c r="D665" s="52"/>
      <c r="E665" s="52"/>
      <c r="F665" s="52"/>
      <c r="G665" s="52"/>
      <c r="H665" s="52"/>
      <c r="I665" s="52"/>
      <c r="J665" s="52" t="s">
        <v>58</v>
      </c>
      <c r="K665" s="49"/>
      <c r="L665" s="53"/>
      <c r="M665" s="54" t="e">
        <f t="shared" ref="M665:V665" si="458">M664/L664-1</f>
        <v>#DIV/0!</v>
      </c>
      <c r="N665" s="54" t="e">
        <f t="shared" si="458"/>
        <v>#DIV/0!</v>
      </c>
      <c r="O665" s="54" t="e">
        <f t="shared" si="458"/>
        <v>#DIV/0!</v>
      </c>
      <c r="P665" s="54" t="e">
        <f t="shared" si="458"/>
        <v>#DIV/0!</v>
      </c>
      <c r="Q665" s="54" t="e">
        <f t="shared" si="458"/>
        <v>#DIV/0!</v>
      </c>
      <c r="R665" s="54" t="e">
        <f t="shared" si="458"/>
        <v>#DIV/0!</v>
      </c>
      <c r="S665" s="54" t="e">
        <f t="shared" si="458"/>
        <v>#DIV/0!</v>
      </c>
      <c r="T665" s="54" t="e">
        <f t="shared" si="458"/>
        <v>#DIV/0!</v>
      </c>
      <c r="U665" s="54" t="e">
        <f t="shared" si="458"/>
        <v>#DIV/0!</v>
      </c>
      <c r="V665" s="54" t="e">
        <f t="shared" si="458"/>
        <v>#DIV/0!</v>
      </c>
      <c r="W665" s="258"/>
      <c r="X665" s="258"/>
    </row>
    <row r="666" spans="1:26">
      <c r="A666" s="46" t="str">
        <f>Home!$B$1</f>
        <v>Poland</v>
      </c>
      <c r="B666" s="47" t="s">
        <v>94</v>
      </c>
      <c r="C666" s="47" t="s">
        <v>546</v>
      </c>
      <c r="D666" s="47" t="s">
        <v>65</v>
      </c>
      <c r="E666" s="46" t="s">
        <v>189</v>
      </c>
      <c r="F666" s="48" t="s">
        <v>578</v>
      </c>
      <c r="G666" s="48" t="s">
        <v>15</v>
      </c>
      <c r="H666" s="48" t="s">
        <v>16</v>
      </c>
      <c r="I666" s="48"/>
      <c r="J666" s="48" t="s">
        <v>99</v>
      </c>
      <c r="K666" s="49"/>
      <c r="L666" s="92"/>
      <c r="M666" s="92"/>
      <c r="N666" s="92"/>
      <c r="O666" s="92"/>
      <c r="P666" s="92"/>
      <c r="Q666" s="92"/>
      <c r="R666" s="110">
        <f>Forecasting!R724</f>
        <v>0</v>
      </c>
      <c r="S666" s="110">
        <f>Forecasting!S724</f>
        <v>0</v>
      </c>
      <c r="T666" s="110">
        <f>Forecasting!T724</f>
        <v>0</v>
      </c>
      <c r="U666" s="110">
        <f>Forecasting!U724</f>
        <v>0</v>
      </c>
      <c r="V666" s="110">
        <f>Forecasting!V724</f>
        <v>0</v>
      </c>
      <c r="W666" s="102" t="e">
        <f>+(Q666/M666)^(1/4)-1</f>
        <v>#DIV/0!</v>
      </c>
      <c r="X666" s="102" t="e">
        <f>+(V666/Q666)^(1/5)-1</f>
        <v>#DIV/0!</v>
      </c>
      <c r="Z666" s="11"/>
    </row>
    <row r="667" spans="1:26">
      <c r="A667" s="48"/>
      <c r="B667" s="48"/>
      <c r="C667" s="52" t="s">
        <v>892</v>
      </c>
      <c r="D667" s="52"/>
      <c r="E667" s="52"/>
      <c r="F667" s="52"/>
      <c r="G667" s="52"/>
      <c r="H667" s="52"/>
      <c r="I667" s="52"/>
      <c r="J667" s="52" t="s">
        <v>58</v>
      </c>
      <c r="K667" s="49"/>
      <c r="L667" s="53"/>
      <c r="M667" s="54" t="e">
        <f t="shared" ref="M667:V667" si="459">M666/L666-1</f>
        <v>#DIV/0!</v>
      </c>
      <c r="N667" s="54" t="e">
        <f t="shared" si="459"/>
        <v>#DIV/0!</v>
      </c>
      <c r="O667" s="54" t="e">
        <f t="shared" si="459"/>
        <v>#DIV/0!</v>
      </c>
      <c r="P667" s="54" t="e">
        <f t="shared" si="459"/>
        <v>#DIV/0!</v>
      </c>
      <c r="Q667" s="54" t="e">
        <f t="shared" si="459"/>
        <v>#DIV/0!</v>
      </c>
      <c r="R667" s="54" t="e">
        <f t="shared" si="459"/>
        <v>#DIV/0!</v>
      </c>
      <c r="S667" s="54" t="e">
        <f t="shared" si="459"/>
        <v>#DIV/0!</v>
      </c>
      <c r="T667" s="54" t="e">
        <f t="shared" si="459"/>
        <v>#DIV/0!</v>
      </c>
      <c r="U667" s="54" t="e">
        <f t="shared" si="459"/>
        <v>#DIV/0!</v>
      </c>
      <c r="V667" s="54" t="e">
        <f t="shared" si="459"/>
        <v>#DIV/0!</v>
      </c>
      <c r="W667" s="258"/>
      <c r="X667" s="258"/>
    </row>
    <row r="668" spans="1:26">
      <c r="A668" s="46" t="str">
        <f>Home!$B$1</f>
        <v>Poland</v>
      </c>
      <c r="B668" s="47" t="s">
        <v>94</v>
      </c>
      <c r="C668" s="47" t="s">
        <v>546</v>
      </c>
      <c r="D668" s="47" t="s">
        <v>65</v>
      </c>
      <c r="E668" s="46" t="s">
        <v>191</v>
      </c>
      <c r="F668" s="48" t="s">
        <v>579</v>
      </c>
      <c r="G668" s="48" t="s">
        <v>15</v>
      </c>
      <c r="H668" s="48" t="s">
        <v>16</v>
      </c>
      <c r="I668" s="48"/>
      <c r="J668" s="48" t="s">
        <v>99</v>
      </c>
      <c r="K668" s="49"/>
      <c r="L668" s="92"/>
      <c r="M668" s="92"/>
      <c r="N668" s="92"/>
      <c r="O668" s="92"/>
      <c r="P668" s="92"/>
      <c r="Q668" s="92"/>
      <c r="R668" s="110">
        <f>Forecasting!R726</f>
        <v>0</v>
      </c>
      <c r="S668" s="110">
        <f>Forecasting!S726</f>
        <v>0</v>
      </c>
      <c r="T668" s="110">
        <f>Forecasting!T726</f>
        <v>0</v>
      </c>
      <c r="U668" s="110">
        <f>Forecasting!U726</f>
        <v>0</v>
      </c>
      <c r="V668" s="110">
        <f>Forecasting!V726</f>
        <v>0</v>
      </c>
      <c r="W668" s="102" t="e">
        <f>+(Q668/M668)^(1/4)-1</f>
        <v>#DIV/0!</v>
      </c>
      <c r="X668" s="102" t="e">
        <f>+(V668/Q668)^(1/5)-1</f>
        <v>#DIV/0!</v>
      </c>
      <c r="Z668" s="11"/>
    </row>
    <row r="669" spans="1:26">
      <c r="A669" s="48"/>
      <c r="B669" s="48"/>
      <c r="C669" s="52" t="s">
        <v>892</v>
      </c>
      <c r="D669" s="52"/>
      <c r="E669" s="52"/>
      <c r="F669" s="52"/>
      <c r="G669" s="52"/>
      <c r="H669" s="52"/>
      <c r="I669" s="52"/>
      <c r="J669" s="52" t="s">
        <v>58</v>
      </c>
      <c r="K669" s="49"/>
      <c r="L669" s="53"/>
      <c r="M669" s="54" t="e">
        <f t="shared" ref="M669:V669" si="460">M668/L668-1</f>
        <v>#DIV/0!</v>
      </c>
      <c r="N669" s="54" t="e">
        <f t="shared" si="460"/>
        <v>#DIV/0!</v>
      </c>
      <c r="O669" s="54" t="e">
        <f t="shared" si="460"/>
        <v>#DIV/0!</v>
      </c>
      <c r="P669" s="54" t="e">
        <f t="shared" si="460"/>
        <v>#DIV/0!</v>
      </c>
      <c r="Q669" s="54" t="e">
        <f t="shared" si="460"/>
        <v>#DIV/0!</v>
      </c>
      <c r="R669" s="54" t="e">
        <f t="shared" si="460"/>
        <v>#DIV/0!</v>
      </c>
      <c r="S669" s="54" t="e">
        <f t="shared" si="460"/>
        <v>#DIV/0!</v>
      </c>
      <c r="T669" s="54" t="e">
        <f t="shared" si="460"/>
        <v>#DIV/0!</v>
      </c>
      <c r="U669" s="54" t="e">
        <f t="shared" si="460"/>
        <v>#DIV/0!</v>
      </c>
      <c r="V669" s="54" t="e">
        <f t="shared" si="460"/>
        <v>#DIV/0!</v>
      </c>
      <c r="W669" s="258"/>
      <c r="X669" s="258"/>
    </row>
    <row r="670" spans="1:26">
      <c r="A670" s="46" t="str">
        <f>Home!$B$1</f>
        <v>Poland</v>
      </c>
      <c r="B670" s="47" t="s">
        <v>94</v>
      </c>
      <c r="C670" s="47" t="s">
        <v>546</v>
      </c>
      <c r="D670" s="47" t="s">
        <v>65</v>
      </c>
      <c r="E670" s="46" t="s">
        <v>193</v>
      </c>
      <c r="F670" s="48" t="s">
        <v>580</v>
      </c>
      <c r="G670" s="48" t="s">
        <v>15</v>
      </c>
      <c r="H670" s="48" t="s">
        <v>16</v>
      </c>
      <c r="I670" s="48"/>
      <c r="J670" s="48" t="s">
        <v>99</v>
      </c>
      <c r="K670" s="49"/>
      <c r="L670" s="92"/>
      <c r="M670" s="92"/>
      <c r="N670" s="92"/>
      <c r="O670" s="92"/>
      <c r="P670" s="92"/>
      <c r="Q670" s="92"/>
      <c r="R670" s="110">
        <f>Forecasting!R728</f>
        <v>0</v>
      </c>
      <c r="S670" s="110">
        <f>Forecasting!S728</f>
        <v>0</v>
      </c>
      <c r="T670" s="110">
        <f>Forecasting!T728</f>
        <v>0</v>
      </c>
      <c r="U670" s="110">
        <f>Forecasting!U728</f>
        <v>0</v>
      </c>
      <c r="V670" s="110">
        <f>Forecasting!V728</f>
        <v>0</v>
      </c>
      <c r="W670" s="102" t="e">
        <f>+(Q670/M670)^(1/4)-1</f>
        <v>#DIV/0!</v>
      </c>
      <c r="X670" s="102" t="e">
        <f>+(V670/Q670)^(1/5)-1</f>
        <v>#DIV/0!</v>
      </c>
      <c r="Z670" s="11"/>
    </row>
    <row r="671" spans="1:26">
      <c r="A671" s="48"/>
      <c r="B671" s="48"/>
      <c r="C671" s="52" t="s">
        <v>892</v>
      </c>
      <c r="D671" s="52"/>
      <c r="E671" s="52"/>
      <c r="F671" s="52"/>
      <c r="G671" s="52"/>
      <c r="H671" s="52"/>
      <c r="I671" s="52"/>
      <c r="J671" s="52" t="s">
        <v>58</v>
      </c>
      <c r="K671" s="49"/>
      <c r="L671" s="53"/>
      <c r="M671" s="54" t="e">
        <f t="shared" ref="M671:V671" si="461">M670/L670-1</f>
        <v>#DIV/0!</v>
      </c>
      <c r="N671" s="54" t="e">
        <f t="shared" si="461"/>
        <v>#DIV/0!</v>
      </c>
      <c r="O671" s="54" t="e">
        <f t="shared" si="461"/>
        <v>#DIV/0!</v>
      </c>
      <c r="P671" s="54" t="e">
        <f t="shared" si="461"/>
        <v>#DIV/0!</v>
      </c>
      <c r="Q671" s="54" t="e">
        <f t="shared" si="461"/>
        <v>#DIV/0!</v>
      </c>
      <c r="R671" s="54" t="e">
        <f t="shared" si="461"/>
        <v>#DIV/0!</v>
      </c>
      <c r="S671" s="54" t="e">
        <f t="shared" si="461"/>
        <v>#DIV/0!</v>
      </c>
      <c r="T671" s="54" t="e">
        <f t="shared" si="461"/>
        <v>#DIV/0!</v>
      </c>
      <c r="U671" s="54" t="e">
        <f t="shared" si="461"/>
        <v>#DIV/0!</v>
      </c>
      <c r="V671" s="54" t="e">
        <f t="shared" si="461"/>
        <v>#DIV/0!</v>
      </c>
      <c r="W671" s="258"/>
      <c r="X671" s="258"/>
    </row>
    <row r="672" spans="1:26">
      <c r="A672" s="46" t="str">
        <f>Home!$B$1</f>
        <v>Poland</v>
      </c>
      <c r="B672" s="47" t="s">
        <v>94</v>
      </c>
      <c r="C672" s="47" t="s">
        <v>546</v>
      </c>
      <c r="D672" s="47" t="s">
        <v>65</v>
      </c>
      <c r="E672" s="46" t="s">
        <v>195</v>
      </c>
      <c r="F672" s="48" t="s">
        <v>581</v>
      </c>
      <c r="G672" s="48" t="s">
        <v>15</v>
      </c>
      <c r="H672" s="48" t="s">
        <v>16</v>
      </c>
      <c r="I672" s="48"/>
      <c r="J672" s="48" t="s">
        <v>99</v>
      </c>
      <c r="K672" s="49"/>
      <c r="L672" s="92"/>
      <c r="M672" s="92"/>
      <c r="N672" s="92"/>
      <c r="O672" s="92"/>
      <c r="P672" s="92"/>
      <c r="Q672" s="92"/>
      <c r="R672" s="110">
        <f>Forecasting!R730</f>
        <v>0</v>
      </c>
      <c r="S672" s="110">
        <f>Forecasting!S730</f>
        <v>0</v>
      </c>
      <c r="T672" s="110">
        <f>Forecasting!T730</f>
        <v>0</v>
      </c>
      <c r="U672" s="110">
        <f>Forecasting!U730</f>
        <v>0</v>
      </c>
      <c r="V672" s="110">
        <f>Forecasting!V730</f>
        <v>0</v>
      </c>
      <c r="W672" s="102" t="e">
        <f>+(Q672/M672)^(1/4)-1</f>
        <v>#DIV/0!</v>
      </c>
      <c r="X672" s="102" t="e">
        <f>+(V672/Q672)^(1/5)-1</f>
        <v>#DIV/0!</v>
      </c>
      <c r="Z672" s="11"/>
    </row>
    <row r="673" spans="1:26">
      <c r="A673" s="48"/>
      <c r="B673" s="48"/>
      <c r="C673" s="52" t="s">
        <v>892</v>
      </c>
      <c r="D673" s="52"/>
      <c r="E673" s="52"/>
      <c r="F673" s="52"/>
      <c r="G673" s="52"/>
      <c r="H673" s="52"/>
      <c r="I673" s="52"/>
      <c r="J673" s="52" t="s">
        <v>58</v>
      </c>
      <c r="K673" s="49"/>
      <c r="L673" s="53"/>
      <c r="M673" s="54" t="e">
        <f t="shared" ref="M673:V673" si="462">M672/L672-1</f>
        <v>#DIV/0!</v>
      </c>
      <c r="N673" s="54" t="e">
        <f t="shared" si="462"/>
        <v>#DIV/0!</v>
      </c>
      <c r="O673" s="54" t="e">
        <f t="shared" si="462"/>
        <v>#DIV/0!</v>
      </c>
      <c r="P673" s="54" t="e">
        <f t="shared" si="462"/>
        <v>#DIV/0!</v>
      </c>
      <c r="Q673" s="54" t="e">
        <f t="shared" si="462"/>
        <v>#DIV/0!</v>
      </c>
      <c r="R673" s="54" t="e">
        <f t="shared" si="462"/>
        <v>#DIV/0!</v>
      </c>
      <c r="S673" s="54" t="e">
        <f t="shared" si="462"/>
        <v>#DIV/0!</v>
      </c>
      <c r="T673" s="54" t="e">
        <f t="shared" si="462"/>
        <v>#DIV/0!</v>
      </c>
      <c r="U673" s="54" t="e">
        <f t="shared" si="462"/>
        <v>#DIV/0!</v>
      </c>
      <c r="V673" s="54" t="e">
        <f t="shared" si="462"/>
        <v>#DIV/0!</v>
      </c>
      <c r="W673" s="258"/>
      <c r="X673" s="258"/>
    </row>
    <row r="674" spans="1:26">
      <c r="A674" s="46" t="str">
        <f>Home!$B$1</f>
        <v>Poland</v>
      </c>
      <c r="B674" s="47" t="s">
        <v>94</v>
      </c>
      <c r="C674" s="47" t="s">
        <v>546</v>
      </c>
      <c r="D674" s="47" t="s">
        <v>65</v>
      </c>
      <c r="E674" s="46" t="s">
        <v>197</v>
      </c>
      <c r="F674" s="48" t="s">
        <v>582</v>
      </c>
      <c r="G674" s="48" t="s">
        <v>15</v>
      </c>
      <c r="H674" s="48" t="s">
        <v>16</v>
      </c>
      <c r="I674" s="48"/>
      <c r="J674" s="48" t="s">
        <v>99</v>
      </c>
      <c r="K674" s="49"/>
      <c r="L674" s="92"/>
      <c r="M674" s="92"/>
      <c r="N674" s="92"/>
      <c r="O674" s="92"/>
      <c r="P674" s="92"/>
      <c r="Q674" s="92"/>
      <c r="R674" s="110">
        <f>Forecasting!R732</f>
        <v>0</v>
      </c>
      <c r="S674" s="110">
        <f>Forecasting!S732</f>
        <v>0</v>
      </c>
      <c r="T674" s="110">
        <f>Forecasting!T732</f>
        <v>0</v>
      </c>
      <c r="U674" s="110">
        <f>Forecasting!U732</f>
        <v>0</v>
      </c>
      <c r="V674" s="110">
        <f>Forecasting!V732</f>
        <v>0</v>
      </c>
      <c r="W674" s="102" t="e">
        <f>+(Q674/M674)^(1/4)-1</f>
        <v>#DIV/0!</v>
      </c>
      <c r="X674" s="102" t="e">
        <f>+(V674/Q674)^(1/5)-1</f>
        <v>#DIV/0!</v>
      </c>
      <c r="Z674" s="11"/>
    </row>
    <row r="675" spans="1:26">
      <c r="A675" s="48"/>
      <c r="B675" s="48"/>
      <c r="C675" s="52" t="s">
        <v>892</v>
      </c>
      <c r="D675" s="52"/>
      <c r="E675" s="52"/>
      <c r="F675" s="52"/>
      <c r="G675" s="52"/>
      <c r="H675" s="52"/>
      <c r="I675" s="52"/>
      <c r="J675" s="52" t="s">
        <v>58</v>
      </c>
      <c r="K675" s="49"/>
      <c r="L675" s="53"/>
      <c r="M675" s="54" t="e">
        <f t="shared" ref="M675:V675" si="463">M674/L674-1</f>
        <v>#DIV/0!</v>
      </c>
      <c r="N675" s="54" t="e">
        <f t="shared" si="463"/>
        <v>#DIV/0!</v>
      </c>
      <c r="O675" s="54" t="e">
        <f t="shared" si="463"/>
        <v>#DIV/0!</v>
      </c>
      <c r="P675" s="54" t="e">
        <f t="shared" si="463"/>
        <v>#DIV/0!</v>
      </c>
      <c r="Q675" s="54" t="e">
        <f t="shared" si="463"/>
        <v>#DIV/0!</v>
      </c>
      <c r="R675" s="54" t="e">
        <f t="shared" si="463"/>
        <v>#DIV/0!</v>
      </c>
      <c r="S675" s="54" t="e">
        <f t="shared" si="463"/>
        <v>#DIV/0!</v>
      </c>
      <c r="T675" s="54" t="e">
        <f t="shared" si="463"/>
        <v>#DIV/0!</v>
      </c>
      <c r="U675" s="54" t="e">
        <f t="shared" si="463"/>
        <v>#DIV/0!</v>
      </c>
      <c r="V675" s="54" t="e">
        <f t="shared" si="463"/>
        <v>#DIV/0!</v>
      </c>
      <c r="W675" s="258"/>
      <c r="X675" s="258"/>
    </row>
    <row r="676" spans="1:26">
      <c r="A676" s="46" t="str">
        <f>Home!$B$1</f>
        <v>Poland</v>
      </c>
      <c r="B676" s="47" t="s">
        <v>94</v>
      </c>
      <c r="C676" s="47" t="s">
        <v>546</v>
      </c>
      <c r="D676" s="47" t="s">
        <v>65</v>
      </c>
      <c r="E676" s="46" t="s">
        <v>199</v>
      </c>
      <c r="F676" s="48" t="s">
        <v>583</v>
      </c>
      <c r="G676" s="48" t="s">
        <v>15</v>
      </c>
      <c r="H676" s="48" t="s">
        <v>16</v>
      </c>
      <c r="I676" s="48"/>
      <c r="J676" s="48" t="s">
        <v>99</v>
      </c>
      <c r="K676" s="49"/>
      <c r="L676" s="92"/>
      <c r="M676" s="92"/>
      <c r="N676" s="92"/>
      <c r="O676" s="92"/>
      <c r="P676" s="92"/>
      <c r="Q676" s="92"/>
      <c r="R676" s="110">
        <f>Forecasting!R734</f>
        <v>0</v>
      </c>
      <c r="S676" s="110">
        <f>Forecasting!S734</f>
        <v>0</v>
      </c>
      <c r="T676" s="110">
        <f>Forecasting!T734</f>
        <v>0</v>
      </c>
      <c r="U676" s="110">
        <f>Forecasting!U734</f>
        <v>0</v>
      </c>
      <c r="V676" s="110">
        <f>Forecasting!V734</f>
        <v>0</v>
      </c>
      <c r="W676" s="102" t="e">
        <f>+(Q676/M676)^(1/4)-1</f>
        <v>#DIV/0!</v>
      </c>
      <c r="X676" s="102" t="e">
        <f>+(V676/Q676)^(1/5)-1</f>
        <v>#DIV/0!</v>
      </c>
      <c r="Z676" s="11"/>
    </row>
    <row r="677" spans="1:26">
      <c r="A677" s="48"/>
      <c r="B677" s="48"/>
      <c r="C677" s="52" t="s">
        <v>892</v>
      </c>
      <c r="D677" s="52"/>
      <c r="E677" s="52"/>
      <c r="F677" s="52"/>
      <c r="G677" s="52"/>
      <c r="H677" s="52"/>
      <c r="I677" s="52"/>
      <c r="J677" s="52" t="s">
        <v>58</v>
      </c>
      <c r="K677" s="49"/>
      <c r="L677" s="53"/>
      <c r="M677" s="54" t="e">
        <f t="shared" ref="M677:V677" si="464">M676/L676-1</f>
        <v>#DIV/0!</v>
      </c>
      <c r="N677" s="54" t="e">
        <f t="shared" si="464"/>
        <v>#DIV/0!</v>
      </c>
      <c r="O677" s="54" t="e">
        <f t="shared" si="464"/>
        <v>#DIV/0!</v>
      </c>
      <c r="P677" s="54" t="e">
        <f t="shared" si="464"/>
        <v>#DIV/0!</v>
      </c>
      <c r="Q677" s="54" t="e">
        <f t="shared" si="464"/>
        <v>#DIV/0!</v>
      </c>
      <c r="R677" s="54" t="e">
        <f t="shared" si="464"/>
        <v>#DIV/0!</v>
      </c>
      <c r="S677" s="54" t="e">
        <f t="shared" si="464"/>
        <v>#DIV/0!</v>
      </c>
      <c r="T677" s="54" t="e">
        <f t="shared" si="464"/>
        <v>#DIV/0!</v>
      </c>
      <c r="U677" s="54" t="e">
        <f t="shared" si="464"/>
        <v>#DIV/0!</v>
      </c>
      <c r="V677" s="54" t="e">
        <f t="shared" si="464"/>
        <v>#DIV/0!</v>
      </c>
      <c r="W677" s="258"/>
      <c r="X677" s="258"/>
    </row>
    <row r="678" spans="1:26">
      <c r="A678" s="46" t="str">
        <f>Home!$B$1</f>
        <v>Poland</v>
      </c>
      <c r="B678" s="47" t="s">
        <v>94</v>
      </c>
      <c r="C678" s="47" t="s">
        <v>546</v>
      </c>
      <c r="D678" s="47" t="s">
        <v>65</v>
      </c>
      <c r="E678" s="46" t="s">
        <v>201</v>
      </c>
      <c r="F678" s="48" t="s">
        <v>584</v>
      </c>
      <c r="G678" s="48" t="s">
        <v>15</v>
      </c>
      <c r="H678" s="48" t="s">
        <v>16</v>
      </c>
      <c r="I678" s="48"/>
      <c r="J678" s="48" t="s">
        <v>99</v>
      </c>
      <c r="K678" s="49"/>
      <c r="L678" s="92"/>
      <c r="M678" s="92"/>
      <c r="N678" s="92"/>
      <c r="O678" s="92"/>
      <c r="P678" s="92"/>
      <c r="Q678" s="92"/>
      <c r="R678" s="110">
        <f>Forecasting!R736</f>
        <v>0</v>
      </c>
      <c r="S678" s="110">
        <f>Forecasting!S736</f>
        <v>0</v>
      </c>
      <c r="T678" s="110">
        <f>Forecasting!T736</f>
        <v>0</v>
      </c>
      <c r="U678" s="110">
        <f>Forecasting!U736</f>
        <v>0</v>
      </c>
      <c r="V678" s="110">
        <f>Forecasting!V736</f>
        <v>0</v>
      </c>
      <c r="W678" s="102" t="e">
        <f>+(Q678/M678)^(1/4)-1</f>
        <v>#DIV/0!</v>
      </c>
      <c r="X678" s="102" t="e">
        <f>+(V678/Q678)^(1/5)-1</f>
        <v>#DIV/0!</v>
      </c>
      <c r="Z678" s="11"/>
    </row>
    <row r="679" spans="1:26">
      <c r="A679" s="48"/>
      <c r="B679" s="48"/>
      <c r="C679" s="52" t="s">
        <v>892</v>
      </c>
      <c r="D679" s="52"/>
      <c r="E679" s="52"/>
      <c r="F679" s="52"/>
      <c r="G679" s="52"/>
      <c r="H679" s="52"/>
      <c r="I679" s="52"/>
      <c r="J679" s="52" t="s">
        <v>58</v>
      </c>
      <c r="K679" s="49"/>
      <c r="L679" s="53"/>
      <c r="M679" s="54" t="e">
        <f t="shared" ref="M679:V679" si="465">M678/L678-1</f>
        <v>#DIV/0!</v>
      </c>
      <c r="N679" s="54" t="e">
        <f t="shared" si="465"/>
        <v>#DIV/0!</v>
      </c>
      <c r="O679" s="54" t="e">
        <f t="shared" si="465"/>
        <v>#DIV/0!</v>
      </c>
      <c r="P679" s="54" t="e">
        <f t="shared" si="465"/>
        <v>#DIV/0!</v>
      </c>
      <c r="Q679" s="54" t="e">
        <f t="shared" si="465"/>
        <v>#DIV/0!</v>
      </c>
      <c r="R679" s="54" t="e">
        <f t="shared" si="465"/>
        <v>#DIV/0!</v>
      </c>
      <c r="S679" s="54" t="e">
        <f t="shared" si="465"/>
        <v>#DIV/0!</v>
      </c>
      <c r="T679" s="54" t="e">
        <f t="shared" si="465"/>
        <v>#DIV/0!</v>
      </c>
      <c r="U679" s="54" t="e">
        <f t="shared" si="465"/>
        <v>#DIV/0!</v>
      </c>
      <c r="V679" s="54" t="e">
        <f t="shared" si="465"/>
        <v>#DIV/0!</v>
      </c>
      <c r="W679" s="258"/>
      <c r="X679" s="258"/>
    </row>
    <row r="680" spans="1:26">
      <c r="A680" s="46" t="str">
        <f>Home!$B$1</f>
        <v>Poland</v>
      </c>
      <c r="B680" s="47" t="s">
        <v>94</v>
      </c>
      <c r="C680" s="47" t="s">
        <v>546</v>
      </c>
      <c r="D680" s="47" t="s">
        <v>65</v>
      </c>
      <c r="E680" s="46" t="s">
        <v>203</v>
      </c>
      <c r="F680" s="48" t="s">
        <v>585</v>
      </c>
      <c r="G680" s="48" t="s">
        <v>15</v>
      </c>
      <c r="H680" s="48" t="s">
        <v>16</v>
      </c>
      <c r="I680" s="48"/>
      <c r="J680" s="48" t="s">
        <v>99</v>
      </c>
      <c r="K680" s="49"/>
      <c r="L680" s="92"/>
      <c r="M680" s="92"/>
      <c r="N680" s="92"/>
      <c r="O680" s="92"/>
      <c r="P680" s="92"/>
      <c r="Q680" s="92"/>
      <c r="R680" s="110">
        <f>Forecasting!R738</f>
        <v>0</v>
      </c>
      <c r="S680" s="110">
        <f>Forecasting!S738</f>
        <v>0</v>
      </c>
      <c r="T680" s="110">
        <f>Forecasting!T738</f>
        <v>0</v>
      </c>
      <c r="U680" s="110">
        <f>Forecasting!U738</f>
        <v>0</v>
      </c>
      <c r="V680" s="110">
        <f>Forecasting!V738</f>
        <v>0</v>
      </c>
      <c r="W680" s="102" t="e">
        <f>+(Q680/M680)^(1/4)-1</f>
        <v>#DIV/0!</v>
      </c>
      <c r="X680" s="102" t="e">
        <f>+(V680/Q680)^(1/5)-1</f>
        <v>#DIV/0!</v>
      </c>
      <c r="Z680" s="11"/>
    </row>
    <row r="681" spans="1:26">
      <c r="A681" s="48"/>
      <c r="B681" s="48"/>
      <c r="C681" s="52" t="s">
        <v>892</v>
      </c>
      <c r="D681" s="52"/>
      <c r="E681" s="52"/>
      <c r="F681" s="52"/>
      <c r="G681" s="52"/>
      <c r="H681" s="52"/>
      <c r="I681" s="52"/>
      <c r="J681" s="52" t="s">
        <v>58</v>
      </c>
      <c r="K681" s="49"/>
      <c r="L681" s="53"/>
      <c r="M681" s="54" t="e">
        <f t="shared" ref="M681:V681" si="466">M680/L680-1</f>
        <v>#DIV/0!</v>
      </c>
      <c r="N681" s="54" t="e">
        <f t="shared" si="466"/>
        <v>#DIV/0!</v>
      </c>
      <c r="O681" s="54" t="e">
        <f t="shared" si="466"/>
        <v>#DIV/0!</v>
      </c>
      <c r="P681" s="54" t="e">
        <f t="shared" si="466"/>
        <v>#DIV/0!</v>
      </c>
      <c r="Q681" s="54" t="e">
        <f t="shared" si="466"/>
        <v>#DIV/0!</v>
      </c>
      <c r="R681" s="54" t="e">
        <f t="shared" si="466"/>
        <v>#DIV/0!</v>
      </c>
      <c r="S681" s="54" t="e">
        <f t="shared" si="466"/>
        <v>#DIV/0!</v>
      </c>
      <c r="T681" s="54" t="e">
        <f t="shared" si="466"/>
        <v>#DIV/0!</v>
      </c>
      <c r="U681" s="54" t="e">
        <f t="shared" si="466"/>
        <v>#DIV/0!</v>
      </c>
      <c r="V681" s="54" t="e">
        <f t="shared" si="466"/>
        <v>#DIV/0!</v>
      </c>
      <c r="W681" s="258"/>
      <c r="X681" s="258"/>
    </row>
    <row r="682" spans="1:26">
      <c r="A682" s="46" t="str">
        <f>Home!$B$1</f>
        <v>Poland</v>
      </c>
      <c r="B682" s="47" t="s">
        <v>94</v>
      </c>
      <c r="C682" s="47" t="s">
        <v>546</v>
      </c>
      <c r="D682" s="47" t="s">
        <v>65</v>
      </c>
      <c r="E682" s="46" t="s">
        <v>205</v>
      </c>
      <c r="F682" s="48" t="s">
        <v>586</v>
      </c>
      <c r="G682" s="48" t="s">
        <v>15</v>
      </c>
      <c r="H682" s="48" t="s">
        <v>16</v>
      </c>
      <c r="I682" s="48"/>
      <c r="J682" s="48" t="s">
        <v>99</v>
      </c>
      <c r="K682" s="49"/>
      <c r="L682" s="92"/>
      <c r="M682" s="92"/>
      <c r="N682" s="92"/>
      <c r="O682" s="92"/>
      <c r="P682" s="92"/>
      <c r="Q682" s="92"/>
      <c r="R682" s="110">
        <f>Forecasting!R740</f>
        <v>0</v>
      </c>
      <c r="S682" s="110">
        <f>Forecasting!S740</f>
        <v>0</v>
      </c>
      <c r="T682" s="110">
        <f>Forecasting!T740</f>
        <v>0</v>
      </c>
      <c r="U682" s="110">
        <f>Forecasting!U740</f>
        <v>0</v>
      </c>
      <c r="V682" s="110">
        <f>Forecasting!V740</f>
        <v>0</v>
      </c>
      <c r="W682" s="102" t="e">
        <f>+(Q682/M682)^(1/4)-1</f>
        <v>#DIV/0!</v>
      </c>
      <c r="X682" s="102" t="e">
        <f>+(V682/Q682)^(1/5)-1</f>
        <v>#DIV/0!</v>
      </c>
      <c r="Z682" s="11"/>
    </row>
    <row r="683" spans="1:26">
      <c r="A683" s="48"/>
      <c r="B683" s="48"/>
      <c r="C683" s="52" t="s">
        <v>892</v>
      </c>
      <c r="D683" s="52"/>
      <c r="E683" s="52"/>
      <c r="F683" s="52"/>
      <c r="G683" s="52"/>
      <c r="H683" s="52"/>
      <c r="I683" s="52"/>
      <c r="J683" s="52" t="s">
        <v>58</v>
      </c>
      <c r="K683" s="49"/>
      <c r="L683" s="53"/>
      <c r="M683" s="54" t="e">
        <f t="shared" ref="M683:V683" si="467">M682/L682-1</f>
        <v>#DIV/0!</v>
      </c>
      <c r="N683" s="54" t="e">
        <f t="shared" si="467"/>
        <v>#DIV/0!</v>
      </c>
      <c r="O683" s="54" t="e">
        <f t="shared" si="467"/>
        <v>#DIV/0!</v>
      </c>
      <c r="P683" s="54" t="e">
        <f t="shared" si="467"/>
        <v>#DIV/0!</v>
      </c>
      <c r="Q683" s="54" t="e">
        <f t="shared" si="467"/>
        <v>#DIV/0!</v>
      </c>
      <c r="R683" s="54" t="e">
        <f t="shared" si="467"/>
        <v>#DIV/0!</v>
      </c>
      <c r="S683" s="54" t="e">
        <f t="shared" si="467"/>
        <v>#DIV/0!</v>
      </c>
      <c r="T683" s="54" t="e">
        <f t="shared" si="467"/>
        <v>#DIV/0!</v>
      </c>
      <c r="U683" s="54" t="e">
        <f t="shared" si="467"/>
        <v>#DIV/0!</v>
      </c>
      <c r="V683" s="54" t="e">
        <f t="shared" si="467"/>
        <v>#DIV/0!</v>
      </c>
      <c r="W683" s="258"/>
      <c r="X683" s="258"/>
    </row>
    <row r="684" spans="1:26">
      <c r="A684" s="46" t="str">
        <f>Home!$B$1</f>
        <v>Poland</v>
      </c>
      <c r="B684" s="47" t="s">
        <v>94</v>
      </c>
      <c r="C684" s="47" t="s">
        <v>546</v>
      </c>
      <c r="D684" s="47" t="s">
        <v>65</v>
      </c>
      <c r="E684" s="46" t="s">
        <v>207</v>
      </c>
      <c r="F684" s="48" t="s">
        <v>587</v>
      </c>
      <c r="G684" s="48" t="s">
        <v>15</v>
      </c>
      <c r="H684" s="48" t="s">
        <v>16</v>
      </c>
      <c r="I684" s="48"/>
      <c r="J684" s="48" t="s">
        <v>99</v>
      </c>
      <c r="K684" s="49"/>
      <c r="L684" s="92"/>
      <c r="M684" s="92"/>
      <c r="N684" s="92"/>
      <c r="O684" s="92"/>
      <c r="P684" s="92"/>
      <c r="Q684" s="92"/>
      <c r="R684" s="110">
        <f>Forecasting!R742</f>
        <v>0</v>
      </c>
      <c r="S684" s="110">
        <f>Forecasting!S742</f>
        <v>0</v>
      </c>
      <c r="T684" s="110">
        <f>Forecasting!T742</f>
        <v>0</v>
      </c>
      <c r="U684" s="110">
        <f>Forecasting!U742</f>
        <v>0</v>
      </c>
      <c r="V684" s="110">
        <f>Forecasting!V742</f>
        <v>0</v>
      </c>
      <c r="W684" s="102" t="e">
        <f>+(Q684/M684)^(1/4)-1</f>
        <v>#DIV/0!</v>
      </c>
      <c r="X684" s="102" t="e">
        <f>+(V684/Q684)^(1/5)-1</f>
        <v>#DIV/0!</v>
      </c>
      <c r="Z684" s="11"/>
    </row>
    <row r="685" spans="1:26">
      <c r="A685" s="48"/>
      <c r="B685" s="48"/>
      <c r="C685" s="52" t="s">
        <v>892</v>
      </c>
      <c r="D685" s="52"/>
      <c r="E685" s="52"/>
      <c r="F685" s="52"/>
      <c r="G685" s="52"/>
      <c r="H685" s="52"/>
      <c r="I685" s="52"/>
      <c r="J685" s="52" t="s">
        <v>58</v>
      </c>
      <c r="K685" s="49"/>
      <c r="L685" s="53"/>
      <c r="M685" s="54" t="e">
        <f t="shared" ref="M685:V685" si="468">M684/L684-1</f>
        <v>#DIV/0!</v>
      </c>
      <c r="N685" s="54" t="e">
        <f t="shared" si="468"/>
        <v>#DIV/0!</v>
      </c>
      <c r="O685" s="54" t="e">
        <f t="shared" si="468"/>
        <v>#DIV/0!</v>
      </c>
      <c r="P685" s="54" t="e">
        <f t="shared" si="468"/>
        <v>#DIV/0!</v>
      </c>
      <c r="Q685" s="54" t="e">
        <f t="shared" si="468"/>
        <v>#DIV/0!</v>
      </c>
      <c r="R685" s="54" t="e">
        <f t="shared" si="468"/>
        <v>#DIV/0!</v>
      </c>
      <c r="S685" s="54" t="e">
        <f t="shared" si="468"/>
        <v>#DIV/0!</v>
      </c>
      <c r="T685" s="54" t="e">
        <f t="shared" si="468"/>
        <v>#DIV/0!</v>
      </c>
      <c r="U685" s="54" t="e">
        <f t="shared" si="468"/>
        <v>#DIV/0!</v>
      </c>
      <c r="V685" s="54" t="e">
        <f t="shared" si="468"/>
        <v>#DIV/0!</v>
      </c>
      <c r="W685" s="258"/>
      <c r="X685" s="258"/>
    </row>
    <row r="686" spans="1:26">
      <c r="A686" s="46" t="str">
        <f>Home!$B$1</f>
        <v>Poland</v>
      </c>
      <c r="B686" s="47" t="s">
        <v>94</v>
      </c>
      <c r="C686" s="47" t="s">
        <v>546</v>
      </c>
      <c r="D686" s="47" t="s">
        <v>65</v>
      </c>
      <c r="E686" s="46" t="s">
        <v>209</v>
      </c>
      <c r="F686" s="48" t="s">
        <v>588</v>
      </c>
      <c r="G686" s="48" t="s">
        <v>15</v>
      </c>
      <c r="H686" s="48" t="s">
        <v>16</v>
      </c>
      <c r="I686" s="48"/>
      <c r="J686" s="48" t="s">
        <v>99</v>
      </c>
      <c r="K686" s="49"/>
      <c r="L686" s="92"/>
      <c r="M686" s="92"/>
      <c r="N686" s="92"/>
      <c r="O686" s="92"/>
      <c r="P686" s="92"/>
      <c r="Q686" s="92"/>
      <c r="R686" s="110">
        <f>Forecasting!R744</f>
        <v>0</v>
      </c>
      <c r="S686" s="110">
        <f>Forecasting!S744</f>
        <v>0</v>
      </c>
      <c r="T686" s="110">
        <f>Forecasting!T744</f>
        <v>0</v>
      </c>
      <c r="U686" s="110">
        <f>Forecasting!U744</f>
        <v>0</v>
      </c>
      <c r="V686" s="110">
        <f>Forecasting!V744</f>
        <v>0</v>
      </c>
      <c r="W686" s="102" t="e">
        <f>+(Q686/M686)^(1/4)-1</f>
        <v>#DIV/0!</v>
      </c>
      <c r="X686" s="102" t="e">
        <f>+(V686/Q686)^(1/5)-1</f>
        <v>#DIV/0!</v>
      </c>
      <c r="Z686" s="11"/>
    </row>
    <row r="687" spans="1:26">
      <c r="A687" s="48"/>
      <c r="B687" s="48"/>
      <c r="C687" s="52" t="s">
        <v>892</v>
      </c>
      <c r="D687" s="52"/>
      <c r="E687" s="52"/>
      <c r="F687" s="52"/>
      <c r="G687" s="52"/>
      <c r="H687" s="52"/>
      <c r="I687" s="52"/>
      <c r="J687" s="52" t="s">
        <v>58</v>
      </c>
      <c r="K687" s="49"/>
      <c r="L687" s="53"/>
      <c r="M687" s="54" t="e">
        <f t="shared" ref="M687:V687" si="469">M686/L686-1</f>
        <v>#DIV/0!</v>
      </c>
      <c r="N687" s="54" t="e">
        <f t="shared" si="469"/>
        <v>#DIV/0!</v>
      </c>
      <c r="O687" s="54" t="e">
        <f t="shared" si="469"/>
        <v>#DIV/0!</v>
      </c>
      <c r="P687" s="54" t="e">
        <f t="shared" si="469"/>
        <v>#DIV/0!</v>
      </c>
      <c r="Q687" s="54" t="e">
        <f t="shared" si="469"/>
        <v>#DIV/0!</v>
      </c>
      <c r="R687" s="54" t="e">
        <f t="shared" si="469"/>
        <v>#DIV/0!</v>
      </c>
      <c r="S687" s="54" t="e">
        <f t="shared" si="469"/>
        <v>#DIV/0!</v>
      </c>
      <c r="T687" s="54" t="e">
        <f t="shared" si="469"/>
        <v>#DIV/0!</v>
      </c>
      <c r="U687" s="54" t="e">
        <f t="shared" si="469"/>
        <v>#DIV/0!</v>
      </c>
      <c r="V687" s="54" t="e">
        <f t="shared" si="469"/>
        <v>#DIV/0!</v>
      </c>
      <c r="W687" s="258"/>
      <c r="X687" s="258"/>
    </row>
    <row r="688" spans="1:26">
      <c r="A688" s="46" t="str">
        <f>Home!$B$1</f>
        <v>Poland</v>
      </c>
      <c r="B688" s="47" t="s">
        <v>94</v>
      </c>
      <c r="C688" s="47" t="s">
        <v>546</v>
      </c>
      <c r="D688" s="47" t="s">
        <v>65</v>
      </c>
      <c r="E688" s="46" t="s">
        <v>211</v>
      </c>
      <c r="F688" s="48" t="s">
        <v>589</v>
      </c>
      <c r="G688" s="48" t="s">
        <v>15</v>
      </c>
      <c r="H688" s="48" t="s">
        <v>16</v>
      </c>
      <c r="I688" s="48"/>
      <c r="J688" s="48" t="s">
        <v>99</v>
      </c>
      <c r="K688" s="49"/>
      <c r="L688" s="92"/>
      <c r="M688" s="92"/>
      <c r="N688" s="92"/>
      <c r="O688" s="92"/>
      <c r="P688" s="92"/>
      <c r="Q688" s="92"/>
      <c r="R688" s="110">
        <f>Forecasting!R746</f>
        <v>0</v>
      </c>
      <c r="S688" s="110">
        <f>Forecasting!S746</f>
        <v>0</v>
      </c>
      <c r="T688" s="110">
        <f>Forecasting!T746</f>
        <v>0</v>
      </c>
      <c r="U688" s="110">
        <f>Forecasting!U746</f>
        <v>0</v>
      </c>
      <c r="V688" s="110">
        <f>Forecasting!V746</f>
        <v>0</v>
      </c>
      <c r="W688" s="102" t="e">
        <f>+(Q688/M688)^(1/4)-1</f>
        <v>#DIV/0!</v>
      </c>
      <c r="X688" s="102" t="e">
        <f>+(V688/Q688)^(1/5)-1</f>
        <v>#DIV/0!</v>
      </c>
      <c r="Z688" s="11"/>
    </row>
    <row r="689" spans="1:26">
      <c r="A689" s="48"/>
      <c r="B689" s="48"/>
      <c r="C689" s="52" t="s">
        <v>892</v>
      </c>
      <c r="D689" s="52"/>
      <c r="E689" s="52"/>
      <c r="F689" s="52"/>
      <c r="G689" s="52"/>
      <c r="H689" s="52"/>
      <c r="I689" s="52"/>
      <c r="J689" s="52" t="s">
        <v>58</v>
      </c>
      <c r="K689" s="49"/>
      <c r="L689" s="53"/>
      <c r="M689" s="54" t="e">
        <f t="shared" ref="M689:V689" si="470">M688/L688-1</f>
        <v>#DIV/0!</v>
      </c>
      <c r="N689" s="54" t="e">
        <f t="shared" si="470"/>
        <v>#DIV/0!</v>
      </c>
      <c r="O689" s="54" t="e">
        <f t="shared" si="470"/>
        <v>#DIV/0!</v>
      </c>
      <c r="P689" s="54" t="e">
        <f t="shared" si="470"/>
        <v>#DIV/0!</v>
      </c>
      <c r="Q689" s="54" t="e">
        <f t="shared" si="470"/>
        <v>#DIV/0!</v>
      </c>
      <c r="R689" s="54" t="e">
        <f t="shared" si="470"/>
        <v>#DIV/0!</v>
      </c>
      <c r="S689" s="54" t="e">
        <f t="shared" si="470"/>
        <v>#DIV/0!</v>
      </c>
      <c r="T689" s="54" t="e">
        <f t="shared" si="470"/>
        <v>#DIV/0!</v>
      </c>
      <c r="U689" s="54" t="e">
        <f t="shared" si="470"/>
        <v>#DIV/0!</v>
      </c>
      <c r="V689" s="54" t="e">
        <f t="shared" si="470"/>
        <v>#DIV/0!</v>
      </c>
      <c r="W689" s="258"/>
      <c r="X689" s="258"/>
    </row>
    <row r="690" spans="1:26">
      <c r="A690" s="46" t="str">
        <f>Home!$B$1</f>
        <v>Poland</v>
      </c>
      <c r="B690" s="47" t="s">
        <v>94</v>
      </c>
      <c r="C690" s="47" t="s">
        <v>546</v>
      </c>
      <c r="D690" s="47" t="s">
        <v>65</v>
      </c>
      <c r="E690" s="46" t="s">
        <v>213</v>
      </c>
      <c r="F690" s="48" t="s">
        <v>590</v>
      </c>
      <c r="G690" s="48" t="s">
        <v>15</v>
      </c>
      <c r="H690" s="48" t="s">
        <v>16</v>
      </c>
      <c r="I690" s="48"/>
      <c r="J690" s="48" t="s">
        <v>99</v>
      </c>
      <c r="K690" s="49"/>
      <c r="L690" s="92"/>
      <c r="M690" s="92"/>
      <c r="N690" s="92"/>
      <c r="O690" s="92"/>
      <c r="P690" s="92"/>
      <c r="Q690" s="92"/>
      <c r="R690" s="110">
        <f>Forecasting!R748</f>
        <v>0</v>
      </c>
      <c r="S690" s="110">
        <f>Forecasting!S748</f>
        <v>0</v>
      </c>
      <c r="T690" s="110">
        <f>Forecasting!T748</f>
        <v>0</v>
      </c>
      <c r="U690" s="110">
        <f>Forecasting!U748</f>
        <v>0</v>
      </c>
      <c r="V690" s="110">
        <f>Forecasting!V748</f>
        <v>0</v>
      </c>
      <c r="W690" s="102" t="e">
        <f>+(Q690/M690)^(1/4)-1</f>
        <v>#DIV/0!</v>
      </c>
      <c r="X690" s="102" t="e">
        <f>+(V690/Q690)^(1/5)-1</f>
        <v>#DIV/0!</v>
      </c>
      <c r="Z690" s="11"/>
    </row>
    <row r="691" spans="1:26">
      <c r="A691" s="48"/>
      <c r="B691" s="48"/>
      <c r="C691" s="52" t="s">
        <v>892</v>
      </c>
      <c r="D691" s="52"/>
      <c r="E691" s="52"/>
      <c r="F691" s="52"/>
      <c r="G691" s="52"/>
      <c r="H691" s="52"/>
      <c r="I691" s="52"/>
      <c r="J691" s="52" t="s">
        <v>58</v>
      </c>
      <c r="K691" s="49"/>
      <c r="L691" s="53"/>
      <c r="M691" s="54" t="e">
        <f t="shared" ref="M691:V691" si="471">M690/L690-1</f>
        <v>#DIV/0!</v>
      </c>
      <c r="N691" s="54" t="e">
        <f t="shared" si="471"/>
        <v>#DIV/0!</v>
      </c>
      <c r="O691" s="54" t="e">
        <f t="shared" si="471"/>
        <v>#DIV/0!</v>
      </c>
      <c r="P691" s="54" t="e">
        <f t="shared" si="471"/>
        <v>#DIV/0!</v>
      </c>
      <c r="Q691" s="54" t="e">
        <f t="shared" si="471"/>
        <v>#DIV/0!</v>
      </c>
      <c r="R691" s="54" t="e">
        <f t="shared" si="471"/>
        <v>#DIV/0!</v>
      </c>
      <c r="S691" s="54" t="e">
        <f t="shared" si="471"/>
        <v>#DIV/0!</v>
      </c>
      <c r="T691" s="54" t="e">
        <f t="shared" si="471"/>
        <v>#DIV/0!</v>
      </c>
      <c r="U691" s="54" t="e">
        <f t="shared" si="471"/>
        <v>#DIV/0!</v>
      </c>
      <c r="V691" s="54" t="e">
        <f t="shared" si="471"/>
        <v>#DIV/0!</v>
      </c>
      <c r="W691" s="258"/>
      <c r="X691" s="258"/>
    </row>
    <row r="692" spans="1:26">
      <c r="A692" s="46" t="str">
        <f>Home!$B$1</f>
        <v>Poland</v>
      </c>
      <c r="B692" s="47" t="s">
        <v>94</v>
      </c>
      <c r="C692" s="47" t="s">
        <v>546</v>
      </c>
      <c r="D692" s="47" t="s">
        <v>65</v>
      </c>
      <c r="E692" s="46" t="s">
        <v>215</v>
      </c>
      <c r="F692" s="48" t="s">
        <v>591</v>
      </c>
      <c r="G692" s="48" t="s">
        <v>15</v>
      </c>
      <c r="H692" s="48" t="s">
        <v>16</v>
      </c>
      <c r="I692" s="48"/>
      <c r="J692" s="48" t="s">
        <v>99</v>
      </c>
      <c r="K692" s="49"/>
      <c r="L692" s="92"/>
      <c r="M692" s="92"/>
      <c r="N692" s="92"/>
      <c r="O692" s="92"/>
      <c r="P692" s="92"/>
      <c r="Q692" s="92"/>
      <c r="R692" s="110">
        <f>Forecasting!R750</f>
        <v>0</v>
      </c>
      <c r="S692" s="110">
        <f>Forecasting!S750</f>
        <v>0</v>
      </c>
      <c r="T692" s="110">
        <f>Forecasting!T750</f>
        <v>0</v>
      </c>
      <c r="U692" s="110">
        <f>Forecasting!U750</f>
        <v>0</v>
      </c>
      <c r="V692" s="110">
        <f>Forecasting!V750</f>
        <v>0</v>
      </c>
      <c r="W692" s="102" t="e">
        <f>+(Q692/M692)^(1/4)-1</f>
        <v>#DIV/0!</v>
      </c>
      <c r="X692" s="102" t="e">
        <f>+(V692/Q692)^(1/5)-1</f>
        <v>#DIV/0!</v>
      </c>
      <c r="Z692" s="11"/>
    </row>
    <row r="693" spans="1:26">
      <c r="A693" s="48"/>
      <c r="B693" s="48"/>
      <c r="C693" s="52" t="s">
        <v>892</v>
      </c>
      <c r="D693" s="52"/>
      <c r="E693" s="52"/>
      <c r="F693" s="52"/>
      <c r="G693" s="52"/>
      <c r="H693" s="52"/>
      <c r="I693" s="52"/>
      <c r="J693" s="52" t="s">
        <v>58</v>
      </c>
      <c r="K693" s="49"/>
      <c r="L693" s="53"/>
      <c r="M693" s="54" t="e">
        <f t="shared" ref="M693:V693" si="472">M692/L692-1</f>
        <v>#DIV/0!</v>
      </c>
      <c r="N693" s="54" t="e">
        <f t="shared" si="472"/>
        <v>#DIV/0!</v>
      </c>
      <c r="O693" s="54" t="e">
        <f t="shared" si="472"/>
        <v>#DIV/0!</v>
      </c>
      <c r="P693" s="54" t="e">
        <f t="shared" si="472"/>
        <v>#DIV/0!</v>
      </c>
      <c r="Q693" s="54" t="e">
        <f t="shared" si="472"/>
        <v>#DIV/0!</v>
      </c>
      <c r="R693" s="54" t="e">
        <f t="shared" si="472"/>
        <v>#DIV/0!</v>
      </c>
      <c r="S693" s="54" t="e">
        <f t="shared" si="472"/>
        <v>#DIV/0!</v>
      </c>
      <c r="T693" s="54" t="e">
        <f t="shared" si="472"/>
        <v>#DIV/0!</v>
      </c>
      <c r="U693" s="54" t="e">
        <f t="shared" si="472"/>
        <v>#DIV/0!</v>
      </c>
      <c r="V693" s="54" t="e">
        <f t="shared" si="472"/>
        <v>#DIV/0!</v>
      </c>
      <c r="W693" s="258"/>
      <c r="X693" s="258"/>
    </row>
    <row r="694" spans="1:26">
      <c r="A694" s="46" t="str">
        <f>Home!$B$1</f>
        <v>Poland</v>
      </c>
      <c r="B694" s="47" t="s">
        <v>94</v>
      </c>
      <c r="C694" s="47" t="s">
        <v>546</v>
      </c>
      <c r="D694" s="47" t="s">
        <v>65</v>
      </c>
      <c r="E694" s="46" t="s">
        <v>217</v>
      </c>
      <c r="F694" s="48" t="s">
        <v>592</v>
      </c>
      <c r="G694" s="48" t="s">
        <v>15</v>
      </c>
      <c r="H694" s="48" t="s">
        <v>16</v>
      </c>
      <c r="I694" s="48"/>
      <c r="J694" s="48" t="s">
        <v>99</v>
      </c>
      <c r="K694" s="49"/>
      <c r="L694" s="92"/>
      <c r="M694" s="92"/>
      <c r="N694" s="92"/>
      <c r="O694" s="92"/>
      <c r="P694" s="92"/>
      <c r="Q694" s="92"/>
      <c r="R694" s="110">
        <f>Forecasting!R752</f>
        <v>0</v>
      </c>
      <c r="S694" s="110">
        <f>Forecasting!S752</f>
        <v>0</v>
      </c>
      <c r="T694" s="110">
        <f>Forecasting!T752</f>
        <v>0</v>
      </c>
      <c r="U694" s="110">
        <f>Forecasting!U752</f>
        <v>0</v>
      </c>
      <c r="V694" s="110">
        <f>Forecasting!V752</f>
        <v>0</v>
      </c>
      <c r="W694" s="102" t="e">
        <f>+(Q694/M694)^(1/4)-1</f>
        <v>#DIV/0!</v>
      </c>
      <c r="X694" s="102" t="e">
        <f>+(V694/Q694)^(1/5)-1</f>
        <v>#DIV/0!</v>
      </c>
      <c r="Z694" s="11"/>
    </row>
    <row r="695" spans="1:26">
      <c r="A695" s="48"/>
      <c r="B695" s="48"/>
      <c r="C695" s="52" t="s">
        <v>892</v>
      </c>
      <c r="D695" s="52"/>
      <c r="E695" s="52"/>
      <c r="F695" s="52"/>
      <c r="G695" s="52"/>
      <c r="H695" s="52"/>
      <c r="I695" s="52"/>
      <c r="J695" s="52" t="s">
        <v>58</v>
      </c>
      <c r="K695" s="49"/>
      <c r="L695" s="53"/>
      <c r="M695" s="54" t="e">
        <f t="shared" ref="M695:V695" si="473">M694/L694-1</f>
        <v>#DIV/0!</v>
      </c>
      <c r="N695" s="54" t="e">
        <f t="shared" si="473"/>
        <v>#DIV/0!</v>
      </c>
      <c r="O695" s="54" t="e">
        <f t="shared" si="473"/>
        <v>#DIV/0!</v>
      </c>
      <c r="P695" s="54" t="e">
        <f t="shared" si="473"/>
        <v>#DIV/0!</v>
      </c>
      <c r="Q695" s="54" t="e">
        <f t="shared" si="473"/>
        <v>#DIV/0!</v>
      </c>
      <c r="R695" s="54" t="e">
        <f t="shared" si="473"/>
        <v>#DIV/0!</v>
      </c>
      <c r="S695" s="54" t="e">
        <f t="shared" si="473"/>
        <v>#DIV/0!</v>
      </c>
      <c r="T695" s="54" t="e">
        <f t="shared" si="473"/>
        <v>#DIV/0!</v>
      </c>
      <c r="U695" s="54" t="e">
        <f t="shared" si="473"/>
        <v>#DIV/0!</v>
      </c>
      <c r="V695" s="54" t="e">
        <f t="shared" si="473"/>
        <v>#DIV/0!</v>
      </c>
      <c r="W695" s="258"/>
      <c r="X695" s="258"/>
    </row>
    <row r="696" spans="1:26">
      <c r="A696" s="46" t="str">
        <f>Home!$B$1</f>
        <v>Poland</v>
      </c>
      <c r="B696" s="47" t="s">
        <v>94</v>
      </c>
      <c r="C696" s="47" t="s">
        <v>546</v>
      </c>
      <c r="D696" s="47" t="s">
        <v>65</v>
      </c>
      <c r="E696" s="46" t="s">
        <v>219</v>
      </c>
      <c r="F696" s="48" t="s">
        <v>593</v>
      </c>
      <c r="G696" s="48" t="s">
        <v>15</v>
      </c>
      <c r="H696" s="48" t="s">
        <v>16</v>
      </c>
      <c r="I696" s="48"/>
      <c r="J696" s="48" t="s">
        <v>99</v>
      </c>
      <c r="K696" s="49" t="s">
        <v>565</v>
      </c>
      <c r="L696" s="92"/>
      <c r="M696" s="92"/>
      <c r="N696" s="92"/>
      <c r="O696" s="92"/>
      <c r="P696" s="92"/>
      <c r="Q696" s="92"/>
      <c r="R696" s="110">
        <f>Forecasting!R754</f>
        <v>0</v>
      </c>
      <c r="S696" s="110">
        <f>Forecasting!S754</f>
        <v>0</v>
      </c>
      <c r="T696" s="110">
        <f>Forecasting!T754</f>
        <v>0</v>
      </c>
      <c r="U696" s="110">
        <f>Forecasting!U754</f>
        <v>0</v>
      </c>
      <c r="V696" s="110">
        <f>Forecasting!V754</f>
        <v>0</v>
      </c>
      <c r="W696" s="102" t="e">
        <f>+(Q696/M696)^(1/4)-1</f>
        <v>#DIV/0!</v>
      </c>
      <c r="X696" s="102" t="e">
        <f>+(V696/Q696)^(1/5)-1</f>
        <v>#DIV/0!</v>
      </c>
      <c r="Z696" s="11"/>
    </row>
    <row r="697" spans="1:26">
      <c r="A697" s="48"/>
      <c r="B697" s="48"/>
      <c r="C697" s="52" t="s">
        <v>892</v>
      </c>
      <c r="D697" s="52"/>
      <c r="E697" s="52"/>
      <c r="F697" s="52"/>
      <c r="G697" s="52"/>
      <c r="H697" s="52"/>
      <c r="I697" s="52"/>
      <c r="J697" s="52" t="s">
        <v>58</v>
      </c>
      <c r="K697" s="49"/>
      <c r="L697" s="53"/>
      <c r="M697" s="54" t="e">
        <f t="shared" ref="M697:V697" si="474">M696/L696-1</f>
        <v>#DIV/0!</v>
      </c>
      <c r="N697" s="54" t="e">
        <f t="shared" si="474"/>
        <v>#DIV/0!</v>
      </c>
      <c r="O697" s="54" t="e">
        <f t="shared" si="474"/>
        <v>#DIV/0!</v>
      </c>
      <c r="P697" s="54" t="e">
        <f t="shared" si="474"/>
        <v>#DIV/0!</v>
      </c>
      <c r="Q697" s="54" t="e">
        <f t="shared" si="474"/>
        <v>#DIV/0!</v>
      </c>
      <c r="R697" s="54" t="e">
        <f t="shared" si="474"/>
        <v>#DIV/0!</v>
      </c>
      <c r="S697" s="54" t="e">
        <f t="shared" si="474"/>
        <v>#DIV/0!</v>
      </c>
      <c r="T697" s="54" t="e">
        <f t="shared" si="474"/>
        <v>#DIV/0!</v>
      </c>
      <c r="U697" s="54" t="e">
        <f t="shared" si="474"/>
        <v>#DIV/0!</v>
      </c>
      <c r="V697" s="54" t="e">
        <f t="shared" si="474"/>
        <v>#DIV/0!</v>
      </c>
      <c r="W697" s="258"/>
      <c r="X697" s="258"/>
    </row>
    <row r="698" spans="1:26">
      <c r="A698" s="46" t="str">
        <f>Home!$B$1</f>
        <v>Poland</v>
      </c>
      <c r="B698" s="47" t="s">
        <v>94</v>
      </c>
      <c r="C698" s="47" t="s">
        <v>546</v>
      </c>
      <c r="D698" s="47" t="s">
        <v>65</v>
      </c>
      <c r="E698" s="46" t="s">
        <v>222</v>
      </c>
      <c r="F698" s="48" t="s">
        <v>594</v>
      </c>
      <c r="G698" s="48" t="s">
        <v>15</v>
      </c>
      <c r="H698" s="48" t="s">
        <v>16</v>
      </c>
      <c r="I698" s="48"/>
      <c r="J698" s="48" t="s">
        <v>99</v>
      </c>
      <c r="K698" s="49"/>
      <c r="L698" s="92"/>
      <c r="M698" s="92"/>
      <c r="N698" s="92"/>
      <c r="O698" s="92"/>
      <c r="P698" s="92"/>
      <c r="Q698" s="92"/>
      <c r="R698" s="110">
        <f>Forecasting!R756</f>
        <v>0</v>
      </c>
      <c r="S698" s="110">
        <f>Forecasting!S756</f>
        <v>0</v>
      </c>
      <c r="T698" s="110">
        <f>Forecasting!T756</f>
        <v>0</v>
      </c>
      <c r="U698" s="110">
        <f>Forecasting!U756</f>
        <v>0</v>
      </c>
      <c r="V698" s="110">
        <f>Forecasting!V756</f>
        <v>0</v>
      </c>
      <c r="W698" s="102" t="e">
        <f>+(Q698/M698)^(1/4)-1</f>
        <v>#DIV/0!</v>
      </c>
      <c r="X698" s="102" t="e">
        <f>+(V698/Q698)^(1/5)-1</f>
        <v>#DIV/0!</v>
      </c>
      <c r="Z698" s="11"/>
    </row>
    <row r="699" spans="1:26">
      <c r="A699" s="48"/>
      <c r="B699" s="48"/>
      <c r="C699" s="52" t="s">
        <v>892</v>
      </c>
      <c r="D699" s="52"/>
      <c r="E699" s="52"/>
      <c r="F699" s="52"/>
      <c r="G699" s="52"/>
      <c r="H699" s="52"/>
      <c r="I699" s="52"/>
      <c r="J699" s="52" t="s">
        <v>58</v>
      </c>
      <c r="K699" s="49"/>
      <c r="L699" s="53"/>
      <c r="M699" s="54" t="e">
        <f t="shared" ref="M699:V699" si="475">M698/L698-1</f>
        <v>#DIV/0!</v>
      </c>
      <c r="N699" s="54" t="e">
        <f t="shared" si="475"/>
        <v>#DIV/0!</v>
      </c>
      <c r="O699" s="54" t="e">
        <f t="shared" si="475"/>
        <v>#DIV/0!</v>
      </c>
      <c r="P699" s="54" t="e">
        <f t="shared" si="475"/>
        <v>#DIV/0!</v>
      </c>
      <c r="Q699" s="54" t="e">
        <f t="shared" si="475"/>
        <v>#DIV/0!</v>
      </c>
      <c r="R699" s="54" t="e">
        <f t="shared" si="475"/>
        <v>#DIV/0!</v>
      </c>
      <c r="S699" s="54" t="e">
        <f t="shared" si="475"/>
        <v>#DIV/0!</v>
      </c>
      <c r="T699" s="54" t="e">
        <f t="shared" si="475"/>
        <v>#DIV/0!</v>
      </c>
      <c r="U699" s="54" t="e">
        <f t="shared" si="475"/>
        <v>#DIV/0!</v>
      </c>
      <c r="V699" s="54" t="e">
        <f t="shared" si="475"/>
        <v>#DIV/0!</v>
      </c>
      <c r="W699" s="258"/>
      <c r="X699" s="258"/>
    </row>
    <row r="700" spans="1:26">
      <c r="A700" s="46" t="str">
        <f>Home!$B$1</f>
        <v>Poland</v>
      </c>
      <c r="B700" s="47" t="s">
        <v>94</v>
      </c>
      <c r="C700" s="47" t="s">
        <v>546</v>
      </c>
      <c r="D700" s="47" t="s">
        <v>65</v>
      </c>
      <c r="E700" s="46" t="s">
        <v>224</v>
      </c>
      <c r="F700" s="48" t="s">
        <v>595</v>
      </c>
      <c r="G700" s="48" t="s">
        <v>15</v>
      </c>
      <c r="H700" s="48" t="s">
        <v>16</v>
      </c>
      <c r="I700" s="48"/>
      <c r="J700" s="48" t="s">
        <v>99</v>
      </c>
      <c r="K700" s="49"/>
      <c r="L700" s="92"/>
      <c r="M700" s="92"/>
      <c r="N700" s="92"/>
      <c r="O700" s="92"/>
      <c r="P700" s="92"/>
      <c r="Q700" s="92"/>
      <c r="R700" s="110">
        <f>Forecasting!R758</f>
        <v>0</v>
      </c>
      <c r="S700" s="110">
        <f>Forecasting!S758</f>
        <v>0</v>
      </c>
      <c r="T700" s="110">
        <f>Forecasting!T758</f>
        <v>0</v>
      </c>
      <c r="U700" s="110">
        <f>Forecasting!U758</f>
        <v>0</v>
      </c>
      <c r="V700" s="110">
        <f>Forecasting!V758</f>
        <v>0</v>
      </c>
      <c r="W700" s="102" t="e">
        <f>+(Q700/M700)^(1/4)-1</f>
        <v>#DIV/0!</v>
      </c>
      <c r="X700" s="102" t="e">
        <f>+(V700/Q700)^(1/5)-1</f>
        <v>#DIV/0!</v>
      </c>
      <c r="Z700" s="11"/>
    </row>
    <row r="701" spans="1:26">
      <c r="A701" s="48"/>
      <c r="B701" s="48"/>
      <c r="C701" s="52" t="s">
        <v>892</v>
      </c>
      <c r="D701" s="52"/>
      <c r="E701" s="52"/>
      <c r="F701" s="52"/>
      <c r="G701" s="52"/>
      <c r="H701" s="52"/>
      <c r="I701" s="52"/>
      <c r="J701" s="52" t="s">
        <v>58</v>
      </c>
      <c r="K701" s="49"/>
      <c r="L701" s="53"/>
      <c r="M701" s="54" t="e">
        <f t="shared" ref="M701:V701" si="476">M700/L700-1</f>
        <v>#DIV/0!</v>
      </c>
      <c r="N701" s="54" t="e">
        <f t="shared" si="476"/>
        <v>#DIV/0!</v>
      </c>
      <c r="O701" s="54" t="e">
        <f t="shared" si="476"/>
        <v>#DIV/0!</v>
      </c>
      <c r="P701" s="54" t="e">
        <f t="shared" si="476"/>
        <v>#DIV/0!</v>
      </c>
      <c r="Q701" s="54" t="e">
        <f t="shared" si="476"/>
        <v>#DIV/0!</v>
      </c>
      <c r="R701" s="54" t="e">
        <f t="shared" si="476"/>
        <v>#DIV/0!</v>
      </c>
      <c r="S701" s="54" t="e">
        <f t="shared" si="476"/>
        <v>#DIV/0!</v>
      </c>
      <c r="T701" s="54" t="e">
        <f t="shared" si="476"/>
        <v>#DIV/0!</v>
      </c>
      <c r="U701" s="54" t="e">
        <f t="shared" si="476"/>
        <v>#DIV/0!</v>
      </c>
      <c r="V701" s="54" t="e">
        <f t="shared" si="476"/>
        <v>#DIV/0!</v>
      </c>
      <c r="W701" s="258"/>
      <c r="X701" s="258"/>
    </row>
    <row r="702" spans="1:26">
      <c r="A702" s="46" t="str">
        <f>Home!$B$1</f>
        <v>Poland</v>
      </c>
      <c r="B702" s="47" t="s">
        <v>94</v>
      </c>
      <c r="C702" s="47" t="s">
        <v>546</v>
      </c>
      <c r="D702" s="47" t="s">
        <v>65</v>
      </c>
      <c r="E702" s="46" t="s">
        <v>226</v>
      </c>
      <c r="F702" s="48" t="s">
        <v>596</v>
      </c>
      <c r="G702" s="48" t="s">
        <v>15</v>
      </c>
      <c r="H702" s="48" t="s">
        <v>16</v>
      </c>
      <c r="I702" s="48"/>
      <c r="J702" s="48" t="s">
        <v>99</v>
      </c>
      <c r="K702" s="49"/>
      <c r="L702" s="92"/>
      <c r="M702" s="92"/>
      <c r="N702" s="92"/>
      <c r="O702" s="92"/>
      <c r="P702" s="92"/>
      <c r="Q702" s="92"/>
      <c r="R702" s="110">
        <f>Forecasting!R760</f>
        <v>0</v>
      </c>
      <c r="S702" s="110">
        <f>Forecasting!S760</f>
        <v>0</v>
      </c>
      <c r="T702" s="110">
        <f>Forecasting!T760</f>
        <v>0</v>
      </c>
      <c r="U702" s="110">
        <f>Forecasting!U760</f>
        <v>0</v>
      </c>
      <c r="V702" s="110">
        <f>Forecasting!V760</f>
        <v>0</v>
      </c>
      <c r="W702" s="102" t="e">
        <f>+(Q702/M702)^(1/4)-1</f>
        <v>#DIV/0!</v>
      </c>
      <c r="X702" s="102" t="e">
        <f>+(V702/Q702)^(1/5)-1</f>
        <v>#DIV/0!</v>
      </c>
      <c r="Z702" s="11"/>
    </row>
    <row r="703" spans="1:26">
      <c r="A703" s="48"/>
      <c r="B703" s="48"/>
      <c r="C703" s="52" t="s">
        <v>892</v>
      </c>
      <c r="D703" s="52"/>
      <c r="E703" s="52"/>
      <c r="F703" s="52"/>
      <c r="G703" s="52"/>
      <c r="H703" s="52"/>
      <c r="I703" s="52"/>
      <c r="J703" s="52" t="s">
        <v>58</v>
      </c>
      <c r="K703" s="49"/>
      <c r="L703" s="53"/>
      <c r="M703" s="54" t="e">
        <f t="shared" ref="M703:V703" si="477">M702/L702-1</f>
        <v>#DIV/0!</v>
      </c>
      <c r="N703" s="54" t="e">
        <f t="shared" si="477"/>
        <v>#DIV/0!</v>
      </c>
      <c r="O703" s="54" t="e">
        <f t="shared" si="477"/>
        <v>#DIV/0!</v>
      </c>
      <c r="P703" s="54" t="e">
        <f t="shared" si="477"/>
        <v>#DIV/0!</v>
      </c>
      <c r="Q703" s="54" t="e">
        <f t="shared" si="477"/>
        <v>#DIV/0!</v>
      </c>
      <c r="R703" s="54" t="e">
        <f t="shared" si="477"/>
        <v>#DIV/0!</v>
      </c>
      <c r="S703" s="54" t="e">
        <f t="shared" si="477"/>
        <v>#DIV/0!</v>
      </c>
      <c r="T703" s="54" t="e">
        <f t="shared" si="477"/>
        <v>#DIV/0!</v>
      </c>
      <c r="U703" s="54" t="e">
        <f t="shared" si="477"/>
        <v>#DIV/0!</v>
      </c>
      <c r="V703" s="54" t="e">
        <f t="shared" si="477"/>
        <v>#DIV/0!</v>
      </c>
      <c r="W703" s="258"/>
      <c r="X703" s="258"/>
    </row>
    <row r="704" spans="1:26">
      <c r="A704" s="46" t="str">
        <f>Home!$B$1</f>
        <v>Poland</v>
      </c>
      <c r="B704" s="47" t="s">
        <v>94</v>
      </c>
      <c r="C704" s="47" t="s">
        <v>546</v>
      </c>
      <c r="D704" s="47" t="s">
        <v>65</v>
      </c>
      <c r="E704" s="46" t="s">
        <v>228</v>
      </c>
      <c r="F704" s="48" t="s">
        <v>597</v>
      </c>
      <c r="G704" s="48" t="s">
        <v>15</v>
      </c>
      <c r="H704" s="48" t="s">
        <v>16</v>
      </c>
      <c r="I704" s="48"/>
      <c r="J704" s="48" t="s">
        <v>99</v>
      </c>
      <c r="K704" s="49"/>
      <c r="L704" s="92"/>
      <c r="M704" s="92"/>
      <c r="N704" s="92"/>
      <c r="O704" s="92"/>
      <c r="P704" s="92"/>
      <c r="Q704" s="92"/>
      <c r="R704" s="110">
        <f>Forecasting!R762</f>
        <v>0</v>
      </c>
      <c r="S704" s="110">
        <f>Forecasting!S762</f>
        <v>0</v>
      </c>
      <c r="T704" s="110">
        <f>Forecasting!T762</f>
        <v>0</v>
      </c>
      <c r="U704" s="110">
        <f>Forecasting!U762</f>
        <v>0</v>
      </c>
      <c r="V704" s="110">
        <f>Forecasting!V762</f>
        <v>0</v>
      </c>
      <c r="W704" s="102" t="e">
        <f>+(Q704/M704)^(1/4)-1</f>
        <v>#DIV/0!</v>
      </c>
      <c r="X704" s="102" t="e">
        <f>+(V704/Q704)^(1/5)-1</f>
        <v>#DIV/0!</v>
      </c>
      <c r="Z704" s="11"/>
    </row>
    <row r="705" spans="1:26">
      <c r="A705" s="48"/>
      <c r="B705" s="48"/>
      <c r="C705" s="52" t="s">
        <v>892</v>
      </c>
      <c r="D705" s="52"/>
      <c r="E705" s="52"/>
      <c r="F705" s="52"/>
      <c r="G705" s="52"/>
      <c r="H705" s="52"/>
      <c r="I705" s="52"/>
      <c r="J705" s="52" t="s">
        <v>58</v>
      </c>
      <c r="K705" s="49"/>
      <c r="L705" s="53"/>
      <c r="M705" s="54" t="e">
        <f t="shared" ref="M705:V705" si="478">M704/L704-1</f>
        <v>#DIV/0!</v>
      </c>
      <c r="N705" s="54" t="e">
        <f t="shared" si="478"/>
        <v>#DIV/0!</v>
      </c>
      <c r="O705" s="54" t="e">
        <f t="shared" si="478"/>
        <v>#DIV/0!</v>
      </c>
      <c r="P705" s="54" t="e">
        <f t="shared" si="478"/>
        <v>#DIV/0!</v>
      </c>
      <c r="Q705" s="54" t="e">
        <f t="shared" si="478"/>
        <v>#DIV/0!</v>
      </c>
      <c r="R705" s="54" t="e">
        <f t="shared" si="478"/>
        <v>#DIV/0!</v>
      </c>
      <c r="S705" s="54" t="e">
        <f t="shared" si="478"/>
        <v>#DIV/0!</v>
      </c>
      <c r="T705" s="54" t="e">
        <f t="shared" si="478"/>
        <v>#DIV/0!</v>
      </c>
      <c r="U705" s="54" t="e">
        <f t="shared" si="478"/>
        <v>#DIV/0!</v>
      </c>
      <c r="V705" s="54" t="e">
        <f t="shared" si="478"/>
        <v>#DIV/0!</v>
      </c>
      <c r="W705" s="258"/>
      <c r="X705" s="258"/>
    </row>
    <row r="706" spans="1:26">
      <c r="A706" s="46" t="str">
        <f>Home!$B$1</f>
        <v>Poland</v>
      </c>
      <c r="B706" s="47" t="s">
        <v>94</v>
      </c>
      <c r="C706" s="47" t="s">
        <v>546</v>
      </c>
      <c r="D706" s="47" t="s">
        <v>65</v>
      </c>
      <c r="E706" s="46" t="s">
        <v>230</v>
      </c>
      <c r="F706" s="48" t="s">
        <v>598</v>
      </c>
      <c r="G706" s="48" t="s">
        <v>15</v>
      </c>
      <c r="H706" s="48" t="s">
        <v>16</v>
      </c>
      <c r="I706" s="48"/>
      <c r="J706" s="48" t="s">
        <v>99</v>
      </c>
      <c r="K706" s="49"/>
      <c r="L706" s="92"/>
      <c r="M706" s="92"/>
      <c r="N706" s="92"/>
      <c r="O706" s="92"/>
      <c r="P706" s="92"/>
      <c r="Q706" s="92"/>
      <c r="R706" s="110">
        <f>Forecasting!R764</f>
        <v>0</v>
      </c>
      <c r="S706" s="110">
        <f>Forecasting!S764</f>
        <v>0</v>
      </c>
      <c r="T706" s="110">
        <f>Forecasting!T764</f>
        <v>0</v>
      </c>
      <c r="U706" s="110">
        <f>Forecasting!U764</f>
        <v>0</v>
      </c>
      <c r="V706" s="110">
        <f>Forecasting!V764</f>
        <v>0</v>
      </c>
      <c r="W706" s="102" t="e">
        <f>+(Q706/M706)^(1/4)-1</f>
        <v>#DIV/0!</v>
      </c>
      <c r="X706" s="102" t="e">
        <f>+(V706/Q706)^(1/5)-1</f>
        <v>#DIV/0!</v>
      </c>
      <c r="Z706" s="11"/>
    </row>
    <row r="707" spans="1:26">
      <c r="A707" s="48"/>
      <c r="B707" s="48"/>
      <c r="C707" s="52" t="s">
        <v>892</v>
      </c>
      <c r="D707" s="52"/>
      <c r="E707" s="52"/>
      <c r="F707" s="52"/>
      <c r="G707" s="52"/>
      <c r="H707" s="52"/>
      <c r="I707" s="52"/>
      <c r="J707" s="52" t="s">
        <v>58</v>
      </c>
      <c r="K707" s="49"/>
      <c r="L707" s="53"/>
      <c r="M707" s="54" t="e">
        <f t="shared" ref="M707" si="479">M706/L706-1</f>
        <v>#DIV/0!</v>
      </c>
      <c r="N707" s="54" t="e">
        <f t="shared" ref="N707" si="480">N706/M706-1</f>
        <v>#DIV/0!</v>
      </c>
      <c r="O707" s="54" t="e">
        <f t="shared" ref="O707:V707" si="481">O706/N706-1</f>
        <v>#DIV/0!</v>
      </c>
      <c r="P707" s="54" t="e">
        <f t="shared" si="481"/>
        <v>#DIV/0!</v>
      </c>
      <c r="Q707" s="54" t="e">
        <f t="shared" si="481"/>
        <v>#DIV/0!</v>
      </c>
      <c r="R707" s="54" t="e">
        <f t="shared" si="481"/>
        <v>#DIV/0!</v>
      </c>
      <c r="S707" s="54" t="e">
        <f t="shared" si="481"/>
        <v>#DIV/0!</v>
      </c>
      <c r="T707" s="54" t="e">
        <f t="shared" si="481"/>
        <v>#DIV/0!</v>
      </c>
      <c r="U707" s="54" t="e">
        <f t="shared" si="481"/>
        <v>#DIV/0!</v>
      </c>
      <c r="V707" s="54" t="e">
        <f t="shared" si="481"/>
        <v>#DIV/0!</v>
      </c>
      <c r="W707" s="258"/>
      <c r="X707" s="258"/>
    </row>
    <row r="708" spans="1:26">
      <c r="A708" s="46" t="str">
        <f>Home!$B$1</f>
        <v>Poland</v>
      </c>
      <c r="B708" s="47" t="s">
        <v>94</v>
      </c>
      <c r="C708" s="47" t="s">
        <v>546</v>
      </c>
      <c r="D708" s="47" t="s">
        <v>65</v>
      </c>
      <c r="E708" s="46" t="s">
        <v>232</v>
      </c>
      <c r="F708" s="48" t="s">
        <v>599</v>
      </c>
      <c r="G708" s="48" t="s">
        <v>15</v>
      </c>
      <c r="H708" s="48" t="s">
        <v>16</v>
      </c>
      <c r="I708" s="48"/>
      <c r="J708" s="48" t="s">
        <v>99</v>
      </c>
      <c r="K708" s="49"/>
      <c r="L708" s="92"/>
      <c r="M708" s="92"/>
      <c r="N708" s="92"/>
      <c r="O708" s="92"/>
      <c r="P708" s="92"/>
      <c r="Q708" s="92"/>
      <c r="R708" s="110">
        <f>Forecasting!R766</f>
        <v>0</v>
      </c>
      <c r="S708" s="110">
        <f>Forecasting!S766</f>
        <v>0</v>
      </c>
      <c r="T708" s="110">
        <f>Forecasting!T766</f>
        <v>0</v>
      </c>
      <c r="U708" s="110">
        <f>Forecasting!U766</f>
        <v>0</v>
      </c>
      <c r="V708" s="110">
        <f>Forecasting!V766</f>
        <v>0</v>
      </c>
      <c r="W708" s="102" t="e">
        <f>+(Q708/M708)^(1/4)-1</f>
        <v>#DIV/0!</v>
      </c>
      <c r="X708" s="102" t="e">
        <f>+(V708/Q708)^(1/5)-1</f>
        <v>#DIV/0!</v>
      </c>
      <c r="Z708" s="11"/>
    </row>
    <row r="709" spans="1:26">
      <c r="A709" s="48"/>
      <c r="B709" s="48"/>
      <c r="C709" s="52" t="s">
        <v>892</v>
      </c>
      <c r="D709" s="52"/>
      <c r="E709" s="52"/>
      <c r="F709" s="52"/>
      <c r="G709" s="52"/>
      <c r="H709" s="52"/>
      <c r="I709" s="52"/>
      <c r="J709" s="52" t="s">
        <v>58</v>
      </c>
      <c r="K709" s="49"/>
      <c r="L709" s="53"/>
      <c r="M709" s="54" t="e">
        <f t="shared" ref="M709:V709" si="482">M708/L708-1</f>
        <v>#DIV/0!</v>
      </c>
      <c r="N709" s="54" t="e">
        <f t="shared" si="482"/>
        <v>#DIV/0!</v>
      </c>
      <c r="O709" s="54" t="e">
        <f t="shared" si="482"/>
        <v>#DIV/0!</v>
      </c>
      <c r="P709" s="54" t="e">
        <f t="shared" si="482"/>
        <v>#DIV/0!</v>
      </c>
      <c r="Q709" s="54" t="e">
        <f t="shared" si="482"/>
        <v>#DIV/0!</v>
      </c>
      <c r="R709" s="54" t="e">
        <f t="shared" si="482"/>
        <v>#DIV/0!</v>
      </c>
      <c r="S709" s="54" t="e">
        <f t="shared" si="482"/>
        <v>#DIV/0!</v>
      </c>
      <c r="T709" s="54" t="e">
        <f t="shared" si="482"/>
        <v>#DIV/0!</v>
      </c>
      <c r="U709" s="54" t="e">
        <f t="shared" si="482"/>
        <v>#DIV/0!</v>
      </c>
      <c r="V709" s="54" t="e">
        <f t="shared" si="482"/>
        <v>#DIV/0!</v>
      </c>
      <c r="W709" s="258"/>
      <c r="X709" s="258"/>
    </row>
    <row r="710" spans="1:26">
      <c r="A710" s="46" t="str">
        <f>Home!$B$1</f>
        <v>Poland</v>
      </c>
      <c r="B710" s="47" t="s">
        <v>94</v>
      </c>
      <c r="C710" s="47" t="s">
        <v>546</v>
      </c>
      <c r="D710" s="47" t="s">
        <v>65</v>
      </c>
      <c r="E710" s="46" t="s">
        <v>234</v>
      </c>
      <c r="F710" s="48" t="s">
        <v>600</v>
      </c>
      <c r="G710" s="48" t="s">
        <v>15</v>
      </c>
      <c r="H710" s="48" t="s">
        <v>16</v>
      </c>
      <c r="I710" s="48"/>
      <c r="J710" s="48" t="s">
        <v>99</v>
      </c>
      <c r="K710" s="49"/>
      <c r="L710" s="92"/>
      <c r="M710" s="92"/>
      <c r="N710" s="92"/>
      <c r="O710" s="92"/>
      <c r="P710" s="92"/>
      <c r="Q710" s="92"/>
      <c r="R710" s="110">
        <f>Forecasting!R768</f>
        <v>0</v>
      </c>
      <c r="S710" s="110">
        <f>Forecasting!S768</f>
        <v>0</v>
      </c>
      <c r="T710" s="110">
        <f>Forecasting!T768</f>
        <v>0</v>
      </c>
      <c r="U710" s="110">
        <f>Forecasting!U768</f>
        <v>0</v>
      </c>
      <c r="V710" s="110">
        <f>Forecasting!V768</f>
        <v>0</v>
      </c>
      <c r="W710" s="102" t="e">
        <f>+(Q710/M710)^(1/4)-1</f>
        <v>#DIV/0!</v>
      </c>
      <c r="X710" s="102" t="e">
        <f>+(V710/Q710)^(1/5)-1</f>
        <v>#DIV/0!</v>
      </c>
      <c r="Z710" s="11"/>
    </row>
    <row r="711" spans="1:26">
      <c r="A711" s="48"/>
      <c r="B711" s="48"/>
      <c r="C711" s="52" t="s">
        <v>892</v>
      </c>
      <c r="D711" s="52"/>
      <c r="E711" s="52"/>
      <c r="F711" s="52"/>
      <c r="G711" s="52"/>
      <c r="H711" s="52"/>
      <c r="I711" s="52"/>
      <c r="J711" s="52" t="s">
        <v>58</v>
      </c>
      <c r="K711" s="49"/>
      <c r="L711" s="53"/>
      <c r="M711" s="54" t="e">
        <f t="shared" ref="M711:V711" si="483">M710/L710-1</f>
        <v>#DIV/0!</v>
      </c>
      <c r="N711" s="54" t="e">
        <f t="shared" si="483"/>
        <v>#DIV/0!</v>
      </c>
      <c r="O711" s="54" t="e">
        <f t="shared" si="483"/>
        <v>#DIV/0!</v>
      </c>
      <c r="P711" s="54" t="e">
        <f t="shared" si="483"/>
        <v>#DIV/0!</v>
      </c>
      <c r="Q711" s="54" t="e">
        <f t="shared" si="483"/>
        <v>#DIV/0!</v>
      </c>
      <c r="R711" s="54" t="e">
        <f t="shared" si="483"/>
        <v>#DIV/0!</v>
      </c>
      <c r="S711" s="54" t="e">
        <f t="shared" si="483"/>
        <v>#DIV/0!</v>
      </c>
      <c r="T711" s="54" t="e">
        <f t="shared" si="483"/>
        <v>#DIV/0!</v>
      </c>
      <c r="U711" s="54" t="e">
        <f t="shared" si="483"/>
        <v>#DIV/0!</v>
      </c>
      <c r="V711" s="54" t="e">
        <f t="shared" si="483"/>
        <v>#DIV/0!</v>
      </c>
      <c r="W711" s="258"/>
      <c r="X711" s="258"/>
    </row>
    <row r="712" spans="1:26">
      <c r="A712" s="46" t="str">
        <f>Home!$B$1</f>
        <v>Poland</v>
      </c>
      <c r="B712" s="47" t="s">
        <v>94</v>
      </c>
      <c r="C712" s="47" t="s">
        <v>546</v>
      </c>
      <c r="D712" s="47" t="s">
        <v>65</v>
      </c>
      <c r="E712" s="46" t="s">
        <v>236</v>
      </c>
      <c r="F712" s="48" t="s">
        <v>601</v>
      </c>
      <c r="G712" s="48" t="s">
        <v>15</v>
      </c>
      <c r="H712" s="48" t="s">
        <v>16</v>
      </c>
      <c r="I712" s="48"/>
      <c r="J712" s="48" t="s">
        <v>99</v>
      </c>
      <c r="K712" s="49"/>
      <c r="L712" s="92"/>
      <c r="M712" s="92"/>
      <c r="N712" s="92"/>
      <c r="O712" s="92"/>
      <c r="P712" s="92"/>
      <c r="Q712" s="92"/>
      <c r="R712" s="110">
        <f>Forecasting!R770</f>
        <v>0</v>
      </c>
      <c r="S712" s="110">
        <f>Forecasting!S770</f>
        <v>0</v>
      </c>
      <c r="T712" s="110">
        <f>Forecasting!T770</f>
        <v>0</v>
      </c>
      <c r="U712" s="110">
        <f>Forecasting!U770</f>
        <v>0</v>
      </c>
      <c r="V712" s="110">
        <f>Forecasting!V770</f>
        <v>0</v>
      </c>
      <c r="W712" s="102" t="e">
        <f>+(Q712/M712)^(1/4)-1</f>
        <v>#DIV/0!</v>
      </c>
      <c r="X712" s="102" t="e">
        <f>+(V712/Q712)^(1/5)-1</f>
        <v>#DIV/0!</v>
      </c>
      <c r="Z712" s="11"/>
    </row>
    <row r="713" spans="1:26">
      <c r="A713" s="48"/>
      <c r="B713" s="48"/>
      <c r="C713" s="52" t="s">
        <v>892</v>
      </c>
      <c r="D713" s="52"/>
      <c r="E713" s="52"/>
      <c r="F713" s="52"/>
      <c r="G713" s="52"/>
      <c r="H713" s="52"/>
      <c r="I713" s="52"/>
      <c r="J713" s="52" t="s">
        <v>58</v>
      </c>
      <c r="K713" s="49"/>
      <c r="L713" s="53"/>
      <c r="M713" s="54" t="e">
        <f t="shared" ref="M713:V713" si="484">M712/L712-1</f>
        <v>#DIV/0!</v>
      </c>
      <c r="N713" s="54" t="e">
        <f t="shared" si="484"/>
        <v>#DIV/0!</v>
      </c>
      <c r="O713" s="54" t="e">
        <f t="shared" si="484"/>
        <v>#DIV/0!</v>
      </c>
      <c r="P713" s="54" t="e">
        <f t="shared" si="484"/>
        <v>#DIV/0!</v>
      </c>
      <c r="Q713" s="54" t="e">
        <f t="shared" si="484"/>
        <v>#DIV/0!</v>
      </c>
      <c r="R713" s="54" t="e">
        <f t="shared" si="484"/>
        <v>#DIV/0!</v>
      </c>
      <c r="S713" s="54" t="e">
        <f t="shared" si="484"/>
        <v>#DIV/0!</v>
      </c>
      <c r="T713" s="54" t="e">
        <f t="shared" si="484"/>
        <v>#DIV/0!</v>
      </c>
      <c r="U713" s="54" t="e">
        <f t="shared" si="484"/>
        <v>#DIV/0!</v>
      </c>
      <c r="V713" s="54" t="e">
        <f t="shared" si="484"/>
        <v>#DIV/0!</v>
      </c>
      <c r="W713" s="258"/>
      <c r="X713" s="258"/>
    </row>
    <row r="714" spans="1:26">
      <c r="A714" s="46" t="str">
        <f>Home!$B$1</f>
        <v>Poland</v>
      </c>
      <c r="B714" s="47" t="s">
        <v>94</v>
      </c>
      <c r="C714" s="47" t="s">
        <v>546</v>
      </c>
      <c r="D714" s="47" t="s">
        <v>65</v>
      </c>
      <c r="E714" s="46" t="s">
        <v>238</v>
      </c>
      <c r="F714" s="48" t="s">
        <v>602</v>
      </c>
      <c r="G714" s="48" t="s">
        <v>15</v>
      </c>
      <c r="H714" s="48" t="s">
        <v>16</v>
      </c>
      <c r="I714" s="48"/>
      <c r="J714" s="48" t="s">
        <v>99</v>
      </c>
      <c r="K714" s="49"/>
      <c r="L714" s="92"/>
      <c r="M714" s="92"/>
      <c r="N714" s="92"/>
      <c r="O714" s="92"/>
      <c r="P714" s="92"/>
      <c r="Q714" s="92"/>
      <c r="R714" s="110">
        <f>Forecasting!R772</f>
        <v>0</v>
      </c>
      <c r="S714" s="110">
        <f>Forecasting!S772</f>
        <v>0</v>
      </c>
      <c r="T714" s="110">
        <f>Forecasting!T772</f>
        <v>0</v>
      </c>
      <c r="U714" s="110">
        <f>Forecasting!U772</f>
        <v>0</v>
      </c>
      <c r="V714" s="110">
        <f>Forecasting!V772</f>
        <v>0</v>
      </c>
      <c r="W714" s="102" t="e">
        <f>+(Q714/M714)^(1/4)-1</f>
        <v>#DIV/0!</v>
      </c>
      <c r="X714" s="102" t="e">
        <f>+(V714/Q714)^(1/5)-1</f>
        <v>#DIV/0!</v>
      </c>
      <c r="Z714" s="11"/>
    </row>
    <row r="715" spans="1:26">
      <c r="A715" s="48"/>
      <c r="B715" s="48"/>
      <c r="C715" s="52" t="s">
        <v>892</v>
      </c>
      <c r="D715" s="52"/>
      <c r="E715" s="52"/>
      <c r="F715" s="52"/>
      <c r="G715" s="52"/>
      <c r="H715" s="52"/>
      <c r="I715" s="52"/>
      <c r="J715" s="52" t="s">
        <v>58</v>
      </c>
      <c r="K715" s="49"/>
      <c r="L715" s="53"/>
      <c r="M715" s="54" t="e">
        <f t="shared" ref="M715:V715" si="485">M714/L714-1</f>
        <v>#DIV/0!</v>
      </c>
      <c r="N715" s="54" t="e">
        <f t="shared" si="485"/>
        <v>#DIV/0!</v>
      </c>
      <c r="O715" s="54" t="e">
        <f t="shared" si="485"/>
        <v>#DIV/0!</v>
      </c>
      <c r="P715" s="54" t="e">
        <f t="shared" si="485"/>
        <v>#DIV/0!</v>
      </c>
      <c r="Q715" s="54" t="e">
        <f t="shared" si="485"/>
        <v>#DIV/0!</v>
      </c>
      <c r="R715" s="54" t="e">
        <f t="shared" si="485"/>
        <v>#DIV/0!</v>
      </c>
      <c r="S715" s="54" t="e">
        <f t="shared" si="485"/>
        <v>#DIV/0!</v>
      </c>
      <c r="T715" s="54" t="e">
        <f t="shared" si="485"/>
        <v>#DIV/0!</v>
      </c>
      <c r="U715" s="54" t="e">
        <f t="shared" si="485"/>
        <v>#DIV/0!</v>
      </c>
      <c r="V715" s="54" t="e">
        <f t="shared" si="485"/>
        <v>#DIV/0!</v>
      </c>
      <c r="W715" s="258"/>
      <c r="X715" s="258"/>
    </row>
    <row r="716" spans="1:26">
      <c r="A716" s="46" t="str">
        <f>Home!$B$1</f>
        <v>Poland</v>
      </c>
      <c r="B716" s="47" t="s">
        <v>94</v>
      </c>
      <c r="C716" s="47" t="s">
        <v>546</v>
      </c>
      <c r="D716" s="47" t="s">
        <v>65</v>
      </c>
      <c r="E716" s="46" t="s">
        <v>240</v>
      </c>
      <c r="F716" s="48" t="s">
        <v>603</v>
      </c>
      <c r="G716" s="48" t="s">
        <v>15</v>
      </c>
      <c r="H716" s="48" t="s">
        <v>16</v>
      </c>
      <c r="I716" s="48"/>
      <c r="J716" s="48" t="s">
        <v>99</v>
      </c>
      <c r="K716" s="49"/>
      <c r="L716" s="92"/>
      <c r="M716" s="92"/>
      <c r="N716" s="92"/>
      <c r="O716" s="92"/>
      <c r="P716" s="92"/>
      <c r="Q716" s="92"/>
      <c r="R716" s="110">
        <f>Forecasting!R774</f>
        <v>0</v>
      </c>
      <c r="S716" s="110">
        <f>Forecasting!S774</f>
        <v>0</v>
      </c>
      <c r="T716" s="110">
        <f>Forecasting!T774</f>
        <v>0</v>
      </c>
      <c r="U716" s="110">
        <f>Forecasting!U774</f>
        <v>0</v>
      </c>
      <c r="V716" s="110">
        <f>Forecasting!V774</f>
        <v>0</v>
      </c>
      <c r="W716" s="102" t="e">
        <f>+(Q716/M716)^(1/4)-1</f>
        <v>#DIV/0!</v>
      </c>
      <c r="X716" s="102" t="e">
        <f>+(V716/Q716)^(1/5)-1</f>
        <v>#DIV/0!</v>
      </c>
      <c r="Z716" s="11"/>
    </row>
    <row r="717" spans="1:26">
      <c r="A717" s="48"/>
      <c r="B717" s="48"/>
      <c r="C717" s="52" t="s">
        <v>892</v>
      </c>
      <c r="D717" s="52"/>
      <c r="E717" s="52"/>
      <c r="F717" s="52"/>
      <c r="G717" s="52"/>
      <c r="H717" s="52"/>
      <c r="I717" s="52"/>
      <c r="J717" s="52" t="s">
        <v>58</v>
      </c>
      <c r="K717" s="49"/>
      <c r="L717" s="53"/>
      <c r="M717" s="54" t="e">
        <f t="shared" ref="M717:V717" si="486">M716/L716-1</f>
        <v>#DIV/0!</v>
      </c>
      <c r="N717" s="54" t="e">
        <f t="shared" si="486"/>
        <v>#DIV/0!</v>
      </c>
      <c r="O717" s="54" t="e">
        <f t="shared" si="486"/>
        <v>#DIV/0!</v>
      </c>
      <c r="P717" s="54" t="e">
        <f t="shared" si="486"/>
        <v>#DIV/0!</v>
      </c>
      <c r="Q717" s="54" t="e">
        <f t="shared" si="486"/>
        <v>#DIV/0!</v>
      </c>
      <c r="R717" s="54" t="e">
        <f t="shared" si="486"/>
        <v>#DIV/0!</v>
      </c>
      <c r="S717" s="54" t="e">
        <f t="shared" si="486"/>
        <v>#DIV/0!</v>
      </c>
      <c r="T717" s="54" t="e">
        <f t="shared" si="486"/>
        <v>#DIV/0!</v>
      </c>
      <c r="U717" s="54" t="e">
        <f t="shared" si="486"/>
        <v>#DIV/0!</v>
      </c>
      <c r="V717" s="54" t="e">
        <f t="shared" si="486"/>
        <v>#DIV/0!</v>
      </c>
      <c r="W717" s="258"/>
      <c r="X717" s="258"/>
    </row>
    <row r="718" spans="1:26">
      <c r="A718" s="46" t="str">
        <f>Home!$B$1</f>
        <v>Poland</v>
      </c>
      <c r="B718" s="47" t="s">
        <v>94</v>
      </c>
      <c r="C718" s="47" t="s">
        <v>546</v>
      </c>
      <c r="D718" s="94" t="s">
        <v>65</v>
      </c>
      <c r="E718" s="95" t="s">
        <v>877</v>
      </c>
      <c r="F718" s="94" t="s">
        <v>882</v>
      </c>
      <c r="G718" s="48"/>
      <c r="H718" s="48"/>
      <c r="I718" s="48"/>
      <c r="J718" s="48" t="s">
        <v>99</v>
      </c>
      <c r="K718" s="49"/>
      <c r="L718" s="92">
        <f>'Seasonality&amp; Avg.stay'!B410/1000</f>
        <v>382.89155755482369</v>
      </c>
      <c r="M718" s="92">
        <f>'Seasonality&amp; Avg.stay'!C410/1000</f>
        <v>398.72415455056625</v>
      </c>
      <c r="N718" s="92">
        <f>'Seasonality&amp; Avg.stay'!D410/1000</f>
        <v>366.04683107076875</v>
      </c>
      <c r="O718" s="92">
        <f>'Seasonality&amp; Avg.stay'!E410/1000</f>
        <v>383</v>
      </c>
      <c r="P718" s="92">
        <f>'Seasonality&amp; Avg.stay'!F410/1000</f>
        <v>353</v>
      </c>
      <c r="Q718" s="92">
        <f>'Seasonality&amp; Avg.stay'!G410/1000</f>
        <v>345.89910164252427</v>
      </c>
      <c r="R718" s="110">
        <f>Forecasting!R776</f>
        <v>0</v>
      </c>
      <c r="S718" s="110">
        <f>Forecasting!S776</f>
        <v>0</v>
      </c>
      <c r="T718" s="110">
        <f>Forecasting!T776</f>
        <v>0</v>
      </c>
      <c r="U718" s="110">
        <f>Forecasting!U776</f>
        <v>0</v>
      </c>
      <c r="V718" s="110">
        <f>Forecasting!V776</f>
        <v>0</v>
      </c>
      <c r="W718" s="102"/>
      <c r="X718" s="102"/>
      <c r="Z718" s="11"/>
    </row>
    <row r="719" spans="1:26">
      <c r="A719" s="48"/>
      <c r="B719" s="48"/>
      <c r="C719" s="52" t="s">
        <v>892</v>
      </c>
      <c r="D719" s="52"/>
      <c r="E719" s="52"/>
      <c r="F719" s="52"/>
      <c r="G719" s="52"/>
      <c r="H719" s="52"/>
      <c r="I719" s="52"/>
      <c r="J719" s="52" t="s">
        <v>58</v>
      </c>
      <c r="K719" s="49"/>
      <c r="L719" s="53"/>
      <c r="M719" s="54">
        <f t="shared" ref="M719:V719" si="487">M718/L718-1</f>
        <v>4.1350081200146604E-2</v>
      </c>
      <c r="N719" s="54">
        <f t="shared" si="487"/>
        <v>-8.1954712567215093E-2</v>
      </c>
      <c r="O719" s="54">
        <f t="shared" si="487"/>
        <v>4.6314207610101299E-2</v>
      </c>
      <c r="P719" s="54">
        <f t="shared" si="487"/>
        <v>-7.8328981723237545E-2</v>
      </c>
      <c r="Q719" s="54">
        <f t="shared" si="487"/>
        <v>-2.0115859369619571E-2</v>
      </c>
      <c r="R719" s="54">
        <f t="shared" si="487"/>
        <v>-1</v>
      </c>
      <c r="S719" s="54" t="e">
        <f t="shared" si="487"/>
        <v>#DIV/0!</v>
      </c>
      <c r="T719" s="54" t="e">
        <f t="shared" si="487"/>
        <v>#DIV/0!</v>
      </c>
      <c r="U719" s="54" t="e">
        <f t="shared" si="487"/>
        <v>#DIV/0!</v>
      </c>
      <c r="V719" s="54" t="e">
        <f t="shared" si="487"/>
        <v>#DIV/0!</v>
      </c>
      <c r="W719" s="258"/>
      <c r="X719" s="258"/>
    </row>
    <row r="720" spans="1:26">
      <c r="A720" s="46" t="str">
        <f>Home!$B$1</f>
        <v>Poland</v>
      </c>
      <c r="B720" s="47" t="s">
        <v>94</v>
      </c>
      <c r="C720" s="47" t="s">
        <v>546</v>
      </c>
      <c r="D720" s="46" t="s">
        <v>67</v>
      </c>
      <c r="E720" s="48"/>
      <c r="F720" s="48" t="s">
        <v>604</v>
      </c>
      <c r="G720" s="48" t="s">
        <v>15</v>
      </c>
      <c r="H720" s="48" t="s">
        <v>16</v>
      </c>
      <c r="I720" s="48"/>
      <c r="J720" s="48" t="s">
        <v>99</v>
      </c>
      <c r="K720" s="76">
        <f>SUM(K721:K764)</f>
        <v>5397</v>
      </c>
      <c r="L720" s="92">
        <f>SUM(L722,L724,L726,L728,L730,L732,L734,L736,L738,L740,L742,L744,L746,L748,L750,L752,L754,L756,L758,L760,L762,L764,L766,L768,L770,L772,L774,L776,L778,L780,L782,L784,L786,L788,L790,L792,L794,L796,L798,L800,L802,L804,L806,L808,L810)</f>
        <v>179.31527492467055</v>
      </c>
      <c r="M720" s="92">
        <f t="shared" ref="M720:Q720" si="488">SUM(M722,M724,M726,M728,M730,M732,M734,M736,M738,M740,M742,M744,M746,M748,M750,M752,M754,M756,M758,M760,M762,M764,M766,M768,M770,M772,M774,M776,M778,M780,M782,M784,M786,M788,M790,M792,M794,M796,M798,M800,M802,M804,M806,M808,M810)</f>
        <v>184.34175232685487</v>
      </c>
      <c r="N720" s="92">
        <f t="shared" si="488"/>
        <v>183.32818381664458</v>
      </c>
      <c r="O720" s="92">
        <f t="shared" si="488"/>
        <v>193.54742824657512</v>
      </c>
      <c r="P720" s="92">
        <f t="shared" si="488"/>
        <v>218.65231902931407</v>
      </c>
      <c r="Q720" s="92">
        <f t="shared" si="488"/>
        <v>232.04683312166151</v>
      </c>
      <c r="R720" s="110">
        <f>Forecasting!R778</f>
        <v>247.8506025222151</v>
      </c>
      <c r="S720" s="110">
        <f>Forecasting!S778</f>
        <v>261.77326921717071</v>
      </c>
      <c r="T720" s="110">
        <f>Forecasting!T778</f>
        <v>278.62529314659599</v>
      </c>
      <c r="U720" s="110">
        <f>Forecasting!U778</f>
        <v>295.09851187979166</v>
      </c>
      <c r="V720" s="110">
        <f>Forecasting!V778</f>
        <v>314.99985550392302</v>
      </c>
      <c r="W720" s="102">
        <f>+(Q720/M720)^(1/4)-1</f>
        <v>5.9224417204696289E-2</v>
      </c>
      <c r="X720" s="102">
        <f>+(V720/Q720)^(1/5)-1</f>
        <v>6.303347760977851E-2</v>
      </c>
      <c r="Z720" s="11"/>
    </row>
    <row r="721" spans="1:26">
      <c r="A721" s="48"/>
      <c r="B721" s="48"/>
      <c r="C721" s="52" t="s">
        <v>892</v>
      </c>
      <c r="D721" s="52"/>
      <c r="E721" s="52"/>
      <c r="F721" s="52"/>
      <c r="G721" s="52"/>
      <c r="H721" s="52"/>
      <c r="I721" s="52"/>
      <c r="J721" s="52" t="s">
        <v>58</v>
      </c>
      <c r="K721" s="49"/>
      <c r="L721" s="53"/>
      <c r="M721" s="54">
        <f t="shared" ref="M721:V721" si="489">M720/L720-1</f>
        <v>2.8031507099971931E-2</v>
      </c>
      <c r="N721" s="54">
        <f t="shared" si="489"/>
        <v>-5.4983122239889992E-3</v>
      </c>
      <c r="O721" s="54">
        <f t="shared" si="489"/>
        <v>5.5742898975922328E-2</v>
      </c>
      <c r="P721" s="54">
        <f t="shared" si="489"/>
        <v>0.12970924496478387</v>
      </c>
      <c r="Q721" s="54">
        <f t="shared" si="489"/>
        <v>6.1259419300060847E-2</v>
      </c>
      <c r="R721" s="54">
        <f t="shared" si="489"/>
        <v>6.810594735532427E-2</v>
      </c>
      <c r="S721" s="54">
        <f t="shared" si="489"/>
        <v>5.6173624567677605E-2</v>
      </c>
      <c r="T721" s="54">
        <f t="shared" si="489"/>
        <v>6.4376412380916515E-2</v>
      </c>
      <c r="U721" s="54">
        <f t="shared" si="489"/>
        <v>5.9123199287325345E-2</v>
      </c>
      <c r="V721" s="54">
        <f t="shared" si="489"/>
        <v>6.7439661072361323E-2</v>
      </c>
      <c r="W721" s="258"/>
      <c r="X721" s="258"/>
    </row>
    <row r="722" spans="1:26">
      <c r="A722" s="46" t="str">
        <f>Home!$B$1</f>
        <v>Poland</v>
      </c>
      <c r="B722" s="47" t="s">
        <v>94</v>
      </c>
      <c r="C722" s="47" t="s">
        <v>546</v>
      </c>
      <c r="D722" s="47" t="s">
        <v>67</v>
      </c>
      <c r="E722" s="46" t="s">
        <v>244</v>
      </c>
      <c r="F722" s="48" t="s">
        <v>605</v>
      </c>
      <c r="G722" s="48" t="s">
        <v>15</v>
      </c>
      <c r="H722" s="48" t="s">
        <v>16</v>
      </c>
      <c r="I722" s="48"/>
      <c r="J722" s="48" t="s">
        <v>99</v>
      </c>
      <c r="K722" s="49"/>
      <c r="L722" s="92">
        <f>VLOOKUP(E722,'Tourism Demand &amp; Flows'!$E$342:$P$548,8,0)</f>
        <v>0</v>
      </c>
      <c r="M722" s="92">
        <f>VLOOKUP(E722,'Tourism Demand &amp; Flows'!$E$342:$P$548,9,0)</f>
        <v>0</v>
      </c>
      <c r="N722" s="92">
        <f>VLOOKUP(E722,'Tourism Demand &amp; Flows'!$E$342:$P$548,10,0)</f>
        <v>0</v>
      </c>
      <c r="O722" s="92">
        <f>VLOOKUP(E722,'Tourism Demand &amp; Flows'!$E$342:$P$548,11,0)</f>
        <v>0</v>
      </c>
      <c r="P722" s="92">
        <f>VLOOKUP(E722,'Tourism Demand &amp; Flows'!$E$342:$P$548,12,0)</f>
        <v>0</v>
      </c>
      <c r="Q722" s="92">
        <f>Forecasting!Q794</f>
        <v>0</v>
      </c>
      <c r="R722" s="110">
        <f>Forecasting!R794</f>
        <v>0</v>
      </c>
      <c r="S722" s="110">
        <f>Forecasting!S794</f>
        <v>0</v>
      </c>
      <c r="T722" s="110">
        <f>Forecasting!T794</f>
        <v>0</v>
      </c>
      <c r="U722" s="110">
        <f>Forecasting!U794</f>
        <v>0</v>
      </c>
      <c r="V722" s="110">
        <f>Forecasting!V794</f>
        <v>0</v>
      </c>
      <c r="W722" s="102" t="e">
        <f>+(Q722/M722)^(1/4)-1</f>
        <v>#DIV/0!</v>
      </c>
      <c r="X722" s="102" t="e">
        <f>+(V722/Q722)^(1/5)-1</f>
        <v>#DIV/0!</v>
      </c>
      <c r="Z722" s="11"/>
    </row>
    <row r="723" spans="1:26">
      <c r="A723" s="48"/>
      <c r="B723" s="48"/>
      <c r="C723" s="52" t="s">
        <v>892</v>
      </c>
      <c r="D723" s="52"/>
      <c r="E723" s="52"/>
      <c r="F723" s="52"/>
      <c r="G723" s="52"/>
      <c r="H723" s="52"/>
      <c r="I723" s="52"/>
      <c r="J723" s="52" t="s">
        <v>58</v>
      </c>
      <c r="K723" s="49"/>
      <c r="L723" s="53"/>
      <c r="M723" s="54" t="e">
        <f t="shared" ref="M723:V723" si="490">M722/L722-1</f>
        <v>#DIV/0!</v>
      </c>
      <c r="N723" s="54" t="e">
        <f t="shared" si="490"/>
        <v>#DIV/0!</v>
      </c>
      <c r="O723" s="54" t="e">
        <f t="shared" si="490"/>
        <v>#DIV/0!</v>
      </c>
      <c r="P723" s="54" t="e">
        <f t="shared" si="490"/>
        <v>#DIV/0!</v>
      </c>
      <c r="Q723" s="54" t="e">
        <f t="shared" si="490"/>
        <v>#DIV/0!</v>
      </c>
      <c r="R723" s="54" t="e">
        <f t="shared" si="490"/>
        <v>#DIV/0!</v>
      </c>
      <c r="S723" s="54" t="e">
        <f t="shared" si="490"/>
        <v>#DIV/0!</v>
      </c>
      <c r="T723" s="54" t="e">
        <f t="shared" si="490"/>
        <v>#DIV/0!</v>
      </c>
      <c r="U723" s="54" t="e">
        <f t="shared" si="490"/>
        <v>#DIV/0!</v>
      </c>
      <c r="V723" s="54" t="e">
        <f t="shared" si="490"/>
        <v>#DIV/0!</v>
      </c>
      <c r="W723" s="258"/>
      <c r="X723" s="258"/>
    </row>
    <row r="724" spans="1:26">
      <c r="A724" s="46" t="str">
        <f>Home!$B$1</f>
        <v>Poland</v>
      </c>
      <c r="B724" s="47" t="s">
        <v>94</v>
      </c>
      <c r="C724" s="47" t="s">
        <v>546</v>
      </c>
      <c r="D724" s="47" t="s">
        <v>67</v>
      </c>
      <c r="E724" s="46" t="s">
        <v>246</v>
      </c>
      <c r="F724" s="48" t="s">
        <v>606</v>
      </c>
      <c r="G724" s="48" t="s">
        <v>15</v>
      </c>
      <c r="H724" s="48" t="s">
        <v>16</v>
      </c>
      <c r="I724" s="48"/>
      <c r="J724" s="48" t="s">
        <v>99</v>
      </c>
      <c r="K724" s="49">
        <v>603</v>
      </c>
      <c r="L724" s="92">
        <f>VLOOKUP(E724,'Tourism Demand &amp; Flows'!$E$342:$P$548,8,0)</f>
        <v>0</v>
      </c>
      <c r="M724" s="92">
        <f>VLOOKUP(E724,'Tourism Demand &amp; Flows'!$E$342:$P$548,9,0)</f>
        <v>0</v>
      </c>
      <c r="N724" s="92">
        <f>VLOOKUP(E724,'Tourism Demand &amp; Flows'!$E$342:$P$548,10,0)</f>
        <v>0</v>
      </c>
      <c r="O724" s="92">
        <f>VLOOKUP(E724,'Tourism Demand &amp; Flows'!$E$342:$P$548,11,0)</f>
        <v>0</v>
      </c>
      <c r="P724" s="92">
        <f>VLOOKUP(E724,'Tourism Demand &amp; Flows'!$E$342:$P$548,12,0)</f>
        <v>0</v>
      </c>
      <c r="Q724" s="92">
        <f>Forecasting!Q796</f>
        <v>0</v>
      </c>
      <c r="R724" s="110">
        <f>Forecasting!R796</f>
        <v>0</v>
      </c>
      <c r="S724" s="110">
        <f>Forecasting!S796</f>
        <v>0</v>
      </c>
      <c r="T724" s="110">
        <f>Forecasting!T796</f>
        <v>0</v>
      </c>
      <c r="U724" s="110">
        <f>Forecasting!U796</f>
        <v>0</v>
      </c>
      <c r="V724" s="110">
        <f>Forecasting!V796</f>
        <v>0</v>
      </c>
      <c r="W724" s="102" t="e">
        <f>+(Q724/M724)^(1/4)-1</f>
        <v>#DIV/0!</v>
      </c>
      <c r="X724" s="102" t="e">
        <f>+(V724/Q724)^(1/5)-1</f>
        <v>#DIV/0!</v>
      </c>
      <c r="Z724" s="11"/>
    </row>
    <row r="725" spans="1:26">
      <c r="A725" s="48"/>
      <c r="B725" s="48"/>
      <c r="C725" s="52" t="s">
        <v>892</v>
      </c>
      <c r="D725" s="52"/>
      <c r="E725" s="52"/>
      <c r="F725" s="52"/>
      <c r="G725" s="52"/>
      <c r="H725" s="52"/>
      <c r="I725" s="52"/>
      <c r="J725" s="52" t="s">
        <v>58</v>
      </c>
      <c r="K725" s="49"/>
      <c r="L725" s="53"/>
      <c r="M725" s="54" t="e">
        <f t="shared" ref="M725:V725" si="491">M724/L724-1</f>
        <v>#DIV/0!</v>
      </c>
      <c r="N725" s="54" t="e">
        <f t="shared" si="491"/>
        <v>#DIV/0!</v>
      </c>
      <c r="O725" s="54" t="e">
        <f t="shared" si="491"/>
        <v>#DIV/0!</v>
      </c>
      <c r="P725" s="54" t="e">
        <f t="shared" si="491"/>
        <v>#DIV/0!</v>
      </c>
      <c r="Q725" s="54" t="e">
        <f t="shared" si="491"/>
        <v>#DIV/0!</v>
      </c>
      <c r="R725" s="54" t="e">
        <f t="shared" si="491"/>
        <v>#DIV/0!</v>
      </c>
      <c r="S725" s="54" t="e">
        <f t="shared" si="491"/>
        <v>#DIV/0!</v>
      </c>
      <c r="T725" s="54" t="e">
        <f t="shared" si="491"/>
        <v>#DIV/0!</v>
      </c>
      <c r="U725" s="54" t="e">
        <f t="shared" si="491"/>
        <v>#DIV/0!</v>
      </c>
      <c r="V725" s="54" t="e">
        <f t="shared" si="491"/>
        <v>#DIV/0!</v>
      </c>
      <c r="W725" s="258"/>
      <c r="X725" s="258"/>
    </row>
    <row r="726" spans="1:26">
      <c r="A726" s="46" t="str">
        <f>Home!$B$1</f>
        <v>Poland</v>
      </c>
      <c r="B726" s="47" t="s">
        <v>94</v>
      </c>
      <c r="C726" s="47" t="s">
        <v>546</v>
      </c>
      <c r="D726" s="47" t="s">
        <v>67</v>
      </c>
      <c r="E726" s="46" t="s">
        <v>248</v>
      </c>
      <c r="F726" s="48" t="s">
        <v>607</v>
      </c>
      <c r="G726" s="48" t="s">
        <v>15</v>
      </c>
      <c r="H726" s="48" t="s">
        <v>16</v>
      </c>
      <c r="I726" s="48"/>
      <c r="J726" s="48" t="s">
        <v>99</v>
      </c>
      <c r="K726" s="49"/>
      <c r="L726" s="92">
        <f>VLOOKUP(E726,'Tourism Demand &amp; Flows'!$E$342:$P$548,8,0)</f>
        <v>0</v>
      </c>
      <c r="M726" s="92">
        <f>VLOOKUP(E726,'Tourism Demand &amp; Flows'!$E$342:$P$548,9,0)</f>
        <v>0</v>
      </c>
      <c r="N726" s="92">
        <f>VLOOKUP(E726,'Tourism Demand &amp; Flows'!$E$342:$P$548,10,0)</f>
        <v>0</v>
      </c>
      <c r="O726" s="92">
        <f>VLOOKUP(E726,'Tourism Demand &amp; Flows'!$E$342:$P$548,11,0)</f>
        <v>0</v>
      </c>
      <c r="P726" s="92">
        <f>VLOOKUP(E726,'Tourism Demand &amp; Flows'!$E$342:$P$548,12,0)</f>
        <v>0</v>
      </c>
      <c r="Q726" s="92">
        <f>Forecasting!Q798</f>
        <v>0</v>
      </c>
      <c r="R726" s="110">
        <f>Forecasting!R798</f>
        <v>0</v>
      </c>
      <c r="S726" s="110">
        <f>Forecasting!S798</f>
        <v>0</v>
      </c>
      <c r="T726" s="110">
        <f>Forecasting!T798</f>
        <v>0</v>
      </c>
      <c r="U726" s="110">
        <f>Forecasting!U798</f>
        <v>0</v>
      </c>
      <c r="V726" s="110">
        <f>Forecasting!V798</f>
        <v>0</v>
      </c>
      <c r="W726" s="102" t="e">
        <f>+(Q726/M726)^(1/4)-1</f>
        <v>#DIV/0!</v>
      </c>
      <c r="X726" s="102" t="e">
        <f>+(V726/Q726)^(1/5)-1</f>
        <v>#DIV/0!</v>
      </c>
      <c r="Z726" s="11"/>
    </row>
    <row r="727" spans="1:26">
      <c r="A727" s="48"/>
      <c r="B727" s="48"/>
      <c r="C727" s="52" t="s">
        <v>892</v>
      </c>
      <c r="D727" s="52"/>
      <c r="E727" s="52"/>
      <c r="F727" s="52"/>
      <c r="G727" s="52"/>
      <c r="H727" s="52"/>
      <c r="I727" s="52"/>
      <c r="J727" s="52" t="s">
        <v>58</v>
      </c>
      <c r="K727" s="49"/>
      <c r="L727" s="53"/>
      <c r="M727" s="54" t="e">
        <f t="shared" ref="M727:V727" si="492">M726/L726-1</f>
        <v>#DIV/0!</v>
      </c>
      <c r="N727" s="54" t="e">
        <f t="shared" si="492"/>
        <v>#DIV/0!</v>
      </c>
      <c r="O727" s="54" t="e">
        <f t="shared" si="492"/>
        <v>#DIV/0!</v>
      </c>
      <c r="P727" s="54" t="e">
        <f t="shared" si="492"/>
        <v>#DIV/0!</v>
      </c>
      <c r="Q727" s="54" t="e">
        <f t="shared" si="492"/>
        <v>#DIV/0!</v>
      </c>
      <c r="R727" s="54" t="e">
        <f t="shared" si="492"/>
        <v>#DIV/0!</v>
      </c>
      <c r="S727" s="54" t="e">
        <f t="shared" si="492"/>
        <v>#DIV/0!</v>
      </c>
      <c r="T727" s="54" t="e">
        <f t="shared" si="492"/>
        <v>#DIV/0!</v>
      </c>
      <c r="U727" s="54" t="e">
        <f t="shared" si="492"/>
        <v>#DIV/0!</v>
      </c>
      <c r="V727" s="54" t="e">
        <f t="shared" si="492"/>
        <v>#DIV/0!</v>
      </c>
      <c r="W727" s="258"/>
      <c r="X727" s="258"/>
    </row>
    <row r="728" spans="1:26">
      <c r="A728" s="46" t="str">
        <f>Home!$B$1</f>
        <v>Poland</v>
      </c>
      <c r="B728" s="47" t="s">
        <v>94</v>
      </c>
      <c r="C728" s="47" t="s">
        <v>546</v>
      </c>
      <c r="D728" s="47" t="s">
        <v>67</v>
      </c>
      <c r="E728" s="46" t="s">
        <v>250</v>
      </c>
      <c r="F728" s="48" t="s">
        <v>608</v>
      </c>
      <c r="G728" s="48" t="s">
        <v>15</v>
      </c>
      <c r="H728" s="48" t="s">
        <v>16</v>
      </c>
      <c r="I728" s="48"/>
      <c r="J728" s="48" t="s">
        <v>99</v>
      </c>
      <c r="K728" s="49"/>
      <c r="L728" s="92">
        <f>VLOOKUP(E728,'Tourism Demand &amp; Flows'!$E$342:$P$548,8,0)</f>
        <v>0</v>
      </c>
      <c r="M728" s="92">
        <f>VLOOKUP(E728,'Tourism Demand &amp; Flows'!$E$342:$P$548,9,0)</f>
        <v>0</v>
      </c>
      <c r="N728" s="92">
        <f>VLOOKUP(E728,'Tourism Demand &amp; Flows'!$E$342:$P$548,10,0)</f>
        <v>0</v>
      </c>
      <c r="O728" s="92">
        <f>VLOOKUP(E728,'Tourism Demand &amp; Flows'!$E$342:$P$548,11,0)</f>
        <v>0</v>
      </c>
      <c r="P728" s="92">
        <f>VLOOKUP(E728,'Tourism Demand &amp; Flows'!$E$342:$P$548,12,0)</f>
        <v>0</v>
      </c>
      <c r="Q728" s="92">
        <f>Forecasting!Q800</f>
        <v>0</v>
      </c>
      <c r="R728" s="110">
        <f>Forecasting!R800</f>
        <v>0</v>
      </c>
      <c r="S728" s="110">
        <f>Forecasting!S800</f>
        <v>0</v>
      </c>
      <c r="T728" s="110">
        <f>Forecasting!T800</f>
        <v>0</v>
      </c>
      <c r="U728" s="110">
        <f>Forecasting!U800</f>
        <v>0</v>
      </c>
      <c r="V728" s="110">
        <f>Forecasting!V800</f>
        <v>0</v>
      </c>
      <c r="W728" s="102" t="e">
        <f>+(Q728/M728)^(1/4)-1</f>
        <v>#DIV/0!</v>
      </c>
      <c r="X728" s="102" t="e">
        <f>+(V728/Q728)^(1/5)-1</f>
        <v>#DIV/0!</v>
      </c>
      <c r="Z728" s="11"/>
    </row>
    <row r="729" spans="1:26">
      <c r="A729" s="48"/>
      <c r="B729" s="48"/>
      <c r="C729" s="52" t="s">
        <v>892</v>
      </c>
      <c r="D729" s="52"/>
      <c r="E729" s="52"/>
      <c r="F729" s="52"/>
      <c r="G729" s="52"/>
      <c r="H729" s="52"/>
      <c r="I729" s="52"/>
      <c r="J729" s="52" t="s">
        <v>58</v>
      </c>
      <c r="K729" s="49"/>
      <c r="L729" s="53"/>
      <c r="M729" s="54" t="e">
        <f t="shared" ref="M729:V729" si="493">M728/L728-1</f>
        <v>#DIV/0!</v>
      </c>
      <c r="N729" s="54" t="e">
        <f t="shared" si="493"/>
        <v>#DIV/0!</v>
      </c>
      <c r="O729" s="54" t="e">
        <f t="shared" si="493"/>
        <v>#DIV/0!</v>
      </c>
      <c r="P729" s="54" t="e">
        <f t="shared" si="493"/>
        <v>#DIV/0!</v>
      </c>
      <c r="Q729" s="54" t="e">
        <f t="shared" si="493"/>
        <v>#DIV/0!</v>
      </c>
      <c r="R729" s="54" t="e">
        <f t="shared" si="493"/>
        <v>#DIV/0!</v>
      </c>
      <c r="S729" s="54" t="e">
        <f t="shared" si="493"/>
        <v>#DIV/0!</v>
      </c>
      <c r="T729" s="54" t="e">
        <f t="shared" si="493"/>
        <v>#DIV/0!</v>
      </c>
      <c r="U729" s="54" t="e">
        <f t="shared" si="493"/>
        <v>#DIV/0!</v>
      </c>
      <c r="V729" s="54" t="e">
        <f t="shared" si="493"/>
        <v>#DIV/0!</v>
      </c>
      <c r="W729" s="258"/>
      <c r="X729" s="258"/>
    </row>
    <row r="730" spans="1:26">
      <c r="A730" s="46" t="str">
        <f>Home!$B$1</f>
        <v>Poland</v>
      </c>
      <c r="B730" s="47" t="s">
        <v>94</v>
      </c>
      <c r="C730" s="47" t="s">
        <v>546</v>
      </c>
      <c r="D730" s="47" t="s">
        <v>67</v>
      </c>
      <c r="E730" s="46" t="s">
        <v>252</v>
      </c>
      <c r="F730" s="48" t="s">
        <v>609</v>
      </c>
      <c r="G730" s="48" t="s">
        <v>15</v>
      </c>
      <c r="H730" s="48" t="s">
        <v>16</v>
      </c>
      <c r="I730" s="48"/>
      <c r="J730" s="48" t="s">
        <v>99</v>
      </c>
      <c r="K730" s="49"/>
      <c r="L730" s="92">
        <f>VLOOKUP(E730,'Tourism Demand &amp; Flows'!$E$342:$P$548,8,0)</f>
        <v>0</v>
      </c>
      <c r="M730" s="92">
        <f>VLOOKUP(E730,'Tourism Demand &amp; Flows'!$E$342:$P$548,9,0)</f>
        <v>0</v>
      </c>
      <c r="N730" s="92">
        <f>VLOOKUP(E730,'Tourism Demand &amp; Flows'!$E$342:$P$548,10,0)</f>
        <v>0</v>
      </c>
      <c r="O730" s="92">
        <f>VLOOKUP(E730,'Tourism Demand &amp; Flows'!$E$342:$P$548,11,0)</f>
        <v>0</v>
      </c>
      <c r="P730" s="92">
        <f>VLOOKUP(E730,'Tourism Demand &amp; Flows'!$E$342:$P$548,12,0)</f>
        <v>0</v>
      </c>
      <c r="Q730" s="92">
        <f>Forecasting!Q802</f>
        <v>0</v>
      </c>
      <c r="R730" s="110">
        <f>Forecasting!R802</f>
        <v>0</v>
      </c>
      <c r="S730" s="110">
        <f>Forecasting!S802</f>
        <v>0</v>
      </c>
      <c r="T730" s="110">
        <f>Forecasting!T802</f>
        <v>0</v>
      </c>
      <c r="U730" s="110">
        <f>Forecasting!U802</f>
        <v>0</v>
      </c>
      <c r="V730" s="110">
        <f>Forecasting!V802</f>
        <v>0</v>
      </c>
      <c r="W730" s="102" t="e">
        <f>+(Q730/M730)^(1/4)-1</f>
        <v>#DIV/0!</v>
      </c>
      <c r="X730" s="102" t="e">
        <f>+(V730/Q730)^(1/5)-1</f>
        <v>#DIV/0!</v>
      </c>
      <c r="Z730" s="11"/>
    </row>
    <row r="731" spans="1:26">
      <c r="A731" s="48"/>
      <c r="B731" s="48"/>
      <c r="C731" s="52" t="s">
        <v>892</v>
      </c>
      <c r="D731" s="52"/>
      <c r="E731" s="52"/>
      <c r="F731" s="52"/>
      <c r="G731" s="52"/>
      <c r="H731" s="52"/>
      <c r="I731" s="52"/>
      <c r="J731" s="52" t="s">
        <v>58</v>
      </c>
      <c r="K731" s="49"/>
      <c r="L731" s="53"/>
      <c r="M731" s="54" t="e">
        <f t="shared" ref="M731:V731" si="494">M730/L730-1</f>
        <v>#DIV/0!</v>
      </c>
      <c r="N731" s="54" t="e">
        <f t="shared" si="494"/>
        <v>#DIV/0!</v>
      </c>
      <c r="O731" s="54" t="e">
        <f t="shared" si="494"/>
        <v>#DIV/0!</v>
      </c>
      <c r="P731" s="54" t="e">
        <f t="shared" si="494"/>
        <v>#DIV/0!</v>
      </c>
      <c r="Q731" s="54" t="e">
        <f t="shared" si="494"/>
        <v>#DIV/0!</v>
      </c>
      <c r="R731" s="54" t="e">
        <f t="shared" si="494"/>
        <v>#DIV/0!</v>
      </c>
      <c r="S731" s="54" t="e">
        <f t="shared" si="494"/>
        <v>#DIV/0!</v>
      </c>
      <c r="T731" s="54" t="e">
        <f t="shared" si="494"/>
        <v>#DIV/0!</v>
      </c>
      <c r="U731" s="54" t="e">
        <f t="shared" si="494"/>
        <v>#DIV/0!</v>
      </c>
      <c r="V731" s="54" t="e">
        <f t="shared" si="494"/>
        <v>#DIV/0!</v>
      </c>
      <c r="W731" s="258"/>
      <c r="X731" s="258"/>
    </row>
    <row r="732" spans="1:26">
      <c r="A732" s="46" t="str">
        <f>Home!$B$1</f>
        <v>Poland</v>
      </c>
      <c r="B732" s="47" t="s">
        <v>94</v>
      </c>
      <c r="C732" s="47" t="s">
        <v>546</v>
      </c>
      <c r="D732" s="47" t="s">
        <v>67</v>
      </c>
      <c r="E732" s="46" t="s">
        <v>254</v>
      </c>
      <c r="F732" s="48" t="s">
        <v>610</v>
      </c>
      <c r="G732" s="48" t="s">
        <v>15</v>
      </c>
      <c r="H732" s="48" t="s">
        <v>16</v>
      </c>
      <c r="I732" s="48"/>
      <c r="J732" s="48" t="s">
        <v>99</v>
      </c>
      <c r="K732" s="49"/>
      <c r="L732" s="92">
        <f>VLOOKUP(E732,'Tourism Demand &amp; Flows'!$E$342:$P$548,8,0)</f>
        <v>0</v>
      </c>
      <c r="M732" s="92">
        <f>VLOOKUP(E732,'Tourism Demand &amp; Flows'!$E$342:$P$548,9,0)</f>
        <v>0</v>
      </c>
      <c r="N732" s="92">
        <f>VLOOKUP(E732,'Tourism Demand &amp; Flows'!$E$342:$P$548,10,0)</f>
        <v>0</v>
      </c>
      <c r="O732" s="92">
        <f>VLOOKUP(E732,'Tourism Demand &amp; Flows'!$E$342:$P$548,11,0)</f>
        <v>0</v>
      </c>
      <c r="P732" s="92">
        <f>VLOOKUP(E732,'Tourism Demand &amp; Flows'!$E$342:$P$548,12,0)</f>
        <v>0</v>
      </c>
      <c r="Q732" s="92">
        <f>Forecasting!Q804</f>
        <v>0</v>
      </c>
      <c r="R732" s="110">
        <f>Forecasting!R804</f>
        <v>0</v>
      </c>
      <c r="S732" s="110">
        <f>Forecasting!S804</f>
        <v>0</v>
      </c>
      <c r="T732" s="110">
        <f>Forecasting!T804</f>
        <v>0</v>
      </c>
      <c r="U732" s="110">
        <f>Forecasting!U804</f>
        <v>0</v>
      </c>
      <c r="V732" s="110">
        <f>Forecasting!V804</f>
        <v>0</v>
      </c>
      <c r="W732" s="102" t="e">
        <f>+(Q732/M732)^(1/4)-1</f>
        <v>#DIV/0!</v>
      </c>
      <c r="X732" s="102" t="e">
        <f>+(V732/Q732)^(1/5)-1</f>
        <v>#DIV/0!</v>
      </c>
      <c r="Z732" s="11"/>
    </row>
    <row r="733" spans="1:26">
      <c r="A733" s="48"/>
      <c r="B733" s="48"/>
      <c r="C733" s="52" t="s">
        <v>892</v>
      </c>
      <c r="D733" s="52"/>
      <c r="E733" s="52"/>
      <c r="F733" s="52"/>
      <c r="G733" s="52"/>
      <c r="H733" s="52"/>
      <c r="I733" s="52"/>
      <c r="J733" s="52" t="s">
        <v>58</v>
      </c>
      <c r="K733" s="49"/>
      <c r="L733" s="53"/>
      <c r="M733" s="54" t="e">
        <f t="shared" ref="M733:V733" si="495">M732/L732-1</f>
        <v>#DIV/0!</v>
      </c>
      <c r="N733" s="54" t="e">
        <f t="shared" si="495"/>
        <v>#DIV/0!</v>
      </c>
      <c r="O733" s="54" t="e">
        <f t="shared" si="495"/>
        <v>#DIV/0!</v>
      </c>
      <c r="P733" s="54" t="e">
        <f t="shared" si="495"/>
        <v>#DIV/0!</v>
      </c>
      <c r="Q733" s="54" t="e">
        <f t="shared" si="495"/>
        <v>#DIV/0!</v>
      </c>
      <c r="R733" s="54" t="e">
        <f t="shared" si="495"/>
        <v>#DIV/0!</v>
      </c>
      <c r="S733" s="54" t="e">
        <f t="shared" si="495"/>
        <v>#DIV/0!</v>
      </c>
      <c r="T733" s="54" t="e">
        <f t="shared" si="495"/>
        <v>#DIV/0!</v>
      </c>
      <c r="U733" s="54" t="e">
        <f t="shared" si="495"/>
        <v>#DIV/0!</v>
      </c>
      <c r="V733" s="54" t="e">
        <f t="shared" si="495"/>
        <v>#DIV/0!</v>
      </c>
      <c r="W733" s="258"/>
      <c r="X733" s="258"/>
    </row>
    <row r="734" spans="1:26">
      <c r="A734" s="46" t="str">
        <f>Home!$B$1</f>
        <v>Poland</v>
      </c>
      <c r="B734" s="47" t="s">
        <v>94</v>
      </c>
      <c r="C734" s="47" t="s">
        <v>546</v>
      </c>
      <c r="D734" s="47" t="s">
        <v>67</v>
      </c>
      <c r="E734" s="46" t="s">
        <v>256</v>
      </c>
      <c r="F734" s="48" t="s">
        <v>611</v>
      </c>
      <c r="G734" s="48" t="s">
        <v>15</v>
      </c>
      <c r="H734" s="48" t="s">
        <v>16</v>
      </c>
      <c r="I734" s="48"/>
      <c r="J734" s="48" t="s">
        <v>99</v>
      </c>
      <c r="K734" s="49"/>
      <c r="L734" s="92">
        <f>VLOOKUP(E734,'Tourism Demand &amp; Flows'!$E$342:$P$548,8,0)</f>
        <v>0</v>
      </c>
      <c r="M734" s="92">
        <f>VLOOKUP(E734,'Tourism Demand &amp; Flows'!$E$342:$P$548,9,0)</f>
        <v>0</v>
      </c>
      <c r="N734" s="92">
        <f>VLOOKUP(E734,'Tourism Demand &amp; Flows'!$E$342:$P$548,10,0)</f>
        <v>0</v>
      </c>
      <c r="O734" s="92">
        <f>VLOOKUP(E734,'Tourism Demand &amp; Flows'!$E$342:$P$548,11,0)</f>
        <v>0</v>
      </c>
      <c r="P734" s="92">
        <f>VLOOKUP(E734,'Tourism Demand &amp; Flows'!$E$342:$P$548,12,0)</f>
        <v>0</v>
      </c>
      <c r="Q734" s="92">
        <f>Forecasting!Q806</f>
        <v>0</v>
      </c>
      <c r="R734" s="110">
        <f>Forecasting!R806</f>
        <v>0</v>
      </c>
      <c r="S734" s="110">
        <f>Forecasting!S806</f>
        <v>0</v>
      </c>
      <c r="T734" s="110">
        <f>Forecasting!T806</f>
        <v>0</v>
      </c>
      <c r="U734" s="110">
        <f>Forecasting!U806</f>
        <v>0</v>
      </c>
      <c r="V734" s="110">
        <f>Forecasting!V806</f>
        <v>0</v>
      </c>
      <c r="W734" s="102" t="e">
        <f>+(Q734/M734)^(1/4)-1</f>
        <v>#DIV/0!</v>
      </c>
      <c r="X734" s="102" t="e">
        <f>+(V734/Q734)^(1/5)-1</f>
        <v>#DIV/0!</v>
      </c>
      <c r="Z734" s="11"/>
    </row>
    <row r="735" spans="1:26">
      <c r="A735" s="48"/>
      <c r="B735" s="48"/>
      <c r="C735" s="52" t="s">
        <v>892</v>
      </c>
      <c r="D735" s="52"/>
      <c r="E735" s="52"/>
      <c r="F735" s="52"/>
      <c r="G735" s="52"/>
      <c r="H735" s="52"/>
      <c r="I735" s="52"/>
      <c r="J735" s="52" t="s">
        <v>58</v>
      </c>
      <c r="K735" s="49"/>
      <c r="L735" s="53"/>
      <c r="M735" s="54" t="e">
        <f t="shared" ref="M735:V735" si="496">M734/L734-1</f>
        <v>#DIV/0!</v>
      </c>
      <c r="N735" s="54" t="e">
        <f t="shared" si="496"/>
        <v>#DIV/0!</v>
      </c>
      <c r="O735" s="54" t="e">
        <f t="shared" si="496"/>
        <v>#DIV/0!</v>
      </c>
      <c r="P735" s="54" t="e">
        <f t="shared" si="496"/>
        <v>#DIV/0!</v>
      </c>
      <c r="Q735" s="54" t="e">
        <f t="shared" si="496"/>
        <v>#DIV/0!</v>
      </c>
      <c r="R735" s="54" t="e">
        <f t="shared" si="496"/>
        <v>#DIV/0!</v>
      </c>
      <c r="S735" s="54" t="e">
        <f t="shared" si="496"/>
        <v>#DIV/0!</v>
      </c>
      <c r="T735" s="54" t="e">
        <f t="shared" si="496"/>
        <v>#DIV/0!</v>
      </c>
      <c r="U735" s="54" t="e">
        <f t="shared" si="496"/>
        <v>#DIV/0!</v>
      </c>
      <c r="V735" s="54" t="e">
        <f t="shared" si="496"/>
        <v>#DIV/0!</v>
      </c>
      <c r="W735" s="258"/>
      <c r="X735" s="258"/>
    </row>
    <row r="736" spans="1:26">
      <c r="A736" s="46" t="str">
        <f>Home!$B$1</f>
        <v>Poland</v>
      </c>
      <c r="B736" s="47" t="s">
        <v>94</v>
      </c>
      <c r="C736" s="47" t="s">
        <v>546</v>
      </c>
      <c r="D736" s="47" t="s">
        <v>67</v>
      </c>
      <c r="E736" s="46" t="s">
        <v>258</v>
      </c>
      <c r="F736" s="48" t="s">
        <v>612</v>
      </c>
      <c r="G736" s="48" t="s">
        <v>15</v>
      </c>
      <c r="H736" s="48" t="s">
        <v>16</v>
      </c>
      <c r="I736" s="48"/>
      <c r="J736" s="48" t="s">
        <v>99</v>
      </c>
      <c r="K736" s="49">
        <v>1327</v>
      </c>
      <c r="L736" s="92">
        <f>VLOOKUP(E736,'Tourism Demand &amp; Flows'!$E$342:$P$548,8,0)</f>
        <v>0</v>
      </c>
      <c r="M736" s="92">
        <f>VLOOKUP(E736,'Tourism Demand &amp; Flows'!$E$342:$P$548,9,0)</f>
        <v>0</v>
      </c>
      <c r="N736" s="92">
        <f>VLOOKUP(E736,'Tourism Demand &amp; Flows'!$E$342:$P$548,10,0)</f>
        <v>0</v>
      </c>
      <c r="O736" s="92">
        <f>VLOOKUP(E736,'Tourism Demand &amp; Flows'!$E$342:$P$548,11,0)</f>
        <v>0</v>
      </c>
      <c r="P736" s="92">
        <f>VLOOKUP(E736,'Tourism Demand &amp; Flows'!$E$342:$P$548,12,0)</f>
        <v>0</v>
      </c>
      <c r="Q736" s="92">
        <f>Forecasting!Q808</f>
        <v>0</v>
      </c>
      <c r="R736" s="110">
        <f>Forecasting!R808</f>
        <v>0</v>
      </c>
      <c r="S736" s="110">
        <f>Forecasting!S808</f>
        <v>0</v>
      </c>
      <c r="T736" s="110">
        <f>Forecasting!T808</f>
        <v>0</v>
      </c>
      <c r="U736" s="110">
        <f>Forecasting!U808</f>
        <v>0</v>
      </c>
      <c r="V736" s="110">
        <f>Forecasting!V808</f>
        <v>0</v>
      </c>
      <c r="W736" s="102" t="e">
        <f>+(Q736/M736)^(1/4)-1</f>
        <v>#DIV/0!</v>
      </c>
      <c r="X736" s="102" t="e">
        <f>+(V736/Q736)^(1/5)-1</f>
        <v>#DIV/0!</v>
      </c>
      <c r="Z736" s="11"/>
    </row>
    <row r="737" spans="1:26">
      <c r="A737" s="48"/>
      <c r="B737" s="48"/>
      <c r="C737" s="52" t="s">
        <v>892</v>
      </c>
      <c r="D737" s="52"/>
      <c r="E737" s="52"/>
      <c r="F737" s="52"/>
      <c r="G737" s="52"/>
      <c r="H737" s="52"/>
      <c r="I737" s="52"/>
      <c r="J737" s="52" t="s">
        <v>58</v>
      </c>
      <c r="K737" s="49"/>
      <c r="L737" s="53"/>
      <c r="M737" s="54" t="e">
        <f t="shared" ref="M737:V737" si="497">M736/L736-1</f>
        <v>#DIV/0!</v>
      </c>
      <c r="N737" s="54" t="e">
        <f t="shared" si="497"/>
        <v>#DIV/0!</v>
      </c>
      <c r="O737" s="54" t="e">
        <f t="shared" si="497"/>
        <v>#DIV/0!</v>
      </c>
      <c r="P737" s="54" t="e">
        <f t="shared" si="497"/>
        <v>#DIV/0!</v>
      </c>
      <c r="Q737" s="54" t="e">
        <f t="shared" si="497"/>
        <v>#DIV/0!</v>
      </c>
      <c r="R737" s="54" t="e">
        <f t="shared" si="497"/>
        <v>#DIV/0!</v>
      </c>
      <c r="S737" s="54" t="e">
        <f t="shared" si="497"/>
        <v>#DIV/0!</v>
      </c>
      <c r="T737" s="54" t="e">
        <f t="shared" si="497"/>
        <v>#DIV/0!</v>
      </c>
      <c r="U737" s="54" t="e">
        <f t="shared" si="497"/>
        <v>#DIV/0!</v>
      </c>
      <c r="V737" s="54" t="e">
        <f t="shared" si="497"/>
        <v>#DIV/0!</v>
      </c>
      <c r="W737" s="258"/>
      <c r="X737" s="258"/>
    </row>
    <row r="738" spans="1:26">
      <c r="A738" s="46" t="str">
        <f>Home!$B$1</f>
        <v>Poland</v>
      </c>
      <c r="B738" s="47" t="s">
        <v>94</v>
      </c>
      <c r="C738" s="47" t="s">
        <v>546</v>
      </c>
      <c r="D738" s="47" t="s">
        <v>67</v>
      </c>
      <c r="E738" s="46" t="s">
        <v>260</v>
      </c>
      <c r="F738" s="48" t="s">
        <v>613</v>
      </c>
      <c r="G738" s="48" t="s">
        <v>15</v>
      </c>
      <c r="H738" s="48" t="s">
        <v>16</v>
      </c>
      <c r="I738" s="48"/>
      <c r="J738" s="48" t="s">
        <v>99</v>
      </c>
      <c r="K738" s="49">
        <v>904</v>
      </c>
      <c r="L738" s="92">
        <f>VLOOKUP(E738,'Tourism Demand &amp; Flows'!$E$342:$P$548,8,0)</f>
        <v>0</v>
      </c>
      <c r="M738" s="92">
        <f>VLOOKUP(E738,'Tourism Demand &amp; Flows'!$E$342:$P$548,9,0)</f>
        <v>0</v>
      </c>
      <c r="N738" s="92">
        <f>VLOOKUP(E738,'Tourism Demand &amp; Flows'!$E$342:$P$548,10,0)</f>
        <v>0</v>
      </c>
      <c r="O738" s="92">
        <f>VLOOKUP(E738,'Tourism Demand &amp; Flows'!$E$342:$P$548,11,0)</f>
        <v>0</v>
      </c>
      <c r="P738" s="92">
        <f>VLOOKUP(E738,'Tourism Demand &amp; Flows'!$E$342:$P$548,12,0)</f>
        <v>0</v>
      </c>
      <c r="Q738" s="92">
        <f>Forecasting!Q810</f>
        <v>0</v>
      </c>
      <c r="R738" s="110">
        <f>Forecasting!R810</f>
        <v>0</v>
      </c>
      <c r="S738" s="110">
        <f>Forecasting!S810</f>
        <v>0</v>
      </c>
      <c r="T738" s="110">
        <f>Forecasting!T810</f>
        <v>0</v>
      </c>
      <c r="U738" s="110">
        <f>Forecasting!U810</f>
        <v>0</v>
      </c>
      <c r="V738" s="110">
        <f>Forecasting!V810</f>
        <v>0</v>
      </c>
      <c r="W738" s="102" t="e">
        <f>+(Q738/M738)^(1/4)-1</f>
        <v>#DIV/0!</v>
      </c>
      <c r="X738" s="102" t="e">
        <f>+(V738/Q738)^(1/5)-1</f>
        <v>#DIV/0!</v>
      </c>
      <c r="Z738" s="11"/>
    </row>
    <row r="739" spans="1:26">
      <c r="A739" s="48"/>
      <c r="B739" s="48"/>
      <c r="C739" s="52" t="s">
        <v>892</v>
      </c>
      <c r="D739" s="52"/>
      <c r="E739" s="52"/>
      <c r="F739" s="52"/>
      <c r="G739" s="52"/>
      <c r="H739" s="52"/>
      <c r="I739" s="52"/>
      <c r="J739" s="52" t="s">
        <v>58</v>
      </c>
      <c r="K739" s="49"/>
      <c r="L739" s="53"/>
      <c r="M739" s="54" t="e">
        <f t="shared" ref="M739:V739" si="498">M738/L738-1</f>
        <v>#DIV/0!</v>
      </c>
      <c r="N739" s="54" t="e">
        <f t="shared" si="498"/>
        <v>#DIV/0!</v>
      </c>
      <c r="O739" s="54" t="e">
        <f t="shared" si="498"/>
        <v>#DIV/0!</v>
      </c>
      <c r="P739" s="54" t="e">
        <f t="shared" si="498"/>
        <v>#DIV/0!</v>
      </c>
      <c r="Q739" s="54" t="e">
        <f t="shared" si="498"/>
        <v>#DIV/0!</v>
      </c>
      <c r="R739" s="54" t="e">
        <f t="shared" si="498"/>
        <v>#DIV/0!</v>
      </c>
      <c r="S739" s="54" t="e">
        <f t="shared" si="498"/>
        <v>#DIV/0!</v>
      </c>
      <c r="T739" s="54" t="e">
        <f t="shared" si="498"/>
        <v>#DIV/0!</v>
      </c>
      <c r="U739" s="54" t="e">
        <f t="shared" si="498"/>
        <v>#DIV/0!</v>
      </c>
      <c r="V739" s="54" t="e">
        <f t="shared" si="498"/>
        <v>#DIV/0!</v>
      </c>
      <c r="W739" s="258"/>
      <c r="X739" s="258"/>
    </row>
    <row r="740" spans="1:26">
      <c r="A740" s="46" t="str">
        <f>Home!$B$1</f>
        <v>Poland</v>
      </c>
      <c r="B740" s="47" t="s">
        <v>94</v>
      </c>
      <c r="C740" s="47" t="s">
        <v>546</v>
      </c>
      <c r="D740" s="47" t="s">
        <v>67</v>
      </c>
      <c r="E740" s="46" t="s">
        <v>262</v>
      </c>
      <c r="F740" s="48" t="s">
        <v>614</v>
      </c>
      <c r="G740" s="48" t="s">
        <v>15</v>
      </c>
      <c r="H740" s="48" t="s">
        <v>16</v>
      </c>
      <c r="I740" s="48"/>
      <c r="J740" s="48" t="s">
        <v>99</v>
      </c>
      <c r="K740" s="49"/>
      <c r="L740" s="92">
        <f>VLOOKUP(E740,'Tourism Demand &amp; Flows'!$E$342:$P$548,8,0)</f>
        <v>0</v>
      </c>
      <c r="M740" s="92">
        <f>VLOOKUP(E740,'Tourism Demand &amp; Flows'!$E$342:$P$548,9,0)</f>
        <v>0</v>
      </c>
      <c r="N740" s="92">
        <f>VLOOKUP(E740,'Tourism Demand &amp; Flows'!$E$342:$P$548,10,0)</f>
        <v>0</v>
      </c>
      <c r="O740" s="92">
        <f>VLOOKUP(E740,'Tourism Demand &amp; Flows'!$E$342:$P$548,11,0)</f>
        <v>0</v>
      </c>
      <c r="P740" s="92">
        <f>VLOOKUP(E740,'Tourism Demand &amp; Flows'!$E$342:$P$548,12,0)</f>
        <v>0</v>
      </c>
      <c r="Q740" s="92">
        <f>Forecasting!Q812</f>
        <v>0</v>
      </c>
      <c r="R740" s="110">
        <f>Forecasting!R812</f>
        <v>0</v>
      </c>
      <c r="S740" s="110">
        <f>Forecasting!S812</f>
        <v>0</v>
      </c>
      <c r="T740" s="110">
        <f>Forecasting!T812</f>
        <v>0</v>
      </c>
      <c r="U740" s="110">
        <f>Forecasting!U812</f>
        <v>0</v>
      </c>
      <c r="V740" s="110">
        <f>Forecasting!V812</f>
        <v>0</v>
      </c>
      <c r="W740" s="102" t="e">
        <f>+(Q740/M740)^(1/4)-1</f>
        <v>#DIV/0!</v>
      </c>
      <c r="X740" s="102" t="e">
        <f>+(V740/Q740)^(1/5)-1</f>
        <v>#DIV/0!</v>
      </c>
      <c r="Z740" s="11"/>
    </row>
    <row r="741" spans="1:26">
      <c r="A741" s="48"/>
      <c r="B741" s="48"/>
      <c r="C741" s="52" t="s">
        <v>892</v>
      </c>
      <c r="D741" s="52"/>
      <c r="E741" s="52"/>
      <c r="F741" s="52"/>
      <c r="G741" s="52"/>
      <c r="H741" s="52"/>
      <c r="I741" s="52"/>
      <c r="J741" s="52" t="s">
        <v>58</v>
      </c>
      <c r="K741" s="49"/>
      <c r="L741" s="53"/>
      <c r="M741" s="54" t="e">
        <f t="shared" ref="M741:V741" si="499">M740/L740-1</f>
        <v>#DIV/0!</v>
      </c>
      <c r="N741" s="54" t="e">
        <f t="shared" si="499"/>
        <v>#DIV/0!</v>
      </c>
      <c r="O741" s="54" t="e">
        <f t="shared" si="499"/>
        <v>#DIV/0!</v>
      </c>
      <c r="P741" s="54" t="e">
        <f t="shared" si="499"/>
        <v>#DIV/0!</v>
      </c>
      <c r="Q741" s="54" t="e">
        <f t="shared" si="499"/>
        <v>#DIV/0!</v>
      </c>
      <c r="R741" s="54" t="e">
        <f t="shared" si="499"/>
        <v>#DIV/0!</v>
      </c>
      <c r="S741" s="54" t="e">
        <f t="shared" si="499"/>
        <v>#DIV/0!</v>
      </c>
      <c r="T741" s="54" t="e">
        <f t="shared" si="499"/>
        <v>#DIV/0!</v>
      </c>
      <c r="U741" s="54" t="e">
        <f t="shared" si="499"/>
        <v>#DIV/0!</v>
      </c>
      <c r="V741" s="54" t="e">
        <f t="shared" si="499"/>
        <v>#DIV/0!</v>
      </c>
      <c r="W741" s="258"/>
      <c r="X741" s="258"/>
    </row>
    <row r="742" spans="1:26">
      <c r="A742" s="46" t="str">
        <f>Home!$B$1</f>
        <v>Poland</v>
      </c>
      <c r="B742" s="47" t="s">
        <v>94</v>
      </c>
      <c r="C742" s="47" t="s">
        <v>546</v>
      </c>
      <c r="D742" s="47" t="s">
        <v>67</v>
      </c>
      <c r="E742" s="46" t="s">
        <v>264</v>
      </c>
      <c r="F742" s="48" t="s">
        <v>615</v>
      </c>
      <c r="G742" s="48" t="s">
        <v>15</v>
      </c>
      <c r="H742" s="48" t="s">
        <v>16</v>
      </c>
      <c r="I742" s="48"/>
      <c r="J742" s="48" t="s">
        <v>99</v>
      </c>
      <c r="K742" s="49"/>
      <c r="L742" s="92">
        <f>VLOOKUP(E742,'Tourism Demand &amp; Flows'!$E$342:$P$548,8,0)</f>
        <v>0</v>
      </c>
      <c r="M742" s="92">
        <f>VLOOKUP(E742,'Tourism Demand &amp; Flows'!$E$342:$P$548,9,0)</f>
        <v>0</v>
      </c>
      <c r="N742" s="92">
        <f>VLOOKUP(E742,'Tourism Demand &amp; Flows'!$E$342:$P$548,10,0)</f>
        <v>0</v>
      </c>
      <c r="O742" s="92">
        <f>VLOOKUP(E742,'Tourism Demand &amp; Flows'!$E$342:$P$548,11,0)</f>
        <v>0</v>
      </c>
      <c r="P742" s="92">
        <f>VLOOKUP(E742,'Tourism Demand &amp; Flows'!$E$342:$P$548,12,0)</f>
        <v>0</v>
      </c>
      <c r="Q742" s="92">
        <f>Forecasting!Q814</f>
        <v>0</v>
      </c>
      <c r="R742" s="110">
        <f>Forecasting!R814</f>
        <v>0</v>
      </c>
      <c r="S742" s="110">
        <f>Forecasting!S814</f>
        <v>0</v>
      </c>
      <c r="T742" s="110">
        <f>Forecasting!T814</f>
        <v>0</v>
      </c>
      <c r="U742" s="110">
        <f>Forecasting!U814</f>
        <v>0</v>
      </c>
      <c r="V742" s="110">
        <f>Forecasting!V814</f>
        <v>0</v>
      </c>
      <c r="W742" s="102" t="e">
        <f>+(Q742/M742)^(1/4)-1</f>
        <v>#DIV/0!</v>
      </c>
      <c r="X742" s="102" t="e">
        <f>+(V742/Q742)^(1/5)-1</f>
        <v>#DIV/0!</v>
      </c>
      <c r="Z742" s="11"/>
    </row>
    <row r="743" spans="1:26">
      <c r="A743" s="48"/>
      <c r="B743" s="48"/>
      <c r="C743" s="52" t="s">
        <v>892</v>
      </c>
      <c r="D743" s="52"/>
      <c r="E743" s="52"/>
      <c r="F743" s="52"/>
      <c r="G743" s="52"/>
      <c r="H743" s="52"/>
      <c r="I743" s="52"/>
      <c r="J743" s="52" t="s">
        <v>58</v>
      </c>
      <c r="K743" s="49"/>
      <c r="L743" s="53"/>
      <c r="M743" s="54" t="e">
        <f t="shared" ref="M743:V743" si="500">M742/L742-1</f>
        <v>#DIV/0!</v>
      </c>
      <c r="N743" s="54" t="e">
        <f t="shared" si="500"/>
        <v>#DIV/0!</v>
      </c>
      <c r="O743" s="54" t="e">
        <f t="shared" si="500"/>
        <v>#DIV/0!</v>
      </c>
      <c r="P743" s="54" t="e">
        <f t="shared" si="500"/>
        <v>#DIV/0!</v>
      </c>
      <c r="Q743" s="54" t="e">
        <f t="shared" si="500"/>
        <v>#DIV/0!</v>
      </c>
      <c r="R743" s="54" t="e">
        <f t="shared" si="500"/>
        <v>#DIV/0!</v>
      </c>
      <c r="S743" s="54" t="e">
        <f t="shared" si="500"/>
        <v>#DIV/0!</v>
      </c>
      <c r="T743" s="54" t="e">
        <f t="shared" si="500"/>
        <v>#DIV/0!</v>
      </c>
      <c r="U743" s="54" t="e">
        <f t="shared" si="500"/>
        <v>#DIV/0!</v>
      </c>
      <c r="V743" s="54" t="e">
        <f t="shared" si="500"/>
        <v>#DIV/0!</v>
      </c>
      <c r="W743" s="258"/>
      <c r="X743" s="258"/>
    </row>
    <row r="744" spans="1:26">
      <c r="A744" s="46" t="str">
        <f>Home!$B$1</f>
        <v>Poland</v>
      </c>
      <c r="B744" s="47" t="s">
        <v>94</v>
      </c>
      <c r="C744" s="47" t="s">
        <v>546</v>
      </c>
      <c r="D744" s="47" t="s">
        <v>67</v>
      </c>
      <c r="E744" s="46" t="s">
        <v>266</v>
      </c>
      <c r="F744" s="48" t="s">
        <v>616</v>
      </c>
      <c r="G744" s="48" t="s">
        <v>15</v>
      </c>
      <c r="H744" s="48" t="s">
        <v>16</v>
      </c>
      <c r="I744" s="48"/>
      <c r="J744" s="48" t="s">
        <v>99</v>
      </c>
      <c r="K744" s="49"/>
      <c r="L744" s="92">
        <f>VLOOKUP(E744,'Tourism Demand &amp; Flows'!$E$342:$P$548,8,0)</f>
        <v>0</v>
      </c>
      <c r="M744" s="92">
        <f>VLOOKUP(E744,'Tourism Demand &amp; Flows'!$E$342:$P$548,9,0)</f>
        <v>0</v>
      </c>
      <c r="N744" s="92">
        <f>VLOOKUP(E744,'Tourism Demand &amp; Flows'!$E$342:$P$548,10,0)</f>
        <v>0</v>
      </c>
      <c r="O744" s="92">
        <f>VLOOKUP(E744,'Tourism Demand &amp; Flows'!$E$342:$P$548,11,0)</f>
        <v>0</v>
      </c>
      <c r="P744" s="92">
        <f>VLOOKUP(E744,'Tourism Demand &amp; Flows'!$E$342:$P$548,12,0)</f>
        <v>0</v>
      </c>
      <c r="Q744" s="92">
        <f>Forecasting!Q816</f>
        <v>0</v>
      </c>
      <c r="R744" s="110">
        <f>Forecasting!R816</f>
        <v>0</v>
      </c>
      <c r="S744" s="110">
        <f>Forecasting!S816</f>
        <v>0</v>
      </c>
      <c r="T744" s="110">
        <f>Forecasting!T816</f>
        <v>0</v>
      </c>
      <c r="U744" s="110">
        <f>Forecasting!U816</f>
        <v>0</v>
      </c>
      <c r="V744" s="110">
        <f>Forecasting!V816</f>
        <v>0</v>
      </c>
      <c r="W744" s="102" t="e">
        <f>+(Q744/M744)^(1/4)-1</f>
        <v>#DIV/0!</v>
      </c>
      <c r="X744" s="102" t="e">
        <f>+(V744/Q744)^(1/5)-1</f>
        <v>#DIV/0!</v>
      </c>
      <c r="Z744" s="11"/>
    </row>
    <row r="745" spans="1:26">
      <c r="A745" s="48"/>
      <c r="B745" s="48"/>
      <c r="C745" s="52" t="s">
        <v>892</v>
      </c>
      <c r="D745" s="52"/>
      <c r="E745" s="52"/>
      <c r="F745" s="52"/>
      <c r="G745" s="52"/>
      <c r="H745" s="52"/>
      <c r="I745" s="52"/>
      <c r="J745" s="52" t="s">
        <v>58</v>
      </c>
      <c r="K745" s="49"/>
      <c r="L745" s="53"/>
      <c r="M745" s="54" t="e">
        <f t="shared" ref="M745:V745" si="501">M744/L744-1</f>
        <v>#DIV/0!</v>
      </c>
      <c r="N745" s="54" t="e">
        <f t="shared" si="501"/>
        <v>#DIV/0!</v>
      </c>
      <c r="O745" s="54" t="e">
        <f t="shared" si="501"/>
        <v>#DIV/0!</v>
      </c>
      <c r="P745" s="54" t="e">
        <f t="shared" si="501"/>
        <v>#DIV/0!</v>
      </c>
      <c r="Q745" s="54" t="e">
        <f t="shared" si="501"/>
        <v>#DIV/0!</v>
      </c>
      <c r="R745" s="54" t="e">
        <f t="shared" si="501"/>
        <v>#DIV/0!</v>
      </c>
      <c r="S745" s="54" t="e">
        <f t="shared" si="501"/>
        <v>#DIV/0!</v>
      </c>
      <c r="T745" s="54" t="e">
        <f t="shared" si="501"/>
        <v>#DIV/0!</v>
      </c>
      <c r="U745" s="54" t="e">
        <f t="shared" si="501"/>
        <v>#DIV/0!</v>
      </c>
      <c r="V745" s="54" t="e">
        <f t="shared" si="501"/>
        <v>#DIV/0!</v>
      </c>
      <c r="W745" s="258"/>
      <c r="X745" s="258"/>
    </row>
    <row r="746" spans="1:26">
      <c r="A746" s="46" t="str">
        <f>Home!$B$1</f>
        <v>Poland</v>
      </c>
      <c r="B746" s="47" t="s">
        <v>94</v>
      </c>
      <c r="C746" s="47" t="s">
        <v>546</v>
      </c>
      <c r="D746" s="47" t="s">
        <v>67</v>
      </c>
      <c r="E746" s="46" t="s">
        <v>268</v>
      </c>
      <c r="F746" s="48" t="s">
        <v>617</v>
      </c>
      <c r="G746" s="48" t="s">
        <v>15</v>
      </c>
      <c r="H746" s="48" t="s">
        <v>16</v>
      </c>
      <c r="I746" s="48"/>
      <c r="J746" s="48" t="s">
        <v>99</v>
      </c>
      <c r="K746" s="49"/>
      <c r="L746" s="92">
        <f>VLOOKUP(E746,'Tourism Demand &amp; Flows'!$E$342:$P$548,8,0)</f>
        <v>0</v>
      </c>
      <c r="M746" s="92">
        <f>VLOOKUP(E746,'Tourism Demand &amp; Flows'!$E$342:$P$548,9,0)</f>
        <v>0</v>
      </c>
      <c r="N746" s="92">
        <f>VLOOKUP(E746,'Tourism Demand &amp; Flows'!$E$342:$P$548,10,0)</f>
        <v>0</v>
      </c>
      <c r="O746" s="92">
        <f>VLOOKUP(E746,'Tourism Demand &amp; Flows'!$E$342:$P$548,11,0)</f>
        <v>0</v>
      </c>
      <c r="P746" s="92">
        <f>VLOOKUP(E746,'Tourism Demand &amp; Flows'!$E$342:$P$548,12,0)</f>
        <v>0</v>
      </c>
      <c r="Q746" s="92">
        <f>Forecasting!Q818</f>
        <v>0</v>
      </c>
      <c r="R746" s="110">
        <f>Forecasting!R818</f>
        <v>0</v>
      </c>
      <c r="S746" s="110">
        <f>Forecasting!S818</f>
        <v>0</v>
      </c>
      <c r="T746" s="110">
        <f>Forecasting!T818</f>
        <v>0</v>
      </c>
      <c r="U746" s="110">
        <f>Forecasting!U818</f>
        <v>0</v>
      </c>
      <c r="V746" s="110">
        <f>Forecasting!V818</f>
        <v>0</v>
      </c>
      <c r="W746" s="102" t="e">
        <f>+(Q746/M746)^(1/4)-1</f>
        <v>#DIV/0!</v>
      </c>
      <c r="X746" s="102" t="e">
        <f>+(V746/Q746)^(1/5)-1</f>
        <v>#DIV/0!</v>
      </c>
      <c r="Z746" s="11"/>
    </row>
    <row r="747" spans="1:26">
      <c r="A747" s="48"/>
      <c r="B747" s="48"/>
      <c r="C747" s="52" t="s">
        <v>892</v>
      </c>
      <c r="D747" s="52"/>
      <c r="E747" s="52"/>
      <c r="F747" s="52"/>
      <c r="G747" s="52"/>
      <c r="H747" s="52"/>
      <c r="I747" s="52"/>
      <c r="J747" s="52" t="s">
        <v>58</v>
      </c>
      <c r="K747" s="49"/>
      <c r="L747" s="53"/>
      <c r="M747" s="54" t="e">
        <f t="shared" ref="M747:V747" si="502">M746/L746-1</f>
        <v>#DIV/0!</v>
      </c>
      <c r="N747" s="54" t="e">
        <f t="shared" si="502"/>
        <v>#DIV/0!</v>
      </c>
      <c r="O747" s="54" t="e">
        <f t="shared" si="502"/>
        <v>#DIV/0!</v>
      </c>
      <c r="P747" s="54" t="e">
        <f t="shared" si="502"/>
        <v>#DIV/0!</v>
      </c>
      <c r="Q747" s="54" t="e">
        <f t="shared" si="502"/>
        <v>#DIV/0!</v>
      </c>
      <c r="R747" s="54" t="e">
        <f t="shared" si="502"/>
        <v>#DIV/0!</v>
      </c>
      <c r="S747" s="54" t="e">
        <f t="shared" si="502"/>
        <v>#DIV/0!</v>
      </c>
      <c r="T747" s="54" t="e">
        <f t="shared" si="502"/>
        <v>#DIV/0!</v>
      </c>
      <c r="U747" s="54" t="e">
        <f t="shared" si="502"/>
        <v>#DIV/0!</v>
      </c>
      <c r="V747" s="54" t="e">
        <f t="shared" si="502"/>
        <v>#DIV/0!</v>
      </c>
      <c r="W747" s="258"/>
      <c r="X747" s="258"/>
    </row>
    <row r="748" spans="1:26">
      <c r="A748" s="46" t="str">
        <f>Home!$B$1</f>
        <v>Poland</v>
      </c>
      <c r="B748" s="47" t="s">
        <v>94</v>
      </c>
      <c r="C748" s="47" t="s">
        <v>546</v>
      </c>
      <c r="D748" s="47" t="s">
        <v>67</v>
      </c>
      <c r="E748" s="46" t="s">
        <v>270</v>
      </c>
      <c r="F748" s="48" t="s">
        <v>618</v>
      </c>
      <c r="G748" s="48" t="s">
        <v>15</v>
      </c>
      <c r="H748" s="48" t="s">
        <v>16</v>
      </c>
      <c r="I748" s="48"/>
      <c r="J748" s="48" t="s">
        <v>99</v>
      </c>
      <c r="K748" s="49"/>
      <c r="L748" s="92">
        <f>VLOOKUP(E748,'Tourism Demand &amp; Flows'!$E$342:$P$548,8,0)</f>
        <v>0</v>
      </c>
      <c r="M748" s="92">
        <f>VLOOKUP(E748,'Tourism Demand &amp; Flows'!$E$342:$P$548,9,0)</f>
        <v>0</v>
      </c>
      <c r="N748" s="92">
        <f>VLOOKUP(E748,'Tourism Demand &amp; Flows'!$E$342:$P$548,10,0)</f>
        <v>0</v>
      </c>
      <c r="O748" s="92">
        <f>VLOOKUP(E748,'Tourism Demand &amp; Flows'!$E$342:$P$548,11,0)</f>
        <v>0</v>
      </c>
      <c r="P748" s="92">
        <f>VLOOKUP(E748,'Tourism Demand &amp; Flows'!$E$342:$P$548,12,0)</f>
        <v>0</v>
      </c>
      <c r="Q748" s="92">
        <f>Forecasting!Q820</f>
        <v>0</v>
      </c>
      <c r="R748" s="110">
        <f>Forecasting!R820</f>
        <v>0</v>
      </c>
      <c r="S748" s="110">
        <f>Forecasting!S820</f>
        <v>0</v>
      </c>
      <c r="T748" s="110">
        <f>Forecasting!T820</f>
        <v>0</v>
      </c>
      <c r="U748" s="110">
        <f>Forecasting!U820</f>
        <v>0</v>
      </c>
      <c r="V748" s="110">
        <f>Forecasting!V820</f>
        <v>0</v>
      </c>
      <c r="W748" s="102" t="e">
        <f>+(Q748/M748)^(1/4)-1</f>
        <v>#DIV/0!</v>
      </c>
      <c r="X748" s="102" t="e">
        <f>+(V748/Q748)^(1/5)-1</f>
        <v>#DIV/0!</v>
      </c>
      <c r="Z748" s="11"/>
    </row>
    <row r="749" spans="1:26">
      <c r="A749" s="48"/>
      <c r="B749" s="48"/>
      <c r="C749" s="52" t="s">
        <v>892</v>
      </c>
      <c r="D749" s="52"/>
      <c r="E749" s="52"/>
      <c r="F749" s="52"/>
      <c r="G749" s="52"/>
      <c r="H749" s="52"/>
      <c r="I749" s="52"/>
      <c r="J749" s="52" t="s">
        <v>58</v>
      </c>
      <c r="K749" s="49"/>
      <c r="L749" s="53"/>
      <c r="M749" s="54" t="e">
        <f t="shared" ref="M749:V749" si="503">M748/L748-1</f>
        <v>#DIV/0!</v>
      </c>
      <c r="N749" s="54" t="e">
        <f t="shared" si="503"/>
        <v>#DIV/0!</v>
      </c>
      <c r="O749" s="54" t="e">
        <f t="shared" si="503"/>
        <v>#DIV/0!</v>
      </c>
      <c r="P749" s="54" t="e">
        <f t="shared" si="503"/>
        <v>#DIV/0!</v>
      </c>
      <c r="Q749" s="54" t="e">
        <f t="shared" si="503"/>
        <v>#DIV/0!</v>
      </c>
      <c r="R749" s="54" t="e">
        <f t="shared" si="503"/>
        <v>#DIV/0!</v>
      </c>
      <c r="S749" s="54" t="e">
        <f t="shared" si="503"/>
        <v>#DIV/0!</v>
      </c>
      <c r="T749" s="54" t="e">
        <f t="shared" si="503"/>
        <v>#DIV/0!</v>
      </c>
      <c r="U749" s="54" t="e">
        <f t="shared" si="503"/>
        <v>#DIV/0!</v>
      </c>
      <c r="V749" s="54" t="e">
        <f t="shared" si="503"/>
        <v>#DIV/0!</v>
      </c>
      <c r="W749" s="258"/>
      <c r="X749" s="258"/>
    </row>
    <row r="750" spans="1:26">
      <c r="A750" s="46" t="str">
        <f>Home!$B$1</f>
        <v>Poland</v>
      </c>
      <c r="B750" s="47" t="s">
        <v>94</v>
      </c>
      <c r="C750" s="47" t="s">
        <v>546</v>
      </c>
      <c r="D750" s="47" t="s">
        <v>67</v>
      </c>
      <c r="E750" s="46" t="s">
        <v>272</v>
      </c>
      <c r="F750" s="48" t="s">
        <v>619</v>
      </c>
      <c r="G750" s="48" t="s">
        <v>15</v>
      </c>
      <c r="H750" s="48" t="s">
        <v>16</v>
      </c>
      <c r="I750" s="48"/>
      <c r="J750" s="48" t="s">
        <v>99</v>
      </c>
      <c r="K750" s="49">
        <v>904</v>
      </c>
      <c r="L750" s="92">
        <f>VLOOKUP(E750,'Tourism Demand &amp; Flows'!$E$342:$P$548,8,0)</f>
        <v>0</v>
      </c>
      <c r="M750" s="92">
        <f>VLOOKUP(E750,'Tourism Demand &amp; Flows'!$E$342:$P$548,9,0)</f>
        <v>0</v>
      </c>
      <c r="N750" s="92">
        <f>VLOOKUP(E750,'Tourism Demand &amp; Flows'!$E$342:$P$548,10,0)</f>
        <v>0</v>
      </c>
      <c r="O750" s="92">
        <f>VLOOKUP(E750,'Tourism Demand &amp; Flows'!$E$342:$P$548,11,0)</f>
        <v>0</v>
      </c>
      <c r="P750" s="92">
        <f>VLOOKUP(E750,'Tourism Demand &amp; Flows'!$E$342:$P$548,12,0)</f>
        <v>0</v>
      </c>
      <c r="Q750" s="92">
        <f>Forecasting!Q822</f>
        <v>0</v>
      </c>
      <c r="R750" s="110">
        <f>Forecasting!R822</f>
        <v>0</v>
      </c>
      <c r="S750" s="110">
        <f>Forecasting!S822</f>
        <v>0</v>
      </c>
      <c r="T750" s="110">
        <f>Forecasting!T822</f>
        <v>0</v>
      </c>
      <c r="U750" s="110">
        <f>Forecasting!U822</f>
        <v>0</v>
      </c>
      <c r="V750" s="110">
        <f>Forecasting!V822</f>
        <v>0</v>
      </c>
      <c r="W750" s="102" t="e">
        <f>+(Q750/M750)^(1/4)-1</f>
        <v>#DIV/0!</v>
      </c>
      <c r="X750" s="102" t="e">
        <f>+(V750/Q750)^(1/5)-1</f>
        <v>#DIV/0!</v>
      </c>
      <c r="Z750" s="11"/>
    </row>
    <row r="751" spans="1:26">
      <c r="A751" s="48"/>
      <c r="B751" s="48"/>
      <c r="C751" s="52" t="s">
        <v>892</v>
      </c>
      <c r="D751" s="52"/>
      <c r="E751" s="52"/>
      <c r="F751" s="52"/>
      <c r="G751" s="52"/>
      <c r="H751" s="52"/>
      <c r="I751" s="52"/>
      <c r="J751" s="52" t="s">
        <v>58</v>
      </c>
      <c r="K751" s="49"/>
      <c r="L751" s="53"/>
      <c r="M751" s="54" t="e">
        <f t="shared" ref="M751:V751" si="504">M750/L750-1</f>
        <v>#DIV/0!</v>
      </c>
      <c r="N751" s="54" t="e">
        <f t="shared" si="504"/>
        <v>#DIV/0!</v>
      </c>
      <c r="O751" s="54" t="e">
        <f t="shared" si="504"/>
        <v>#DIV/0!</v>
      </c>
      <c r="P751" s="54" t="e">
        <f t="shared" si="504"/>
        <v>#DIV/0!</v>
      </c>
      <c r="Q751" s="54" t="e">
        <f t="shared" si="504"/>
        <v>#DIV/0!</v>
      </c>
      <c r="R751" s="54" t="e">
        <f t="shared" si="504"/>
        <v>#DIV/0!</v>
      </c>
      <c r="S751" s="54" t="e">
        <f t="shared" si="504"/>
        <v>#DIV/0!</v>
      </c>
      <c r="T751" s="54" t="e">
        <f t="shared" si="504"/>
        <v>#DIV/0!</v>
      </c>
      <c r="U751" s="54" t="e">
        <f t="shared" si="504"/>
        <v>#DIV/0!</v>
      </c>
      <c r="V751" s="54" t="e">
        <f t="shared" si="504"/>
        <v>#DIV/0!</v>
      </c>
      <c r="W751" s="258"/>
      <c r="X751" s="258"/>
    </row>
    <row r="752" spans="1:26">
      <c r="A752" s="46" t="str">
        <f>Home!$B$1</f>
        <v>Poland</v>
      </c>
      <c r="B752" s="47" t="s">
        <v>94</v>
      </c>
      <c r="C752" s="47" t="s">
        <v>546</v>
      </c>
      <c r="D752" s="47" t="s">
        <v>67</v>
      </c>
      <c r="E752" s="46" t="s">
        <v>274</v>
      </c>
      <c r="F752" s="48" t="s">
        <v>620</v>
      </c>
      <c r="G752" s="48" t="s">
        <v>15</v>
      </c>
      <c r="H752" s="48" t="s">
        <v>16</v>
      </c>
      <c r="I752" s="48"/>
      <c r="J752" s="48" t="s">
        <v>99</v>
      </c>
      <c r="K752" s="49"/>
      <c r="L752" s="92">
        <f>VLOOKUP(E752,'Tourism Demand &amp; Flows'!$E$342:$P$548,8,0)</f>
        <v>0</v>
      </c>
      <c r="M752" s="92">
        <f>VLOOKUP(E752,'Tourism Demand &amp; Flows'!$E$342:$P$548,9,0)</f>
        <v>0</v>
      </c>
      <c r="N752" s="92">
        <f>VLOOKUP(E752,'Tourism Demand &amp; Flows'!$E$342:$P$548,10,0)</f>
        <v>0</v>
      </c>
      <c r="O752" s="92">
        <f>VLOOKUP(E752,'Tourism Demand &amp; Flows'!$E$342:$P$548,11,0)</f>
        <v>0</v>
      </c>
      <c r="P752" s="92">
        <f>VLOOKUP(E752,'Tourism Demand &amp; Flows'!$E$342:$P$548,12,0)</f>
        <v>0</v>
      </c>
      <c r="Q752" s="92">
        <f>Forecasting!Q824</f>
        <v>0</v>
      </c>
      <c r="R752" s="110">
        <f>Forecasting!R824</f>
        <v>0</v>
      </c>
      <c r="S752" s="110">
        <f>Forecasting!S824</f>
        <v>0</v>
      </c>
      <c r="T752" s="110">
        <f>Forecasting!T824</f>
        <v>0</v>
      </c>
      <c r="U752" s="110">
        <f>Forecasting!U824</f>
        <v>0</v>
      </c>
      <c r="V752" s="110">
        <f>Forecasting!V824</f>
        <v>0</v>
      </c>
      <c r="W752" s="102" t="e">
        <f>+(Q752/M752)^(1/4)-1</f>
        <v>#DIV/0!</v>
      </c>
      <c r="X752" s="102" t="e">
        <f>+(V752/Q752)^(1/5)-1</f>
        <v>#DIV/0!</v>
      </c>
      <c r="Z752" s="11"/>
    </row>
    <row r="753" spans="1:26">
      <c r="A753" s="48"/>
      <c r="B753" s="48"/>
      <c r="C753" s="52" t="s">
        <v>892</v>
      </c>
      <c r="D753" s="52"/>
      <c r="E753" s="52"/>
      <c r="F753" s="52"/>
      <c r="G753" s="52"/>
      <c r="H753" s="52"/>
      <c r="I753" s="52"/>
      <c r="J753" s="52" t="s">
        <v>58</v>
      </c>
      <c r="K753" s="49"/>
      <c r="L753" s="53"/>
      <c r="M753" s="54" t="e">
        <f t="shared" ref="M753:V753" si="505">M752/L752-1</f>
        <v>#DIV/0!</v>
      </c>
      <c r="N753" s="54" t="e">
        <f t="shared" si="505"/>
        <v>#DIV/0!</v>
      </c>
      <c r="O753" s="54" t="e">
        <f t="shared" si="505"/>
        <v>#DIV/0!</v>
      </c>
      <c r="P753" s="54" t="e">
        <f t="shared" si="505"/>
        <v>#DIV/0!</v>
      </c>
      <c r="Q753" s="54" t="e">
        <f t="shared" si="505"/>
        <v>#DIV/0!</v>
      </c>
      <c r="R753" s="54" t="e">
        <f t="shared" si="505"/>
        <v>#DIV/0!</v>
      </c>
      <c r="S753" s="54" t="e">
        <f t="shared" si="505"/>
        <v>#DIV/0!</v>
      </c>
      <c r="T753" s="54" t="e">
        <f t="shared" si="505"/>
        <v>#DIV/0!</v>
      </c>
      <c r="U753" s="54" t="e">
        <f t="shared" si="505"/>
        <v>#DIV/0!</v>
      </c>
      <c r="V753" s="54" t="e">
        <f t="shared" si="505"/>
        <v>#DIV/0!</v>
      </c>
      <c r="W753" s="258"/>
      <c r="X753" s="258"/>
    </row>
    <row r="754" spans="1:26">
      <c r="A754" s="46" t="str">
        <f>Home!$B$1</f>
        <v>Poland</v>
      </c>
      <c r="B754" s="47" t="s">
        <v>94</v>
      </c>
      <c r="C754" s="47" t="s">
        <v>546</v>
      </c>
      <c r="D754" s="47" t="s">
        <v>67</v>
      </c>
      <c r="E754" s="46" t="s">
        <v>276</v>
      </c>
      <c r="F754" s="48" t="s">
        <v>621</v>
      </c>
      <c r="G754" s="48" t="s">
        <v>15</v>
      </c>
      <c r="H754" s="48" t="s">
        <v>16</v>
      </c>
      <c r="I754" s="48"/>
      <c r="J754" s="48" t="s">
        <v>99</v>
      </c>
      <c r="K754" s="49">
        <v>1538</v>
      </c>
      <c r="L754" s="92">
        <f>VLOOKUP(E754,'Tourism Demand &amp; Flows'!$E$342:$P$548,8,0)</f>
        <v>0</v>
      </c>
      <c r="M754" s="92">
        <f>VLOOKUP(E754,'Tourism Demand &amp; Flows'!$E$342:$P$548,9,0)</f>
        <v>0</v>
      </c>
      <c r="N754" s="92">
        <f>VLOOKUP(E754,'Tourism Demand &amp; Flows'!$E$342:$P$548,10,0)</f>
        <v>0</v>
      </c>
      <c r="O754" s="92">
        <f>VLOOKUP(E754,'Tourism Demand &amp; Flows'!$E$342:$P$548,11,0)</f>
        <v>0</v>
      </c>
      <c r="P754" s="92">
        <f>VLOOKUP(E754,'Tourism Demand &amp; Flows'!$E$342:$P$548,12,0)</f>
        <v>0</v>
      </c>
      <c r="Q754" s="92">
        <f>Forecasting!Q826</f>
        <v>0</v>
      </c>
      <c r="R754" s="110">
        <f>Forecasting!R826</f>
        <v>0</v>
      </c>
      <c r="S754" s="110">
        <f>Forecasting!S826</f>
        <v>0</v>
      </c>
      <c r="T754" s="110">
        <f>Forecasting!T826</f>
        <v>0</v>
      </c>
      <c r="U754" s="110">
        <f>Forecasting!U826</f>
        <v>0</v>
      </c>
      <c r="V754" s="110">
        <f>Forecasting!V826</f>
        <v>0</v>
      </c>
      <c r="W754" s="102" t="e">
        <f>+(Q754/M754)^(1/4)-1</f>
        <v>#DIV/0!</v>
      </c>
      <c r="X754" s="102" t="e">
        <f>+(V754/Q754)^(1/5)-1</f>
        <v>#DIV/0!</v>
      </c>
      <c r="Z754" s="11"/>
    </row>
    <row r="755" spans="1:26">
      <c r="A755" s="48"/>
      <c r="B755" s="48"/>
      <c r="C755" s="52" t="s">
        <v>892</v>
      </c>
      <c r="D755" s="52"/>
      <c r="E755" s="52"/>
      <c r="F755" s="52"/>
      <c r="G755" s="52"/>
      <c r="H755" s="52"/>
      <c r="I755" s="52"/>
      <c r="J755" s="52" t="s">
        <v>58</v>
      </c>
      <c r="K755" s="49"/>
      <c r="L755" s="53"/>
      <c r="M755" s="54" t="e">
        <f t="shared" ref="M755:V755" si="506">M754/L754-1</f>
        <v>#DIV/0!</v>
      </c>
      <c r="N755" s="54" t="e">
        <f t="shared" si="506"/>
        <v>#DIV/0!</v>
      </c>
      <c r="O755" s="54" t="e">
        <f t="shared" si="506"/>
        <v>#DIV/0!</v>
      </c>
      <c r="P755" s="54" t="e">
        <f t="shared" si="506"/>
        <v>#DIV/0!</v>
      </c>
      <c r="Q755" s="54" t="e">
        <f t="shared" si="506"/>
        <v>#DIV/0!</v>
      </c>
      <c r="R755" s="54" t="e">
        <f t="shared" si="506"/>
        <v>#DIV/0!</v>
      </c>
      <c r="S755" s="54" t="e">
        <f t="shared" si="506"/>
        <v>#DIV/0!</v>
      </c>
      <c r="T755" s="54" t="e">
        <f t="shared" si="506"/>
        <v>#DIV/0!</v>
      </c>
      <c r="U755" s="54" t="e">
        <f t="shared" si="506"/>
        <v>#DIV/0!</v>
      </c>
      <c r="V755" s="54" t="e">
        <f t="shared" si="506"/>
        <v>#DIV/0!</v>
      </c>
      <c r="W755" s="258"/>
      <c r="X755" s="258"/>
    </row>
    <row r="756" spans="1:26">
      <c r="A756" s="46" t="str">
        <f>Home!$B$1</f>
        <v>Poland</v>
      </c>
      <c r="B756" s="47" t="s">
        <v>94</v>
      </c>
      <c r="C756" s="47" t="s">
        <v>546</v>
      </c>
      <c r="D756" s="47" t="s">
        <v>67</v>
      </c>
      <c r="E756" s="46" t="s">
        <v>278</v>
      </c>
      <c r="F756" s="48" t="s">
        <v>622</v>
      </c>
      <c r="G756" s="48" t="s">
        <v>15</v>
      </c>
      <c r="H756" s="48" t="s">
        <v>16</v>
      </c>
      <c r="I756" s="48"/>
      <c r="J756" s="48" t="s">
        <v>99</v>
      </c>
      <c r="K756" s="49"/>
      <c r="L756" s="92">
        <f>VLOOKUP(E756,'Tourism Demand &amp; Flows'!$E$342:$P$548,8,0)</f>
        <v>0</v>
      </c>
      <c r="M756" s="92">
        <f>VLOOKUP(E756,'Tourism Demand &amp; Flows'!$E$342:$P$548,9,0)</f>
        <v>0</v>
      </c>
      <c r="N756" s="92">
        <f>VLOOKUP(E756,'Tourism Demand &amp; Flows'!$E$342:$P$548,10,0)</f>
        <v>0</v>
      </c>
      <c r="O756" s="92">
        <f>VLOOKUP(E756,'Tourism Demand &amp; Flows'!$E$342:$P$548,11,0)</f>
        <v>0</v>
      </c>
      <c r="P756" s="92">
        <f>VLOOKUP(E756,'Tourism Demand &amp; Flows'!$E$342:$P$548,12,0)</f>
        <v>0</v>
      </c>
      <c r="Q756" s="92">
        <f>Forecasting!Q828</f>
        <v>0</v>
      </c>
      <c r="R756" s="110">
        <f>Forecasting!R828</f>
        <v>0</v>
      </c>
      <c r="S756" s="110">
        <f>Forecasting!S828</f>
        <v>0</v>
      </c>
      <c r="T756" s="110">
        <f>Forecasting!T828</f>
        <v>0</v>
      </c>
      <c r="U756" s="110">
        <f>Forecasting!U828</f>
        <v>0</v>
      </c>
      <c r="V756" s="110">
        <f>Forecasting!V828</f>
        <v>0</v>
      </c>
      <c r="W756" s="102" t="e">
        <f>+(Q756/M756)^(1/4)-1</f>
        <v>#DIV/0!</v>
      </c>
      <c r="X756" s="102" t="e">
        <f>+(V756/Q756)^(1/5)-1</f>
        <v>#DIV/0!</v>
      </c>
      <c r="Z756" s="11"/>
    </row>
    <row r="757" spans="1:26">
      <c r="A757" s="48"/>
      <c r="B757" s="48"/>
      <c r="C757" s="52" t="s">
        <v>892</v>
      </c>
      <c r="D757" s="52"/>
      <c r="E757" s="52"/>
      <c r="F757" s="52"/>
      <c r="G757" s="52"/>
      <c r="H757" s="52"/>
      <c r="I757" s="52"/>
      <c r="J757" s="52" t="s">
        <v>58</v>
      </c>
      <c r="K757" s="49"/>
      <c r="L757" s="53"/>
      <c r="M757" s="54" t="e">
        <f t="shared" ref="M757:V757" si="507">M756/L756-1</f>
        <v>#DIV/0!</v>
      </c>
      <c r="N757" s="54" t="e">
        <f t="shared" si="507"/>
        <v>#DIV/0!</v>
      </c>
      <c r="O757" s="54" t="e">
        <f t="shared" si="507"/>
        <v>#DIV/0!</v>
      </c>
      <c r="P757" s="54" t="e">
        <f t="shared" si="507"/>
        <v>#DIV/0!</v>
      </c>
      <c r="Q757" s="54" t="e">
        <f t="shared" si="507"/>
        <v>#DIV/0!</v>
      </c>
      <c r="R757" s="54" t="e">
        <f t="shared" si="507"/>
        <v>#DIV/0!</v>
      </c>
      <c r="S757" s="54" t="e">
        <f t="shared" si="507"/>
        <v>#DIV/0!</v>
      </c>
      <c r="T757" s="54" t="e">
        <f t="shared" si="507"/>
        <v>#DIV/0!</v>
      </c>
      <c r="U757" s="54" t="e">
        <f t="shared" si="507"/>
        <v>#DIV/0!</v>
      </c>
      <c r="V757" s="54" t="e">
        <f t="shared" si="507"/>
        <v>#DIV/0!</v>
      </c>
      <c r="W757" s="258"/>
      <c r="X757" s="258"/>
    </row>
    <row r="758" spans="1:26">
      <c r="A758" s="46" t="str">
        <f>Home!$B$1</f>
        <v>Poland</v>
      </c>
      <c r="B758" s="47" t="s">
        <v>94</v>
      </c>
      <c r="C758" s="47" t="s">
        <v>546</v>
      </c>
      <c r="D758" s="47" t="s">
        <v>67</v>
      </c>
      <c r="E758" s="46" t="s">
        <v>280</v>
      </c>
      <c r="F758" s="48" t="s">
        <v>623</v>
      </c>
      <c r="G758" s="48" t="s">
        <v>15</v>
      </c>
      <c r="H758" s="48" t="s">
        <v>16</v>
      </c>
      <c r="I758" s="48"/>
      <c r="J758" s="48" t="s">
        <v>99</v>
      </c>
      <c r="K758" s="49"/>
      <c r="L758" s="92">
        <f>VLOOKUP(E758,'Tourism Demand &amp; Flows'!$E$342:$P$548,8,0)</f>
        <v>0</v>
      </c>
      <c r="M758" s="92">
        <f>VLOOKUP(E758,'Tourism Demand &amp; Flows'!$E$342:$P$548,9,0)</f>
        <v>0</v>
      </c>
      <c r="N758" s="92">
        <f>VLOOKUP(E758,'Tourism Demand &amp; Flows'!$E$342:$P$548,10,0)</f>
        <v>0</v>
      </c>
      <c r="O758" s="92">
        <f>VLOOKUP(E758,'Tourism Demand &amp; Flows'!$E$342:$P$548,11,0)</f>
        <v>0</v>
      </c>
      <c r="P758" s="92">
        <f>VLOOKUP(E758,'Tourism Demand &amp; Flows'!$E$342:$P$548,12,0)</f>
        <v>0</v>
      </c>
      <c r="Q758" s="92">
        <f>Forecasting!Q830</f>
        <v>0</v>
      </c>
      <c r="R758" s="110">
        <f>Forecasting!R830</f>
        <v>0</v>
      </c>
      <c r="S758" s="110">
        <f>Forecasting!S830</f>
        <v>0</v>
      </c>
      <c r="T758" s="110">
        <f>Forecasting!T830</f>
        <v>0</v>
      </c>
      <c r="U758" s="110">
        <f>Forecasting!U830</f>
        <v>0</v>
      </c>
      <c r="V758" s="110">
        <f>Forecasting!V830</f>
        <v>0</v>
      </c>
      <c r="W758" s="102" t="e">
        <f>+(Q758/M758)^(1/4)-1</f>
        <v>#DIV/0!</v>
      </c>
      <c r="X758" s="102" t="e">
        <f>+(V758/Q758)^(1/5)-1</f>
        <v>#DIV/0!</v>
      </c>
      <c r="Z758" s="11"/>
    </row>
    <row r="759" spans="1:26">
      <c r="A759" s="48"/>
      <c r="B759" s="48"/>
      <c r="C759" s="52" t="s">
        <v>892</v>
      </c>
      <c r="D759" s="52"/>
      <c r="E759" s="52"/>
      <c r="F759" s="52"/>
      <c r="G759" s="52"/>
      <c r="H759" s="52"/>
      <c r="I759" s="52"/>
      <c r="J759" s="52" t="s">
        <v>58</v>
      </c>
      <c r="K759" s="49"/>
      <c r="L759" s="53"/>
      <c r="M759" s="54" t="e">
        <f t="shared" ref="M759:V759" si="508">M758/L758-1</f>
        <v>#DIV/0!</v>
      </c>
      <c r="N759" s="54" t="e">
        <f t="shared" si="508"/>
        <v>#DIV/0!</v>
      </c>
      <c r="O759" s="54" t="e">
        <f t="shared" si="508"/>
        <v>#DIV/0!</v>
      </c>
      <c r="P759" s="54" t="e">
        <f t="shared" si="508"/>
        <v>#DIV/0!</v>
      </c>
      <c r="Q759" s="54" t="e">
        <f t="shared" si="508"/>
        <v>#DIV/0!</v>
      </c>
      <c r="R759" s="54" t="e">
        <f t="shared" si="508"/>
        <v>#DIV/0!</v>
      </c>
      <c r="S759" s="54" t="e">
        <f t="shared" si="508"/>
        <v>#DIV/0!</v>
      </c>
      <c r="T759" s="54" t="e">
        <f t="shared" si="508"/>
        <v>#DIV/0!</v>
      </c>
      <c r="U759" s="54" t="e">
        <f t="shared" si="508"/>
        <v>#DIV/0!</v>
      </c>
      <c r="V759" s="54" t="e">
        <f t="shared" si="508"/>
        <v>#DIV/0!</v>
      </c>
      <c r="W759" s="258"/>
      <c r="X759" s="258"/>
    </row>
    <row r="760" spans="1:26">
      <c r="A760" s="46" t="str">
        <f>Home!$B$1</f>
        <v>Poland</v>
      </c>
      <c r="B760" s="47" t="s">
        <v>94</v>
      </c>
      <c r="C760" s="47" t="s">
        <v>546</v>
      </c>
      <c r="D760" s="47" t="s">
        <v>67</v>
      </c>
      <c r="E760" s="46" t="s">
        <v>282</v>
      </c>
      <c r="F760" s="48" t="s">
        <v>624</v>
      </c>
      <c r="G760" s="48" t="s">
        <v>15</v>
      </c>
      <c r="H760" s="48" t="s">
        <v>16</v>
      </c>
      <c r="I760" s="48"/>
      <c r="J760" s="48" t="s">
        <v>99</v>
      </c>
      <c r="K760" s="49"/>
      <c r="L760" s="92">
        <f>VLOOKUP(E760,'Tourism Demand &amp; Flows'!$E$342:$P$548,8,0)</f>
        <v>0</v>
      </c>
      <c r="M760" s="92">
        <f>VLOOKUP(E760,'Tourism Demand &amp; Flows'!$E$342:$P$548,9,0)</f>
        <v>0</v>
      </c>
      <c r="N760" s="92">
        <f>VLOOKUP(E760,'Tourism Demand &amp; Flows'!$E$342:$P$548,10,0)</f>
        <v>0</v>
      </c>
      <c r="O760" s="92">
        <f>VLOOKUP(E760,'Tourism Demand &amp; Flows'!$E$342:$P$548,11,0)</f>
        <v>0</v>
      </c>
      <c r="P760" s="92">
        <f>VLOOKUP(E760,'Tourism Demand &amp; Flows'!$E$342:$P$548,12,0)</f>
        <v>0</v>
      </c>
      <c r="Q760" s="92">
        <f>Forecasting!Q832</f>
        <v>0</v>
      </c>
      <c r="R760" s="110">
        <f>Forecasting!R832</f>
        <v>0</v>
      </c>
      <c r="S760" s="110">
        <f>Forecasting!S832</f>
        <v>0</v>
      </c>
      <c r="T760" s="110">
        <f>Forecasting!T832</f>
        <v>0</v>
      </c>
      <c r="U760" s="110">
        <f>Forecasting!U832</f>
        <v>0</v>
      </c>
      <c r="V760" s="110">
        <f>Forecasting!V832</f>
        <v>0</v>
      </c>
      <c r="W760" s="102" t="e">
        <f>+(Q760/M760)^(1/4)-1</f>
        <v>#DIV/0!</v>
      </c>
      <c r="X760" s="102" t="e">
        <f>+(V760/Q760)^(1/5)-1</f>
        <v>#DIV/0!</v>
      </c>
      <c r="Z760" s="11"/>
    </row>
    <row r="761" spans="1:26">
      <c r="A761" s="48"/>
      <c r="B761" s="48"/>
      <c r="C761" s="52" t="s">
        <v>892</v>
      </c>
      <c r="D761" s="52"/>
      <c r="E761" s="52"/>
      <c r="F761" s="52"/>
      <c r="G761" s="52"/>
      <c r="H761" s="52"/>
      <c r="I761" s="52"/>
      <c r="J761" s="52" t="s">
        <v>58</v>
      </c>
      <c r="K761" s="49"/>
      <c r="L761" s="53"/>
      <c r="M761" s="54" t="e">
        <f t="shared" ref="M761:V761" si="509">M760/L760-1</f>
        <v>#DIV/0!</v>
      </c>
      <c r="N761" s="54" t="e">
        <f t="shared" si="509"/>
        <v>#DIV/0!</v>
      </c>
      <c r="O761" s="54" t="e">
        <f t="shared" si="509"/>
        <v>#DIV/0!</v>
      </c>
      <c r="P761" s="54" t="e">
        <f t="shared" si="509"/>
        <v>#DIV/0!</v>
      </c>
      <c r="Q761" s="54" t="e">
        <f t="shared" si="509"/>
        <v>#DIV/0!</v>
      </c>
      <c r="R761" s="54" t="e">
        <f t="shared" si="509"/>
        <v>#DIV/0!</v>
      </c>
      <c r="S761" s="54" t="e">
        <f t="shared" si="509"/>
        <v>#DIV/0!</v>
      </c>
      <c r="T761" s="54" t="e">
        <f t="shared" si="509"/>
        <v>#DIV/0!</v>
      </c>
      <c r="U761" s="54" t="e">
        <f t="shared" si="509"/>
        <v>#DIV/0!</v>
      </c>
      <c r="V761" s="54" t="e">
        <f t="shared" si="509"/>
        <v>#DIV/0!</v>
      </c>
      <c r="W761" s="258"/>
      <c r="X761" s="258"/>
    </row>
    <row r="762" spans="1:26">
      <c r="A762" s="46" t="str">
        <f>Home!$B$1</f>
        <v>Poland</v>
      </c>
      <c r="B762" s="47" t="s">
        <v>94</v>
      </c>
      <c r="C762" s="47" t="s">
        <v>546</v>
      </c>
      <c r="D762" s="47" t="s">
        <v>67</v>
      </c>
      <c r="E762" s="46" t="s">
        <v>284</v>
      </c>
      <c r="F762" s="48" t="s">
        <v>625</v>
      </c>
      <c r="G762" s="48" t="s">
        <v>15</v>
      </c>
      <c r="H762" s="48" t="s">
        <v>16</v>
      </c>
      <c r="I762" s="48"/>
      <c r="J762" s="48" t="s">
        <v>99</v>
      </c>
      <c r="K762" s="49">
        <v>121</v>
      </c>
      <c r="L762" s="92">
        <f>VLOOKUP(E762,'Tourism Demand &amp; Flows'!$E$342:$P$548,8,0)</f>
        <v>0</v>
      </c>
      <c r="M762" s="92">
        <f>VLOOKUP(E762,'Tourism Demand &amp; Flows'!$E$342:$P$548,9,0)</f>
        <v>0</v>
      </c>
      <c r="N762" s="92">
        <f>VLOOKUP(E762,'Tourism Demand &amp; Flows'!$E$342:$P$548,10,0)</f>
        <v>0</v>
      </c>
      <c r="O762" s="92">
        <f>VLOOKUP(E762,'Tourism Demand &amp; Flows'!$E$342:$P$548,11,0)</f>
        <v>0</v>
      </c>
      <c r="P762" s="92">
        <f>VLOOKUP(E762,'Tourism Demand &amp; Flows'!$E$342:$P$548,12,0)</f>
        <v>0</v>
      </c>
      <c r="Q762" s="92">
        <f>Forecasting!Q834</f>
        <v>0</v>
      </c>
      <c r="R762" s="110">
        <f>Forecasting!R834</f>
        <v>0</v>
      </c>
      <c r="S762" s="110">
        <f>Forecasting!S834</f>
        <v>0</v>
      </c>
      <c r="T762" s="110">
        <f>Forecasting!T834</f>
        <v>0</v>
      </c>
      <c r="U762" s="110">
        <f>Forecasting!U834</f>
        <v>0</v>
      </c>
      <c r="V762" s="110">
        <f>Forecasting!V834</f>
        <v>0</v>
      </c>
      <c r="W762" s="102" t="e">
        <f>+(Q762/M762)^(1/4)-1</f>
        <v>#DIV/0!</v>
      </c>
      <c r="X762" s="102" t="e">
        <f>+(V762/Q762)^(1/5)-1</f>
        <v>#DIV/0!</v>
      </c>
      <c r="Z762" s="11"/>
    </row>
    <row r="763" spans="1:26">
      <c r="A763" s="48"/>
      <c r="B763" s="48"/>
      <c r="C763" s="52" t="s">
        <v>892</v>
      </c>
      <c r="D763" s="52"/>
      <c r="E763" s="52"/>
      <c r="F763" s="52"/>
      <c r="G763" s="52"/>
      <c r="H763" s="52"/>
      <c r="I763" s="52"/>
      <c r="J763" s="52" t="s">
        <v>58</v>
      </c>
      <c r="K763" s="49"/>
      <c r="L763" s="53"/>
      <c r="M763" s="54" t="e">
        <f t="shared" ref="M763:V763" si="510">M762/L762-1</f>
        <v>#DIV/0!</v>
      </c>
      <c r="N763" s="54" t="e">
        <f t="shared" si="510"/>
        <v>#DIV/0!</v>
      </c>
      <c r="O763" s="54" t="e">
        <f t="shared" si="510"/>
        <v>#DIV/0!</v>
      </c>
      <c r="P763" s="54" t="e">
        <f t="shared" si="510"/>
        <v>#DIV/0!</v>
      </c>
      <c r="Q763" s="54" t="e">
        <f t="shared" si="510"/>
        <v>#DIV/0!</v>
      </c>
      <c r="R763" s="54" t="e">
        <f t="shared" si="510"/>
        <v>#DIV/0!</v>
      </c>
      <c r="S763" s="54" t="e">
        <f t="shared" si="510"/>
        <v>#DIV/0!</v>
      </c>
      <c r="T763" s="54" t="e">
        <f t="shared" si="510"/>
        <v>#DIV/0!</v>
      </c>
      <c r="U763" s="54" t="e">
        <f t="shared" si="510"/>
        <v>#DIV/0!</v>
      </c>
      <c r="V763" s="54" t="e">
        <f t="shared" si="510"/>
        <v>#DIV/0!</v>
      </c>
      <c r="W763" s="258"/>
      <c r="X763" s="258"/>
    </row>
    <row r="764" spans="1:26">
      <c r="A764" s="46" t="str">
        <f>Home!$B$1</f>
        <v>Poland</v>
      </c>
      <c r="B764" s="47" t="s">
        <v>94</v>
      </c>
      <c r="C764" s="47" t="s">
        <v>546</v>
      </c>
      <c r="D764" s="47" t="s">
        <v>67</v>
      </c>
      <c r="E764" s="46" t="s">
        <v>286</v>
      </c>
      <c r="F764" s="48" t="s">
        <v>626</v>
      </c>
      <c r="G764" s="48" t="s">
        <v>15</v>
      </c>
      <c r="H764" s="48" t="s">
        <v>16</v>
      </c>
      <c r="I764" s="48"/>
      <c r="J764" s="48" t="s">
        <v>99</v>
      </c>
      <c r="K764" s="49"/>
      <c r="L764" s="92">
        <f>VLOOKUP(E764,'Tourism Demand &amp; Flows'!$E$342:$P$548,8,0)</f>
        <v>0</v>
      </c>
      <c r="M764" s="92">
        <f>VLOOKUP(E764,'Tourism Demand &amp; Flows'!$E$342:$P$548,9,0)</f>
        <v>0</v>
      </c>
      <c r="N764" s="92">
        <f>VLOOKUP(E764,'Tourism Demand &amp; Flows'!$E$342:$P$548,10,0)</f>
        <v>0</v>
      </c>
      <c r="O764" s="92">
        <f>VLOOKUP(E764,'Tourism Demand &amp; Flows'!$E$342:$P$548,11,0)</f>
        <v>0</v>
      </c>
      <c r="P764" s="92">
        <f>VLOOKUP(E764,'Tourism Demand &amp; Flows'!$E$342:$P$548,12,0)</f>
        <v>0</v>
      </c>
      <c r="Q764" s="92">
        <f>Forecasting!Q836</f>
        <v>0</v>
      </c>
      <c r="R764" s="110">
        <f>Forecasting!R836</f>
        <v>0</v>
      </c>
      <c r="S764" s="110">
        <f>Forecasting!S836</f>
        <v>0</v>
      </c>
      <c r="T764" s="110">
        <f>Forecasting!T836</f>
        <v>0</v>
      </c>
      <c r="U764" s="110">
        <f>Forecasting!U836</f>
        <v>0</v>
      </c>
      <c r="V764" s="110">
        <f>Forecasting!V836</f>
        <v>0</v>
      </c>
      <c r="W764" s="102" t="e">
        <f>+(Q764/M764)^(1/4)-1</f>
        <v>#DIV/0!</v>
      </c>
      <c r="X764" s="102" t="e">
        <f>+(V764/Q764)^(1/5)-1</f>
        <v>#DIV/0!</v>
      </c>
      <c r="Z764" s="11"/>
    </row>
    <row r="765" spans="1:26">
      <c r="A765" s="48"/>
      <c r="B765" s="48"/>
      <c r="C765" s="52" t="s">
        <v>892</v>
      </c>
      <c r="D765" s="52"/>
      <c r="E765" s="52"/>
      <c r="F765" s="52"/>
      <c r="G765" s="52"/>
      <c r="H765" s="52"/>
      <c r="I765" s="52"/>
      <c r="J765" s="52" t="s">
        <v>58</v>
      </c>
      <c r="K765" s="49"/>
      <c r="L765" s="53"/>
      <c r="M765" s="54" t="e">
        <f t="shared" ref="M765:V765" si="511">M764/L764-1</f>
        <v>#DIV/0!</v>
      </c>
      <c r="N765" s="54" t="e">
        <f t="shared" si="511"/>
        <v>#DIV/0!</v>
      </c>
      <c r="O765" s="54" t="e">
        <f t="shared" si="511"/>
        <v>#DIV/0!</v>
      </c>
      <c r="P765" s="54" t="e">
        <f t="shared" si="511"/>
        <v>#DIV/0!</v>
      </c>
      <c r="Q765" s="54" t="e">
        <f t="shared" si="511"/>
        <v>#DIV/0!</v>
      </c>
      <c r="R765" s="54" t="e">
        <f t="shared" si="511"/>
        <v>#DIV/0!</v>
      </c>
      <c r="S765" s="54" t="e">
        <f t="shared" si="511"/>
        <v>#DIV/0!</v>
      </c>
      <c r="T765" s="54" t="e">
        <f t="shared" si="511"/>
        <v>#DIV/0!</v>
      </c>
      <c r="U765" s="54" t="e">
        <f t="shared" si="511"/>
        <v>#DIV/0!</v>
      </c>
      <c r="V765" s="54" t="e">
        <f t="shared" si="511"/>
        <v>#DIV/0!</v>
      </c>
      <c r="W765" s="258"/>
      <c r="X765" s="258"/>
    </row>
    <row r="766" spans="1:26">
      <c r="A766" s="46" t="str">
        <f>Home!$B$1</f>
        <v>Poland</v>
      </c>
      <c r="B766" s="47" t="s">
        <v>94</v>
      </c>
      <c r="C766" s="47" t="s">
        <v>546</v>
      </c>
      <c r="D766" s="47" t="s">
        <v>67</v>
      </c>
      <c r="E766" s="46" t="s">
        <v>288</v>
      </c>
      <c r="F766" s="48" t="s">
        <v>627</v>
      </c>
      <c r="G766" s="48" t="s">
        <v>15</v>
      </c>
      <c r="H766" s="48" t="s">
        <v>16</v>
      </c>
      <c r="I766" s="48"/>
      <c r="J766" s="48" t="s">
        <v>99</v>
      </c>
      <c r="K766" s="49"/>
      <c r="L766" s="92">
        <f>VLOOKUP(E766,'Tourism Demand &amp; Flows'!$E$342:$P$548,8,0)</f>
        <v>0</v>
      </c>
      <c r="M766" s="92">
        <f>VLOOKUP(E766,'Tourism Demand &amp; Flows'!$E$342:$P$548,9,0)</f>
        <v>0</v>
      </c>
      <c r="N766" s="92">
        <f>VLOOKUP(E766,'Tourism Demand &amp; Flows'!$E$342:$P$548,10,0)</f>
        <v>0</v>
      </c>
      <c r="O766" s="92">
        <f>VLOOKUP(E766,'Tourism Demand &amp; Flows'!$E$342:$P$548,11,0)</f>
        <v>0</v>
      </c>
      <c r="P766" s="92">
        <f>VLOOKUP(E766,'Tourism Demand &amp; Flows'!$E$342:$P$548,12,0)</f>
        <v>0</v>
      </c>
      <c r="Q766" s="92">
        <f>Forecasting!Q838</f>
        <v>0</v>
      </c>
      <c r="R766" s="110">
        <f>Forecasting!R838</f>
        <v>0</v>
      </c>
      <c r="S766" s="110">
        <f>Forecasting!S838</f>
        <v>0</v>
      </c>
      <c r="T766" s="110">
        <f>Forecasting!T838</f>
        <v>0</v>
      </c>
      <c r="U766" s="110">
        <f>Forecasting!U838</f>
        <v>0</v>
      </c>
      <c r="V766" s="110">
        <f>Forecasting!V838</f>
        <v>0</v>
      </c>
      <c r="W766" s="102" t="e">
        <f>+(Q766/M766)^(1/4)-1</f>
        <v>#DIV/0!</v>
      </c>
      <c r="X766" s="102" t="e">
        <f>+(V766/Q766)^(1/5)-1</f>
        <v>#DIV/0!</v>
      </c>
      <c r="Z766" s="11"/>
    </row>
    <row r="767" spans="1:26">
      <c r="A767" s="48"/>
      <c r="B767" s="48"/>
      <c r="C767" s="52" t="s">
        <v>892</v>
      </c>
      <c r="D767" s="52"/>
      <c r="E767" s="52"/>
      <c r="F767" s="52"/>
      <c r="G767" s="52"/>
      <c r="H767" s="52"/>
      <c r="I767" s="52"/>
      <c r="J767" s="52" t="s">
        <v>58</v>
      </c>
      <c r="K767" s="49"/>
      <c r="L767" s="53"/>
      <c r="M767" s="54" t="e">
        <f t="shared" ref="M767:V767" si="512">M766/L766-1</f>
        <v>#DIV/0!</v>
      </c>
      <c r="N767" s="54" t="e">
        <f t="shared" si="512"/>
        <v>#DIV/0!</v>
      </c>
      <c r="O767" s="54" t="e">
        <f t="shared" si="512"/>
        <v>#DIV/0!</v>
      </c>
      <c r="P767" s="54" t="e">
        <f t="shared" si="512"/>
        <v>#DIV/0!</v>
      </c>
      <c r="Q767" s="54" t="e">
        <f t="shared" si="512"/>
        <v>#DIV/0!</v>
      </c>
      <c r="R767" s="54" t="e">
        <f t="shared" si="512"/>
        <v>#DIV/0!</v>
      </c>
      <c r="S767" s="54" t="e">
        <f t="shared" si="512"/>
        <v>#DIV/0!</v>
      </c>
      <c r="T767" s="54" t="e">
        <f t="shared" si="512"/>
        <v>#DIV/0!</v>
      </c>
      <c r="U767" s="54" t="e">
        <f t="shared" si="512"/>
        <v>#DIV/0!</v>
      </c>
      <c r="V767" s="54" t="e">
        <f t="shared" si="512"/>
        <v>#DIV/0!</v>
      </c>
      <c r="W767" s="258"/>
      <c r="X767" s="258"/>
    </row>
    <row r="768" spans="1:26">
      <c r="A768" s="46" t="str">
        <f>Home!$B$1</f>
        <v>Poland</v>
      </c>
      <c r="B768" s="47" t="s">
        <v>94</v>
      </c>
      <c r="C768" s="47" t="s">
        <v>546</v>
      </c>
      <c r="D768" s="47" t="s">
        <v>67</v>
      </c>
      <c r="E768" s="46" t="s">
        <v>290</v>
      </c>
      <c r="F768" s="48" t="s">
        <v>628</v>
      </c>
      <c r="G768" s="48" t="s">
        <v>15</v>
      </c>
      <c r="H768" s="48" t="s">
        <v>16</v>
      </c>
      <c r="I768" s="48"/>
      <c r="J768" s="48" t="s">
        <v>99</v>
      </c>
      <c r="K768" s="49"/>
      <c r="L768" s="92">
        <f>VLOOKUP(E768,'Tourism Demand &amp; Flows'!$E$342:$P$548,8,0)</f>
        <v>0</v>
      </c>
      <c r="M768" s="92">
        <f>VLOOKUP(E768,'Tourism Demand &amp; Flows'!$E$342:$P$548,9,0)</f>
        <v>0</v>
      </c>
      <c r="N768" s="92">
        <f>VLOOKUP(E768,'Tourism Demand &amp; Flows'!$E$342:$P$548,10,0)</f>
        <v>0</v>
      </c>
      <c r="O768" s="92">
        <f>VLOOKUP(E768,'Tourism Demand &amp; Flows'!$E$342:$P$548,11,0)</f>
        <v>0</v>
      </c>
      <c r="P768" s="92">
        <f>VLOOKUP(E768,'Tourism Demand &amp; Flows'!$E$342:$P$548,12,0)</f>
        <v>0</v>
      </c>
      <c r="Q768" s="92">
        <f>Forecasting!Q840</f>
        <v>0</v>
      </c>
      <c r="R768" s="110">
        <f>Forecasting!R840</f>
        <v>0</v>
      </c>
      <c r="S768" s="110">
        <f>Forecasting!S840</f>
        <v>0</v>
      </c>
      <c r="T768" s="110">
        <f>Forecasting!T840</f>
        <v>0</v>
      </c>
      <c r="U768" s="110">
        <f>Forecasting!U840</f>
        <v>0</v>
      </c>
      <c r="V768" s="110">
        <f>Forecasting!V840</f>
        <v>0</v>
      </c>
      <c r="W768" s="102" t="e">
        <f>+(Q768/M768)^(1/4)-1</f>
        <v>#DIV/0!</v>
      </c>
      <c r="X768" s="102" t="e">
        <f>+(V768/Q768)^(1/5)-1</f>
        <v>#DIV/0!</v>
      </c>
      <c r="Z768" s="11"/>
    </row>
    <row r="769" spans="1:26">
      <c r="A769" s="48"/>
      <c r="B769" s="48"/>
      <c r="C769" s="52" t="s">
        <v>892</v>
      </c>
      <c r="D769" s="52"/>
      <c r="E769" s="52"/>
      <c r="F769" s="52"/>
      <c r="G769" s="52"/>
      <c r="H769" s="52"/>
      <c r="I769" s="52"/>
      <c r="J769" s="52" t="s">
        <v>58</v>
      </c>
      <c r="K769" s="49"/>
      <c r="L769" s="53"/>
      <c r="M769" s="54" t="e">
        <f t="shared" ref="M769:V769" si="513">M768/L768-1</f>
        <v>#DIV/0!</v>
      </c>
      <c r="N769" s="54" t="e">
        <f t="shared" si="513"/>
        <v>#DIV/0!</v>
      </c>
      <c r="O769" s="54" t="e">
        <f t="shared" si="513"/>
        <v>#DIV/0!</v>
      </c>
      <c r="P769" s="54" t="e">
        <f t="shared" si="513"/>
        <v>#DIV/0!</v>
      </c>
      <c r="Q769" s="54" t="e">
        <f t="shared" si="513"/>
        <v>#DIV/0!</v>
      </c>
      <c r="R769" s="54" t="e">
        <f t="shared" si="513"/>
        <v>#DIV/0!</v>
      </c>
      <c r="S769" s="54" t="e">
        <f t="shared" si="513"/>
        <v>#DIV/0!</v>
      </c>
      <c r="T769" s="54" t="e">
        <f t="shared" si="513"/>
        <v>#DIV/0!</v>
      </c>
      <c r="U769" s="54" t="e">
        <f t="shared" si="513"/>
        <v>#DIV/0!</v>
      </c>
      <c r="V769" s="54" t="e">
        <f t="shared" si="513"/>
        <v>#DIV/0!</v>
      </c>
      <c r="W769" s="258"/>
      <c r="X769" s="258"/>
    </row>
    <row r="770" spans="1:26">
      <c r="A770" s="46" t="str">
        <f>Home!$B$1</f>
        <v>Poland</v>
      </c>
      <c r="B770" s="47" t="s">
        <v>94</v>
      </c>
      <c r="C770" s="47" t="s">
        <v>546</v>
      </c>
      <c r="D770" s="47" t="s">
        <v>67</v>
      </c>
      <c r="E770" s="46" t="s">
        <v>292</v>
      </c>
      <c r="F770" s="48" t="s">
        <v>629</v>
      </c>
      <c r="G770" s="48" t="s">
        <v>15</v>
      </c>
      <c r="H770" s="48" t="s">
        <v>16</v>
      </c>
      <c r="I770" s="48"/>
      <c r="J770" s="48" t="s">
        <v>99</v>
      </c>
      <c r="K770" s="49"/>
      <c r="L770" s="92">
        <f>VLOOKUP(E770,'Tourism Demand &amp; Flows'!$E$342:$P$548,8,0)</f>
        <v>0</v>
      </c>
      <c r="M770" s="92">
        <f>VLOOKUP(E770,'Tourism Demand &amp; Flows'!$E$342:$P$548,9,0)</f>
        <v>0</v>
      </c>
      <c r="N770" s="92">
        <f>VLOOKUP(E770,'Tourism Demand &amp; Flows'!$E$342:$P$548,10,0)</f>
        <v>0</v>
      </c>
      <c r="O770" s="92">
        <f>VLOOKUP(E770,'Tourism Demand &amp; Flows'!$E$342:$P$548,11,0)</f>
        <v>0</v>
      </c>
      <c r="P770" s="92">
        <f>VLOOKUP(E770,'Tourism Demand &amp; Flows'!$E$342:$P$548,12,0)</f>
        <v>0</v>
      </c>
      <c r="Q770" s="92">
        <f>Forecasting!Q842</f>
        <v>0</v>
      </c>
      <c r="R770" s="110">
        <f>Forecasting!R842</f>
        <v>0</v>
      </c>
      <c r="S770" s="110">
        <f>Forecasting!S842</f>
        <v>0</v>
      </c>
      <c r="T770" s="110">
        <f>Forecasting!T842</f>
        <v>0</v>
      </c>
      <c r="U770" s="110">
        <f>Forecasting!U842</f>
        <v>0</v>
      </c>
      <c r="V770" s="110">
        <f>Forecasting!V842</f>
        <v>0</v>
      </c>
      <c r="W770" s="102" t="e">
        <f>+(Q770/M770)^(1/4)-1</f>
        <v>#DIV/0!</v>
      </c>
      <c r="X770" s="102" t="e">
        <f>+(V770/Q770)^(1/5)-1</f>
        <v>#DIV/0!</v>
      </c>
      <c r="Z770" s="11"/>
    </row>
    <row r="771" spans="1:26">
      <c r="A771" s="48"/>
      <c r="B771" s="48"/>
      <c r="C771" s="52" t="s">
        <v>892</v>
      </c>
      <c r="D771" s="52"/>
      <c r="E771" s="52"/>
      <c r="F771" s="52"/>
      <c r="G771" s="52"/>
      <c r="H771" s="52"/>
      <c r="I771" s="52"/>
      <c r="J771" s="52" t="s">
        <v>58</v>
      </c>
      <c r="K771" s="49"/>
      <c r="L771" s="53"/>
      <c r="M771" s="54" t="e">
        <f t="shared" ref="M771:V771" si="514">M770/L770-1</f>
        <v>#DIV/0!</v>
      </c>
      <c r="N771" s="54" t="e">
        <f t="shared" si="514"/>
        <v>#DIV/0!</v>
      </c>
      <c r="O771" s="54" t="e">
        <f t="shared" si="514"/>
        <v>#DIV/0!</v>
      </c>
      <c r="P771" s="54" t="e">
        <f t="shared" si="514"/>
        <v>#DIV/0!</v>
      </c>
      <c r="Q771" s="54" t="e">
        <f t="shared" si="514"/>
        <v>#DIV/0!</v>
      </c>
      <c r="R771" s="54" t="e">
        <f t="shared" si="514"/>
        <v>#DIV/0!</v>
      </c>
      <c r="S771" s="54" t="e">
        <f t="shared" si="514"/>
        <v>#DIV/0!</v>
      </c>
      <c r="T771" s="54" t="e">
        <f t="shared" si="514"/>
        <v>#DIV/0!</v>
      </c>
      <c r="U771" s="54" t="e">
        <f t="shared" si="514"/>
        <v>#DIV/0!</v>
      </c>
      <c r="V771" s="54" t="e">
        <f t="shared" si="514"/>
        <v>#DIV/0!</v>
      </c>
      <c r="W771" s="258"/>
      <c r="X771" s="258"/>
    </row>
    <row r="772" spans="1:26">
      <c r="A772" s="46" t="str">
        <f>Home!$B$1</f>
        <v>Poland</v>
      </c>
      <c r="B772" s="47" t="s">
        <v>94</v>
      </c>
      <c r="C772" s="47" t="s">
        <v>546</v>
      </c>
      <c r="D772" s="47" t="s">
        <v>67</v>
      </c>
      <c r="E772" s="46" t="s">
        <v>294</v>
      </c>
      <c r="F772" s="48" t="s">
        <v>630</v>
      </c>
      <c r="G772" s="48" t="s">
        <v>15</v>
      </c>
      <c r="H772" s="48" t="s">
        <v>16</v>
      </c>
      <c r="I772" s="48"/>
      <c r="J772" s="48" t="s">
        <v>99</v>
      </c>
      <c r="K772" s="49"/>
      <c r="L772" s="92">
        <f>VLOOKUP(E772,'Tourism Demand &amp; Flows'!$E$342:$P$548,8,0)</f>
        <v>0</v>
      </c>
      <c r="M772" s="92">
        <f>VLOOKUP(E772,'Tourism Demand &amp; Flows'!$E$342:$P$548,9,0)</f>
        <v>0</v>
      </c>
      <c r="N772" s="92">
        <f>VLOOKUP(E772,'Tourism Demand &amp; Flows'!$E$342:$P$548,10,0)</f>
        <v>0</v>
      </c>
      <c r="O772" s="92">
        <f>VLOOKUP(E772,'Tourism Demand &amp; Flows'!$E$342:$P$548,11,0)</f>
        <v>0</v>
      </c>
      <c r="P772" s="92">
        <f>VLOOKUP(E772,'Tourism Demand &amp; Flows'!$E$342:$P$548,12,0)</f>
        <v>0</v>
      </c>
      <c r="Q772" s="92">
        <f>Forecasting!Q844</f>
        <v>0</v>
      </c>
      <c r="R772" s="110">
        <f>Forecasting!R844</f>
        <v>0</v>
      </c>
      <c r="S772" s="110">
        <f>Forecasting!S844</f>
        <v>0</v>
      </c>
      <c r="T772" s="110">
        <f>Forecasting!T844</f>
        <v>0</v>
      </c>
      <c r="U772" s="110">
        <f>Forecasting!U844</f>
        <v>0</v>
      </c>
      <c r="V772" s="110">
        <f>Forecasting!V844</f>
        <v>0</v>
      </c>
      <c r="W772" s="102" t="e">
        <f>+(Q772/M772)^(1/4)-1</f>
        <v>#DIV/0!</v>
      </c>
      <c r="X772" s="102" t="e">
        <f>+(V772/Q772)^(1/5)-1</f>
        <v>#DIV/0!</v>
      </c>
      <c r="Z772" s="11"/>
    </row>
    <row r="773" spans="1:26">
      <c r="A773" s="48"/>
      <c r="B773" s="48"/>
      <c r="C773" s="52" t="s">
        <v>892</v>
      </c>
      <c r="D773" s="52"/>
      <c r="E773" s="52"/>
      <c r="F773" s="52"/>
      <c r="G773" s="52"/>
      <c r="H773" s="52"/>
      <c r="I773" s="52"/>
      <c r="J773" s="52" t="s">
        <v>58</v>
      </c>
      <c r="K773" s="49"/>
      <c r="L773" s="53"/>
      <c r="M773" s="54" t="e">
        <f t="shared" ref="M773:V773" si="515">M772/L772-1</f>
        <v>#DIV/0!</v>
      </c>
      <c r="N773" s="54" t="e">
        <f t="shared" si="515"/>
        <v>#DIV/0!</v>
      </c>
      <c r="O773" s="54" t="e">
        <f t="shared" si="515"/>
        <v>#DIV/0!</v>
      </c>
      <c r="P773" s="54" t="e">
        <f t="shared" si="515"/>
        <v>#DIV/0!</v>
      </c>
      <c r="Q773" s="54" t="e">
        <f t="shared" si="515"/>
        <v>#DIV/0!</v>
      </c>
      <c r="R773" s="54" t="e">
        <f t="shared" si="515"/>
        <v>#DIV/0!</v>
      </c>
      <c r="S773" s="54" t="e">
        <f t="shared" si="515"/>
        <v>#DIV/0!</v>
      </c>
      <c r="T773" s="54" t="e">
        <f t="shared" si="515"/>
        <v>#DIV/0!</v>
      </c>
      <c r="U773" s="54" t="e">
        <f t="shared" si="515"/>
        <v>#DIV/0!</v>
      </c>
      <c r="V773" s="54" t="e">
        <f t="shared" si="515"/>
        <v>#DIV/0!</v>
      </c>
      <c r="W773" s="258"/>
      <c r="X773" s="258"/>
    </row>
    <row r="774" spans="1:26">
      <c r="A774" s="46" t="str">
        <f>Home!$B$1</f>
        <v>Poland</v>
      </c>
      <c r="B774" s="47" t="s">
        <v>94</v>
      </c>
      <c r="C774" s="47" t="s">
        <v>546</v>
      </c>
      <c r="D774" s="47" t="s">
        <v>67</v>
      </c>
      <c r="E774" s="46" t="s">
        <v>296</v>
      </c>
      <c r="F774" s="48" t="s">
        <v>631</v>
      </c>
      <c r="G774" s="48" t="s">
        <v>15</v>
      </c>
      <c r="H774" s="48" t="s">
        <v>16</v>
      </c>
      <c r="I774" s="48"/>
      <c r="J774" s="48" t="s">
        <v>99</v>
      </c>
      <c r="K774" s="49"/>
      <c r="L774" s="92">
        <f>VLOOKUP(E774,'Tourism Demand &amp; Flows'!$E$342:$P$548,8,0)</f>
        <v>0</v>
      </c>
      <c r="M774" s="92">
        <f>VLOOKUP(E774,'Tourism Demand &amp; Flows'!$E$342:$P$548,9,0)</f>
        <v>0</v>
      </c>
      <c r="N774" s="92">
        <f>VLOOKUP(E774,'Tourism Demand &amp; Flows'!$E$342:$P$548,10,0)</f>
        <v>0</v>
      </c>
      <c r="O774" s="92">
        <f>VLOOKUP(E774,'Tourism Demand &amp; Flows'!$E$342:$P$548,11,0)</f>
        <v>0</v>
      </c>
      <c r="P774" s="92">
        <f>VLOOKUP(E774,'Tourism Demand &amp; Flows'!$E$342:$P$548,12,0)</f>
        <v>0</v>
      </c>
      <c r="Q774" s="92">
        <f>Forecasting!Q846</f>
        <v>0</v>
      </c>
      <c r="R774" s="110">
        <f>Forecasting!R846</f>
        <v>0</v>
      </c>
      <c r="S774" s="110">
        <f>Forecasting!S846</f>
        <v>0</v>
      </c>
      <c r="T774" s="110">
        <f>Forecasting!T846</f>
        <v>0</v>
      </c>
      <c r="U774" s="110">
        <f>Forecasting!U846</f>
        <v>0</v>
      </c>
      <c r="V774" s="110">
        <f>Forecasting!V846</f>
        <v>0</v>
      </c>
      <c r="W774" s="102" t="e">
        <f>+(Q774/M774)^(1/4)-1</f>
        <v>#DIV/0!</v>
      </c>
      <c r="X774" s="102" t="e">
        <f>+(V774/Q774)^(1/5)-1</f>
        <v>#DIV/0!</v>
      </c>
      <c r="Z774" s="11"/>
    </row>
    <row r="775" spans="1:26">
      <c r="A775" s="48"/>
      <c r="B775" s="48"/>
      <c r="C775" s="52" t="s">
        <v>892</v>
      </c>
      <c r="D775" s="52"/>
      <c r="E775" s="52"/>
      <c r="F775" s="52"/>
      <c r="G775" s="52"/>
      <c r="H775" s="52"/>
      <c r="I775" s="52"/>
      <c r="J775" s="52" t="s">
        <v>58</v>
      </c>
      <c r="K775" s="49"/>
      <c r="L775" s="53"/>
      <c r="M775" s="54" t="e">
        <f t="shared" ref="M775:V775" si="516">M774/L774-1</f>
        <v>#DIV/0!</v>
      </c>
      <c r="N775" s="54" t="e">
        <f t="shared" si="516"/>
        <v>#DIV/0!</v>
      </c>
      <c r="O775" s="54" t="e">
        <f t="shared" si="516"/>
        <v>#DIV/0!</v>
      </c>
      <c r="P775" s="54" t="e">
        <f t="shared" si="516"/>
        <v>#DIV/0!</v>
      </c>
      <c r="Q775" s="54" t="e">
        <f t="shared" si="516"/>
        <v>#DIV/0!</v>
      </c>
      <c r="R775" s="54" t="e">
        <f t="shared" si="516"/>
        <v>#DIV/0!</v>
      </c>
      <c r="S775" s="54" t="e">
        <f t="shared" si="516"/>
        <v>#DIV/0!</v>
      </c>
      <c r="T775" s="54" t="e">
        <f t="shared" si="516"/>
        <v>#DIV/0!</v>
      </c>
      <c r="U775" s="54" t="e">
        <f t="shared" si="516"/>
        <v>#DIV/0!</v>
      </c>
      <c r="V775" s="54" t="e">
        <f t="shared" si="516"/>
        <v>#DIV/0!</v>
      </c>
      <c r="W775" s="258"/>
      <c r="X775" s="258"/>
    </row>
    <row r="776" spans="1:26">
      <c r="A776" s="46" t="str">
        <f>Home!$B$1</f>
        <v>Poland</v>
      </c>
      <c r="B776" s="47" t="s">
        <v>94</v>
      </c>
      <c r="C776" s="47" t="s">
        <v>546</v>
      </c>
      <c r="D776" s="47" t="s">
        <v>67</v>
      </c>
      <c r="E776" s="46" t="s">
        <v>298</v>
      </c>
      <c r="F776" s="48" t="s">
        <v>632</v>
      </c>
      <c r="G776" s="48" t="s">
        <v>15</v>
      </c>
      <c r="H776" s="48" t="s">
        <v>16</v>
      </c>
      <c r="I776" s="48"/>
      <c r="J776" s="48" t="s">
        <v>99</v>
      </c>
      <c r="K776" s="49"/>
      <c r="L776" s="92">
        <f>VLOOKUP(E776,'Tourism Demand &amp; Flows'!$E$342:$P$548,8,0)</f>
        <v>0</v>
      </c>
      <c r="M776" s="92">
        <f>VLOOKUP(E776,'Tourism Demand &amp; Flows'!$E$342:$P$548,9,0)</f>
        <v>0</v>
      </c>
      <c r="N776" s="92">
        <f>VLOOKUP(E776,'Tourism Demand &amp; Flows'!$E$342:$P$548,10,0)</f>
        <v>0</v>
      </c>
      <c r="O776" s="92">
        <f>VLOOKUP(E776,'Tourism Demand &amp; Flows'!$E$342:$P$548,11,0)</f>
        <v>0</v>
      </c>
      <c r="P776" s="92">
        <f>VLOOKUP(E776,'Tourism Demand &amp; Flows'!$E$342:$P$548,12,0)</f>
        <v>0</v>
      </c>
      <c r="Q776" s="92">
        <f>Forecasting!Q848</f>
        <v>0</v>
      </c>
      <c r="R776" s="110">
        <f>Forecasting!R848</f>
        <v>0</v>
      </c>
      <c r="S776" s="110">
        <f>Forecasting!S848</f>
        <v>0</v>
      </c>
      <c r="T776" s="110">
        <f>Forecasting!T848</f>
        <v>0</v>
      </c>
      <c r="U776" s="110">
        <f>Forecasting!U848</f>
        <v>0</v>
      </c>
      <c r="V776" s="110">
        <f>Forecasting!V848</f>
        <v>0</v>
      </c>
      <c r="W776" s="102" t="e">
        <f>+(Q776/M776)^(1/4)-1</f>
        <v>#DIV/0!</v>
      </c>
      <c r="X776" s="102" t="e">
        <f>+(V776/Q776)^(1/5)-1</f>
        <v>#DIV/0!</v>
      </c>
      <c r="Z776" s="11"/>
    </row>
    <row r="777" spans="1:26">
      <c r="A777" s="48"/>
      <c r="B777" s="48"/>
      <c r="C777" s="52" t="s">
        <v>892</v>
      </c>
      <c r="D777" s="52"/>
      <c r="E777" s="52"/>
      <c r="F777" s="52"/>
      <c r="G777" s="52"/>
      <c r="H777" s="52"/>
      <c r="I777" s="52"/>
      <c r="J777" s="52" t="s">
        <v>58</v>
      </c>
      <c r="K777" s="49"/>
      <c r="L777" s="53"/>
      <c r="M777" s="54" t="e">
        <f t="shared" ref="M777:V777" si="517">M776/L776-1</f>
        <v>#DIV/0!</v>
      </c>
      <c r="N777" s="54" t="e">
        <f t="shared" si="517"/>
        <v>#DIV/0!</v>
      </c>
      <c r="O777" s="54" t="e">
        <f t="shared" si="517"/>
        <v>#DIV/0!</v>
      </c>
      <c r="P777" s="54" t="e">
        <f t="shared" si="517"/>
        <v>#DIV/0!</v>
      </c>
      <c r="Q777" s="54" t="e">
        <f t="shared" si="517"/>
        <v>#DIV/0!</v>
      </c>
      <c r="R777" s="54" t="e">
        <f t="shared" si="517"/>
        <v>#DIV/0!</v>
      </c>
      <c r="S777" s="54" t="e">
        <f t="shared" si="517"/>
        <v>#DIV/0!</v>
      </c>
      <c r="T777" s="54" t="e">
        <f t="shared" si="517"/>
        <v>#DIV/0!</v>
      </c>
      <c r="U777" s="54" t="e">
        <f t="shared" si="517"/>
        <v>#DIV/0!</v>
      </c>
      <c r="V777" s="54" t="e">
        <f t="shared" si="517"/>
        <v>#DIV/0!</v>
      </c>
      <c r="W777" s="258"/>
      <c r="X777" s="258"/>
    </row>
    <row r="778" spans="1:26">
      <c r="A778" s="46" t="str">
        <f>Home!$B$1</f>
        <v>Poland</v>
      </c>
      <c r="B778" s="47" t="s">
        <v>94</v>
      </c>
      <c r="C778" s="47" t="s">
        <v>546</v>
      </c>
      <c r="D778" s="47" t="s">
        <v>67</v>
      </c>
      <c r="E778" s="46" t="s">
        <v>300</v>
      </c>
      <c r="F778" s="48" t="s">
        <v>633</v>
      </c>
      <c r="G778" s="48" t="s">
        <v>15</v>
      </c>
      <c r="H778" s="48" t="s">
        <v>16</v>
      </c>
      <c r="I778" s="48"/>
      <c r="J778" s="48" t="s">
        <v>99</v>
      </c>
      <c r="K778" s="49">
        <v>301</v>
      </c>
      <c r="L778" s="92">
        <f>VLOOKUP(E778,'Tourism Demand &amp; Flows'!$E$342:$P$548,8,0)</f>
        <v>0</v>
      </c>
      <c r="M778" s="92">
        <f>VLOOKUP(E778,'Tourism Demand &amp; Flows'!$E$342:$P$548,9,0)</f>
        <v>0</v>
      </c>
      <c r="N778" s="92">
        <f>VLOOKUP(E778,'Tourism Demand &amp; Flows'!$E$342:$P$548,10,0)</f>
        <v>0</v>
      </c>
      <c r="O778" s="92">
        <f>VLOOKUP(E778,'Tourism Demand &amp; Flows'!$E$342:$P$548,11,0)</f>
        <v>0</v>
      </c>
      <c r="P778" s="92">
        <f>VLOOKUP(E778,'Tourism Demand &amp; Flows'!$E$342:$P$548,12,0)</f>
        <v>0</v>
      </c>
      <c r="Q778" s="92">
        <f>Forecasting!Q850</f>
        <v>0</v>
      </c>
      <c r="R778" s="110">
        <f>Forecasting!R850</f>
        <v>0</v>
      </c>
      <c r="S778" s="110">
        <f>Forecasting!S850</f>
        <v>0</v>
      </c>
      <c r="T778" s="110">
        <f>Forecasting!T850</f>
        <v>0</v>
      </c>
      <c r="U778" s="110">
        <f>Forecasting!U850</f>
        <v>0</v>
      </c>
      <c r="V778" s="110">
        <f>Forecasting!V850</f>
        <v>0</v>
      </c>
      <c r="W778" s="102" t="e">
        <f>+(Q778/M778)^(1/4)-1</f>
        <v>#DIV/0!</v>
      </c>
      <c r="X778" s="102" t="e">
        <f>+(V778/Q778)^(1/5)-1</f>
        <v>#DIV/0!</v>
      </c>
      <c r="Z778" s="11"/>
    </row>
    <row r="779" spans="1:26">
      <c r="A779" s="48"/>
      <c r="B779" s="48"/>
      <c r="C779" s="52" t="s">
        <v>892</v>
      </c>
      <c r="D779" s="52"/>
      <c r="E779" s="52"/>
      <c r="F779" s="52"/>
      <c r="G779" s="52"/>
      <c r="H779" s="52"/>
      <c r="I779" s="52"/>
      <c r="J779" s="52" t="s">
        <v>58</v>
      </c>
      <c r="K779" s="49"/>
      <c r="L779" s="53"/>
      <c r="M779" s="54" t="e">
        <f t="shared" ref="M779:V779" si="518">M778/L778-1</f>
        <v>#DIV/0!</v>
      </c>
      <c r="N779" s="54" t="e">
        <f t="shared" si="518"/>
        <v>#DIV/0!</v>
      </c>
      <c r="O779" s="54" t="e">
        <f t="shared" si="518"/>
        <v>#DIV/0!</v>
      </c>
      <c r="P779" s="54" t="e">
        <f t="shared" si="518"/>
        <v>#DIV/0!</v>
      </c>
      <c r="Q779" s="54" t="e">
        <f t="shared" si="518"/>
        <v>#DIV/0!</v>
      </c>
      <c r="R779" s="54" t="e">
        <f t="shared" si="518"/>
        <v>#DIV/0!</v>
      </c>
      <c r="S779" s="54" t="e">
        <f t="shared" si="518"/>
        <v>#DIV/0!</v>
      </c>
      <c r="T779" s="54" t="e">
        <f t="shared" si="518"/>
        <v>#DIV/0!</v>
      </c>
      <c r="U779" s="54" t="e">
        <f t="shared" si="518"/>
        <v>#DIV/0!</v>
      </c>
      <c r="V779" s="54" t="e">
        <f t="shared" si="518"/>
        <v>#DIV/0!</v>
      </c>
      <c r="W779" s="258"/>
      <c r="X779" s="258"/>
    </row>
    <row r="780" spans="1:26">
      <c r="A780" s="46" t="str">
        <f>Home!$B$1</f>
        <v>Poland</v>
      </c>
      <c r="B780" s="47" t="s">
        <v>94</v>
      </c>
      <c r="C780" s="47" t="s">
        <v>546</v>
      </c>
      <c r="D780" s="47" t="s">
        <v>67</v>
      </c>
      <c r="E780" s="46" t="s">
        <v>302</v>
      </c>
      <c r="F780" s="48" t="s">
        <v>634</v>
      </c>
      <c r="G780" s="48" t="s">
        <v>15</v>
      </c>
      <c r="H780" s="48" t="s">
        <v>16</v>
      </c>
      <c r="I780" s="48"/>
      <c r="J780" s="48" t="s">
        <v>99</v>
      </c>
      <c r="K780" s="49"/>
      <c r="L780" s="92">
        <f>VLOOKUP(E780,'Tourism Demand &amp; Flows'!$E$342:$P$548,8,0)</f>
        <v>0</v>
      </c>
      <c r="M780" s="92">
        <f>VLOOKUP(E780,'Tourism Demand &amp; Flows'!$E$342:$P$548,9,0)</f>
        <v>0</v>
      </c>
      <c r="N780" s="92">
        <f>VLOOKUP(E780,'Tourism Demand &amp; Flows'!$E$342:$P$548,10,0)</f>
        <v>0</v>
      </c>
      <c r="O780" s="92">
        <f>VLOOKUP(E780,'Tourism Demand &amp; Flows'!$E$342:$P$548,11,0)</f>
        <v>0</v>
      </c>
      <c r="P780" s="92">
        <f>VLOOKUP(E780,'Tourism Demand &amp; Flows'!$E$342:$P$548,12,0)</f>
        <v>0</v>
      </c>
      <c r="Q780" s="92">
        <f>Forecasting!Q852</f>
        <v>0</v>
      </c>
      <c r="R780" s="110">
        <f>Forecasting!R852</f>
        <v>0</v>
      </c>
      <c r="S780" s="110">
        <f>Forecasting!S852</f>
        <v>0</v>
      </c>
      <c r="T780" s="110">
        <f>Forecasting!T852</f>
        <v>0</v>
      </c>
      <c r="U780" s="110">
        <f>Forecasting!U852</f>
        <v>0</v>
      </c>
      <c r="V780" s="110">
        <f>Forecasting!V852</f>
        <v>0</v>
      </c>
      <c r="W780" s="102" t="e">
        <f>+(Q780/M780)^(1/4)-1</f>
        <v>#DIV/0!</v>
      </c>
      <c r="X780" s="102" t="e">
        <f>+(V780/Q780)^(1/5)-1</f>
        <v>#DIV/0!</v>
      </c>
      <c r="Z780" s="11"/>
    </row>
    <row r="781" spans="1:26">
      <c r="A781" s="48"/>
      <c r="B781" s="48"/>
      <c r="C781" s="52" t="s">
        <v>892</v>
      </c>
      <c r="D781" s="52"/>
      <c r="E781" s="52"/>
      <c r="F781" s="52"/>
      <c r="G781" s="52"/>
      <c r="H781" s="52"/>
      <c r="I781" s="52"/>
      <c r="J781" s="52" t="s">
        <v>58</v>
      </c>
      <c r="K781" s="49"/>
      <c r="L781" s="53"/>
      <c r="M781" s="54" t="e">
        <f t="shared" ref="M781:V781" si="519">M780/L780-1</f>
        <v>#DIV/0!</v>
      </c>
      <c r="N781" s="54" t="e">
        <f t="shared" si="519"/>
        <v>#DIV/0!</v>
      </c>
      <c r="O781" s="54" t="e">
        <f t="shared" si="519"/>
        <v>#DIV/0!</v>
      </c>
      <c r="P781" s="54" t="e">
        <f t="shared" si="519"/>
        <v>#DIV/0!</v>
      </c>
      <c r="Q781" s="54" t="e">
        <f t="shared" si="519"/>
        <v>#DIV/0!</v>
      </c>
      <c r="R781" s="54" t="e">
        <f t="shared" si="519"/>
        <v>#DIV/0!</v>
      </c>
      <c r="S781" s="54" t="e">
        <f t="shared" si="519"/>
        <v>#DIV/0!</v>
      </c>
      <c r="T781" s="54" t="e">
        <f t="shared" si="519"/>
        <v>#DIV/0!</v>
      </c>
      <c r="U781" s="54" t="e">
        <f t="shared" si="519"/>
        <v>#DIV/0!</v>
      </c>
      <c r="V781" s="54" t="e">
        <f t="shared" si="519"/>
        <v>#DIV/0!</v>
      </c>
      <c r="W781" s="258"/>
      <c r="X781" s="258"/>
    </row>
    <row r="782" spans="1:26">
      <c r="A782" s="46" t="str">
        <f>Home!$B$1</f>
        <v>Poland</v>
      </c>
      <c r="B782" s="47" t="s">
        <v>94</v>
      </c>
      <c r="C782" s="47" t="s">
        <v>546</v>
      </c>
      <c r="D782" s="47" t="s">
        <v>67</v>
      </c>
      <c r="E782" s="46" t="s">
        <v>304</v>
      </c>
      <c r="F782" s="48" t="s">
        <v>635</v>
      </c>
      <c r="G782" s="48" t="s">
        <v>15</v>
      </c>
      <c r="H782" s="48" t="s">
        <v>16</v>
      </c>
      <c r="I782" s="48"/>
      <c r="J782" s="48" t="s">
        <v>99</v>
      </c>
      <c r="K782" s="49"/>
      <c r="L782" s="92">
        <f>VLOOKUP(E782,'Tourism Demand &amp; Flows'!$E$342:$P$548,8,0)</f>
        <v>0</v>
      </c>
      <c r="M782" s="92">
        <f>VLOOKUP(E782,'Tourism Demand &amp; Flows'!$E$342:$P$548,9,0)</f>
        <v>0</v>
      </c>
      <c r="N782" s="92">
        <f>VLOOKUP(E782,'Tourism Demand &amp; Flows'!$E$342:$P$548,10,0)</f>
        <v>0</v>
      </c>
      <c r="O782" s="92">
        <f>VLOOKUP(E782,'Tourism Demand &amp; Flows'!$E$342:$P$548,11,0)</f>
        <v>0</v>
      </c>
      <c r="P782" s="92">
        <f>VLOOKUP(E782,'Tourism Demand &amp; Flows'!$E$342:$P$548,12,0)</f>
        <v>0</v>
      </c>
      <c r="Q782" s="92">
        <f>Forecasting!Q854</f>
        <v>0</v>
      </c>
      <c r="R782" s="110">
        <f>Forecasting!R854</f>
        <v>0</v>
      </c>
      <c r="S782" s="110">
        <f>Forecasting!S854</f>
        <v>0</v>
      </c>
      <c r="T782" s="110">
        <f>Forecasting!T854</f>
        <v>0</v>
      </c>
      <c r="U782" s="110">
        <f>Forecasting!U854</f>
        <v>0</v>
      </c>
      <c r="V782" s="110">
        <f>Forecasting!V854</f>
        <v>0</v>
      </c>
      <c r="W782" s="102" t="e">
        <f>+(Q782/M782)^(1/4)-1</f>
        <v>#DIV/0!</v>
      </c>
      <c r="X782" s="102" t="e">
        <f>+(V782/Q782)^(1/5)-1</f>
        <v>#DIV/0!</v>
      </c>
      <c r="Z782" s="11"/>
    </row>
    <row r="783" spans="1:26">
      <c r="A783" s="48"/>
      <c r="B783" s="48"/>
      <c r="C783" s="52" t="s">
        <v>892</v>
      </c>
      <c r="D783" s="52"/>
      <c r="E783" s="52"/>
      <c r="F783" s="52"/>
      <c r="G783" s="52"/>
      <c r="H783" s="52"/>
      <c r="I783" s="52"/>
      <c r="J783" s="52" t="s">
        <v>58</v>
      </c>
      <c r="K783" s="49"/>
      <c r="L783" s="53"/>
      <c r="M783" s="54" t="e">
        <f t="shared" ref="M783:V783" si="520">M782/L782-1</f>
        <v>#DIV/0!</v>
      </c>
      <c r="N783" s="54" t="e">
        <f t="shared" si="520"/>
        <v>#DIV/0!</v>
      </c>
      <c r="O783" s="54" t="e">
        <f t="shared" si="520"/>
        <v>#DIV/0!</v>
      </c>
      <c r="P783" s="54" t="e">
        <f t="shared" si="520"/>
        <v>#DIV/0!</v>
      </c>
      <c r="Q783" s="54" t="e">
        <f t="shared" si="520"/>
        <v>#DIV/0!</v>
      </c>
      <c r="R783" s="54" t="e">
        <f t="shared" si="520"/>
        <v>#DIV/0!</v>
      </c>
      <c r="S783" s="54" t="e">
        <f t="shared" si="520"/>
        <v>#DIV/0!</v>
      </c>
      <c r="T783" s="54" t="e">
        <f t="shared" si="520"/>
        <v>#DIV/0!</v>
      </c>
      <c r="U783" s="54" t="e">
        <f t="shared" si="520"/>
        <v>#DIV/0!</v>
      </c>
      <c r="V783" s="54" t="e">
        <f t="shared" si="520"/>
        <v>#DIV/0!</v>
      </c>
      <c r="W783" s="258"/>
      <c r="X783" s="258"/>
    </row>
    <row r="784" spans="1:26">
      <c r="A784" s="46" t="str">
        <f>Home!$B$1</f>
        <v>Poland</v>
      </c>
      <c r="B784" s="47" t="s">
        <v>94</v>
      </c>
      <c r="C784" s="47" t="s">
        <v>546</v>
      </c>
      <c r="D784" s="47" t="s">
        <v>67</v>
      </c>
      <c r="E784" s="46" t="s">
        <v>306</v>
      </c>
      <c r="F784" s="48" t="s">
        <v>636</v>
      </c>
      <c r="G784" s="48" t="s">
        <v>15</v>
      </c>
      <c r="H784" s="48" t="s">
        <v>16</v>
      </c>
      <c r="I784" s="48"/>
      <c r="J784" s="48" t="s">
        <v>99</v>
      </c>
      <c r="K784" s="49">
        <v>271</v>
      </c>
      <c r="L784" s="92">
        <f>VLOOKUP(E784,'Tourism Demand &amp; Flows'!$E$342:$P$548,8,0)</f>
        <v>0</v>
      </c>
      <c r="M784" s="92">
        <f>VLOOKUP(E784,'Tourism Demand &amp; Flows'!$E$342:$P$548,9,0)</f>
        <v>0</v>
      </c>
      <c r="N784" s="92">
        <f>VLOOKUP(E784,'Tourism Demand &amp; Flows'!$E$342:$P$548,10,0)</f>
        <v>0</v>
      </c>
      <c r="O784" s="92">
        <f>VLOOKUP(E784,'Tourism Demand &amp; Flows'!$E$342:$P$548,11,0)</f>
        <v>0</v>
      </c>
      <c r="P784" s="92">
        <f>VLOOKUP(E784,'Tourism Demand &amp; Flows'!$E$342:$P$548,12,0)</f>
        <v>0</v>
      </c>
      <c r="Q784" s="92">
        <f>Forecasting!Q856</f>
        <v>0</v>
      </c>
      <c r="R784" s="110">
        <f>Forecasting!R856</f>
        <v>0</v>
      </c>
      <c r="S784" s="110">
        <f>Forecasting!S856</f>
        <v>0</v>
      </c>
      <c r="T784" s="110">
        <f>Forecasting!T856</f>
        <v>0</v>
      </c>
      <c r="U784" s="110">
        <f>Forecasting!U856</f>
        <v>0</v>
      </c>
      <c r="V784" s="110">
        <f>Forecasting!V856</f>
        <v>0</v>
      </c>
      <c r="W784" s="102" t="e">
        <f>+(Q784/M784)^(1/4)-1</f>
        <v>#DIV/0!</v>
      </c>
      <c r="X784" s="102" t="e">
        <f>+(V784/Q784)^(1/5)-1</f>
        <v>#DIV/0!</v>
      </c>
      <c r="Z784" s="11"/>
    </row>
    <row r="785" spans="1:26">
      <c r="A785" s="48"/>
      <c r="B785" s="48"/>
      <c r="C785" s="52" t="s">
        <v>892</v>
      </c>
      <c r="D785" s="52"/>
      <c r="E785" s="52"/>
      <c r="F785" s="52"/>
      <c r="G785" s="52"/>
      <c r="H785" s="52"/>
      <c r="I785" s="52"/>
      <c r="J785" s="52" t="s">
        <v>58</v>
      </c>
      <c r="K785" s="49"/>
      <c r="L785" s="53"/>
      <c r="M785" s="54" t="e">
        <f t="shared" ref="M785:V785" si="521">M784/L784-1</f>
        <v>#DIV/0!</v>
      </c>
      <c r="N785" s="54" t="e">
        <f t="shared" si="521"/>
        <v>#DIV/0!</v>
      </c>
      <c r="O785" s="54" t="e">
        <f t="shared" si="521"/>
        <v>#DIV/0!</v>
      </c>
      <c r="P785" s="54" t="e">
        <f t="shared" si="521"/>
        <v>#DIV/0!</v>
      </c>
      <c r="Q785" s="54" t="e">
        <f t="shared" si="521"/>
        <v>#DIV/0!</v>
      </c>
      <c r="R785" s="54" t="e">
        <f t="shared" si="521"/>
        <v>#DIV/0!</v>
      </c>
      <c r="S785" s="54" t="e">
        <f t="shared" si="521"/>
        <v>#DIV/0!</v>
      </c>
      <c r="T785" s="54" t="e">
        <f t="shared" si="521"/>
        <v>#DIV/0!</v>
      </c>
      <c r="U785" s="54" t="e">
        <f t="shared" si="521"/>
        <v>#DIV/0!</v>
      </c>
      <c r="V785" s="54" t="e">
        <f t="shared" si="521"/>
        <v>#DIV/0!</v>
      </c>
      <c r="W785" s="258"/>
      <c r="X785" s="258"/>
    </row>
    <row r="786" spans="1:26">
      <c r="A786" s="46" t="str">
        <f>Home!$B$1</f>
        <v>Poland</v>
      </c>
      <c r="B786" s="47" t="s">
        <v>94</v>
      </c>
      <c r="C786" s="47" t="s">
        <v>546</v>
      </c>
      <c r="D786" s="47" t="s">
        <v>67</v>
      </c>
      <c r="E786" s="46" t="s">
        <v>308</v>
      </c>
      <c r="F786" s="48" t="s">
        <v>637</v>
      </c>
      <c r="G786" s="48" t="s">
        <v>15</v>
      </c>
      <c r="H786" s="48" t="s">
        <v>16</v>
      </c>
      <c r="I786" s="48"/>
      <c r="J786" s="48" t="s">
        <v>99</v>
      </c>
      <c r="K786" s="49">
        <v>633</v>
      </c>
      <c r="L786" s="92">
        <f>VLOOKUP(E786,'Tourism Demand &amp; Flows'!$E$342:$P$548,8,0)</f>
        <v>0</v>
      </c>
      <c r="M786" s="92">
        <f>VLOOKUP(E786,'Tourism Demand &amp; Flows'!$E$342:$P$548,9,0)</f>
        <v>0</v>
      </c>
      <c r="N786" s="92">
        <f>VLOOKUP(E786,'Tourism Demand &amp; Flows'!$E$342:$P$548,10,0)</f>
        <v>0</v>
      </c>
      <c r="O786" s="92">
        <f>VLOOKUP(E786,'Tourism Demand &amp; Flows'!$E$342:$P$548,11,0)</f>
        <v>0</v>
      </c>
      <c r="P786" s="92">
        <f>VLOOKUP(E786,'Tourism Demand &amp; Flows'!$E$342:$P$548,12,0)</f>
        <v>0</v>
      </c>
      <c r="Q786" s="92">
        <f>Forecasting!Q858</f>
        <v>0</v>
      </c>
      <c r="R786" s="110">
        <f>Forecasting!R858</f>
        <v>0</v>
      </c>
      <c r="S786" s="110">
        <f>Forecasting!S858</f>
        <v>0</v>
      </c>
      <c r="T786" s="110">
        <f>Forecasting!T858</f>
        <v>0</v>
      </c>
      <c r="U786" s="110">
        <f>Forecasting!U858</f>
        <v>0</v>
      </c>
      <c r="V786" s="110">
        <f>Forecasting!V858</f>
        <v>0</v>
      </c>
      <c r="W786" s="102" t="e">
        <f>+(Q786/M786)^(1/4)-1</f>
        <v>#DIV/0!</v>
      </c>
      <c r="X786" s="102" t="e">
        <f>+(V786/Q786)^(1/5)-1</f>
        <v>#DIV/0!</v>
      </c>
      <c r="Z786" s="11"/>
    </row>
    <row r="787" spans="1:26">
      <c r="A787" s="48"/>
      <c r="B787" s="48"/>
      <c r="C787" s="52" t="s">
        <v>892</v>
      </c>
      <c r="D787" s="52"/>
      <c r="E787" s="52"/>
      <c r="F787" s="52"/>
      <c r="G787" s="52"/>
      <c r="H787" s="52"/>
      <c r="I787" s="52"/>
      <c r="J787" s="52" t="s">
        <v>58</v>
      </c>
      <c r="K787" s="49"/>
      <c r="L787" s="53"/>
      <c r="M787" s="54" t="e">
        <f t="shared" ref="M787:V787" si="522">M786/L786-1</f>
        <v>#DIV/0!</v>
      </c>
      <c r="N787" s="54" t="e">
        <f t="shared" si="522"/>
        <v>#DIV/0!</v>
      </c>
      <c r="O787" s="54" t="e">
        <f t="shared" si="522"/>
        <v>#DIV/0!</v>
      </c>
      <c r="P787" s="54" t="e">
        <f t="shared" si="522"/>
        <v>#DIV/0!</v>
      </c>
      <c r="Q787" s="54" t="e">
        <f t="shared" si="522"/>
        <v>#DIV/0!</v>
      </c>
      <c r="R787" s="54" t="e">
        <f t="shared" si="522"/>
        <v>#DIV/0!</v>
      </c>
      <c r="S787" s="54" t="e">
        <f t="shared" si="522"/>
        <v>#DIV/0!</v>
      </c>
      <c r="T787" s="54" t="e">
        <f t="shared" si="522"/>
        <v>#DIV/0!</v>
      </c>
      <c r="U787" s="54" t="e">
        <f t="shared" si="522"/>
        <v>#DIV/0!</v>
      </c>
      <c r="V787" s="54" t="e">
        <f t="shared" si="522"/>
        <v>#DIV/0!</v>
      </c>
      <c r="W787" s="258"/>
      <c r="X787" s="258"/>
    </row>
    <row r="788" spans="1:26">
      <c r="A788" s="46" t="str">
        <f>Home!$B$1</f>
        <v>Poland</v>
      </c>
      <c r="B788" s="47" t="s">
        <v>94</v>
      </c>
      <c r="C788" s="47" t="s">
        <v>546</v>
      </c>
      <c r="D788" s="47" t="s">
        <v>67</v>
      </c>
      <c r="E788" s="46" t="s">
        <v>310</v>
      </c>
      <c r="F788" s="48" t="s">
        <v>638</v>
      </c>
      <c r="G788" s="48" t="s">
        <v>15</v>
      </c>
      <c r="H788" s="48" t="s">
        <v>16</v>
      </c>
      <c r="I788" s="48"/>
      <c r="J788" s="48" t="s">
        <v>99</v>
      </c>
      <c r="K788" s="49"/>
      <c r="L788" s="92">
        <f>VLOOKUP(E788,'Tourism Demand &amp; Flows'!$E$342:$P$548,8,0)</f>
        <v>0</v>
      </c>
      <c r="M788" s="92">
        <f>VLOOKUP(E788,'Tourism Demand &amp; Flows'!$E$342:$P$548,9,0)</f>
        <v>0</v>
      </c>
      <c r="N788" s="92">
        <f>VLOOKUP(E788,'Tourism Demand &amp; Flows'!$E$342:$P$548,10,0)</f>
        <v>0</v>
      </c>
      <c r="O788" s="92">
        <f>VLOOKUP(E788,'Tourism Demand &amp; Flows'!$E$342:$P$548,11,0)</f>
        <v>0</v>
      </c>
      <c r="P788" s="92">
        <f>VLOOKUP(E788,'Tourism Demand &amp; Flows'!$E$342:$P$548,12,0)</f>
        <v>0</v>
      </c>
      <c r="Q788" s="92">
        <f>Forecasting!Q860</f>
        <v>0</v>
      </c>
      <c r="R788" s="110">
        <f>Forecasting!R860</f>
        <v>0</v>
      </c>
      <c r="S788" s="110">
        <f>Forecasting!S860</f>
        <v>0</v>
      </c>
      <c r="T788" s="110">
        <f>Forecasting!T860</f>
        <v>0</v>
      </c>
      <c r="U788" s="110">
        <f>Forecasting!U860</f>
        <v>0</v>
      </c>
      <c r="V788" s="110">
        <f>Forecasting!V860</f>
        <v>0</v>
      </c>
      <c r="W788" s="102" t="e">
        <f>+(Q788/M788)^(1/4)-1</f>
        <v>#DIV/0!</v>
      </c>
      <c r="X788" s="102" t="e">
        <f>+(V788/Q788)^(1/5)-1</f>
        <v>#DIV/0!</v>
      </c>
      <c r="Z788" s="11"/>
    </row>
    <row r="789" spans="1:26">
      <c r="A789" s="48"/>
      <c r="B789" s="48"/>
      <c r="C789" s="52" t="s">
        <v>892</v>
      </c>
      <c r="D789" s="52"/>
      <c r="E789" s="52"/>
      <c r="F789" s="52"/>
      <c r="G789" s="52"/>
      <c r="H789" s="52"/>
      <c r="I789" s="52"/>
      <c r="J789" s="52" t="s">
        <v>58</v>
      </c>
      <c r="K789" s="49"/>
      <c r="L789" s="53"/>
      <c r="M789" s="54" t="e">
        <f t="shared" ref="M789:V789" si="523">M788/L788-1</f>
        <v>#DIV/0!</v>
      </c>
      <c r="N789" s="54" t="e">
        <f t="shared" si="523"/>
        <v>#DIV/0!</v>
      </c>
      <c r="O789" s="54" t="e">
        <f t="shared" si="523"/>
        <v>#DIV/0!</v>
      </c>
      <c r="P789" s="54" t="e">
        <f t="shared" si="523"/>
        <v>#DIV/0!</v>
      </c>
      <c r="Q789" s="54" t="e">
        <f t="shared" si="523"/>
        <v>#DIV/0!</v>
      </c>
      <c r="R789" s="54" t="e">
        <f t="shared" si="523"/>
        <v>#DIV/0!</v>
      </c>
      <c r="S789" s="54" t="e">
        <f t="shared" si="523"/>
        <v>#DIV/0!</v>
      </c>
      <c r="T789" s="54" t="e">
        <f t="shared" si="523"/>
        <v>#DIV/0!</v>
      </c>
      <c r="U789" s="54" t="e">
        <f t="shared" si="523"/>
        <v>#DIV/0!</v>
      </c>
      <c r="V789" s="54" t="e">
        <f t="shared" si="523"/>
        <v>#DIV/0!</v>
      </c>
      <c r="W789" s="258"/>
      <c r="X789" s="258"/>
    </row>
    <row r="790" spans="1:26">
      <c r="A790" s="46" t="str">
        <f>Home!$B$1</f>
        <v>Poland</v>
      </c>
      <c r="B790" s="47" t="s">
        <v>94</v>
      </c>
      <c r="C790" s="47" t="s">
        <v>546</v>
      </c>
      <c r="D790" s="47" t="s">
        <v>67</v>
      </c>
      <c r="E790" s="46" t="s">
        <v>312</v>
      </c>
      <c r="F790" s="48" t="s">
        <v>639</v>
      </c>
      <c r="G790" s="48" t="s">
        <v>15</v>
      </c>
      <c r="H790" s="48" t="s">
        <v>16</v>
      </c>
      <c r="I790" s="48"/>
      <c r="J790" s="48" t="s">
        <v>99</v>
      </c>
      <c r="K790" s="49">
        <v>422</v>
      </c>
      <c r="L790" s="92">
        <f>VLOOKUP(E790,'Tourism Demand &amp; Flows'!$E$342:$P$548,8,0)</f>
        <v>0</v>
      </c>
      <c r="M790" s="92">
        <f>VLOOKUP(E790,'Tourism Demand &amp; Flows'!$E$342:$P$548,9,0)</f>
        <v>0</v>
      </c>
      <c r="N790" s="92">
        <f>VLOOKUP(E790,'Tourism Demand &amp; Flows'!$E$342:$P$548,10,0)</f>
        <v>0</v>
      </c>
      <c r="O790" s="92">
        <f>VLOOKUP(E790,'Tourism Demand &amp; Flows'!$E$342:$P$548,11,0)</f>
        <v>0</v>
      </c>
      <c r="P790" s="92">
        <f>VLOOKUP(E790,'Tourism Demand &amp; Flows'!$E$342:$P$548,12,0)</f>
        <v>0</v>
      </c>
      <c r="Q790" s="92">
        <f>Forecasting!Q862</f>
        <v>0</v>
      </c>
      <c r="R790" s="110">
        <f>Forecasting!R862</f>
        <v>0</v>
      </c>
      <c r="S790" s="110">
        <f>Forecasting!S862</f>
        <v>0</v>
      </c>
      <c r="T790" s="110">
        <f>Forecasting!T862</f>
        <v>0</v>
      </c>
      <c r="U790" s="110">
        <f>Forecasting!U862</f>
        <v>0</v>
      </c>
      <c r="V790" s="110">
        <f>Forecasting!V862</f>
        <v>0</v>
      </c>
      <c r="W790" s="102" t="e">
        <f>+(Q790/M790)^(1/4)-1</f>
        <v>#DIV/0!</v>
      </c>
      <c r="X790" s="102" t="e">
        <f>+(V790/Q790)^(1/5)-1</f>
        <v>#DIV/0!</v>
      </c>
      <c r="Z790" s="11"/>
    </row>
    <row r="791" spans="1:26">
      <c r="A791" s="48"/>
      <c r="B791" s="48"/>
      <c r="C791" s="52" t="s">
        <v>892</v>
      </c>
      <c r="D791" s="52"/>
      <c r="E791" s="52"/>
      <c r="F791" s="52"/>
      <c r="G791" s="52"/>
      <c r="H791" s="52"/>
      <c r="I791" s="52"/>
      <c r="J791" s="52" t="s">
        <v>58</v>
      </c>
      <c r="K791" s="49"/>
      <c r="L791" s="53"/>
      <c r="M791" s="54" t="e">
        <f t="shared" ref="M791:V791" si="524">M790/L790-1</f>
        <v>#DIV/0!</v>
      </c>
      <c r="N791" s="54" t="e">
        <f t="shared" si="524"/>
        <v>#DIV/0!</v>
      </c>
      <c r="O791" s="54" t="e">
        <f t="shared" si="524"/>
        <v>#DIV/0!</v>
      </c>
      <c r="P791" s="54" t="e">
        <f t="shared" si="524"/>
        <v>#DIV/0!</v>
      </c>
      <c r="Q791" s="54" t="e">
        <f t="shared" si="524"/>
        <v>#DIV/0!</v>
      </c>
      <c r="R791" s="54" t="e">
        <f t="shared" si="524"/>
        <v>#DIV/0!</v>
      </c>
      <c r="S791" s="54" t="e">
        <f t="shared" si="524"/>
        <v>#DIV/0!</v>
      </c>
      <c r="T791" s="54" t="e">
        <f t="shared" si="524"/>
        <v>#DIV/0!</v>
      </c>
      <c r="U791" s="54" t="e">
        <f t="shared" si="524"/>
        <v>#DIV/0!</v>
      </c>
      <c r="V791" s="54" t="e">
        <f t="shared" si="524"/>
        <v>#DIV/0!</v>
      </c>
      <c r="W791" s="258"/>
      <c r="X791" s="258"/>
    </row>
    <row r="792" spans="1:26">
      <c r="A792" s="46" t="str">
        <f>Home!$B$1</f>
        <v>Poland</v>
      </c>
      <c r="B792" s="47" t="s">
        <v>94</v>
      </c>
      <c r="C792" s="47" t="s">
        <v>546</v>
      </c>
      <c r="D792" s="47" t="s">
        <v>67</v>
      </c>
      <c r="E792" s="46" t="s">
        <v>314</v>
      </c>
      <c r="F792" s="48" t="s">
        <v>640</v>
      </c>
      <c r="G792" s="48" t="s">
        <v>15</v>
      </c>
      <c r="H792" s="48" t="s">
        <v>16</v>
      </c>
      <c r="I792" s="48"/>
      <c r="J792" s="48" t="s">
        <v>99</v>
      </c>
      <c r="K792" s="49"/>
      <c r="L792" s="92">
        <f>VLOOKUP(E792,'Tourism Demand &amp; Flows'!$E$342:$P$548,8,0)</f>
        <v>0</v>
      </c>
      <c r="M792" s="92">
        <f>VLOOKUP(E792,'Tourism Demand &amp; Flows'!$E$342:$P$548,9,0)</f>
        <v>0</v>
      </c>
      <c r="N792" s="92">
        <f>VLOOKUP(E792,'Tourism Demand &amp; Flows'!$E$342:$P$548,10,0)</f>
        <v>0</v>
      </c>
      <c r="O792" s="92">
        <f>VLOOKUP(E792,'Tourism Demand &amp; Flows'!$E$342:$P$548,11,0)</f>
        <v>0</v>
      </c>
      <c r="P792" s="92">
        <f>VLOOKUP(E792,'Tourism Demand &amp; Flows'!$E$342:$P$548,12,0)</f>
        <v>0</v>
      </c>
      <c r="Q792" s="92">
        <f>Forecasting!Q864</f>
        <v>0</v>
      </c>
      <c r="R792" s="110">
        <f>Forecasting!R864</f>
        <v>0</v>
      </c>
      <c r="S792" s="110">
        <f>Forecasting!S864</f>
        <v>0</v>
      </c>
      <c r="T792" s="110">
        <f>Forecasting!T864</f>
        <v>0</v>
      </c>
      <c r="U792" s="110">
        <f>Forecasting!U864</f>
        <v>0</v>
      </c>
      <c r="V792" s="110">
        <f>Forecasting!V864</f>
        <v>0</v>
      </c>
      <c r="W792" s="102" t="e">
        <f>+(Q792/M792)^(1/4)-1</f>
        <v>#DIV/0!</v>
      </c>
      <c r="X792" s="102" t="e">
        <f>+(V792/Q792)^(1/5)-1</f>
        <v>#DIV/0!</v>
      </c>
      <c r="Z792" s="11"/>
    </row>
    <row r="793" spans="1:26">
      <c r="A793" s="48"/>
      <c r="B793" s="48"/>
      <c r="C793" s="52" t="s">
        <v>892</v>
      </c>
      <c r="D793" s="52"/>
      <c r="E793" s="52"/>
      <c r="F793" s="52"/>
      <c r="G793" s="52"/>
      <c r="H793" s="52"/>
      <c r="I793" s="52"/>
      <c r="J793" s="52" t="s">
        <v>58</v>
      </c>
      <c r="K793" s="49"/>
      <c r="L793" s="53"/>
      <c r="M793" s="54" t="e">
        <f t="shared" ref="M793:V793" si="525">M792/L792-1</f>
        <v>#DIV/0!</v>
      </c>
      <c r="N793" s="54" t="e">
        <f t="shared" si="525"/>
        <v>#DIV/0!</v>
      </c>
      <c r="O793" s="54" t="e">
        <f t="shared" si="525"/>
        <v>#DIV/0!</v>
      </c>
      <c r="P793" s="54" t="e">
        <f t="shared" si="525"/>
        <v>#DIV/0!</v>
      </c>
      <c r="Q793" s="54" t="e">
        <f t="shared" si="525"/>
        <v>#DIV/0!</v>
      </c>
      <c r="R793" s="54" t="e">
        <f t="shared" si="525"/>
        <v>#DIV/0!</v>
      </c>
      <c r="S793" s="54" t="e">
        <f t="shared" si="525"/>
        <v>#DIV/0!</v>
      </c>
      <c r="T793" s="54" t="e">
        <f t="shared" si="525"/>
        <v>#DIV/0!</v>
      </c>
      <c r="U793" s="54" t="e">
        <f t="shared" si="525"/>
        <v>#DIV/0!</v>
      </c>
      <c r="V793" s="54" t="e">
        <f t="shared" si="525"/>
        <v>#DIV/0!</v>
      </c>
      <c r="W793" s="258"/>
      <c r="X793" s="258"/>
    </row>
    <row r="794" spans="1:26">
      <c r="A794" s="46" t="str">
        <f>Home!$B$1</f>
        <v>Poland</v>
      </c>
      <c r="B794" s="47" t="s">
        <v>94</v>
      </c>
      <c r="C794" s="47" t="s">
        <v>546</v>
      </c>
      <c r="D794" s="47" t="s">
        <v>67</v>
      </c>
      <c r="E794" s="46" t="s">
        <v>316</v>
      </c>
      <c r="F794" s="48" t="s">
        <v>641</v>
      </c>
      <c r="G794" s="48" t="s">
        <v>15</v>
      </c>
      <c r="H794" s="48" t="s">
        <v>16</v>
      </c>
      <c r="I794" s="48"/>
      <c r="J794" s="48" t="s">
        <v>99</v>
      </c>
      <c r="K794" s="49"/>
      <c r="L794" s="92">
        <f>VLOOKUP(E794,'Tourism Demand &amp; Flows'!$E$342:$P$548,8,0)</f>
        <v>0</v>
      </c>
      <c r="M794" s="92">
        <f>VLOOKUP(E794,'Tourism Demand &amp; Flows'!$E$342:$P$548,9,0)</f>
        <v>0</v>
      </c>
      <c r="N794" s="92">
        <f>VLOOKUP(E794,'Tourism Demand &amp; Flows'!$E$342:$P$548,10,0)</f>
        <v>0</v>
      </c>
      <c r="O794" s="92">
        <f>VLOOKUP(E794,'Tourism Demand &amp; Flows'!$E$342:$P$548,11,0)</f>
        <v>0</v>
      </c>
      <c r="P794" s="92">
        <f>VLOOKUP(E794,'Tourism Demand &amp; Flows'!$E$342:$P$548,12,0)</f>
        <v>0</v>
      </c>
      <c r="Q794" s="92">
        <f>Forecasting!Q866</f>
        <v>0</v>
      </c>
      <c r="R794" s="110">
        <f>Forecasting!R866</f>
        <v>0</v>
      </c>
      <c r="S794" s="110">
        <f>Forecasting!S866</f>
        <v>0</v>
      </c>
      <c r="T794" s="110">
        <f>Forecasting!T866</f>
        <v>0</v>
      </c>
      <c r="U794" s="110">
        <f>Forecasting!U866</f>
        <v>0</v>
      </c>
      <c r="V794" s="110">
        <f>Forecasting!V866</f>
        <v>0</v>
      </c>
      <c r="W794" s="102" t="e">
        <f>+(Q794/M794)^(1/4)-1</f>
        <v>#DIV/0!</v>
      </c>
      <c r="X794" s="102" t="e">
        <f>+(V794/Q794)^(1/5)-1</f>
        <v>#DIV/0!</v>
      </c>
      <c r="Z794" s="11"/>
    </row>
    <row r="795" spans="1:26">
      <c r="A795" s="48"/>
      <c r="B795" s="48"/>
      <c r="C795" s="52" t="s">
        <v>892</v>
      </c>
      <c r="D795" s="52"/>
      <c r="E795" s="52"/>
      <c r="F795" s="52"/>
      <c r="G795" s="52"/>
      <c r="H795" s="52"/>
      <c r="I795" s="52"/>
      <c r="J795" s="52" t="s">
        <v>58</v>
      </c>
      <c r="K795" s="49"/>
      <c r="L795" s="53"/>
      <c r="M795" s="54" t="e">
        <f t="shared" ref="M795:V795" si="526">M794/L794-1</f>
        <v>#DIV/0!</v>
      </c>
      <c r="N795" s="54" t="e">
        <f t="shared" si="526"/>
        <v>#DIV/0!</v>
      </c>
      <c r="O795" s="54" t="e">
        <f t="shared" si="526"/>
        <v>#DIV/0!</v>
      </c>
      <c r="P795" s="54" t="e">
        <f t="shared" si="526"/>
        <v>#DIV/0!</v>
      </c>
      <c r="Q795" s="54" t="e">
        <f t="shared" si="526"/>
        <v>#DIV/0!</v>
      </c>
      <c r="R795" s="54" t="e">
        <f t="shared" si="526"/>
        <v>#DIV/0!</v>
      </c>
      <c r="S795" s="54" t="e">
        <f t="shared" si="526"/>
        <v>#DIV/0!</v>
      </c>
      <c r="T795" s="54" t="e">
        <f t="shared" si="526"/>
        <v>#DIV/0!</v>
      </c>
      <c r="U795" s="54" t="e">
        <f t="shared" si="526"/>
        <v>#DIV/0!</v>
      </c>
      <c r="V795" s="54" t="e">
        <f t="shared" si="526"/>
        <v>#DIV/0!</v>
      </c>
      <c r="W795" s="258"/>
      <c r="X795" s="258"/>
    </row>
    <row r="796" spans="1:26">
      <c r="A796" s="46" t="str">
        <f>Home!$B$1</f>
        <v>Poland</v>
      </c>
      <c r="B796" s="47" t="s">
        <v>94</v>
      </c>
      <c r="C796" s="47" t="s">
        <v>546</v>
      </c>
      <c r="D796" s="47" t="s">
        <v>67</v>
      </c>
      <c r="E796" s="46" t="s">
        <v>318</v>
      </c>
      <c r="F796" s="48" t="s">
        <v>642</v>
      </c>
      <c r="G796" s="48" t="s">
        <v>15</v>
      </c>
      <c r="H796" s="48" t="s">
        <v>16</v>
      </c>
      <c r="I796" s="48"/>
      <c r="J796" s="48" t="s">
        <v>99</v>
      </c>
      <c r="K796" s="49"/>
      <c r="L796" s="92">
        <f>VLOOKUP(E796,'Tourism Demand &amp; Flows'!$E$342:$P$548,8,0)</f>
        <v>0</v>
      </c>
      <c r="M796" s="92">
        <f>VLOOKUP(E796,'Tourism Demand &amp; Flows'!$E$342:$P$548,9,0)</f>
        <v>0</v>
      </c>
      <c r="N796" s="92">
        <f>VLOOKUP(E796,'Tourism Demand &amp; Flows'!$E$342:$P$548,10,0)</f>
        <v>0</v>
      </c>
      <c r="O796" s="92">
        <f>VLOOKUP(E796,'Tourism Demand &amp; Flows'!$E$342:$P$548,11,0)</f>
        <v>0</v>
      </c>
      <c r="P796" s="92">
        <f>VLOOKUP(E796,'Tourism Demand &amp; Flows'!$E$342:$P$548,12,0)</f>
        <v>0</v>
      </c>
      <c r="Q796" s="92">
        <f>Forecasting!Q868</f>
        <v>0</v>
      </c>
      <c r="R796" s="110">
        <f>Forecasting!R868</f>
        <v>0</v>
      </c>
      <c r="S796" s="110">
        <f>Forecasting!S868</f>
        <v>0</v>
      </c>
      <c r="T796" s="110">
        <f>Forecasting!T868</f>
        <v>0</v>
      </c>
      <c r="U796" s="110">
        <f>Forecasting!U868</f>
        <v>0</v>
      </c>
      <c r="V796" s="110">
        <f>Forecasting!V868</f>
        <v>0</v>
      </c>
      <c r="W796" s="102" t="e">
        <f>+(Q796/M796)^(1/4)-1</f>
        <v>#DIV/0!</v>
      </c>
      <c r="X796" s="102" t="e">
        <f>+(V796/Q796)^(1/5)-1</f>
        <v>#DIV/0!</v>
      </c>
      <c r="Z796" s="11"/>
    </row>
    <row r="797" spans="1:26">
      <c r="A797" s="48"/>
      <c r="B797" s="48"/>
      <c r="C797" s="52" t="s">
        <v>892</v>
      </c>
      <c r="D797" s="52"/>
      <c r="E797" s="52"/>
      <c r="F797" s="52"/>
      <c r="G797" s="52"/>
      <c r="H797" s="52"/>
      <c r="I797" s="52"/>
      <c r="J797" s="52" t="s">
        <v>58</v>
      </c>
      <c r="K797" s="49"/>
      <c r="L797" s="53"/>
      <c r="M797" s="54" t="e">
        <f t="shared" ref="M797:V797" si="527">M796/L796-1</f>
        <v>#DIV/0!</v>
      </c>
      <c r="N797" s="54" t="e">
        <f t="shared" si="527"/>
        <v>#DIV/0!</v>
      </c>
      <c r="O797" s="54" t="e">
        <f t="shared" si="527"/>
        <v>#DIV/0!</v>
      </c>
      <c r="P797" s="54" t="e">
        <f t="shared" si="527"/>
        <v>#DIV/0!</v>
      </c>
      <c r="Q797" s="54" t="e">
        <f t="shared" si="527"/>
        <v>#DIV/0!</v>
      </c>
      <c r="R797" s="54" t="e">
        <f t="shared" si="527"/>
        <v>#DIV/0!</v>
      </c>
      <c r="S797" s="54" t="e">
        <f t="shared" si="527"/>
        <v>#DIV/0!</v>
      </c>
      <c r="T797" s="54" t="e">
        <f t="shared" si="527"/>
        <v>#DIV/0!</v>
      </c>
      <c r="U797" s="54" t="e">
        <f t="shared" si="527"/>
        <v>#DIV/0!</v>
      </c>
      <c r="V797" s="54" t="e">
        <f t="shared" si="527"/>
        <v>#DIV/0!</v>
      </c>
      <c r="W797" s="258"/>
      <c r="X797" s="258"/>
    </row>
    <row r="798" spans="1:26">
      <c r="A798" s="46" t="str">
        <f>Home!$B$1</f>
        <v>Poland</v>
      </c>
      <c r="B798" s="47" t="s">
        <v>94</v>
      </c>
      <c r="C798" s="47" t="s">
        <v>546</v>
      </c>
      <c r="D798" s="47" t="s">
        <v>67</v>
      </c>
      <c r="E798" s="46" t="s">
        <v>320</v>
      </c>
      <c r="F798" s="48" t="s">
        <v>643</v>
      </c>
      <c r="G798" s="48" t="s">
        <v>15</v>
      </c>
      <c r="H798" s="48" t="s">
        <v>16</v>
      </c>
      <c r="I798" s="48"/>
      <c r="J798" s="48" t="s">
        <v>99</v>
      </c>
      <c r="K798" s="49">
        <v>482</v>
      </c>
      <c r="L798" s="92">
        <f>VLOOKUP(E798,'Tourism Demand &amp; Flows'!$E$342:$P$548,8,0)</f>
        <v>0</v>
      </c>
      <c r="M798" s="92">
        <f>VLOOKUP(E798,'Tourism Demand &amp; Flows'!$E$342:$P$548,9,0)</f>
        <v>0</v>
      </c>
      <c r="N798" s="92">
        <f>VLOOKUP(E798,'Tourism Demand &amp; Flows'!$E$342:$P$548,10,0)</f>
        <v>0</v>
      </c>
      <c r="O798" s="92">
        <f>VLOOKUP(E798,'Tourism Demand &amp; Flows'!$E$342:$P$548,11,0)</f>
        <v>0</v>
      </c>
      <c r="P798" s="92">
        <f>VLOOKUP(E798,'Tourism Demand &amp; Flows'!$E$342:$P$548,12,0)</f>
        <v>0</v>
      </c>
      <c r="Q798" s="92">
        <f>Forecasting!Q870</f>
        <v>0</v>
      </c>
      <c r="R798" s="110">
        <f>Forecasting!R870</f>
        <v>0</v>
      </c>
      <c r="S798" s="110">
        <f>Forecasting!S870</f>
        <v>0</v>
      </c>
      <c r="T798" s="110">
        <f>Forecasting!T870</f>
        <v>0</v>
      </c>
      <c r="U798" s="110">
        <f>Forecasting!U870</f>
        <v>0</v>
      </c>
      <c r="V798" s="110">
        <f>Forecasting!V870</f>
        <v>0</v>
      </c>
      <c r="W798" s="102" t="e">
        <f>+(Q798/M798)^(1/4)-1</f>
        <v>#DIV/0!</v>
      </c>
      <c r="X798" s="102" t="e">
        <f>+(V798/Q798)^(1/5)-1</f>
        <v>#DIV/0!</v>
      </c>
      <c r="Z798" s="11"/>
    </row>
    <row r="799" spans="1:26">
      <c r="A799" s="48"/>
      <c r="B799" s="48"/>
      <c r="C799" s="52" t="s">
        <v>892</v>
      </c>
      <c r="D799" s="52"/>
      <c r="E799" s="52"/>
      <c r="F799" s="52"/>
      <c r="G799" s="52"/>
      <c r="H799" s="52"/>
      <c r="I799" s="52"/>
      <c r="J799" s="52" t="s">
        <v>58</v>
      </c>
      <c r="K799" s="49"/>
      <c r="L799" s="53"/>
      <c r="M799" s="54" t="e">
        <f t="shared" ref="M799:V799" si="528">M798/L798-1</f>
        <v>#DIV/0!</v>
      </c>
      <c r="N799" s="54" t="e">
        <f t="shared" si="528"/>
        <v>#DIV/0!</v>
      </c>
      <c r="O799" s="54" t="e">
        <f t="shared" si="528"/>
        <v>#DIV/0!</v>
      </c>
      <c r="P799" s="54" t="e">
        <f t="shared" si="528"/>
        <v>#DIV/0!</v>
      </c>
      <c r="Q799" s="54" t="e">
        <f t="shared" si="528"/>
        <v>#DIV/0!</v>
      </c>
      <c r="R799" s="54" t="e">
        <f t="shared" si="528"/>
        <v>#DIV/0!</v>
      </c>
      <c r="S799" s="54" t="e">
        <f t="shared" si="528"/>
        <v>#DIV/0!</v>
      </c>
      <c r="T799" s="54" t="e">
        <f t="shared" si="528"/>
        <v>#DIV/0!</v>
      </c>
      <c r="U799" s="54" t="e">
        <f t="shared" si="528"/>
        <v>#DIV/0!</v>
      </c>
      <c r="V799" s="54" t="e">
        <f t="shared" si="528"/>
        <v>#DIV/0!</v>
      </c>
      <c r="W799" s="258"/>
      <c r="X799" s="258"/>
    </row>
    <row r="800" spans="1:26">
      <c r="A800" s="46" t="str">
        <f>Home!$B$1</f>
        <v>Poland</v>
      </c>
      <c r="B800" s="47" t="s">
        <v>94</v>
      </c>
      <c r="C800" s="47" t="s">
        <v>546</v>
      </c>
      <c r="D800" s="47" t="s">
        <v>67</v>
      </c>
      <c r="E800" s="46" t="s">
        <v>322</v>
      </c>
      <c r="F800" s="48" t="s">
        <v>644</v>
      </c>
      <c r="G800" s="48" t="s">
        <v>15</v>
      </c>
      <c r="H800" s="48" t="s">
        <v>16</v>
      </c>
      <c r="I800" s="48"/>
      <c r="J800" s="48" t="s">
        <v>99</v>
      </c>
      <c r="K800" s="49"/>
      <c r="L800" s="92">
        <f>VLOOKUP(E800,'Tourism Demand &amp; Flows'!$E$342:$P$548,8,0)</f>
        <v>0</v>
      </c>
      <c r="M800" s="92">
        <f>VLOOKUP(E800,'Tourism Demand &amp; Flows'!$E$342:$P$548,9,0)</f>
        <v>0</v>
      </c>
      <c r="N800" s="92">
        <f>VLOOKUP(E800,'Tourism Demand &amp; Flows'!$E$342:$P$548,10,0)</f>
        <v>0</v>
      </c>
      <c r="O800" s="92">
        <f>VLOOKUP(E800,'Tourism Demand &amp; Flows'!$E$342:$P$548,11,0)</f>
        <v>0</v>
      </c>
      <c r="P800" s="92">
        <f>VLOOKUP(E800,'Tourism Demand &amp; Flows'!$E$342:$P$548,12,0)</f>
        <v>0</v>
      </c>
      <c r="Q800" s="92">
        <f>Forecasting!Q872</f>
        <v>0</v>
      </c>
      <c r="R800" s="110">
        <f>Forecasting!R872</f>
        <v>0</v>
      </c>
      <c r="S800" s="110">
        <f>Forecasting!S872</f>
        <v>0</v>
      </c>
      <c r="T800" s="110">
        <f>Forecasting!T872</f>
        <v>0</v>
      </c>
      <c r="U800" s="110">
        <f>Forecasting!U872</f>
        <v>0</v>
      </c>
      <c r="V800" s="110">
        <f>Forecasting!V872</f>
        <v>0</v>
      </c>
      <c r="W800" s="102" t="e">
        <f>+(Q800/M800)^(1/4)-1</f>
        <v>#DIV/0!</v>
      </c>
      <c r="X800" s="102" t="e">
        <f>+(V800/Q800)^(1/5)-1</f>
        <v>#DIV/0!</v>
      </c>
      <c r="Z800" s="11"/>
    </row>
    <row r="801" spans="1:26">
      <c r="A801" s="48"/>
      <c r="B801" s="48"/>
      <c r="C801" s="52" t="s">
        <v>892</v>
      </c>
      <c r="D801" s="52"/>
      <c r="E801" s="52"/>
      <c r="F801" s="52"/>
      <c r="G801" s="52"/>
      <c r="H801" s="52"/>
      <c r="I801" s="52"/>
      <c r="J801" s="52" t="s">
        <v>58</v>
      </c>
      <c r="K801" s="49"/>
      <c r="L801" s="53"/>
      <c r="M801" s="54" t="e">
        <f t="shared" ref="M801:V801" si="529">M800/L800-1</f>
        <v>#DIV/0!</v>
      </c>
      <c r="N801" s="54" t="e">
        <f t="shared" si="529"/>
        <v>#DIV/0!</v>
      </c>
      <c r="O801" s="54" t="e">
        <f t="shared" si="529"/>
        <v>#DIV/0!</v>
      </c>
      <c r="P801" s="54" t="e">
        <f t="shared" si="529"/>
        <v>#DIV/0!</v>
      </c>
      <c r="Q801" s="54" t="e">
        <f t="shared" si="529"/>
        <v>#DIV/0!</v>
      </c>
      <c r="R801" s="54" t="e">
        <f t="shared" si="529"/>
        <v>#DIV/0!</v>
      </c>
      <c r="S801" s="54" t="e">
        <f t="shared" si="529"/>
        <v>#DIV/0!</v>
      </c>
      <c r="T801" s="54" t="e">
        <f t="shared" si="529"/>
        <v>#DIV/0!</v>
      </c>
      <c r="U801" s="54" t="e">
        <f t="shared" si="529"/>
        <v>#DIV/0!</v>
      </c>
      <c r="V801" s="54" t="e">
        <f t="shared" si="529"/>
        <v>#DIV/0!</v>
      </c>
      <c r="W801" s="258"/>
      <c r="X801" s="258"/>
    </row>
    <row r="802" spans="1:26">
      <c r="A802" s="46" t="str">
        <f>Home!$B$1</f>
        <v>Poland</v>
      </c>
      <c r="B802" s="47" t="s">
        <v>94</v>
      </c>
      <c r="C802" s="47" t="s">
        <v>546</v>
      </c>
      <c r="D802" s="47" t="s">
        <v>67</v>
      </c>
      <c r="E802" s="46" t="s">
        <v>324</v>
      </c>
      <c r="F802" s="48" t="s">
        <v>645</v>
      </c>
      <c r="G802" s="48" t="s">
        <v>15</v>
      </c>
      <c r="H802" s="48" t="s">
        <v>16</v>
      </c>
      <c r="I802" s="48"/>
      <c r="J802" s="48" t="s">
        <v>99</v>
      </c>
      <c r="K802" s="49"/>
      <c r="L802" s="92">
        <f>VLOOKUP(E802,'Tourism Demand &amp; Flows'!$E$342:$P$548,8,0)</f>
        <v>0</v>
      </c>
      <c r="M802" s="92">
        <f>VLOOKUP(E802,'Tourism Demand &amp; Flows'!$E$342:$P$548,9,0)</f>
        <v>0</v>
      </c>
      <c r="N802" s="92">
        <f>VLOOKUP(E802,'Tourism Demand &amp; Flows'!$E$342:$P$548,10,0)</f>
        <v>0</v>
      </c>
      <c r="O802" s="92">
        <f>VLOOKUP(E802,'Tourism Demand &amp; Flows'!$E$342:$P$548,11,0)</f>
        <v>0</v>
      </c>
      <c r="P802" s="92">
        <f>VLOOKUP(E802,'Tourism Demand &amp; Flows'!$E$342:$P$548,12,0)</f>
        <v>0</v>
      </c>
      <c r="Q802" s="92">
        <f>Forecasting!Q874</f>
        <v>0</v>
      </c>
      <c r="R802" s="110">
        <f>Forecasting!R874</f>
        <v>0</v>
      </c>
      <c r="S802" s="110">
        <f>Forecasting!S874</f>
        <v>0</v>
      </c>
      <c r="T802" s="110">
        <f>Forecasting!T874</f>
        <v>0</v>
      </c>
      <c r="U802" s="110">
        <f>Forecasting!U874</f>
        <v>0</v>
      </c>
      <c r="V802" s="110">
        <f>Forecasting!V874</f>
        <v>0</v>
      </c>
      <c r="W802" s="102" t="e">
        <f>+(Q802/M802)^(1/4)-1</f>
        <v>#DIV/0!</v>
      </c>
      <c r="X802" s="102" t="e">
        <f>+(V802/Q802)^(1/5)-1</f>
        <v>#DIV/0!</v>
      </c>
      <c r="Z802" s="11"/>
    </row>
    <row r="803" spans="1:26">
      <c r="A803" s="48"/>
      <c r="B803" s="48"/>
      <c r="C803" s="52" t="s">
        <v>892</v>
      </c>
      <c r="D803" s="52"/>
      <c r="E803" s="52"/>
      <c r="F803" s="52"/>
      <c r="G803" s="52"/>
      <c r="H803" s="52"/>
      <c r="I803" s="52"/>
      <c r="J803" s="52" t="s">
        <v>58</v>
      </c>
      <c r="K803" s="49"/>
      <c r="L803" s="53"/>
      <c r="M803" s="54" t="e">
        <f t="shared" ref="M803:V803" si="530">M802/L802-1</f>
        <v>#DIV/0!</v>
      </c>
      <c r="N803" s="54" t="e">
        <f t="shared" si="530"/>
        <v>#DIV/0!</v>
      </c>
      <c r="O803" s="54" t="e">
        <f t="shared" si="530"/>
        <v>#DIV/0!</v>
      </c>
      <c r="P803" s="54" t="e">
        <f t="shared" si="530"/>
        <v>#DIV/0!</v>
      </c>
      <c r="Q803" s="54" t="e">
        <f t="shared" si="530"/>
        <v>#DIV/0!</v>
      </c>
      <c r="R803" s="54" t="e">
        <f t="shared" si="530"/>
        <v>#DIV/0!</v>
      </c>
      <c r="S803" s="54" t="e">
        <f t="shared" si="530"/>
        <v>#DIV/0!</v>
      </c>
      <c r="T803" s="54" t="e">
        <f t="shared" si="530"/>
        <v>#DIV/0!</v>
      </c>
      <c r="U803" s="54" t="e">
        <f t="shared" si="530"/>
        <v>#DIV/0!</v>
      </c>
      <c r="V803" s="54" t="e">
        <f t="shared" si="530"/>
        <v>#DIV/0!</v>
      </c>
      <c r="W803" s="258"/>
      <c r="X803" s="258"/>
    </row>
    <row r="804" spans="1:26">
      <c r="A804" s="46" t="str">
        <f>Home!$B$1</f>
        <v>Poland</v>
      </c>
      <c r="B804" s="47" t="s">
        <v>94</v>
      </c>
      <c r="C804" s="47" t="s">
        <v>546</v>
      </c>
      <c r="D804" s="47" t="s">
        <v>67</v>
      </c>
      <c r="E804" s="46" t="s">
        <v>326</v>
      </c>
      <c r="F804" s="48" t="s">
        <v>646</v>
      </c>
      <c r="G804" s="48" t="s">
        <v>15</v>
      </c>
      <c r="H804" s="48" t="s">
        <v>16</v>
      </c>
      <c r="I804" s="48"/>
      <c r="J804" s="48" t="s">
        <v>99</v>
      </c>
      <c r="K804" s="49"/>
      <c r="L804" s="92">
        <f>VLOOKUP(E804,'Tourism Demand &amp; Flows'!$E$342:$P$548,8,0)</f>
        <v>0</v>
      </c>
      <c r="M804" s="92">
        <f>VLOOKUP(E804,'Tourism Demand &amp; Flows'!$E$342:$P$548,9,0)</f>
        <v>0</v>
      </c>
      <c r="N804" s="92">
        <f>VLOOKUP(E804,'Tourism Demand &amp; Flows'!$E$342:$P$548,10,0)</f>
        <v>0</v>
      </c>
      <c r="O804" s="92">
        <f>VLOOKUP(E804,'Tourism Demand &amp; Flows'!$E$342:$P$548,11,0)</f>
        <v>0</v>
      </c>
      <c r="P804" s="92">
        <f>VLOOKUP(E804,'Tourism Demand &amp; Flows'!$E$342:$P$548,12,0)</f>
        <v>0</v>
      </c>
      <c r="Q804" s="92">
        <f>Forecasting!Q876</f>
        <v>0</v>
      </c>
      <c r="R804" s="110">
        <f>Forecasting!R876</f>
        <v>0</v>
      </c>
      <c r="S804" s="110">
        <f>Forecasting!S876</f>
        <v>0</v>
      </c>
      <c r="T804" s="110">
        <f>Forecasting!T876</f>
        <v>0</v>
      </c>
      <c r="U804" s="110">
        <f>Forecasting!U876</f>
        <v>0</v>
      </c>
      <c r="V804" s="110">
        <f>Forecasting!V876</f>
        <v>0</v>
      </c>
      <c r="W804" s="102" t="e">
        <f>+(Q804/M804)^(1/4)-1</f>
        <v>#DIV/0!</v>
      </c>
      <c r="X804" s="102" t="e">
        <f>+(V804/Q804)^(1/5)-1</f>
        <v>#DIV/0!</v>
      </c>
      <c r="Z804" s="11"/>
    </row>
    <row r="805" spans="1:26">
      <c r="A805" s="48"/>
      <c r="B805" s="48"/>
      <c r="C805" s="52" t="s">
        <v>892</v>
      </c>
      <c r="D805" s="52"/>
      <c r="E805" s="52"/>
      <c r="F805" s="52"/>
      <c r="G805" s="52"/>
      <c r="H805" s="52"/>
      <c r="I805" s="52"/>
      <c r="J805" s="52" t="s">
        <v>58</v>
      </c>
      <c r="K805" s="49"/>
      <c r="L805" s="53"/>
      <c r="M805" s="54" t="e">
        <f t="shared" ref="M805:V805" si="531">M804/L804-1</f>
        <v>#DIV/0!</v>
      </c>
      <c r="N805" s="54" t="e">
        <f t="shared" si="531"/>
        <v>#DIV/0!</v>
      </c>
      <c r="O805" s="54" t="e">
        <f t="shared" si="531"/>
        <v>#DIV/0!</v>
      </c>
      <c r="P805" s="54" t="e">
        <f t="shared" si="531"/>
        <v>#DIV/0!</v>
      </c>
      <c r="Q805" s="54" t="e">
        <f t="shared" si="531"/>
        <v>#DIV/0!</v>
      </c>
      <c r="R805" s="54" t="e">
        <f t="shared" si="531"/>
        <v>#DIV/0!</v>
      </c>
      <c r="S805" s="54" t="e">
        <f t="shared" si="531"/>
        <v>#DIV/0!</v>
      </c>
      <c r="T805" s="54" t="e">
        <f t="shared" si="531"/>
        <v>#DIV/0!</v>
      </c>
      <c r="U805" s="54" t="e">
        <f t="shared" si="531"/>
        <v>#DIV/0!</v>
      </c>
      <c r="V805" s="54" t="e">
        <f t="shared" si="531"/>
        <v>#DIV/0!</v>
      </c>
      <c r="W805" s="258"/>
      <c r="X805" s="258"/>
    </row>
    <row r="806" spans="1:26">
      <c r="A806" s="46" t="str">
        <f>Home!$B$1</f>
        <v>Poland</v>
      </c>
      <c r="B806" s="47" t="s">
        <v>94</v>
      </c>
      <c r="C806" s="47" t="s">
        <v>546</v>
      </c>
      <c r="D806" s="47" t="s">
        <v>67</v>
      </c>
      <c r="E806" s="46" t="s">
        <v>328</v>
      </c>
      <c r="F806" s="48" t="s">
        <v>647</v>
      </c>
      <c r="G806" s="48" t="s">
        <v>15</v>
      </c>
      <c r="H806" s="48" t="s">
        <v>16</v>
      </c>
      <c r="I806" s="48"/>
      <c r="J806" s="48" t="s">
        <v>99</v>
      </c>
      <c r="K806" s="49"/>
      <c r="L806" s="92">
        <f>VLOOKUP(E806,'Tourism Demand &amp; Flows'!$E$342:$P$548,8,0)</f>
        <v>0</v>
      </c>
      <c r="M806" s="92">
        <f>VLOOKUP(E806,'Tourism Demand &amp; Flows'!$E$342:$P$548,9,0)</f>
        <v>0</v>
      </c>
      <c r="N806" s="92">
        <f>VLOOKUP(E806,'Tourism Demand &amp; Flows'!$E$342:$P$548,10,0)</f>
        <v>0</v>
      </c>
      <c r="O806" s="92">
        <f>VLOOKUP(E806,'Tourism Demand &amp; Flows'!$E$342:$P$548,11,0)</f>
        <v>0</v>
      </c>
      <c r="P806" s="92">
        <f>VLOOKUP(E806,'Tourism Demand &amp; Flows'!$E$342:$P$548,12,0)</f>
        <v>0</v>
      </c>
      <c r="Q806" s="92">
        <f>Forecasting!Q878</f>
        <v>0</v>
      </c>
      <c r="R806" s="110">
        <f>Forecasting!R878</f>
        <v>0</v>
      </c>
      <c r="S806" s="110">
        <f>Forecasting!S878</f>
        <v>0</v>
      </c>
      <c r="T806" s="110">
        <f>Forecasting!T878</f>
        <v>0</v>
      </c>
      <c r="U806" s="110">
        <f>Forecasting!U878</f>
        <v>0</v>
      </c>
      <c r="V806" s="110">
        <f>Forecasting!V878</f>
        <v>0</v>
      </c>
      <c r="W806" s="102" t="e">
        <f>+(Q806/M806)^(1/4)-1</f>
        <v>#DIV/0!</v>
      </c>
      <c r="X806" s="102" t="e">
        <f>+(V806/Q806)^(1/5)-1</f>
        <v>#DIV/0!</v>
      </c>
      <c r="Z806" s="11"/>
    </row>
    <row r="807" spans="1:26">
      <c r="A807" s="48"/>
      <c r="B807" s="48"/>
      <c r="C807" s="52" t="s">
        <v>892</v>
      </c>
      <c r="D807" s="52"/>
      <c r="E807" s="52"/>
      <c r="F807" s="52"/>
      <c r="G807" s="52"/>
      <c r="H807" s="52"/>
      <c r="I807" s="52"/>
      <c r="J807" s="52" t="s">
        <v>58</v>
      </c>
      <c r="K807" s="49"/>
      <c r="L807" s="53"/>
      <c r="M807" s="54" t="e">
        <f t="shared" ref="M807:V807" si="532">M806/L806-1</f>
        <v>#DIV/0!</v>
      </c>
      <c r="N807" s="54" t="e">
        <f t="shared" si="532"/>
        <v>#DIV/0!</v>
      </c>
      <c r="O807" s="54" t="e">
        <f t="shared" si="532"/>
        <v>#DIV/0!</v>
      </c>
      <c r="P807" s="54" t="e">
        <f t="shared" si="532"/>
        <v>#DIV/0!</v>
      </c>
      <c r="Q807" s="54" t="e">
        <f t="shared" si="532"/>
        <v>#DIV/0!</v>
      </c>
      <c r="R807" s="54" t="e">
        <f t="shared" si="532"/>
        <v>#DIV/0!</v>
      </c>
      <c r="S807" s="54" t="e">
        <f t="shared" si="532"/>
        <v>#DIV/0!</v>
      </c>
      <c r="T807" s="54" t="e">
        <f t="shared" si="532"/>
        <v>#DIV/0!</v>
      </c>
      <c r="U807" s="54" t="e">
        <f t="shared" si="532"/>
        <v>#DIV/0!</v>
      </c>
      <c r="V807" s="54" t="e">
        <f t="shared" si="532"/>
        <v>#DIV/0!</v>
      </c>
      <c r="W807" s="258"/>
      <c r="X807" s="258"/>
    </row>
    <row r="808" spans="1:26">
      <c r="A808" s="46" t="str">
        <f>Home!$B$1</f>
        <v>Poland</v>
      </c>
      <c r="B808" s="47" t="s">
        <v>94</v>
      </c>
      <c r="C808" s="47" t="s">
        <v>546</v>
      </c>
      <c r="D808" s="47" t="s">
        <v>67</v>
      </c>
      <c r="E808" s="46" t="s">
        <v>330</v>
      </c>
      <c r="F808" s="48" t="s">
        <v>648</v>
      </c>
      <c r="G808" s="48" t="s">
        <v>15</v>
      </c>
      <c r="H808" s="48" t="s">
        <v>16</v>
      </c>
      <c r="I808" s="48"/>
      <c r="J808" s="48" t="s">
        <v>99</v>
      </c>
      <c r="K808" s="49">
        <v>181</v>
      </c>
      <c r="L808" s="92">
        <f>VLOOKUP(E808,'Tourism Demand &amp; Flows'!$E$342:$P$548,8,0)</f>
        <v>0</v>
      </c>
      <c r="M808" s="92">
        <f>VLOOKUP(E808,'Tourism Demand &amp; Flows'!$E$342:$P$548,9,0)</f>
        <v>0</v>
      </c>
      <c r="N808" s="92">
        <f>VLOOKUP(E808,'Tourism Demand &amp; Flows'!$E$342:$P$548,10,0)</f>
        <v>0</v>
      </c>
      <c r="O808" s="92">
        <f>VLOOKUP(E808,'Tourism Demand &amp; Flows'!$E$342:$P$548,11,0)</f>
        <v>0</v>
      </c>
      <c r="P808" s="92">
        <f>VLOOKUP(E808,'Tourism Demand &amp; Flows'!$E$342:$P$548,12,0)</f>
        <v>0</v>
      </c>
      <c r="Q808" s="92">
        <f>Forecasting!Q880</f>
        <v>0</v>
      </c>
      <c r="R808" s="110">
        <f>Forecasting!R880</f>
        <v>0</v>
      </c>
      <c r="S808" s="110">
        <f>Forecasting!S880</f>
        <v>0</v>
      </c>
      <c r="T808" s="110">
        <f>Forecasting!T880</f>
        <v>0</v>
      </c>
      <c r="U808" s="110">
        <f>Forecasting!U880</f>
        <v>0</v>
      </c>
      <c r="V808" s="110">
        <f>Forecasting!V880</f>
        <v>0</v>
      </c>
      <c r="W808" s="102" t="e">
        <f>+(Q808/M808)^(1/4)-1</f>
        <v>#DIV/0!</v>
      </c>
      <c r="X808" s="102" t="e">
        <f>+(V808/Q808)^(1/5)-1</f>
        <v>#DIV/0!</v>
      </c>
      <c r="Z808" s="11"/>
    </row>
    <row r="809" spans="1:26">
      <c r="A809" s="48"/>
      <c r="B809" s="48"/>
      <c r="C809" s="52" t="s">
        <v>892</v>
      </c>
      <c r="D809" s="52"/>
      <c r="E809" s="52"/>
      <c r="F809" s="52"/>
      <c r="G809" s="52"/>
      <c r="H809" s="52"/>
      <c r="I809" s="52"/>
      <c r="J809" s="52" t="s">
        <v>58</v>
      </c>
      <c r="K809" s="49"/>
      <c r="L809" s="53"/>
      <c r="M809" s="54" t="e">
        <f t="shared" ref="M809:V809" si="533">M808/L808-1</f>
        <v>#DIV/0!</v>
      </c>
      <c r="N809" s="54" t="e">
        <f t="shared" si="533"/>
        <v>#DIV/0!</v>
      </c>
      <c r="O809" s="54" t="e">
        <f t="shared" si="533"/>
        <v>#DIV/0!</v>
      </c>
      <c r="P809" s="54" t="e">
        <f t="shared" si="533"/>
        <v>#DIV/0!</v>
      </c>
      <c r="Q809" s="54" t="e">
        <f t="shared" si="533"/>
        <v>#DIV/0!</v>
      </c>
      <c r="R809" s="54" t="e">
        <f t="shared" si="533"/>
        <v>#DIV/0!</v>
      </c>
      <c r="S809" s="54" t="e">
        <f t="shared" si="533"/>
        <v>#DIV/0!</v>
      </c>
      <c r="T809" s="54" t="e">
        <f t="shared" si="533"/>
        <v>#DIV/0!</v>
      </c>
      <c r="U809" s="54" t="e">
        <f t="shared" si="533"/>
        <v>#DIV/0!</v>
      </c>
      <c r="V809" s="54" t="e">
        <f t="shared" si="533"/>
        <v>#DIV/0!</v>
      </c>
      <c r="W809" s="258"/>
      <c r="X809" s="258"/>
    </row>
    <row r="810" spans="1:26">
      <c r="A810" s="46" t="str">
        <f>Home!$B$1</f>
        <v>Poland</v>
      </c>
      <c r="B810" s="47" t="s">
        <v>94</v>
      </c>
      <c r="C810" s="47" t="s">
        <v>546</v>
      </c>
      <c r="D810" s="94" t="s">
        <v>67</v>
      </c>
      <c r="E810" s="95" t="s">
        <v>878</v>
      </c>
      <c r="F810" s="94" t="s">
        <v>882</v>
      </c>
      <c r="G810" s="48"/>
      <c r="H810" s="48"/>
      <c r="I810" s="48"/>
      <c r="J810" s="48" t="s">
        <v>99</v>
      </c>
      <c r="K810" s="49"/>
      <c r="L810" s="92">
        <f>'Seasonality&amp; Avg.stay'!B429</f>
        <v>179.31527492467055</v>
      </c>
      <c r="M810" s="92">
        <f>'Seasonality&amp; Avg.stay'!C429</f>
        <v>184.34175232685487</v>
      </c>
      <c r="N810" s="92">
        <f>'Seasonality&amp; Avg.stay'!D429</f>
        <v>183.32818381664458</v>
      </c>
      <c r="O810" s="92">
        <f>'Seasonality&amp; Avg.stay'!E429</f>
        <v>193.54742824657512</v>
      </c>
      <c r="P810" s="92">
        <f>'Seasonality&amp; Avg.stay'!F429</f>
        <v>218.65231902931407</v>
      </c>
      <c r="Q810" s="92">
        <f>'Seasonality&amp; Avg.stay'!G429</f>
        <v>232.04683312166151</v>
      </c>
      <c r="R810" s="110">
        <f>Forecasting!R882</f>
        <v>0</v>
      </c>
      <c r="S810" s="110">
        <f>Forecasting!S882</f>
        <v>0</v>
      </c>
      <c r="T810" s="110">
        <f>Forecasting!T882</f>
        <v>0</v>
      </c>
      <c r="U810" s="110">
        <f>Forecasting!U882</f>
        <v>0</v>
      </c>
      <c r="V810" s="110">
        <f>Forecasting!V882</f>
        <v>0</v>
      </c>
      <c r="W810" s="102">
        <f>+(Q810/M810)^(1/4)-1</f>
        <v>5.9224417204696289E-2</v>
      </c>
      <c r="X810" s="102">
        <f>+(V810/Q810)^(1/5)-1</f>
        <v>-1</v>
      </c>
      <c r="Z810" s="11"/>
    </row>
    <row r="811" spans="1:26">
      <c r="A811" s="48"/>
      <c r="B811" s="48"/>
      <c r="C811" s="52" t="s">
        <v>892</v>
      </c>
      <c r="D811" s="52"/>
      <c r="E811" s="52"/>
      <c r="F811" s="52"/>
      <c r="G811" s="52"/>
      <c r="H811" s="52"/>
      <c r="I811" s="52"/>
      <c r="J811" s="52" t="s">
        <v>58</v>
      </c>
      <c r="K811" s="49"/>
      <c r="L811" s="53"/>
      <c r="M811" s="54">
        <f t="shared" ref="M811:V811" si="534">M810/L810-1</f>
        <v>2.8031507099971931E-2</v>
      </c>
      <c r="N811" s="54">
        <f t="shared" si="534"/>
        <v>-5.4983122239889992E-3</v>
      </c>
      <c r="O811" s="54">
        <f t="shared" si="534"/>
        <v>5.5742898975922328E-2</v>
      </c>
      <c r="P811" s="54">
        <f t="shared" si="534"/>
        <v>0.12970924496478387</v>
      </c>
      <c r="Q811" s="54">
        <f t="shared" si="534"/>
        <v>6.1259419300060847E-2</v>
      </c>
      <c r="R811" s="54">
        <f t="shared" si="534"/>
        <v>-1</v>
      </c>
      <c r="S811" s="54" t="e">
        <f t="shared" si="534"/>
        <v>#DIV/0!</v>
      </c>
      <c r="T811" s="54" t="e">
        <f t="shared" si="534"/>
        <v>#DIV/0!</v>
      </c>
      <c r="U811" s="54" t="e">
        <f t="shared" si="534"/>
        <v>#DIV/0!</v>
      </c>
      <c r="V811" s="54" t="e">
        <f t="shared" si="534"/>
        <v>#DIV/0!</v>
      </c>
      <c r="W811" s="258"/>
      <c r="X811" s="258"/>
    </row>
    <row r="812" spans="1:26">
      <c r="A812" s="46" t="str">
        <f>Home!$B$1</f>
        <v>Poland</v>
      </c>
      <c r="B812" s="47" t="s">
        <v>94</v>
      </c>
      <c r="C812" s="47" t="s">
        <v>546</v>
      </c>
      <c r="D812" s="46" t="s">
        <v>69</v>
      </c>
      <c r="E812" s="48"/>
      <c r="F812" s="48" t="s">
        <v>649</v>
      </c>
      <c r="G812" s="48" t="s">
        <v>15</v>
      </c>
      <c r="H812" s="48" t="s">
        <v>16</v>
      </c>
      <c r="I812" s="48"/>
      <c r="J812" s="48" t="s">
        <v>99</v>
      </c>
      <c r="K812" s="76">
        <f>SUM(K813:K856)</f>
        <v>7446</v>
      </c>
      <c r="L812" s="271">
        <f t="shared" ref="L812:Q812" si="535">SUM(L814,L816,L818,L820,L822,L824,L826,L828,L830,L832,L834,L836,L838,L840,L842,L844,L846,L848,L850,L852,L854,L856,L858,L860,L862,L864,L866,L868,L870,L872,L874,L876,L878,L880,L882,L884,L886,L888,L890,L892,L894,L896,L898,L900,L902)</f>
        <v>6255.5250237928249</v>
      </c>
      <c r="M812" s="271">
        <f t="shared" si="535"/>
        <v>6877.2235533511548</v>
      </c>
      <c r="N812" s="271">
        <f t="shared" si="535"/>
        <v>5675.9934490327623</v>
      </c>
      <c r="O812" s="271">
        <f t="shared" si="535"/>
        <v>6451.7966470588235</v>
      </c>
      <c r="P812" s="271">
        <f t="shared" si="535"/>
        <v>5658.0534705882355</v>
      </c>
      <c r="Q812" s="271">
        <f t="shared" si="535"/>
        <v>5517.8243043497841</v>
      </c>
      <c r="R812" s="264">
        <f>Forecasting!R884</f>
        <v>5569.8824974001363</v>
      </c>
      <c r="S812" s="264">
        <f>Forecasting!S884</f>
        <v>5650.4481242506627</v>
      </c>
      <c r="T812" s="264">
        <f>Forecasting!T884</f>
        <v>5679.0749097099351</v>
      </c>
      <c r="U812" s="264">
        <f>Forecasting!U884</f>
        <v>5735.938886957827</v>
      </c>
      <c r="V812" s="264">
        <f>Forecasting!V884</f>
        <v>5782.5196955703004</v>
      </c>
      <c r="W812" s="102">
        <f>+(Q812/M812)^(1/4)-1</f>
        <v>-5.3569600458166833E-2</v>
      </c>
      <c r="X812" s="102">
        <f>+(V812/Q812)^(1/5)-1</f>
        <v>9.4152242354252902E-3</v>
      </c>
      <c r="Z812" s="11"/>
    </row>
    <row r="813" spans="1:26">
      <c r="A813" s="48"/>
      <c r="B813" s="48"/>
      <c r="C813" s="52" t="s">
        <v>892</v>
      </c>
      <c r="D813" s="52"/>
      <c r="E813" s="52"/>
      <c r="F813" s="52"/>
      <c r="G813" s="52"/>
      <c r="H813" s="52"/>
      <c r="I813" s="52"/>
      <c r="J813" s="52" t="s">
        <v>58</v>
      </c>
      <c r="K813" s="49"/>
      <c r="L813" s="53"/>
      <c r="M813" s="54">
        <f t="shared" ref="M813:V813" si="536">M812/L812-1</f>
        <v>9.9383908975458679E-2</v>
      </c>
      <c r="N813" s="54">
        <f t="shared" si="536"/>
        <v>-0.17466788668416244</v>
      </c>
      <c r="O813" s="54">
        <f t="shared" si="536"/>
        <v>0.13668148228012211</v>
      </c>
      <c r="P813" s="54">
        <f t="shared" si="536"/>
        <v>-0.12302668851666787</v>
      </c>
      <c r="Q813" s="54">
        <f t="shared" si="536"/>
        <v>-2.4783994525218289E-2</v>
      </c>
      <c r="R813" s="54">
        <f t="shared" si="536"/>
        <v>9.4345506813824365E-3</v>
      </c>
      <c r="S813" s="54">
        <f t="shared" si="536"/>
        <v>1.4464511035579664E-2</v>
      </c>
      <c r="T813" s="54">
        <f t="shared" si="536"/>
        <v>5.0662858643744091E-3</v>
      </c>
      <c r="U813" s="54">
        <f t="shared" si="536"/>
        <v>1.0012894380151183E-2</v>
      </c>
      <c r="V813" s="54">
        <f t="shared" si="536"/>
        <v>8.1208690556984209E-3</v>
      </c>
      <c r="W813" s="258"/>
      <c r="X813" s="258"/>
    </row>
    <row r="814" spans="1:26">
      <c r="A814" s="46" t="str">
        <f>Home!$B$1</f>
        <v>Poland</v>
      </c>
      <c r="B814" s="47" t="s">
        <v>94</v>
      </c>
      <c r="C814" s="47" t="s">
        <v>546</v>
      </c>
      <c r="D814" s="47" t="s">
        <v>69</v>
      </c>
      <c r="E814" s="46" t="s">
        <v>333</v>
      </c>
      <c r="F814" s="48" t="s">
        <v>650</v>
      </c>
      <c r="G814" s="48" t="s">
        <v>15</v>
      </c>
      <c r="H814" s="48" t="s">
        <v>16</v>
      </c>
      <c r="I814" s="48"/>
      <c r="J814" s="48" t="s">
        <v>99</v>
      </c>
      <c r="K814" s="49"/>
      <c r="L814" s="92"/>
      <c r="M814" s="92"/>
      <c r="N814" s="92"/>
      <c r="O814" s="92"/>
      <c r="P814" s="92"/>
      <c r="Q814" s="92"/>
      <c r="R814" s="110">
        <f>Forecasting!R900</f>
        <v>0</v>
      </c>
      <c r="S814" s="110">
        <f>Forecasting!S900</f>
        <v>0</v>
      </c>
      <c r="T814" s="110">
        <f>Forecasting!T900</f>
        <v>0</v>
      </c>
      <c r="U814" s="110">
        <f>Forecasting!U900</f>
        <v>0</v>
      </c>
      <c r="V814" s="110">
        <f>Forecasting!V900</f>
        <v>0</v>
      </c>
      <c r="W814" s="102" t="e">
        <f>+(Q814/M814)^(1/4)-1</f>
        <v>#DIV/0!</v>
      </c>
      <c r="X814" s="102" t="e">
        <f>+(V814/Q814)^(1/5)-1</f>
        <v>#DIV/0!</v>
      </c>
      <c r="Z814" s="11"/>
    </row>
    <row r="815" spans="1:26">
      <c r="A815" s="48"/>
      <c r="B815" s="48"/>
      <c r="C815" s="52" t="s">
        <v>892</v>
      </c>
      <c r="D815" s="52"/>
      <c r="E815" s="52"/>
      <c r="F815" s="52"/>
      <c r="G815" s="52"/>
      <c r="H815" s="52"/>
      <c r="I815" s="52"/>
      <c r="J815" s="52" t="s">
        <v>58</v>
      </c>
      <c r="K815" s="49"/>
      <c r="L815" s="53"/>
      <c r="M815" s="54" t="e">
        <f t="shared" ref="M815:V815" si="537">M814/L814-1</f>
        <v>#DIV/0!</v>
      </c>
      <c r="N815" s="54" t="e">
        <f t="shared" si="537"/>
        <v>#DIV/0!</v>
      </c>
      <c r="O815" s="54" t="e">
        <f t="shared" si="537"/>
        <v>#DIV/0!</v>
      </c>
      <c r="P815" s="54" t="e">
        <f t="shared" si="537"/>
        <v>#DIV/0!</v>
      </c>
      <c r="Q815" s="54" t="e">
        <f t="shared" si="537"/>
        <v>#DIV/0!</v>
      </c>
      <c r="R815" s="54" t="e">
        <f t="shared" si="537"/>
        <v>#DIV/0!</v>
      </c>
      <c r="S815" s="54" t="e">
        <f t="shared" si="537"/>
        <v>#DIV/0!</v>
      </c>
      <c r="T815" s="54" t="e">
        <f t="shared" si="537"/>
        <v>#DIV/0!</v>
      </c>
      <c r="U815" s="54" t="e">
        <f t="shared" si="537"/>
        <v>#DIV/0!</v>
      </c>
      <c r="V815" s="54" t="e">
        <f t="shared" si="537"/>
        <v>#DIV/0!</v>
      </c>
      <c r="W815" s="258"/>
      <c r="X815" s="258"/>
    </row>
    <row r="816" spans="1:26">
      <c r="A816" s="46" t="str">
        <f>Home!$B$1</f>
        <v>Poland</v>
      </c>
      <c r="B816" s="47" t="s">
        <v>94</v>
      </c>
      <c r="C816" s="47" t="s">
        <v>546</v>
      </c>
      <c r="D816" s="47" t="s">
        <v>69</v>
      </c>
      <c r="E816" s="46" t="s">
        <v>335</v>
      </c>
      <c r="F816" s="48" t="s">
        <v>651</v>
      </c>
      <c r="G816" s="48" t="s">
        <v>15</v>
      </c>
      <c r="H816" s="48" t="s">
        <v>16</v>
      </c>
      <c r="I816" s="48"/>
      <c r="J816" s="48" t="s">
        <v>99</v>
      </c>
      <c r="K816" s="49"/>
      <c r="L816" s="92"/>
      <c r="M816" s="92"/>
      <c r="N816" s="92"/>
      <c r="O816" s="92"/>
      <c r="P816" s="92"/>
      <c r="Q816" s="92"/>
      <c r="R816" s="110">
        <f>Forecasting!R902</f>
        <v>0</v>
      </c>
      <c r="S816" s="110">
        <f>Forecasting!S902</f>
        <v>0</v>
      </c>
      <c r="T816" s="110">
        <f>Forecasting!T902</f>
        <v>0</v>
      </c>
      <c r="U816" s="110">
        <f>Forecasting!U902</f>
        <v>0</v>
      </c>
      <c r="V816" s="110">
        <f>Forecasting!V902</f>
        <v>0</v>
      </c>
      <c r="W816" s="102" t="e">
        <f>+(Q816/M816)^(1/4)-1</f>
        <v>#DIV/0!</v>
      </c>
      <c r="X816" s="102" t="e">
        <f>+(V816/Q816)^(1/5)-1</f>
        <v>#DIV/0!</v>
      </c>
      <c r="Z816" s="11"/>
    </row>
    <row r="817" spans="1:26">
      <c r="A817" s="48"/>
      <c r="B817" s="48"/>
      <c r="C817" s="52" t="s">
        <v>892</v>
      </c>
      <c r="D817" s="52"/>
      <c r="E817" s="52"/>
      <c r="F817" s="52"/>
      <c r="G817" s="52"/>
      <c r="H817" s="52"/>
      <c r="I817" s="52"/>
      <c r="J817" s="52" t="s">
        <v>58</v>
      </c>
      <c r="K817" s="49"/>
      <c r="L817" s="53"/>
      <c r="M817" s="54" t="e">
        <f t="shared" ref="M817:V817" si="538">M816/L816-1</f>
        <v>#DIV/0!</v>
      </c>
      <c r="N817" s="54" t="e">
        <f t="shared" si="538"/>
        <v>#DIV/0!</v>
      </c>
      <c r="O817" s="54" t="e">
        <f t="shared" si="538"/>
        <v>#DIV/0!</v>
      </c>
      <c r="P817" s="54" t="e">
        <f t="shared" si="538"/>
        <v>#DIV/0!</v>
      </c>
      <c r="Q817" s="54" t="e">
        <f t="shared" si="538"/>
        <v>#DIV/0!</v>
      </c>
      <c r="R817" s="54" t="e">
        <f t="shared" si="538"/>
        <v>#DIV/0!</v>
      </c>
      <c r="S817" s="54" t="e">
        <f t="shared" si="538"/>
        <v>#DIV/0!</v>
      </c>
      <c r="T817" s="54" t="e">
        <f t="shared" si="538"/>
        <v>#DIV/0!</v>
      </c>
      <c r="U817" s="54" t="e">
        <f t="shared" si="538"/>
        <v>#DIV/0!</v>
      </c>
      <c r="V817" s="54" t="e">
        <f t="shared" si="538"/>
        <v>#DIV/0!</v>
      </c>
      <c r="W817" s="258"/>
      <c r="X817" s="258"/>
    </row>
    <row r="818" spans="1:26">
      <c r="A818" s="46" t="str">
        <f>Home!$B$1</f>
        <v>Poland</v>
      </c>
      <c r="B818" s="47" t="s">
        <v>94</v>
      </c>
      <c r="C818" s="47" t="s">
        <v>546</v>
      </c>
      <c r="D818" s="47" t="s">
        <v>69</v>
      </c>
      <c r="E818" s="46" t="s">
        <v>337</v>
      </c>
      <c r="F818" s="48" t="s">
        <v>652</v>
      </c>
      <c r="G818" s="48" t="s">
        <v>15</v>
      </c>
      <c r="H818" s="48" t="s">
        <v>16</v>
      </c>
      <c r="I818" s="48"/>
      <c r="J818" s="48" t="s">
        <v>99</v>
      </c>
      <c r="K818" s="49"/>
      <c r="L818" s="92">
        <f>'Seasonality&amp; Avg.stay'!B354/1000</f>
        <v>265</v>
      </c>
      <c r="M818" s="92">
        <f>'Seasonality&amp; Avg.stay'!C354/1000</f>
        <v>250</v>
      </c>
      <c r="N818" s="92">
        <f>'Seasonality&amp; Avg.stay'!D354/1000</f>
        <v>329</v>
      </c>
      <c r="O818" s="92">
        <f>'Seasonality&amp; Avg.stay'!E354/1000</f>
        <v>180</v>
      </c>
      <c r="P818" s="92">
        <f>'Seasonality&amp; Avg.stay'!F354/1000</f>
        <v>146</v>
      </c>
      <c r="Q818" s="349">
        <f>P818*(1+(P818/L818)^(1/4)-1)*1.001</f>
        <v>125.91100161278838</v>
      </c>
      <c r="R818" s="110">
        <f>Forecasting!R904</f>
        <v>0</v>
      </c>
      <c r="S818" s="110">
        <f>Forecasting!S904</f>
        <v>0</v>
      </c>
      <c r="T818" s="110">
        <f>Forecasting!T904</f>
        <v>0</v>
      </c>
      <c r="U818" s="110">
        <f>Forecasting!U904</f>
        <v>0</v>
      </c>
      <c r="V818" s="110">
        <f>Forecasting!V904</f>
        <v>0</v>
      </c>
      <c r="W818" s="102">
        <f>+(Q818/M818)^(1/4)-1</f>
        <v>-0.15757563833286015</v>
      </c>
      <c r="X818" s="102">
        <f>+(V818/Q818)^(1/5)-1</f>
        <v>-1</v>
      </c>
      <c r="Z818" s="11"/>
    </row>
    <row r="819" spans="1:26">
      <c r="A819" s="48"/>
      <c r="B819" s="48"/>
      <c r="C819" s="52" t="s">
        <v>892</v>
      </c>
      <c r="D819" s="52"/>
      <c r="E819" s="52"/>
      <c r="F819" s="52"/>
      <c r="G819" s="52"/>
      <c r="H819" s="52"/>
      <c r="I819" s="52"/>
      <c r="J819" s="52" t="s">
        <v>58</v>
      </c>
      <c r="K819" s="49"/>
      <c r="L819" s="53"/>
      <c r="M819" s="54">
        <f t="shared" ref="M819:V819" si="539">M818/L818-1</f>
        <v>-5.6603773584905648E-2</v>
      </c>
      <c r="N819" s="54">
        <f t="shared" si="539"/>
        <v>0.31600000000000006</v>
      </c>
      <c r="O819" s="54">
        <f t="shared" si="539"/>
        <v>-0.45288753799392101</v>
      </c>
      <c r="P819" s="54">
        <f t="shared" si="539"/>
        <v>-0.18888888888888888</v>
      </c>
      <c r="Q819" s="54">
        <f t="shared" si="539"/>
        <v>-0.13759587936446316</v>
      </c>
      <c r="R819" s="54">
        <f t="shared" si="539"/>
        <v>-1</v>
      </c>
      <c r="S819" s="54" t="e">
        <f t="shared" si="539"/>
        <v>#DIV/0!</v>
      </c>
      <c r="T819" s="54" t="e">
        <f t="shared" si="539"/>
        <v>#DIV/0!</v>
      </c>
      <c r="U819" s="54" t="e">
        <f t="shared" si="539"/>
        <v>#DIV/0!</v>
      </c>
      <c r="V819" s="54" t="e">
        <f t="shared" si="539"/>
        <v>#DIV/0!</v>
      </c>
      <c r="W819" s="258"/>
      <c r="X819" s="258"/>
    </row>
    <row r="820" spans="1:26">
      <c r="A820" s="46" t="str">
        <f>Home!$B$1</f>
        <v>Poland</v>
      </c>
      <c r="B820" s="47" t="s">
        <v>94</v>
      </c>
      <c r="C820" s="47" t="s">
        <v>546</v>
      </c>
      <c r="D820" s="47" t="s">
        <v>69</v>
      </c>
      <c r="E820" s="46" t="s">
        <v>339</v>
      </c>
      <c r="F820" s="48" t="s">
        <v>653</v>
      </c>
      <c r="G820" s="48" t="s">
        <v>15</v>
      </c>
      <c r="H820" s="48" t="s">
        <v>16</v>
      </c>
      <c r="I820" s="48"/>
      <c r="J820" s="48" t="s">
        <v>99</v>
      </c>
      <c r="K820" s="49"/>
      <c r="L820" s="92"/>
      <c r="M820" s="92"/>
      <c r="N820" s="92"/>
      <c r="O820" s="92"/>
      <c r="P820" s="92"/>
      <c r="Q820" s="92"/>
      <c r="R820" s="110">
        <f>Forecasting!R906</f>
        <v>0</v>
      </c>
      <c r="S820" s="110">
        <f>Forecasting!S906</f>
        <v>0</v>
      </c>
      <c r="T820" s="110">
        <f>Forecasting!T906</f>
        <v>0</v>
      </c>
      <c r="U820" s="110">
        <f>Forecasting!U906</f>
        <v>0</v>
      </c>
      <c r="V820" s="110">
        <f>Forecasting!V906</f>
        <v>0</v>
      </c>
      <c r="W820" s="102" t="e">
        <f>+(Q820/M820)^(1/4)-1</f>
        <v>#DIV/0!</v>
      </c>
      <c r="X820" s="102" t="e">
        <f>+(V820/Q820)^(1/5)-1</f>
        <v>#DIV/0!</v>
      </c>
      <c r="Z820" s="11"/>
    </row>
    <row r="821" spans="1:26">
      <c r="A821" s="48"/>
      <c r="B821" s="48"/>
      <c r="C821" s="52" t="s">
        <v>892</v>
      </c>
      <c r="D821" s="52"/>
      <c r="E821" s="52"/>
      <c r="F821" s="52"/>
      <c r="G821" s="52"/>
      <c r="H821" s="52"/>
      <c r="I821" s="52"/>
      <c r="J821" s="52" t="s">
        <v>58</v>
      </c>
      <c r="K821" s="49"/>
      <c r="L821" s="53"/>
      <c r="M821" s="54" t="e">
        <f t="shared" ref="M821:V821" si="540">M820/L820-1</f>
        <v>#DIV/0!</v>
      </c>
      <c r="N821" s="54" t="e">
        <f t="shared" si="540"/>
        <v>#DIV/0!</v>
      </c>
      <c r="O821" s="54" t="e">
        <f t="shared" si="540"/>
        <v>#DIV/0!</v>
      </c>
      <c r="P821" s="54" t="e">
        <f t="shared" si="540"/>
        <v>#DIV/0!</v>
      </c>
      <c r="Q821" s="54" t="e">
        <f t="shared" si="540"/>
        <v>#DIV/0!</v>
      </c>
      <c r="R821" s="54" t="e">
        <f t="shared" si="540"/>
        <v>#DIV/0!</v>
      </c>
      <c r="S821" s="54" t="e">
        <f t="shared" si="540"/>
        <v>#DIV/0!</v>
      </c>
      <c r="T821" s="54" t="e">
        <f t="shared" si="540"/>
        <v>#DIV/0!</v>
      </c>
      <c r="U821" s="54" t="e">
        <f t="shared" si="540"/>
        <v>#DIV/0!</v>
      </c>
      <c r="V821" s="54" t="e">
        <f t="shared" si="540"/>
        <v>#DIV/0!</v>
      </c>
      <c r="W821" s="258"/>
      <c r="X821" s="258"/>
    </row>
    <row r="822" spans="1:26">
      <c r="A822" s="46" t="str">
        <f>Home!$B$1</f>
        <v>Poland</v>
      </c>
      <c r="B822" s="47" t="s">
        <v>94</v>
      </c>
      <c r="C822" s="47" t="s">
        <v>546</v>
      </c>
      <c r="D822" s="47" t="s">
        <v>69</v>
      </c>
      <c r="E822" s="46" t="s">
        <v>341</v>
      </c>
      <c r="F822" s="48" t="s">
        <v>654</v>
      </c>
      <c r="G822" s="48" t="s">
        <v>15</v>
      </c>
      <c r="H822" s="48" t="s">
        <v>16</v>
      </c>
      <c r="I822" s="48"/>
      <c r="J822" s="48" t="s">
        <v>99</v>
      </c>
      <c r="K822" s="49"/>
      <c r="L822" s="92">
        <f>'Seasonality&amp; Avg.stay'!B355/1000</f>
        <v>250</v>
      </c>
      <c r="M822" s="92">
        <f>'Seasonality&amp; Avg.stay'!C355/1000</f>
        <v>113</v>
      </c>
      <c r="N822" s="92">
        <f>'Seasonality&amp; Avg.stay'!D355/1000</f>
        <v>274</v>
      </c>
      <c r="O822" s="92">
        <f>'Seasonality&amp; Avg.stay'!E355/1000</f>
        <v>91</v>
      </c>
      <c r="P822" s="92">
        <f>'Seasonality&amp; Avg.stay'!F355/1000</f>
        <v>86</v>
      </c>
      <c r="Q822" s="349">
        <f>P822*(1+(P822/L822)^(1/4)-1)*1.35</f>
        <v>88.914344352635624</v>
      </c>
      <c r="R822" s="110">
        <f>Forecasting!R908</f>
        <v>0</v>
      </c>
      <c r="S822" s="110">
        <f>Forecasting!S908</f>
        <v>0</v>
      </c>
      <c r="T822" s="110">
        <f>Forecasting!T908</f>
        <v>0</v>
      </c>
      <c r="U822" s="110">
        <f>Forecasting!U908</f>
        <v>0</v>
      </c>
      <c r="V822" s="110">
        <f>Forecasting!V908</f>
        <v>0</v>
      </c>
      <c r="W822" s="102">
        <f>+(Q822/M822)^(1/4)-1</f>
        <v>-5.8168206819388502E-2</v>
      </c>
      <c r="X822" s="102">
        <f>+(V822/Q822)^(1/5)-1</f>
        <v>-1</v>
      </c>
      <c r="Z822" s="11"/>
    </row>
    <row r="823" spans="1:26">
      <c r="A823" s="48"/>
      <c r="B823" s="48"/>
      <c r="C823" s="52" t="s">
        <v>892</v>
      </c>
      <c r="D823" s="52"/>
      <c r="E823" s="52"/>
      <c r="F823" s="52"/>
      <c r="G823" s="52"/>
      <c r="H823" s="52"/>
      <c r="I823" s="52"/>
      <c r="J823" s="52" t="s">
        <v>58</v>
      </c>
      <c r="K823" s="49"/>
      <c r="L823" s="53"/>
      <c r="M823" s="54">
        <f t="shared" ref="M823:V823" si="541">M822/L822-1</f>
        <v>-0.54800000000000004</v>
      </c>
      <c r="N823" s="54">
        <f t="shared" si="541"/>
        <v>1.4247787610619471</v>
      </c>
      <c r="O823" s="54">
        <f t="shared" si="541"/>
        <v>-0.66788321167883213</v>
      </c>
      <c r="P823" s="54">
        <f t="shared" si="541"/>
        <v>-5.4945054945054972E-2</v>
      </c>
      <c r="Q823" s="54">
        <f t="shared" si="541"/>
        <v>3.3887725030646854E-2</v>
      </c>
      <c r="R823" s="54">
        <f t="shared" si="541"/>
        <v>-1</v>
      </c>
      <c r="S823" s="54" t="e">
        <f t="shared" si="541"/>
        <v>#DIV/0!</v>
      </c>
      <c r="T823" s="54" t="e">
        <f t="shared" si="541"/>
        <v>#DIV/0!</v>
      </c>
      <c r="U823" s="54" t="e">
        <f t="shared" si="541"/>
        <v>#DIV/0!</v>
      </c>
      <c r="V823" s="54" t="e">
        <f t="shared" si="541"/>
        <v>#DIV/0!</v>
      </c>
      <c r="W823" s="258"/>
      <c r="X823" s="258"/>
    </row>
    <row r="824" spans="1:26">
      <c r="A824" s="46" t="str">
        <f>Home!$B$1</f>
        <v>Poland</v>
      </c>
      <c r="B824" s="47" t="s">
        <v>94</v>
      </c>
      <c r="C824" s="47" t="s">
        <v>546</v>
      </c>
      <c r="D824" s="47" t="s">
        <v>69</v>
      </c>
      <c r="E824" s="46" t="s">
        <v>343</v>
      </c>
      <c r="F824" s="48" t="s">
        <v>655</v>
      </c>
      <c r="G824" s="48" t="s">
        <v>15</v>
      </c>
      <c r="H824" s="48" t="s">
        <v>16</v>
      </c>
      <c r="I824" s="48"/>
      <c r="J824" s="48" t="s">
        <v>99</v>
      </c>
      <c r="K824" s="49"/>
      <c r="L824" s="92"/>
      <c r="M824" s="92"/>
      <c r="N824" s="92"/>
      <c r="O824" s="92"/>
      <c r="P824" s="92"/>
      <c r="Q824" s="92"/>
      <c r="R824" s="110">
        <f>Forecasting!R910</f>
        <v>0</v>
      </c>
      <c r="S824" s="110">
        <f>Forecasting!S910</f>
        <v>0</v>
      </c>
      <c r="T824" s="110">
        <f>Forecasting!T910</f>
        <v>0</v>
      </c>
      <c r="U824" s="110">
        <f>Forecasting!U910</f>
        <v>0</v>
      </c>
      <c r="V824" s="110">
        <f>Forecasting!V910</f>
        <v>0</v>
      </c>
      <c r="W824" s="102" t="e">
        <f>+(Q824/M824)^(1/4)-1</f>
        <v>#DIV/0!</v>
      </c>
      <c r="X824" s="102" t="e">
        <f>+(V824/Q824)^(1/5)-1</f>
        <v>#DIV/0!</v>
      </c>
      <c r="Z824" s="11"/>
    </row>
    <row r="825" spans="1:26">
      <c r="A825" s="48"/>
      <c r="B825" s="48"/>
      <c r="C825" s="52" t="s">
        <v>892</v>
      </c>
      <c r="D825" s="52"/>
      <c r="E825" s="52"/>
      <c r="F825" s="52"/>
      <c r="G825" s="52"/>
      <c r="H825" s="52"/>
      <c r="I825" s="52"/>
      <c r="J825" s="52" t="s">
        <v>58</v>
      </c>
      <c r="K825" s="49"/>
      <c r="L825" s="53"/>
      <c r="M825" s="54" t="e">
        <f t="shared" ref="M825:V825" si="542">M824/L824-1</f>
        <v>#DIV/0!</v>
      </c>
      <c r="N825" s="54" t="e">
        <f t="shared" si="542"/>
        <v>#DIV/0!</v>
      </c>
      <c r="O825" s="54" t="e">
        <f t="shared" si="542"/>
        <v>#DIV/0!</v>
      </c>
      <c r="P825" s="54" t="e">
        <f t="shared" si="542"/>
        <v>#DIV/0!</v>
      </c>
      <c r="Q825" s="54" t="e">
        <f t="shared" si="542"/>
        <v>#DIV/0!</v>
      </c>
      <c r="R825" s="54" t="e">
        <f t="shared" si="542"/>
        <v>#DIV/0!</v>
      </c>
      <c r="S825" s="54" t="e">
        <f t="shared" si="542"/>
        <v>#DIV/0!</v>
      </c>
      <c r="T825" s="54" t="e">
        <f t="shared" si="542"/>
        <v>#DIV/0!</v>
      </c>
      <c r="U825" s="54" t="e">
        <f t="shared" si="542"/>
        <v>#DIV/0!</v>
      </c>
      <c r="V825" s="54" t="e">
        <f t="shared" si="542"/>
        <v>#DIV/0!</v>
      </c>
      <c r="W825" s="258"/>
      <c r="X825" s="258"/>
    </row>
    <row r="826" spans="1:26">
      <c r="A826" s="46" t="str">
        <f>Home!$B$1</f>
        <v>Poland</v>
      </c>
      <c r="B826" s="47" t="s">
        <v>94</v>
      </c>
      <c r="C826" s="47" t="s">
        <v>546</v>
      </c>
      <c r="D826" s="47" t="s">
        <v>69</v>
      </c>
      <c r="E826" s="46" t="s">
        <v>345</v>
      </c>
      <c r="F826" s="48" t="s">
        <v>656</v>
      </c>
      <c r="G826" s="48" t="s">
        <v>15</v>
      </c>
      <c r="H826" s="48" t="s">
        <v>16</v>
      </c>
      <c r="I826" s="48"/>
      <c r="J826" s="48" t="s">
        <v>99</v>
      </c>
      <c r="K826" s="49"/>
      <c r="L826" s="92"/>
      <c r="M826" s="92"/>
      <c r="N826" s="92"/>
      <c r="O826" s="92"/>
      <c r="P826" s="92"/>
      <c r="Q826" s="92"/>
      <c r="R826" s="110">
        <f>Forecasting!R912</f>
        <v>0</v>
      </c>
      <c r="S826" s="110">
        <f>Forecasting!S912</f>
        <v>0</v>
      </c>
      <c r="T826" s="110">
        <f>Forecasting!T912</f>
        <v>0</v>
      </c>
      <c r="U826" s="110">
        <f>Forecasting!U912</f>
        <v>0</v>
      </c>
      <c r="V826" s="110">
        <f>Forecasting!V912</f>
        <v>0</v>
      </c>
      <c r="W826" s="102" t="e">
        <f>+(Q826/M826)^(1/4)-1</f>
        <v>#DIV/0!</v>
      </c>
      <c r="X826" s="102" t="e">
        <f>+(V826/Q826)^(1/5)-1</f>
        <v>#DIV/0!</v>
      </c>
      <c r="Z826" s="11"/>
    </row>
    <row r="827" spans="1:26">
      <c r="A827" s="48"/>
      <c r="B827" s="48"/>
      <c r="C827" s="52" t="s">
        <v>892</v>
      </c>
      <c r="D827" s="52"/>
      <c r="E827" s="52"/>
      <c r="F827" s="52"/>
      <c r="G827" s="52"/>
      <c r="H827" s="52"/>
      <c r="I827" s="52"/>
      <c r="J827" s="52" t="s">
        <v>58</v>
      </c>
      <c r="K827" s="49"/>
      <c r="L827" s="53"/>
      <c r="M827" s="54" t="e">
        <f t="shared" ref="M827:V827" si="543">M826/L826-1</f>
        <v>#DIV/0!</v>
      </c>
      <c r="N827" s="54" t="e">
        <f t="shared" si="543"/>
        <v>#DIV/0!</v>
      </c>
      <c r="O827" s="54" t="e">
        <f t="shared" si="543"/>
        <v>#DIV/0!</v>
      </c>
      <c r="P827" s="54" t="e">
        <f t="shared" si="543"/>
        <v>#DIV/0!</v>
      </c>
      <c r="Q827" s="54" t="e">
        <f t="shared" si="543"/>
        <v>#DIV/0!</v>
      </c>
      <c r="R827" s="54" t="e">
        <f t="shared" si="543"/>
        <v>#DIV/0!</v>
      </c>
      <c r="S827" s="54" t="e">
        <f t="shared" si="543"/>
        <v>#DIV/0!</v>
      </c>
      <c r="T827" s="54" t="e">
        <f t="shared" si="543"/>
        <v>#DIV/0!</v>
      </c>
      <c r="U827" s="54" t="e">
        <f t="shared" si="543"/>
        <v>#DIV/0!</v>
      </c>
      <c r="V827" s="54" t="e">
        <f t="shared" si="543"/>
        <v>#DIV/0!</v>
      </c>
      <c r="W827" s="258"/>
      <c r="X827" s="258"/>
    </row>
    <row r="828" spans="1:26">
      <c r="A828" s="46" t="str">
        <f>Home!$B$1</f>
        <v>Poland</v>
      </c>
      <c r="B828" s="47" t="s">
        <v>94</v>
      </c>
      <c r="C828" s="47" t="s">
        <v>546</v>
      </c>
      <c r="D828" s="47" t="s">
        <v>69</v>
      </c>
      <c r="E828" s="46" t="s">
        <v>347</v>
      </c>
      <c r="F828" s="48" t="s">
        <v>657</v>
      </c>
      <c r="G828" s="48" t="s">
        <v>15</v>
      </c>
      <c r="H828" s="48" t="s">
        <v>16</v>
      </c>
      <c r="I828" s="48"/>
      <c r="J828" s="48" t="s">
        <v>99</v>
      </c>
      <c r="K828" s="49"/>
      <c r="L828" s="92"/>
      <c r="M828" s="92"/>
      <c r="N828" s="92"/>
      <c r="O828" s="92"/>
      <c r="P828" s="92"/>
      <c r="Q828" s="92"/>
      <c r="R828" s="110">
        <f>Forecasting!R914</f>
        <v>0</v>
      </c>
      <c r="S828" s="110">
        <f>Forecasting!S914</f>
        <v>0</v>
      </c>
      <c r="T828" s="110">
        <f>Forecasting!T914</f>
        <v>0</v>
      </c>
      <c r="U828" s="110">
        <f>Forecasting!U914</f>
        <v>0</v>
      </c>
      <c r="V828" s="110">
        <f>Forecasting!V914</f>
        <v>0</v>
      </c>
      <c r="W828" s="102" t="e">
        <f>+(Q828/M828)^(1/4)-1</f>
        <v>#DIV/0!</v>
      </c>
      <c r="X828" s="102" t="e">
        <f>+(V828/Q828)^(1/5)-1</f>
        <v>#DIV/0!</v>
      </c>
      <c r="Z828" s="11"/>
    </row>
    <row r="829" spans="1:26">
      <c r="A829" s="48"/>
      <c r="B829" s="48"/>
      <c r="C829" s="52" t="s">
        <v>892</v>
      </c>
      <c r="D829" s="52"/>
      <c r="E829" s="52"/>
      <c r="F829" s="52"/>
      <c r="G829" s="52"/>
      <c r="H829" s="52"/>
      <c r="I829" s="52"/>
      <c r="J829" s="52" t="s">
        <v>58</v>
      </c>
      <c r="K829" s="49"/>
      <c r="L829" s="53"/>
      <c r="M829" s="54" t="e">
        <f t="shared" ref="M829:V829" si="544">M828/L828-1</f>
        <v>#DIV/0!</v>
      </c>
      <c r="N829" s="54" t="e">
        <f t="shared" si="544"/>
        <v>#DIV/0!</v>
      </c>
      <c r="O829" s="54" t="e">
        <f t="shared" si="544"/>
        <v>#DIV/0!</v>
      </c>
      <c r="P829" s="54" t="e">
        <f t="shared" si="544"/>
        <v>#DIV/0!</v>
      </c>
      <c r="Q829" s="54" t="e">
        <f t="shared" si="544"/>
        <v>#DIV/0!</v>
      </c>
      <c r="R829" s="54" t="e">
        <f t="shared" si="544"/>
        <v>#DIV/0!</v>
      </c>
      <c r="S829" s="54" t="e">
        <f t="shared" si="544"/>
        <v>#DIV/0!</v>
      </c>
      <c r="T829" s="54" t="e">
        <f t="shared" si="544"/>
        <v>#DIV/0!</v>
      </c>
      <c r="U829" s="54" t="e">
        <f t="shared" si="544"/>
        <v>#DIV/0!</v>
      </c>
      <c r="V829" s="54" t="e">
        <f t="shared" si="544"/>
        <v>#DIV/0!</v>
      </c>
      <c r="W829" s="258"/>
      <c r="X829" s="258"/>
    </row>
    <row r="830" spans="1:26">
      <c r="A830" s="46" t="str">
        <f>Home!$B$1</f>
        <v>Poland</v>
      </c>
      <c r="B830" s="47" t="s">
        <v>94</v>
      </c>
      <c r="C830" s="47" t="s">
        <v>546</v>
      </c>
      <c r="D830" s="47" t="s">
        <v>69</v>
      </c>
      <c r="E830" s="46" t="s">
        <v>349</v>
      </c>
      <c r="F830" s="48" t="s">
        <v>658</v>
      </c>
      <c r="G830" s="48" t="s">
        <v>15</v>
      </c>
      <c r="H830" s="48" t="s">
        <v>16</v>
      </c>
      <c r="I830" s="48"/>
      <c r="J830" s="48" t="s">
        <v>99</v>
      </c>
      <c r="K830" s="49"/>
      <c r="L830" s="92"/>
      <c r="M830" s="92"/>
      <c r="N830" s="92"/>
      <c r="O830" s="92"/>
      <c r="P830" s="92"/>
      <c r="Q830" s="92"/>
      <c r="R830" s="110">
        <f>Forecasting!R916</f>
        <v>0</v>
      </c>
      <c r="S830" s="110">
        <f>Forecasting!S916</f>
        <v>0</v>
      </c>
      <c r="T830" s="110">
        <f>Forecasting!T916</f>
        <v>0</v>
      </c>
      <c r="U830" s="110">
        <f>Forecasting!U916</f>
        <v>0</v>
      </c>
      <c r="V830" s="110">
        <f>Forecasting!V916</f>
        <v>0</v>
      </c>
      <c r="W830" s="102" t="e">
        <f>+(Q830/M830)^(1/4)-1</f>
        <v>#DIV/0!</v>
      </c>
      <c r="X830" s="102" t="e">
        <f>+(V830/Q830)^(1/5)-1</f>
        <v>#DIV/0!</v>
      </c>
      <c r="Z830" s="11"/>
    </row>
    <row r="831" spans="1:26">
      <c r="A831" s="48"/>
      <c r="B831" s="48"/>
      <c r="C831" s="52" t="s">
        <v>892</v>
      </c>
      <c r="D831" s="52"/>
      <c r="E831" s="52"/>
      <c r="F831" s="52"/>
      <c r="G831" s="52"/>
      <c r="H831" s="52"/>
      <c r="I831" s="52"/>
      <c r="J831" s="52" t="s">
        <v>58</v>
      </c>
      <c r="K831" s="49"/>
      <c r="L831" s="53"/>
      <c r="M831" s="54" t="e">
        <f t="shared" ref="M831:V831" si="545">M830/L830-1</f>
        <v>#DIV/0!</v>
      </c>
      <c r="N831" s="54" t="e">
        <f t="shared" si="545"/>
        <v>#DIV/0!</v>
      </c>
      <c r="O831" s="54" t="e">
        <f t="shared" si="545"/>
        <v>#DIV/0!</v>
      </c>
      <c r="P831" s="54" t="e">
        <f t="shared" si="545"/>
        <v>#DIV/0!</v>
      </c>
      <c r="Q831" s="54" t="e">
        <f t="shared" si="545"/>
        <v>#DIV/0!</v>
      </c>
      <c r="R831" s="54" t="e">
        <f t="shared" si="545"/>
        <v>#DIV/0!</v>
      </c>
      <c r="S831" s="54" t="e">
        <f t="shared" si="545"/>
        <v>#DIV/0!</v>
      </c>
      <c r="T831" s="54" t="e">
        <f t="shared" si="545"/>
        <v>#DIV/0!</v>
      </c>
      <c r="U831" s="54" t="e">
        <f t="shared" si="545"/>
        <v>#DIV/0!</v>
      </c>
      <c r="V831" s="54" t="e">
        <f t="shared" si="545"/>
        <v>#DIV/0!</v>
      </c>
      <c r="W831" s="258"/>
      <c r="X831" s="258"/>
    </row>
    <row r="832" spans="1:26">
      <c r="A832" s="46" t="str">
        <f>Home!$B$1</f>
        <v>Poland</v>
      </c>
      <c r="B832" s="47" t="s">
        <v>94</v>
      </c>
      <c r="C832" s="47" t="s">
        <v>546</v>
      </c>
      <c r="D832" s="47" t="s">
        <v>69</v>
      </c>
      <c r="E832" s="46" t="s">
        <v>351</v>
      </c>
      <c r="F832" s="48" t="s">
        <v>659</v>
      </c>
      <c r="G832" s="48" t="s">
        <v>15</v>
      </c>
      <c r="H832" s="48" t="s">
        <v>16</v>
      </c>
      <c r="I832" s="48"/>
      <c r="J832" s="48" t="s">
        <v>99</v>
      </c>
      <c r="K832" s="49"/>
      <c r="L832" s="92"/>
      <c r="M832" s="92"/>
      <c r="N832" s="92"/>
      <c r="O832" s="92"/>
      <c r="P832" s="92"/>
      <c r="Q832" s="92"/>
      <c r="R832" s="110">
        <f>Forecasting!R918</f>
        <v>0</v>
      </c>
      <c r="S832" s="110">
        <f>Forecasting!S918</f>
        <v>0</v>
      </c>
      <c r="T832" s="110">
        <f>Forecasting!T918</f>
        <v>0</v>
      </c>
      <c r="U832" s="110">
        <f>Forecasting!U918</f>
        <v>0</v>
      </c>
      <c r="V832" s="110">
        <f>Forecasting!V918</f>
        <v>0</v>
      </c>
      <c r="W832" s="102" t="e">
        <f>+(Q832/M832)^(1/4)-1</f>
        <v>#DIV/0!</v>
      </c>
      <c r="X832" s="102" t="e">
        <f>+(V832/Q832)^(1/5)-1</f>
        <v>#DIV/0!</v>
      </c>
      <c r="Z832" s="11"/>
    </row>
    <row r="833" spans="1:26">
      <c r="A833" s="48"/>
      <c r="B833" s="48"/>
      <c r="C833" s="52" t="s">
        <v>892</v>
      </c>
      <c r="D833" s="52"/>
      <c r="E833" s="52"/>
      <c r="F833" s="52"/>
      <c r="G833" s="52"/>
      <c r="H833" s="52"/>
      <c r="I833" s="52"/>
      <c r="J833" s="52" t="s">
        <v>58</v>
      </c>
      <c r="K833" s="49"/>
      <c r="L833" s="53"/>
      <c r="M833" s="54" t="e">
        <f t="shared" ref="M833:V833" si="546">M832/L832-1</f>
        <v>#DIV/0!</v>
      </c>
      <c r="N833" s="54" t="e">
        <f t="shared" si="546"/>
        <v>#DIV/0!</v>
      </c>
      <c r="O833" s="54" t="e">
        <f t="shared" si="546"/>
        <v>#DIV/0!</v>
      </c>
      <c r="P833" s="54" t="e">
        <f t="shared" si="546"/>
        <v>#DIV/0!</v>
      </c>
      <c r="Q833" s="54" t="e">
        <f t="shared" si="546"/>
        <v>#DIV/0!</v>
      </c>
      <c r="R833" s="54" t="e">
        <f t="shared" si="546"/>
        <v>#DIV/0!</v>
      </c>
      <c r="S833" s="54" t="e">
        <f t="shared" si="546"/>
        <v>#DIV/0!</v>
      </c>
      <c r="T833" s="54" t="e">
        <f t="shared" si="546"/>
        <v>#DIV/0!</v>
      </c>
      <c r="U833" s="54" t="e">
        <f t="shared" si="546"/>
        <v>#DIV/0!</v>
      </c>
      <c r="V833" s="54" t="e">
        <f t="shared" si="546"/>
        <v>#DIV/0!</v>
      </c>
      <c r="W833" s="258"/>
      <c r="X833" s="258"/>
    </row>
    <row r="834" spans="1:26">
      <c r="A834" s="46" t="str">
        <f>Home!$B$1</f>
        <v>Poland</v>
      </c>
      <c r="B834" s="47" t="s">
        <v>94</v>
      </c>
      <c r="C834" s="47" t="s">
        <v>546</v>
      </c>
      <c r="D834" s="47" t="s">
        <v>69</v>
      </c>
      <c r="E834" s="46" t="s">
        <v>353</v>
      </c>
      <c r="F834" s="48" t="s">
        <v>660</v>
      </c>
      <c r="G834" s="48" t="s">
        <v>15</v>
      </c>
      <c r="H834" s="48" t="s">
        <v>16</v>
      </c>
      <c r="I834" s="48"/>
      <c r="J834" s="48" t="s">
        <v>99</v>
      </c>
      <c r="K834" s="49"/>
      <c r="L834" s="92">
        <f>'Seasonality&amp; Avg.stay'!B359/1000</f>
        <v>268</v>
      </c>
      <c r="M834" s="92">
        <f>'Seasonality&amp; Avg.stay'!C359/1000</f>
        <v>599</v>
      </c>
      <c r="N834" s="92">
        <f>'Seasonality&amp; Avg.stay'!D359/1000</f>
        <v>324</v>
      </c>
      <c r="O834" s="92">
        <f>'Seasonality&amp; Avg.stay'!E359/1000</f>
        <v>360</v>
      </c>
      <c r="P834" s="92">
        <f>'Seasonality&amp; Avg.stay'!F359/1000</f>
        <v>204</v>
      </c>
      <c r="Q834" s="349">
        <f>P834*(1+(P834/L834)^(1/4)-1)*0.9</f>
        <v>171.49304837359898</v>
      </c>
      <c r="R834" s="110">
        <f>Forecasting!R920</f>
        <v>0</v>
      </c>
      <c r="S834" s="110">
        <f>Forecasting!S920</f>
        <v>0</v>
      </c>
      <c r="T834" s="110">
        <f>Forecasting!T920</f>
        <v>0</v>
      </c>
      <c r="U834" s="110">
        <f>Forecasting!U920</f>
        <v>0</v>
      </c>
      <c r="V834" s="110">
        <f>Forecasting!V920</f>
        <v>0</v>
      </c>
      <c r="W834" s="102">
        <f>+(Q834/M834)^(1/4)-1</f>
        <v>-0.26851584274831708</v>
      </c>
      <c r="X834" s="102">
        <f>+(V834/Q834)^(1/5)-1</f>
        <v>-1</v>
      </c>
      <c r="Z834" s="11"/>
    </row>
    <row r="835" spans="1:26">
      <c r="A835" s="48"/>
      <c r="B835" s="48"/>
      <c r="C835" s="52" t="s">
        <v>892</v>
      </c>
      <c r="D835" s="52"/>
      <c r="E835" s="52"/>
      <c r="F835" s="52"/>
      <c r="G835" s="52"/>
      <c r="H835" s="52"/>
      <c r="I835" s="52"/>
      <c r="J835" s="52" t="s">
        <v>58</v>
      </c>
      <c r="K835" s="49"/>
      <c r="L835" s="53"/>
      <c r="M835" s="54">
        <f t="shared" ref="M835:V835" si="547">M834/L834-1</f>
        <v>1.2350746268656718</v>
      </c>
      <c r="N835" s="54">
        <f t="shared" si="547"/>
        <v>-0.45909849749582643</v>
      </c>
      <c r="O835" s="54">
        <f t="shared" si="547"/>
        <v>0.11111111111111116</v>
      </c>
      <c r="P835" s="54">
        <f t="shared" si="547"/>
        <v>-0.43333333333333335</v>
      </c>
      <c r="Q835" s="54">
        <f t="shared" si="547"/>
        <v>-0.15934780209020105</v>
      </c>
      <c r="R835" s="54">
        <f t="shared" si="547"/>
        <v>-1</v>
      </c>
      <c r="S835" s="54" t="e">
        <f t="shared" si="547"/>
        <v>#DIV/0!</v>
      </c>
      <c r="T835" s="54" t="e">
        <f t="shared" si="547"/>
        <v>#DIV/0!</v>
      </c>
      <c r="U835" s="54" t="e">
        <f t="shared" si="547"/>
        <v>#DIV/0!</v>
      </c>
      <c r="V835" s="54" t="e">
        <f t="shared" si="547"/>
        <v>#DIV/0!</v>
      </c>
      <c r="W835" s="258"/>
      <c r="X835" s="258"/>
    </row>
    <row r="836" spans="1:26">
      <c r="A836" s="46" t="str">
        <f>Home!$B$1</f>
        <v>Poland</v>
      </c>
      <c r="B836" s="47" t="s">
        <v>94</v>
      </c>
      <c r="C836" s="47" t="s">
        <v>546</v>
      </c>
      <c r="D836" s="47" t="s">
        <v>69</v>
      </c>
      <c r="E836" s="46" t="s">
        <v>355</v>
      </c>
      <c r="F836" s="48" t="s">
        <v>661</v>
      </c>
      <c r="G836" s="48" t="s">
        <v>15</v>
      </c>
      <c r="H836" s="48" t="s">
        <v>16</v>
      </c>
      <c r="I836" s="48"/>
      <c r="J836" s="48" t="s">
        <v>99</v>
      </c>
      <c r="K836" s="49"/>
      <c r="L836" s="92">
        <f>'Seasonality&amp; Avg.stay'!B361/1000</f>
        <v>210</v>
      </c>
      <c r="M836" s="92">
        <f>'Seasonality&amp; Avg.stay'!C361/1000</f>
        <v>92</v>
      </c>
      <c r="N836" s="92">
        <f>'Seasonality&amp; Avg.stay'!D361/1000</f>
        <v>92</v>
      </c>
      <c r="O836" s="92">
        <f>'Seasonality&amp; Avg.stay'!E361/1000</f>
        <v>101</v>
      </c>
      <c r="P836" s="92">
        <f>'Seasonality&amp; Avg.stay'!F361/1000</f>
        <v>72</v>
      </c>
      <c r="Q836" s="349">
        <f>P836*(1+(P836/L836)^(1/4)-1)*1.1</f>
        <v>60.604305953850599</v>
      </c>
      <c r="R836" s="110">
        <f>Forecasting!R922</f>
        <v>0</v>
      </c>
      <c r="S836" s="110">
        <f>Forecasting!S922</f>
        <v>0</v>
      </c>
      <c r="T836" s="110">
        <f>Forecasting!T922</f>
        <v>0</v>
      </c>
      <c r="U836" s="110">
        <f>Forecasting!U922</f>
        <v>0</v>
      </c>
      <c r="V836" s="110">
        <f>Forecasting!V922</f>
        <v>0</v>
      </c>
      <c r="W836" s="102">
        <f>+(Q836/M836)^(1/4)-1</f>
        <v>-9.9095173382672597E-2</v>
      </c>
      <c r="X836" s="102">
        <f>+(V836/Q836)^(1/5)-1</f>
        <v>-1</v>
      </c>
      <c r="Z836" s="11"/>
    </row>
    <row r="837" spans="1:26">
      <c r="A837" s="48"/>
      <c r="B837" s="48"/>
      <c r="C837" s="52" t="s">
        <v>892</v>
      </c>
      <c r="D837" s="52"/>
      <c r="E837" s="52"/>
      <c r="F837" s="52"/>
      <c r="G837" s="52"/>
      <c r="H837" s="52"/>
      <c r="I837" s="52"/>
      <c r="J837" s="52" t="s">
        <v>58</v>
      </c>
      <c r="K837" s="49"/>
      <c r="L837" s="53"/>
      <c r="M837" s="54">
        <f t="shared" ref="M837:V837" si="548">M836/L836-1</f>
        <v>-0.56190476190476191</v>
      </c>
      <c r="N837" s="54">
        <f t="shared" si="548"/>
        <v>0</v>
      </c>
      <c r="O837" s="54">
        <f t="shared" si="548"/>
        <v>9.7826086956521729E-2</v>
      </c>
      <c r="P837" s="54">
        <f t="shared" si="548"/>
        <v>-0.28712871287128716</v>
      </c>
      <c r="Q837" s="54">
        <f t="shared" si="548"/>
        <v>-0.15827352841874165</v>
      </c>
      <c r="R837" s="54">
        <f t="shared" si="548"/>
        <v>-1</v>
      </c>
      <c r="S837" s="54" t="e">
        <f t="shared" si="548"/>
        <v>#DIV/0!</v>
      </c>
      <c r="T837" s="54" t="e">
        <f t="shared" si="548"/>
        <v>#DIV/0!</v>
      </c>
      <c r="U837" s="54" t="e">
        <f t="shared" si="548"/>
        <v>#DIV/0!</v>
      </c>
      <c r="V837" s="54" t="e">
        <f t="shared" si="548"/>
        <v>#DIV/0!</v>
      </c>
      <c r="W837" s="258"/>
      <c r="X837" s="258"/>
    </row>
    <row r="838" spans="1:26">
      <c r="A838" s="46" t="str">
        <f>Home!$B$1</f>
        <v>Poland</v>
      </c>
      <c r="B838" s="47" t="s">
        <v>94</v>
      </c>
      <c r="C838" s="47" t="s">
        <v>546</v>
      </c>
      <c r="D838" s="47" t="s">
        <v>69</v>
      </c>
      <c r="E838" s="46" t="s">
        <v>357</v>
      </c>
      <c r="F838" s="48" t="s">
        <v>662</v>
      </c>
      <c r="G838" s="48" t="s">
        <v>15</v>
      </c>
      <c r="H838" s="48" t="s">
        <v>16</v>
      </c>
      <c r="I838" s="48"/>
      <c r="J838" s="48" t="s">
        <v>99</v>
      </c>
      <c r="K838" s="49"/>
      <c r="L838" s="92"/>
      <c r="M838" s="92"/>
      <c r="N838" s="92"/>
      <c r="O838" s="92"/>
      <c r="P838" s="92"/>
      <c r="Q838" s="92"/>
      <c r="R838" s="110">
        <f>Forecasting!R924</f>
        <v>0</v>
      </c>
      <c r="S838" s="110">
        <f>Forecasting!S924</f>
        <v>0</v>
      </c>
      <c r="T838" s="110">
        <f>Forecasting!T924</f>
        <v>0</v>
      </c>
      <c r="U838" s="110">
        <f>Forecasting!U924</f>
        <v>0</v>
      </c>
      <c r="V838" s="110">
        <f>Forecasting!V924</f>
        <v>0</v>
      </c>
      <c r="W838" s="102" t="e">
        <f>+(Q838/M838)^(1/4)-1</f>
        <v>#DIV/0!</v>
      </c>
      <c r="X838" s="102" t="e">
        <f>+(V838/Q838)^(1/5)-1</f>
        <v>#DIV/0!</v>
      </c>
      <c r="Z838" s="11"/>
    </row>
    <row r="839" spans="1:26">
      <c r="A839" s="48"/>
      <c r="B839" s="48"/>
      <c r="C839" s="52" t="s">
        <v>892</v>
      </c>
      <c r="D839" s="52"/>
      <c r="E839" s="52"/>
      <c r="F839" s="52"/>
      <c r="G839" s="52"/>
      <c r="H839" s="52"/>
      <c r="I839" s="52"/>
      <c r="J839" s="52" t="s">
        <v>58</v>
      </c>
      <c r="K839" s="49"/>
      <c r="L839" s="53"/>
      <c r="M839" s="54" t="e">
        <f t="shared" ref="M839:V839" si="549">M838/L838-1</f>
        <v>#DIV/0!</v>
      </c>
      <c r="N839" s="54" t="e">
        <f t="shared" si="549"/>
        <v>#DIV/0!</v>
      </c>
      <c r="O839" s="54" t="e">
        <f t="shared" si="549"/>
        <v>#DIV/0!</v>
      </c>
      <c r="P839" s="54" t="e">
        <f t="shared" si="549"/>
        <v>#DIV/0!</v>
      </c>
      <c r="Q839" s="54" t="e">
        <f t="shared" si="549"/>
        <v>#DIV/0!</v>
      </c>
      <c r="R839" s="54" t="e">
        <f t="shared" si="549"/>
        <v>#DIV/0!</v>
      </c>
      <c r="S839" s="54" t="e">
        <f t="shared" si="549"/>
        <v>#DIV/0!</v>
      </c>
      <c r="T839" s="54" t="e">
        <f t="shared" si="549"/>
        <v>#DIV/0!</v>
      </c>
      <c r="U839" s="54" t="e">
        <f t="shared" si="549"/>
        <v>#DIV/0!</v>
      </c>
      <c r="V839" s="54" t="e">
        <f t="shared" si="549"/>
        <v>#DIV/0!</v>
      </c>
      <c r="W839" s="258"/>
      <c r="X839" s="258"/>
    </row>
    <row r="840" spans="1:26">
      <c r="A840" s="46" t="str">
        <f>Home!$B$1</f>
        <v>Poland</v>
      </c>
      <c r="B840" s="47" t="s">
        <v>94</v>
      </c>
      <c r="C840" s="47" t="s">
        <v>546</v>
      </c>
      <c r="D840" s="47" t="s">
        <v>69</v>
      </c>
      <c r="E840" s="46" t="s">
        <v>359</v>
      </c>
      <c r="F840" s="48" t="s">
        <v>663</v>
      </c>
      <c r="G840" s="48" t="s">
        <v>15</v>
      </c>
      <c r="H840" s="48" t="s">
        <v>16</v>
      </c>
      <c r="I840" s="48"/>
      <c r="J840" s="48" t="s">
        <v>99</v>
      </c>
      <c r="K840" s="49"/>
      <c r="L840" s="92"/>
      <c r="M840" s="92"/>
      <c r="N840" s="92"/>
      <c r="O840" s="92"/>
      <c r="P840" s="92"/>
      <c r="Q840" s="92"/>
      <c r="R840" s="110">
        <f>Forecasting!R926</f>
        <v>0</v>
      </c>
      <c r="S840" s="110">
        <f>Forecasting!S926</f>
        <v>0</v>
      </c>
      <c r="T840" s="110">
        <f>Forecasting!T926</f>
        <v>0</v>
      </c>
      <c r="U840" s="110">
        <f>Forecasting!U926</f>
        <v>0</v>
      </c>
      <c r="V840" s="110">
        <f>Forecasting!V926</f>
        <v>0</v>
      </c>
      <c r="W840" s="102" t="e">
        <f>+(Q840/M840)^(1/4)-1</f>
        <v>#DIV/0!</v>
      </c>
      <c r="X840" s="102" t="e">
        <f>+(V840/Q840)^(1/5)-1</f>
        <v>#DIV/0!</v>
      </c>
      <c r="Z840" s="11"/>
    </row>
    <row r="841" spans="1:26">
      <c r="A841" s="48"/>
      <c r="B841" s="48"/>
      <c r="C841" s="52" t="s">
        <v>892</v>
      </c>
      <c r="D841" s="52"/>
      <c r="E841" s="52"/>
      <c r="F841" s="52"/>
      <c r="G841" s="52"/>
      <c r="H841" s="52"/>
      <c r="I841" s="52"/>
      <c r="J841" s="52" t="s">
        <v>58</v>
      </c>
      <c r="K841" s="49"/>
      <c r="L841" s="53"/>
      <c r="M841" s="54" t="e">
        <f t="shared" ref="M841:V841" si="550">M840/L840-1</f>
        <v>#DIV/0!</v>
      </c>
      <c r="N841" s="54" t="e">
        <f t="shared" si="550"/>
        <v>#DIV/0!</v>
      </c>
      <c r="O841" s="54" t="e">
        <f t="shared" si="550"/>
        <v>#DIV/0!</v>
      </c>
      <c r="P841" s="54" t="e">
        <f t="shared" si="550"/>
        <v>#DIV/0!</v>
      </c>
      <c r="Q841" s="54" t="e">
        <f t="shared" si="550"/>
        <v>#DIV/0!</v>
      </c>
      <c r="R841" s="54" t="e">
        <f t="shared" si="550"/>
        <v>#DIV/0!</v>
      </c>
      <c r="S841" s="54" t="e">
        <f t="shared" si="550"/>
        <v>#DIV/0!</v>
      </c>
      <c r="T841" s="54" t="e">
        <f t="shared" si="550"/>
        <v>#DIV/0!</v>
      </c>
      <c r="U841" s="54" t="e">
        <f t="shared" si="550"/>
        <v>#DIV/0!</v>
      </c>
      <c r="V841" s="54" t="e">
        <f t="shared" si="550"/>
        <v>#DIV/0!</v>
      </c>
      <c r="W841" s="258"/>
      <c r="X841" s="258"/>
    </row>
    <row r="842" spans="1:26">
      <c r="A842" s="46" t="str">
        <f>Home!$B$1</f>
        <v>Poland</v>
      </c>
      <c r="B842" s="47" t="s">
        <v>94</v>
      </c>
      <c r="C842" s="47" t="s">
        <v>546</v>
      </c>
      <c r="D842" s="47" t="s">
        <v>69</v>
      </c>
      <c r="E842" s="46" t="s">
        <v>361</v>
      </c>
      <c r="F842" s="48" t="s">
        <v>664</v>
      </c>
      <c r="G842" s="48" t="s">
        <v>15</v>
      </c>
      <c r="H842" s="48" t="s">
        <v>16</v>
      </c>
      <c r="I842" s="48"/>
      <c r="J842" s="48" t="s">
        <v>99</v>
      </c>
      <c r="K842" s="49">
        <v>2231</v>
      </c>
      <c r="L842" s="92">
        <f>'Seasonality&amp; Avg.stay'!B366/1000</f>
        <v>420</v>
      </c>
      <c r="M842" s="92">
        <f>'Seasonality&amp; Avg.stay'!C366/1000</f>
        <v>286</v>
      </c>
      <c r="N842" s="92">
        <f>'Seasonality&amp; Avg.stay'!D366/1000</f>
        <v>190</v>
      </c>
      <c r="O842" s="92">
        <f>'Seasonality&amp; Avg.stay'!E366/1000</f>
        <v>415</v>
      </c>
      <c r="P842" s="92">
        <f>'Seasonality&amp; Avg.stay'!F366/1000</f>
        <v>363</v>
      </c>
      <c r="Q842" s="349">
        <f>P842*(1+(P842/L842)^(1/4)-1)*1.001</f>
        <v>350.35235104146091</v>
      </c>
      <c r="R842" s="110">
        <f>Forecasting!R928</f>
        <v>0</v>
      </c>
      <c r="S842" s="110">
        <f>Forecasting!S928</f>
        <v>0</v>
      </c>
      <c r="T842" s="110">
        <f>Forecasting!T928</f>
        <v>0</v>
      </c>
      <c r="U842" s="110">
        <f>Forecasting!U928</f>
        <v>0</v>
      </c>
      <c r="V842" s="110">
        <f>Forecasting!V928</f>
        <v>0</v>
      </c>
      <c r="W842" s="102">
        <f>+(Q842/M842)^(1/4)-1</f>
        <v>5.2046051588065412E-2</v>
      </c>
      <c r="X842" s="102">
        <f>+(V842/Q842)^(1/5)-1</f>
        <v>-1</v>
      </c>
      <c r="Z842" s="11"/>
    </row>
    <row r="843" spans="1:26">
      <c r="A843" s="48"/>
      <c r="B843" s="48"/>
      <c r="C843" s="52" t="s">
        <v>892</v>
      </c>
      <c r="D843" s="52"/>
      <c r="E843" s="52"/>
      <c r="F843" s="52"/>
      <c r="G843" s="52"/>
      <c r="H843" s="52"/>
      <c r="I843" s="52"/>
      <c r="J843" s="52" t="s">
        <v>58</v>
      </c>
      <c r="K843" s="49"/>
      <c r="L843" s="53"/>
      <c r="M843" s="54">
        <f t="shared" ref="M843:V843" si="551">M842/L842-1</f>
        <v>-0.31904761904761902</v>
      </c>
      <c r="N843" s="54">
        <f t="shared" si="551"/>
        <v>-0.33566433566433562</v>
      </c>
      <c r="O843" s="54">
        <f t="shared" si="551"/>
        <v>1.1842105263157894</v>
      </c>
      <c r="P843" s="54">
        <f t="shared" si="551"/>
        <v>-0.12530120481927709</v>
      </c>
      <c r="Q843" s="54">
        <f t="shared" si="551"/>
        <v>-3.4842008150245407E-2</v>
      </c>
      <c r="R843" s="54">
        <f t="shared" si="551"/>
        <v>-1</v>
      </c>
      <c r="S843" s="54" t="e">
        <f t="shared" si="551"/>
        <v>#DIV/0!</v>
      </c>
      <c r="T843" s="54" t="e">
        <f t="shared" si="551"/>
        <v>#DIV/0!</v>
      </c>
      <c r="U843" s="54" t="e">
        <f t="shared" si="551"/>
        <v>#DIV/0!</v>
      </c>
      <c r="V843" s="54" t="e">
        <f t="shared" si="551"/>
        <v>#DIV/0!</v>
      </c>
      <c r="W843" s="258"/>
      <c r="X843" s="258"/>
    </row>
    <row r="844" spans="1:26">
      <c r="A844" s="46" t="str">
        <f>Home!$B$1</f>
        <v>Poland</v>
      </c>
      <c r="B844" s="47" t="s">
        <v>94</v>
      </c>
      <c r="C844" s="47" t="s">
        <v>546</v>
      </c>
      <c r="D844" s="47" t="s">
        <v>69</v>
      </c>
      <c r="E844" s="46" t="s">
        <v>363</v>
      </c>
      <c r="F844" s="48" t="s">
        <v>665</v>
      </c>
      <c r="G844" s="48" t="s">
        <v>15</v>
      </c>
      <c r="H844" s="48" t="s">
        <v>16</v>
      </c>
      <c r="I844" s="48"/>
      <c r="J844" s="48" t="s">
        <v>99</v>
      </c>
      <c r="K844" s="49"/>
      <c r="L844" s="92"/>
      <c r="M844" s="92"/>
      <c r="N844" s="92"/>
      <c r="O844" s="92"/>
      <c r="P844" s="92"/>
      <c r="Q844" s="92"/>
      <c r="R844" s="110">
        <f>Forecasting!R930</f>
        <v>0</v>
      </c>
      <c r="S844" s="110">
        <f>Forecasting!S930</f>
        <v>0</v>
      </c>
      <c r="T844" s="110">
        <f>Forecasting!T930</f>
        <v>0</v>
      </c>
      <c r="U844" s="110">
        <f>Forecasting!U930</f>
        <v>0</v>
      </c>
      <c r="V844" s="110">
        <f>Forecasting!V930</f>
        <v>0</v>
      </c>
      <c r="W844" s="102" t="e">
        <f>+(Q844/M844)^(1/4)-1</f>
        <v>#DIV/0!</v>
      </c>
      <c r="X844" s="102" t="e">
        <f>+(V844/Q844)^(1/5)-1</f>
        <v>#DIV/0!</v>
      </c>
      <c r="Z844" s="11"/>
    </row>
    <row r="845" spans="1:26">
      <c r="A845" s="48"/>
      <c r="B845" s="48"/>
      <c r="C845" s="52" t="s">
        <v>892</v>
      </c>
      <c r="D845" s="52"/>
      <c r="E845" s="52"/>
      <c r="F845" s="52"/>
      <c r="G845" s="52"/>
      <c r="H845" s="52"/>
      <c r="I845" s="52"/>
      <c r="J845" s="52" t="s">
        <v>58</v>
      </c>
      <c r="K845" s="49"/>
      <c r="L845" s="53"/>
      <c r="M845" s="54" t="e">
        <f t="shared" ref="M845:V845" si="552">M844/L844-1</f>
        <v>#DIV/0!</v>
      </c>
      <c r="N845" s="54" t="e">
        <f t="shared" si="552"/>
        <v>#DIV/0!</v>
      </c>
      <c r="O845" s="54" t="e">
        <f t="shared" si="552"/>
        <v>#DIV/0!</v>
      </c>
      <c r="P845" s="54" t="e">
        <f t="shared" si="552"/>
        <v>#DIV/0!</v>
      </c>
      <c r="Q845" s="54" t="e">
        <f t="shared" si="552"/>
        <v>#DIV/0!</v>
      </c>
      <c r="R845" s="54" t="e">
        <f t="shared" si="552"/>
        <v>#DIV/0!</v>
      </c>
      <c r="S845" s="54" t="e">
        <f t="shared" si="552"/>
        <v>#DIV/0!</v>
      </c>
      <c r="T845" s="54" t="e">
        <f t="shared" si="552"/>
        <v>#DIV/0!</v>
      </c>
      <c r="U845" s="54" t="e">
        <f t="shared" si="552"/>
        <v>#DIV/0!</v>
      </c>
      <c r="V845" s="54" t="e">
        <f t="shared" si="552"/>
        <v>#DIV/0!</v>
      </c>
      <c r="W845" s="258"/>
      <c r="X845" s="258"/>
    </row>
    <row r="846" spans="1:26">
      <c r="A846" s="46" t="str">
        <f>Home!$B$1</f>
        <v>Poland</v>
      </c>
      <c r="B846" s="47" t="s">
        <v>94</v>
      </c>
      <c r="C846" s="47" t="s">
        <v>546</v>
      </c>
      <c r="D846" s="47" t="s">
        <v>69</v>
      </c>
      <c r="E846" s="46" t="s">
        <v>365</v>
      </c>
      <c r="F846" s="48" t="s">
        <v>666</v>
      </c>
      <c r="G846" s="48" t="s">
        <v>15</v>
      </c>
      <c r="H846" s="48" t="s">
        <v>16</v>
      </c>
      <c r="I846" s="48"/>
      <c r="J846" s="48" t="s">
        <v>99</v>
      </c>
      <c r="K846" s="49">
        <v>1688</v>
      </c>
      <c r="L846" s="270">
        <f>'Seasonality&amp; Avg.stay'!B360/1000</f>
        <v>1432</v>
      </c>
      <c r="M846" s="270">
        <f>'Seasonality&amp; Avg.stay'!C360/1000</f>
        <v>1647</v>
      </c>
      <c r="N846" s="270">
        <f>'Seasonality&amp; Avg.stay'!D360/1000</f>
        <v>1203</v>
      </c>
      <c r="O846" s="270">
        <f>'Seasonality&amp; Avg.stay'!E360/1000</f>
        <v>1285</v>
      </c>
      <c r="P846" s="270">
        <f>'Seasonality&amp; Avg.stay'!F360/1000</f>
        <v>912</v>
      </c>
      <c r="Q846" s="349">
        <f>P846*(1+(P846/L846)^(1/4)-1)*1.001</f>
        <v>815.53362293020427</v>
      </c>
      <c r="R846" s="264">
        <f>Forecasting!R932</f>
        <v>0</v>
      </c>
      <c r="S846" s="264">
        <f>Forecasting!S932</f>
        <v>0</v>
      </c>
      <c r="T846" s="264">
        <f>Forecasting!T932</f>
        <v>0</v>
      </c>
      <c r="U846" s="264">
        <f>Forecasting!U932</f>
        <v>0</v>
      </c>
      <c r="V846" s="264">
        <f>Forecasting!V932</f>
        <v>0</v>
      </c>
      <c r="W846" s="102">
        <f>+(Q846/M846)^(1/4)-1</f>
        <v>-0.16114467078346673</v>
      </c>
      <c r="X846" s="102">
        <f>+(V846/Q846)^(1/5)-1</f>
        <v>-1</v>
      </c>
      <c r="Z846" s="11"/>
    </row>
    <row r="847" spans="1:26">
      <c r="A847" s="48"/>
      <c r="B847" s="48"/>
      <c r="C847" s="52" t="s">
        <v>892</v>
      </c>
      <c r="D847" s="52"/>
      <c r="E847" s="52"/>
      <c r="F847" s="52"/>
      <c r="G847" s="52"/>
      <c r="H847" s="52"/>
      <c r="I847" s="52"/>
      <c r="J847" s="52" t="s">
        <v>58</v>
      </c>
      <c r="K847" s="49"/>
      <c r="L847" s="53"/>
      <c r="M847" s="54">
        <f t="shared" ref="M847:V847" si="553">M846/L846-1</f>
        <v>0.15013966480446927</v>
      </c>
      <c r="N847" s="54">
        <f t="shared" si="553"/>
        <v>-0.26958105646630237</v>
      </c>
      <c r="O847" s="54">
        <f t="shared" si="553"/>
        <v>6.8162926018287662E-2</v>
      </c>
      <c r="P847" s="54">
        <f t="shared" si="553"/>
        <v>-0.290272373540856</v>
      </c>
      <c r="Q847" s="54">
        <f t="shared" si="553"/>
        <v>-0.10577453626074096</v>
      </c>
      <c r="R847" s="54">
        <f t="shared" si="553"/>
        <v>-1</v>
      </c>
      <c r="S847" s="54" t="e">
        <f t="shared" si="553"/>
        <v>#DIV/0!</v>
      </c>
      <c r="T847" s="54" t="e">
        <f t="shared" si="553"/>
        <v>#DIV/0!</v>
      </c>
      <c r="U847" s="54" t="e">
        <f t="shared" si="553"/>
        <v>#DIV/0!</v>
      </c>
      <c r="V847" s="54" t="e">
        <f t="shared" si="553"/>
        <v>#DIV/0!</v>
      </c>
      <c r="W847" s="258"/>
      <c r="X847" s="258"/>
    </row>
    <row r="848" spans="1:26">
      <c r="A848" s="46" t="str">
        <f>Home!$B$1</f>
        <v>Poland</v>
      </c>
      <c r="B848" s="47" t="s">
        <v>94</v>
      </c>
      <c r="C848" s="47" t="s">
        <v>546</v>
      </c>
      <c r="D848" s="47" t="s">
        <v>69</v>
      </c>
      <c r="E848" s="46" t="s">
        <v>367</v>
      </c>
      <c r="F848" s="48" t="s">
        <v>667</v>
      </c>
      <c r="G848" s="48" t="s">
        <v>15</v>
      </c>
      <c r="H848" s="48" t="s">
        <v>16</v>
      </c>
      <c r="I848" s="48"/>
      <c r="J848" s="48" t="s">
        <v>99</v>
      </c>
      <c r="K848" s="49">
        <v>482</v>
      </c>
      <c r="L848" s="92"/>
      <c r="M848" s="92"/>
      <c r="N848" s="92"/>
      <c r="O848" s="92"/>
      <c r="P848" s="92"/>
      <c r="Q848" s="92"/>
      <c r="R848" s="110">
        <f>Forecasting!R934</f>
        <v>0</v>
      </c>
      <c r="S848" s="110">
        <f>Forecasting!S934</f>
        <v>0</v>
      </c>
      <c r="T848" s="110">
        <f>Forecasting!T934</f>
        <v>0</v>
      </c>
      <c r="U848" s="110">
        <f>Forecasting!U934</f>
        <v>0</v>
      </c>
      <c r="V848" s="110">
        <f>Forecasting!V934</f>
        <v>0</v>
      </c>
      <c r="W848" s="102" t="e">
        <f>+(Q848/M848)^(1/4)-1</f>
        <v>#DIV/0!</v>
      </c>
      <c r="X848" s="102" t="e">
        <f>+(V848/Q848)^(1/5)-1</f>
        <v>#DIV/0!</v>
      </c>
      <c r="Z848" s="11"/>
    </row>
    <row r="849" spans="1:26">
      <c r="A849" s="48"/>
      <c r="B849" s="48"/>
      <c r="C849" s="52" t="s">
        <v>892</v>
      </c>
      <c r="D849" s="52"/>
      <c r="E849" s="52"/>
      <c r="F849" s="52"/>
      <c r="G849" s="52"/>
      <c r="H849" s="52"/>
      <c r="I849" s="52"/>
      <c r="J849" s="52" t="s">
        <v>58</v>
      </c>
      <c r="K849" s="49"/>
      <c r="L849" s="53"/>
      <c r="M849" s="54" t="e">
        <f t="shared" ref="M849:V849" si="554">M848/L848-1</f>
        <v>#DIV/0!</v>
      </c>
      <c r="N849" s="54" t="e">
        <f t="shared" si="554"/>
        <v>#DIV/0!</v>
      </c>
      <c r="O849" s="54" t="e">
        <f t="shared" si="554"/>
        <v>#DIV/0!</v>
      </c>
      <c r="P849" s="54" t="e">
        <f t="shared" si="554"/>
        <v>#DIV/0!</v>
      </c>
      <c r="Q849" s="54" t="e">
        <f t="shared" si="554"/>
        <v>#DIV/0!</v>
      </c>
      <c r="R849" s="54" t="e">
        <f t="shared" si="554"/>
        <v>#DIV/0!</v>
      </c>
      <c r="S849" s="54" t="e">
        <f t="shared" si="554"/>
        <v>#DIV/0!</v>
      </c>
      <c r="T849" s="54" t="e">
        <f t="shared" si="554"/>
        <v>#DIV/0!</v>
      </c>
      <c r="U849" s="54" t="e">
        <f t="shared" si="554"/>
        <v>#DIV/0!</v>
      </c>
      <c r="V849" s="54" t="e">
        <f t="shared" si="554"/>
        <v>#DIV/0!</v>
      </c>
      <c r="W849" s="258"/>
      <c r="X849" s="258"/>
    </row>
    <row r="850" spans="1:26">
      <c r="A850" s="46" t="str">
        <f>Home!$B$1</f>
        <v>Poland</v>
      </c>
      <c r="B850" s="47" t="s">
        <v>94</v>
      </c>
      <c r="C850" s="47" t="s">
        <v>546</v>
      </c>
      <c r="D850" s="47" t="s">
        <v>69</v>
      </c>
      <c r="E850" s="46" t="s">
        <v>369</v>
      </c>
      <c r="F850" s="48" t="s">
        <v>668</v>
      </c>
      <c r="G850" s="48" t="s">
        <v>15</v>
      </c>
      <c r="H850" s="48" t="s">
        <v>16</v>
      </c>
      <c r="I850" s="48"/>
      <c r="J850" s="48" t="s">
        <v>99</v>
      </c>
      <c r="K850" s="49"/>
      <c r="L850" s="92"/>
      <c r="M850" s="92"/>
      <c r="N850" s="92"/>
      <c r="O850" s="92"/>
      <c r="P850" s="92"/>
      <c r="Q850" s="92"/>
      <c r="R850" s="110">
        <f>Forecasting!R936</f>
        <v>0</v>
      </c>
      <c r="S850" s="110">
        <f>Forecasting!S936</f>
        <v>0</v>
      </c>
      <c r="T850" s="110">
        <f>Forecasting!T936</f>
        <v>0</v>
      </c>
      <c r="U850" s="110">
        <f>Forecasting!U936</f>
        <v>0</v>
      </c>
      <c r="V850" s="110">
        <f>Forecasting!V936</f>
        <v>0</v>
      </c>
      <c r="W850" s="102" t="e">
        <f>+(Q850/M850)^(1/4)-1</f>
        <v>#DIV/0!</v>
      </c>
      <c r="X850" s="102" t="e">
        <f>+(V850/Q850)^(1/5)-1</f>
        <v>#DIV/0!</v>
      </c>
      <c r="Z850" s="11"/>
    </row>
    <row r="851" spans="1:26">
      <c r="A851" s="48"/>
      <c r="B851" s="48"/>
      <c r="C851" s="52" t="s">
        <v>892</v>
      </c>
      <c r="D851" s="52"/>
      <c r="E851" s="52"/>
      <c r="F851" s="52"/>
      <c r="G851" s="52"/>
      <c r="H851" s="52"/>
      <c r="I851" s="52"/>
      <c r="J851" s="52" t="s">
        <v>58</v>
      </c>
      <c r="K851" s="49"/>
      <c r="L851" s="53"/>
      <c r="M851" s="54" t="e">
        <f t="shared" ref="M851:V851" si="555">M850/L850-1</f>
        <v>#DIV/0!</v>
      </c>
      <c r="N851" s="54" t="e">
        <f t="shared" si="555"/>
        <v>#DIV/0!</v>
      </c>
      <c r="O851" s="54" t="e">
        <f t="shared" si="555"/>
        <v>#DIV/0!</v>
      </c>
      <c r="P851" s="54" t="e">
        <f t="shared" si="555"/>
        <v>#DIV/0!</v>
      </c>
      <c r="Q851" s="54" t="e">
        <f t="shared" si="555"/>
        <v>#DIV/0!</v>
      </c>
      <c r="R851" s="54" t="e">
        <f t="shared" si="555"/>
        <v>#DIV/0!</v>
      </c>
      <c r="S851" s="54" t="e">
        <f t="shared" si="555"/>
        <v>#DIV/0!</v>
      </c>
      <c r="T851" s="54" t="e">
        <f t="shared" si="555"/>
        <v>#DIV/0!</v>
      </c>
      <c r="U851" s="54" t="e">
        <f t="shared" si="555"/>
        <v>#DIV/0!</v>
      </c>
      <c r="V851" s="54" t="e">
        <f t="shared" si="555"/>
        <v>#DIV/0!</v>
      </c>
      <c r="W851" s="258"/>
      <c r="X851" s="258"/>
    </row>
    <row r="852" spans="1:26">
      <c r="A852" s="46" t="str">
        <f>Home!$B$1</f>
        <v>Poland</v>
      </c>
      <c r="B852" s="47" t="s">
        <v>94</v>
      </c>
      <c r="C852" s="47" t="s">
        <v>546</v>
      </c>
      <c r="D852" s="47" t="s">
        <v>69</v>
      </c>
      <c r="E852" s="46" t="s">
        <v>371</v>
      </c>
      <c r="F852" s="48" t="s">
        <v>669</v>
      </c>
      <c r="G852" s="48" t="s">
        <v>15</v>
      </c>
      <c r="H852" s="48" t="s">
        <v>16</v>
      </c>
      <c r="I852" s="48"/>
      <c r="J852" s="48" t="s">
        <v>99</v>
      </c>
      <c r="K852" s="49"/>
      <c r="L852" s="92"/>
      <c r="M852" s="92"/>
      <c r="N852" s="92"/>
      <c r="O852" s="92"/>
      <c r="P852" s="92"/>
      <c r="Q852" s="92"/>
      <c r="R852" s="110">
        <f>Forecasting!R938</f>
        <v>0</v>
      </c>
      <c r="S852" s="110">
        <f>Forecasting!S938</f>
        <v>0</v>
      </c>
      <c r="T852" s="110">
        <f>Forecasting!T938</f>
        <v>0</v>
      </c>
      <c r="U852" s="110">
        <f>Forecasting!U938</f>
        <v>0</v>
      </c>
      <c r="V852" s="110">
        <f>Forecasting!V938</f>
        <v>0</v>
      </c>
      <c r="W852" s="102" t="e">
        <f>+(Q852/M852)^(1/4)-1</f>
        <v>#DIV/0!</v>
      </c>
      <c r="X852" s="102" t="e">
        <f>+(V852/Q852)^(1/5)-1</f>
        <v>#DIV/0!</v>
      </c>
      <c r="Z852" s="11"/>
    </row>
    <row r="853" spans="1:26">
      <c r="A853" s="48"/>
      <c r="B853" s="48"/>
      <c r="C853" s="52" t="s">
        <v>892</v>
      </c>
      <c r="D853" s="52"/>
      <c r="E853" s="52"/>
      <c r="F853" s="52"/>
      <c r="G853" s="52"/>
      <c r="H853" s="52"/>
      <c r="I853" s="52"/>
      <c r="J853" s="52" t="s">
        <v>58</v>
      </c>
      <c r="K853" s="49"/>
      <c r="L853" s="53"/>
      <c r="M853" s="54" t="e">
        <f t="shared" ref="M853:V853" si="556">M852/L852-1</f>
        <v>#DIV/0!</v>
      </c>
      <c r="N853" s="54" t="e">
        <f t="shared" si="556"/>
        <v>#DIV/0!</v>
      </c>
      <c r="O853" s="54" t="e">
        <f t="shared" si="556"/>
        <v>#DIV/0!</v>
      </c>
      <c r="P853" s="54" t="e">
        <f t="shared" si="556"/>
        <v>#DIV/0!</v>
      </c>
      <c r="Q853" s="54" t="e">
        <f t="shared" si="556"/>
        <v>#DIV/0!</v>
      </c>
      <c r="R853" s="54" t="e">
        <f t="shared" si="556"/>
        <v>#DIV/0!</v>
      </c>
      <c r="S853" s="54" t="e">
        <f t="shared" si="556"/>
        <v>#DIV/0!</v>
      </c>
      <c r="T853" s="54" t="e">
        <f t="shared" si="556"/>
        <v>#DIV/0!</v>
      </c>
      <c r="U853" s="54" t="e">
        <f t="shared" si="556"/>
        <v>#DIV/0!</v>
      </c>
      <c r="V853" s="54" t="e">
        <f t="shared" si="556"/>
        <v>#DIV/0!</v>
      </c>
      <c r="W853" s="258"/>
      <c r="X853" s="258"/>
    </row>
    <row r="854" spans="1:26">
      <c r="A854" s="46" t="str">
        <f>Home!$B$1</f>
        <v>Poland</v>
      </c>
      <c r="B854" s="47" t="s">
        <v>94</v>
      </c>
      <c r="C854" s="47" t="s">
        <v>546</v>
      </c>
      <c r="D854" s="47" t="s">
        <v>69</v>
      </c>
      <c r="E854" s="46" t="s">
        <v>373</v>
      </c>
      <c r="F854" s="48" t="s">
        <v>670</v>
      </c>
      <c r="G854" s="48" t="s">
        <v>15</v>
      </c>
      <c r="H854" s="48" t="s">
        <v>16</v>
      </c>
      <c r="I854" s="48"/>
      <c r="J854" s="48" t="s">
        <v>99</v>
      </c>
      <c r="K854" s="49">
        <v>844</v>
      </c>
      <c r="L854" s="92"/>
      <c r="M854" s="92"/>
      <c r="N854" s="92"/>
      <c r="O854" s="92"/>
      <c r="P854" s="92"/>
      <c r="Q854" s="92"/>
      <c r="R854" s="110">
        <f>Forecasting!R940</f>
        <v>0</v>
      </c>
      <c r="S854" s="110">
        <f>Forecasting!S940</f>
        <v>0</v>
      </c>
      <c r="T854" s="110">
        <f>Forecasting!T940</f>
        <v>0</v>
      </c>
      <c r="U854" s="110">
        <f>Forecasting!U940</f>
        <v>0</v>
      </c>
      <c r="V854" s="110">
        <f>Forecasting!V940</f>
        <v>0</v>
      </c>
      <c r="W854" s="102" t="e">
        <f>+(Q854/M854)^(1/4)-1</f>
        <v>#DIV/0!</v>
      </c>
      <c r="X854" s="102" t="e">
        <f>+(V854/Q854)^(1/5)-1</f>
        <v>#DIV/0!</v>
      </c>
      <c r="Z854" s="11"/>
    </row>
    <row r="855" spans="1:26">
      <c r="A855" s="48"/>
      <c r="B855" s="48"/>
      <c r="C855" s="52" t="s">
        <v>892</v>
      </c>
      <c r="D855" s="52"/>
      <c r="E855" s="52"/>
      <c r="F855" s="52"/>
      <c r="G855" s="52"/>
      <c r="H855" s="52"/>
      <c r="I855" s="52"/>
      <c r="J855" s="52" t="s">
        <v>58</v>
      </c>
      <c r="K855" s="49"/>
      <c r="L855" s="53"/>
      <c r="M855" s="54" t="e">
        <f t="shared" ref="M855:V855" si="557">M854/L854-1</f>
        <v>#DIV/0!</v>
      </c>
      <c r="N855" s="54" t="e">
        <f t="shared" si="557"/>
        <v>#DIV/0!</v>
      </c>
      <c r="O855" s="54" t="e">
        <f t="shared" si="557"/>
        <v>#DIV/0!</v>
      </c>
      <c r="P855" s="54" t="e">
        <f t="shared" si="557"/>
        <v>#DIV/0!</v>
      </c>
      <c r="Q855" s="54" t="e">
        <f t="shared" si="557"/>
        <v>#DIV/0!</v>
      </c>
      <c r="R855" s="54" t="e">
        <f t="shared" si="557"/>
        <v>#DIV/0!</v>
      </c>
      <c r="S855" s="54" t="e">
        <f t="shared" si="557"/>
        <v>#DIV/0!</v>
      </c>
      <c r="T855" s="54" t="e">
        <f t="shared" si="557"/>
        <v>#DIV/0!</v>
      </c>
      <c r="U855" s="54" t="e">
        <f t="shared" si="557"/>
        <v>#DIV/0!</v>
      </c>
      <c r="V855" s="54" t="e">
        <f t="shared" si="557"/>
        <v>#DIV/0!</v>
      </c>
      <c r="W855" s="258"/>
      <c r="X855" s="258"/>
    </row>
    <row r="856" spans="1:26">
      <c r="A856" s="46" t="str">
        <f>Home!$B$1</f>
        <v>Poland</v>
      </c>
      <c r="B856" s="47" t="s">
        <v>94</v>
      </c>
      <c r="C856" s="47" t="s">
        <v>546</v>
      </c>
      <c r="D856" s="47" t="s">
        <v>69</v>
      </c>
      <c r="E856" s="46" t="s">
        <v>375</v>
      </c>
      <c r="F856" s="48" t="s">
        <v>671</v>
      </c>
      <c r="G856" s="48" t="s">
        <v>15</v>
      </c>
      <c r="H856" s="48" t="s">
        <v>16</v>
      </c>
      <c r="I856" s="48"/>
      <c r="J856" s="48" t="s">
        <v>99</v>
      </c>
      <c r="K856" s="49">
        <v>2201</v>
      </c>
      <c r="L856" s="92"/>
      <c r="M856" s="92"/>
      <c r="N856" s="92"/>
      <c r="O856" s="92"/>
      <c r="P856" s="92"/>
      <c r="Q856" s="92"/>
      <c r="R856" s="110">
        <f>Forecasting!R942</f>
        <v>0</v>
      </c>
      <c r="S856" s="110">
        <f>Forecasting!S942</f>
        <v>0</v>
      </c>
      <c r="T856" s="110">
        <f>Forecasting!T942</f>
        <v>0</v>
      </c>
      <c r="U856" s="110">
        <f>Forecasting!U942</f>
        <v>0</v>
      </c>
      <c r="V856" s="110">
        <f>Forecasting!V942</f>
        <v>0</v>
      </c>
      <c r="W856" s="102" t="e">
        <f>+(Q856/M856)^(1/4)-1</f>
        <v>#DIV/0!</v>
      </c>
      <c r="X856" s="102" t="e">
        <f>+(V856/Q856)^(1/5)-1</f>
        <v>#DIV/0!</v>
      </c>
      <c r="Z856" s="11"/>
    </row>
    <row r="857" spans="1:26">
      <c r="A857" s="48"/>
      <c r="B857" s="48"/>
      <c r="C857" s="52" t="s">
        <v>892</v>
      </c>
      <c r="D857" s="52"/>
      <c r="E857" s="52"/>
      <c r="F857" s="52"/>
      <c r="G857" s="52"/>
      <c r="H857" s="52"/>
      <c r="I857" s="52"/>
      <c r="J857" s="52" t="s">
        <v>58</v>
      </c>
      <c r="K857" s="49"/>
      <c r="L857" s="53"/>
      <c r="M857" s="54" t="e">
        <f t="shared" ref="M857:V857" si="558">M856/L856-1</f>
        <v>#DIV/0!</v>
      </c>
      <c r="N857" s="54" t="e">
        <f t="shared" si="558"/>
        <v>#DIV/0!</v>
      </c>
      <c r="O857" s="54" t="e">
        <f t="shared" si="558"/>
        <v>#DIV/0!</v>
      </c>
      <c r="P857" s="54" t="e">
        <f t="shared" si="558"/>
        <v>#DIV/0!</v>
      </c>
      <c r="Q857" s="54" t="e">
        <f t="shared" si="558"/>
        <v>#DIV/0!</v>
      </c>
      <c r="R857" s="54" t="e">
        <f t="shared" si="558"/>
        <v>#DIV/0!</v>
      </c>
      <c r="S857" s="54" t="e">
        <f t="shared" si="558"/>
        <v>#DIV/0!</v>
      </c>
      <c r="T857" s="54" t="e">
        <f t="shared" si="558"/>
        <v>#DIV/0!</v>
      </c>
      <c r="U857" s="54" t="e">
        <f t="shared" si="558"/>
        <v>#DIV/0!</v>
      </c>
      <c r="V857" s="54" t="e">
        <f t="shared" si="558"/>
        <v>#DIV/0!</v>
      </c>
      <c r="W857" s="258"/>
      <c r="X857" s="258"/>
    </row>
    <row r="858" spans="1:26">
      <c r="A858" s="46" t="str">
        <f>Home!$B$1</f>
        <v>Poland</v>
      </c>
      <c r="B858" s="47" t="s">
        <v>94</v>
      </c>
      <c r="C858" s="47" t="s">
        <v>546</v>
      </c>
      <c r="D858" s="47" t="s">
        <v>69</v>
      </c>
      <c r="E858" s="46" t="s">
        <v>377</v>
      </c>
      <c r="F858" s="48" t="s">
        <v>672</v>
      </c>
      <c r="G858" s="48" t="s">
        <v>15</v>
      </c>
      <c r="H858" s="48" t="s">
        <v>16</v>
      </c>
      <c r="I858" s="48"/>
      <c r="J858" s="48" t="s">
        <v>99</v>
      </c>
      <c r="K858" s="49"/>
      <c r="L858" s="92"/>
      <c r="M858" s="92"/>
      <c r="N858" s="92"/>
      <c r="O858" s="92"/>
      <c r="P858" s="92"/>
      <c r="Q858" s="92"/>
      <c r="R858" s="110">
        <f>Forecasting!R944</f>
        <v>0</v>
      </c>
      <c r="S858" s="110">
        <f>Forecasting!S944</f>
        <v>0</v>
      </c>
      <c r="T858" s="110">
        <f>Forecasting!T944</f>
        <v>0</v>
      </c>
      <c r="U858" s="110">
        <f>Forecasting!U944</f>
        <v>0</v>
      </c>
      <c r="V858" s="110">
        <f>Forecasting!V944</f>
        <v>0</v>
      </c>
      <c r="W858" s="102" t="e">
        <f>+(Q858/M858)^(1/4)-1</f>
        <v>#DIV/0!</v>
      </c>
      <c r="X858" s="102" t="e">
        <f>+(V858/Q858)^(1/5)-1</f>
        <v>#DIV/0!</v>
      </c>
      <c r="Z858" s="11"/>
    </row>
    <row r="859" spans="1:26">
      <c r="A859" s="48"/>
      <c r="B859" s="48"/>
      <c r="C859" s="52" t="s">
        <v>892</v>
      </c>
      <c r="D859" s="52"/>
      <c r="E859" s="52"/>
      <c r="F859" s="52"/>
      <c r="G859" s="52"/>
      <c r="H859" s="52"/>
      <c r="I859" s="52"/>
      <c r="J859" s="52" t="s">
        <v>58</v>
      </c>
      <c r="K859" s="49"/>
      <c r="L859" s="53"/>
      <c r="M859" s="54" t="e">
        <f t="shared" ref="M859:V859" si="559">M858/L858-1</f>
        <v>#DIV/0!</v>
      </c>
      <c r="N859" s="54" t="e">
        <f t="shared" si="559"/>
        <v>#DIV/0!</v>
      </c>
      <c r="O859" s="54" t="e">
        <f t="shared" si="559"/>
        <v>#DIV/0!</v>
      </c>
      <c r="P859" s="54" t="e">
        <f t="shared" si="559"/>
        <v>#DIV/0!</v>
      </c>
      <c r="Q859" s="54" t="e">
        <f t="shared" si="559"/>
        <v>#DIV/0!</v>
      </c>
      <c r="R859" s="54" t="e">
        <f t="shared" si="559"/>
        <v>#DIV/0!</v>
      </c>
      <c r="S859" s="54" t="e">
        <f t="shared" si="559"/>
        <v>#DIV/0!</v>
      </c>
      <c r="T859" s="54" t="e">
        <f t="shared" si="559"/>
        <v>#DIV/0!</v>
      </c>
      <c r="U859" s="54" t="e">
        <f t="shared" si="559"/>
        <v>#DIV/0!</v>
      </c>
      <c r="V859" s="54" t="e">
        <f t="shared" si="559"/>
        <v>#DIV/0!</v>
      </c>
      <c r="W859" s="258"/>
      <c r="X859" s="258"/>
    </row>
    <row r="860" spans="1:26">
      <c r="A860" s="46" t="str">
        <f>Home!$B$1</f>
        <v>Poland</v>
      </c>
      <c r="B860" s="47" t="s">
        <v>94</v>
      </c>
      <c r="C860" s="47" t="s">
        <v>546</v>
      </c>
      <c r="D860" s="47" t="s">
        <v>69</v>
      </c>
      <c r="E860" s="46" t="s">
        <v>379</v>
      </c>
      <c r="F860" s="48" t="s">
        <v>673</v>
      </c>
      <c r="G860" s="48" t="s">
        <v>15</v>
      </c>
      <c r="H860" s="48" t="s">
        <v>16</v>
      </c>
      <c r="I860" s="48"/>
      <c r="J860" s="48" t="s">
        <v>99</v>
      </c>
      <c r="K860" s="49"/>
      <c r="L860" s="92"/>
      <c r="M860" s="92"/>
      <c r="N860" s="92"/>
      <c r="O860" s="92"/>
      <c r="P860" s="92"/>
      <c r="Q860" s="92"/>
      <c r="R860" s="110">
        <f>Forecasting!R946</f>
        <v>0</v>
      </c>
      <c r="S860" s="110">
        <f>Forecasting!S946</f>
        <v>0</v>
      </c>
      <c r="T860" s="110">
        <f>Forecasting!T946</f>
        <v>0</v>
      </c>
      <c r="U860" s="110">
        <f>Forecasting!U946</f>
        <v>0</v>
      </c>
      <c r="V860" s="110">
        <f>Forecasting!V946</f>
        <v>0</v>
      </c>
      <c r="W860" s="102" t="e">
        <f>+(Q860/M860)^(1/4)-1</f>
        <v>#DIV/0!</v>
      </c>
      <c r="X860" s="102" t="e">
        <f>+(V860/Q860)^(1/5)-1</f>
        <v>#DIV/0!</v>
      </c>
      <c r="Z860" s="11"/>
    </row>
    <row r="861" spans="1:26">
      <c r="A861" s="48"/>
      <c r="B861" s="48"/>
      <c r="C861" s="52" t="s">
        <v>892</v>
      </c>
      <c r="D861" s="52"/>
      <c r="E861" s="52"/>
      <c r="F861" s="52"/>
      <c r="G861" s="52"/>
      <c r="H861" s="52"/>
      <c r="I861" s="52"/>
      <c r="J861" s="52" t="s">
        <v>58</v>
      </c>
      <c r="K861" s="49"/>
      <c r="L861" s="53"/>
      <c r="M861" s="54" t="e">
        <f t="shared" ref="M861:V861" si="560">M860/L860-1</f>
        <v>#DIV/0!</v>
      </c>
      <c r="N861" s="54" t="e">
        <f t="shared" si="560"/>
        <v>#DIV/0!</v>
      </c>
      <c r="O861" s="54" t="e">
        <f t="shared" si="560"/>
        <v>#DIV/0!</v>
      </c>
      <c r="P861" s="54" t="e">
        <f t="shared" si="560"/>
        <v>#DIV/0!</v>
      </c>
      <c r="Q861" s="54" t="e">
        <f t="shared" si="560"/>
        <v>#DIV/0!</v>
      </c>
      <c r="R861" s="54" t="e">
        <f t="shared" si="560"/>
        <v>#DIV/0!</v>
      </c>
      <c r="S861" s="54" t="e">
        <f t="shared" si="560"/>
        <v>#DIV/0!</v>
      </c>
      <c r="T861" s="54" t="e">
        <f t="shared" si="560"/>
        <v>#DIV/0!</v>
      </c>
      <c r="U861" s="54" t="e">
        <f t="shared" si="560"/>
        <v>#DIV/0!</v>
      </c>
      <c r="V861" s="54" t="e">
        <f t="shared" si="560"/>
        <v>#DIV/0!</v>
      </c>
      <c r="W861" s="258"/>
      <c r="X861" s="258"/>
    </row>
    <row r="862" spans="1:26">
      <c r="A862" s="46" t="str">
        <f>Home!$B$1</f>
        <v>Poland</v>
      </c>
      <c r="B862" s="47" t="s">
        <v>94</v>
      </c>
      <c r="C862" s="47" t="s">
        <v>546</v>
      </c>
      <c r="D862" s="47" t="s">
        <v>69</v>
      </c>
      <c r="E862" s="46" t="s">
        <v>381</v>
      </c>
      <c r="F862" s="48" t="s">
        <v>674</v>
      </c>
      <c r="G862" s="48" t="s">
        <v>15</v>
      </c>
      <c r="H862" s="48" t="s">
        <v>16</v>
      </c>
      <c r="I862" s="48"/>
      <c r="J862" s="48" t="s">
        <v>99</v>
      </c>
      <c r="K862" s="49"/>
      <c r="L862" s="92"/>
      <c r="M862" s="92"/>
      <c r="N862" s="92"/>
      <c r="O862" s="92"/>
      <c r="P862" s="92"/>
      <c r="Q862" s="92"/>
      <c r="R862" s="110">
        <f>Forecasting!R948</f>
        <v>0</v>
      </c>
      <c r="S862" s="110">
        <f>Forecasting!S948</f>
        <v>0</v>
      </c>
      <c r="T862" s="110">
        <f>Forecasting!T948</f>
        <v>0</v>
      </c>
      <c r="U862" s="110">
        <f>Forecasting!U948</f>
        <v>0</v>
      </c>
      <c r="V862" s="110">
        <f>Forecasting!V948</f>
        <v>0</v>
      </c>
      <c r="W862" s="102" t="e">
        <f>+(Q862/M862)^(1/4)-1</f>
        <v>#DIV/0!</v>
      </c>
      <c r="X862" s="102" t="e">
        <f>+(V862/Q862)^(1/5)-1</f>
        <v>#DIV/0!</v>
      </c>
      <c r="Z862" s="11"/>
    </row>
    <row r="863" spans="1:26">
      <c r="A863" s="48"/>
      <c r="B863" s="48"/>
      <c r="C863" s="52" t="s">
        <v>892</v>
      </c>
      <c r="D863" s="52"/>
      <c r="E863" s="52"/>
      <c r="F863" s="52"/>
      <c r="G863" s="52"/>
      <c r="H863" s="52"/>
      <c r="I863" s="52"/>
      <c r="J863" s="52" t="s">
        <v>58</v>
      </c>
      <c r="K863" s="49"/>
      <c r="L863" s="53"/>
      <c r="M863" s="54" t="e">
        <f t="shared" ref="M863:V863" si="561">M862/L862-1</f>
        <v>#DIV/0!</v>
      </c>
      <c r="N863" s="54" t="e">
        <f t="shared" si="561"/>
        <v>#DIV/0!</v>
      </c>
      <c r="O863" s="54" t="e">
        <f t="shared" si="561"/>
        <v>#DIV/0!</v>
      </c>
      <c r="P863" s="54" t="e">
        <f t="shared" si="561"/>
        <v>#DIV/0!</v>
      </c>
      <c r="Q863" s="54" t="e">
        <f t="shared" si="561"/>
        <v>#DIV/0!</v>
      </c>
      <c r="R863" s="54" t="e">
        <f t="shared" si="561"/>
        <v>#DIV/0!</v>
      </c>
      <c r="S863" s="54" t="e">
        <f t="shared" si="561"/>
        <v>#DIV/0!</v>
      </c>
      <c r="T863" s="54" t="e">
        <f t="shared" si="561"/>
        <v>#DIV/0!</v>
      </c>
      <c r="U863" s="54" t="e">
        <f t="shared" si="561"/>
        <v>#DIV/0!</v>
      </c>
      <c r="V863" s="54" t="e">
        <f t="shared" si="561"/>
        <v>#DIV/0!</v>
      </c>
      <c r="W863" s="258"/>
      <c r="X863" s="258"/>
    </row>
    <row r="864" spans="1:26">
      <c r="A864" s="46" t="str">
        <f>Home!$B$1</f>
        <v>Poland</v>
      </c>
      <c r="B864" s="47" t="s">
        <v>94</v>
      </c>
      <c r="C864" s="47" t="s">
        <v>546</v>
      </c>
      <c r="D864" s="47" t="s">
        <v>69</v>
      </c>
      <c r="E864" s="46" t="s">
        <v>383</v>
      </c>
      <c r="F864" s="48" t="s">
        <v>675</v>
      </c>
      <c r="G864" s="48" t="s">
        <v>15</v>
      </c>
      <c r="H864" s="48" t="s">
        <v>16</v>
      </c>
      <c r="I864" s="48"/>
      <c r="J864" s="48" t="s">
        <v>99</v>
      </c>
      <c r="K864" s="49"/>
      <c r="L864" s="92"/>
      <c r="M864" s="92"/>
      <c r="N864" s="92"/>
      <c r="O864" s="92"/>
      <c r="P864" s="92"/>
      <c r="Q864" s="92"/>
      <c r="R864" s="110">
        <f>Forecasting!R950</f>
        <v>0</v>
      </c>
      <c r="S864" s="110">
        <f>Forecasting!S950</f>
        <v>0</v>
      </c>
      <c r="T864" s="110">
        <f>Forecasting!T950</f>
        <v>0</v>
      </c>
      <c r="U864" s="110">
        <f>Forecasting!U950</f>
        <v>0</v>
      </c>
      <c r="V864" s="110">
        <f>Forecasting!V950</f>
        <v>0</v>
      </c>
      <c r="W864" s="102" t="e">
        <f>+(Q864/M864)^(1/4)-1</f>
        <v>#DIV/0!</v>
      </c>
      <c r="X864" s="102" t="e">
        <f>+(V864/Q864)^(1/5)-1</f>
        <v>#DIV/0!</v>
      </c>
      <c r="Z864" s="11"/>
    </row>
    <row r="865" spans="1:26">
      <c r="A865" s="48"/>
      <c r="B865" s="48"/>
      <c r="C865" s="52" t="s">
        <v>892</v>
      </c>
      <c r="D865" s="52"/>
      <c r="E865" s="52"/>
      <c r="F865" s="52"/>
      <c r="G865" s="52"/>
      <c r="H865" s="52"/>
      <c r="I865" s="52"/>
      <c r="J865" s="52" t="s">
        <v>58</v>
      </c>
      <c r="K865" s="49"/>
      <c r="L865" s="53"/>
      <c r="M865" s="54" t="e">
        <f t="shared" ref="M865:V865" si="562">M864/L864-1</f>
        <v>#DIV/0!</v>
      </c>
      <c r="N865" s="54" t="e">
        <f t="shared" si="562"/>
        <v>#DIV/0!</v>
      </c>
      <c r="O865" s="54" t="e">
        <f t="shared" si="562"/>
        <v>#DIV/0!</v>
      </c>
      <c r="P865" s="54" t="e">
        <f t="shared" si="562"/>
        <v>#DIV/0!</v>
      </c>
      <c r="Q865" s="54" t="e">
        <f t="shared" si="562"/>
        <v>#DIV/0!</v>
      </c>
      <c r="R865" s="54" t="e">
        <f t="shared" si="562"/>
        <v>#DIV/0!</v>
      </c>
      <c r="S865" s="54" t="e">
        <f t="shared" si="562"/>
        <v>#DIV/0!</v>
      </c>
      <c r="T865" s="54" t="e">
        <f t="shared" si="562"/>
        <v>#DIV/0!</v>
      </c>
      <c r="U865" s="54" t="e">
        <f t="shared" si="562"/>
        <v>#DIV/0!</v>
      </c>
      <c r="V865" s="54" t="e">
        <f t="shared" si="562"/>
        <v>#DIV/0!</v>
      </c>
      <c r="W865" s="258"/>
      <c r="X865" s="258"/>
    </row>
    <row r="866" spans="1:26">
      <c r="A866" s="46" t="str">
        <f>Home!$B$1</f>
        <v>Poland</v>
      </c>
      <c r="B866" s="47" t="s">
        <v>94</v>
      </c>
      <c r="C866" s="47" t="s">
        <v>546</v>
      </c>
      <c r="D866" s="47" t="s">
        <v>69</v>
      </c>
      <c r="E866" s="46" t="s">
        <v>385</v>
      </c>
      <c r="F866" s="48" t="s">
        <v>676</v>
      </c>
      <c r="G866" s="48" t="s">
        <v>15</v>
      </c>
      <c r="H866" s="48" t="s">
        <v>16</v>
      </c>
      <c r="I866" s="48"/>
      <c r="J866" s="48" t="s">
        <v>99</v>
      </c>
      <c r="K866" s="49"/>
      <c r="L866" s="92"/>
      <c r="M866" s="92"/>
      <c r="N866" s="92"/>
      <c r="O866" s="92"/>
      <c r="P866" s="92"/>
      <c r="Q866" s="92"/>
      <c r="R866" s="110">
        <f>Forecasting!R952</f>
        <v>0</v>
      </c>
      <c r="S866" s="110">
        <f>Forecasting!S952</f>
        <v>0</v>
      </c>
      <c r="T866" s="110">
        <f>Forecasting!T952</f>
        <v>0</v>
      </c>
      <c r="U866" s="110">
        <f>Forecasting!U952</f>
        <v>0</v>
      </c>
      <c r="V866" s="110">
        <f>Forecasting!V952</f>
        <v>0</v>
      </c>
      <c r="W866" s="102" t="e">
        <f>+(Q866/M866)^(1/4)-1</f>
        <v>#DIV/0!</v>
      </c>
      <c r="X866" s="102" t="e">
        <f>+(V866/Q866)^(1/5)-1</f>
        <v>#DIV/0!</v>
      </c>
      <c r="Z866" s="11"/>
    </row>
    <row r="867" spans="1:26">
      <c r="A867" s="48"/>
      <c r="B867" s="48"/>
      <c r="C867" s="52" t="s">
        <v>892</v>
      </c>
      <c r="D867" s="52"/>
      <c r="E867" s="52"/>
      <c r="F867" s="52"/>
      <c r="G867" s="52"/>
      <c r="H867" s="52"/>
      <c r="I867" s="52"/>
      <c r="J867" s="52" t="s">
        <v>58</v>
      </c>
      <c r="K867" s="49"/>
      <c r="L867" s="53"/>
      <c r="M867" s="54" t="e">
        <f t="shared" ref="M867:V867" si="563">M866/L866-1</f>
        <v>#DIV/0!</v>
      </c>
      <c r="N867" s="54" t="e">
        <f t="shared" si="563"/>
        <v>#DIV/0!</v>
      </c>
      <c r="O867" s="54" t="e">
        <f t="shared" si="563"/>
        <v>#DIV/0!</v>
      </c>
      <c r="P867" s="54" t="e">
        <f t="shared" si="563"/>
        <v>#DIV/0!</v>
      </c>
      <c r="Q867" s="54" t="e">
        <f t="shared" si="563"/>
        <v>#DIV/0!</v>
      </c>
      <c r="R867" s="54" t="e">
        <f t="shared" si="563"/>
        <v>#DIV/0!</v>
      </c>
      <c r="S867" s="54" t="e">
        <f t="shared" si="563"/>
        <v>#DIV/0!</v>
      </c>
      <c r="T867" s="54" t="e">
        <f t="shared" si="563"/>
        <v>#DIV/0!</v>
      </c>
      <c r="U867" s="54" t="e">
        <f t="shared" si="563"/>
        <v>#DIV/0!</v>
      </c>
      <c r="V867" s="54" t="e">
        <f t="shared" si="563"/>
        <v>#DIV/0!</v>
      </c>
      <c r="W867" s="258"/>
      <c r="X867" s="258"/>
    </row>
    <row r="868" spans="1:26">
      <c r="A868" s="46" t="str">
        <f>Home!$B$1</f>
        <v>Poland</v>
      </c>
      <c r="B868" s="47" t="s">
        <v>94</v>
      </c>
      <c r="C868" s="47" t="s">
        <v>546</v>
      </c>
      <c r="D868" s="47" t="s">
        <v>69</v>
      </c>
      <c r="E868" s="46" t="s">
        <v>387</v>
      </c>
      <c r="F868" s="48" t="s">
        <v>677</v>
      </c>
      <c r="G868" s="48" t="s">
        <v>15</v>
      </c>
      <c r="H868" s="48" t="s">
        <v>16</v>
      </c>
      <c r="I868" s="48"/>
      <c r="J868" s="48" t="s">
        <v>99</v>
      </c>
      <c r="K868" s="49">
        <v>904</v>
      </c>
      <c r="L868" s="92">
        <f>'Seasonality&amp; Avg.stay'!B374/1000</f>
        <v>257</v>
      </c>
      <c r="M868" s="92">
        <f>'Seasonality&amp; Avg.stay'!C374/1000</f>
        <v>313</v>
      </c>
      <c r="N868" s="92">
        <f>'Seasonality&amp; Avg.stay'!D374/1000</f>
        <v>318</v>
      </c>
      <c r="O868" s="92">
        <f>'Seasonality&amp; Avg.stay'!E374/1000</f>
        <v>143</v>
      </c>
      <c r="P868" s="92">
        <f>'Seasonality&amp; Avg.stay'!F374/1000</f>
        <v>129</v>
      </c>
      <c r="Q868" s="349">
        <f>P868*(1+(P868/L868)^(1/4)-1)*1.001</f>
        <v>108.68958599908647</v>
      </c>
      <c r="R868" s="110">
        <f>Forecasting!R954</f>
        <v>0</v>
      </c>
      <c r="S868" s="110">
        <f>Forecasting!S954</f>
        <v>0</v>
      </c>
      <c r="T868" s="110">
        <f>Forecasting!T954</f>
        <v>0</v>
      </c>
      <c r="U868" s="110">
        <f>Forecasting!U954</f>
        <v>0</v>
      </c>
      <c r="V868" s="110">
        <f>Forecasting!V954</f>
        <v>0</v>
      </c>
      <c r="W868" s="102">
        <f>+(Q868/M868)^(1/4)-1</f>
        <v>-0.23235416266101239</v>
      </c>
      <c r="X868" s="102">
        <f>+(V868/Q868)^(1/5)-1</f>
        <v>-1</v>
      </c>
      <c r="Z868" s="11"/>
    </row>
    <row r="869" spans="1:26">
      <c r="A869" s="48"/>
      <c r="B869" s="48"/>
      <c r="C869" s="52" t="s">
        <v>892</v>
      </c>
      <c r="D869" s="52"/>
      <c r="E869" s="52"/>
      <c r="F869" s="52"/>
      <c r="G869" s="52"/>
      <c r="H869" s="52"/>
      <c r="I869" s="52"/>
      <c r="J869" s="52" t="s">
        <v>58</v>
      </c>
      <c r="K869" s="49"/>
      <c r="L869" s="53"/>
      <c r="M869" s="54">
        <f t="shared" ref="M869:V869" si="564">M868/L868-1</f>
        <v>0.21789883268482479</v>
      </c>
      <c r="N869" s="54">
        <f t="shared" si="564"/>
        <v>1.5974440894568787E-2</v>
      </c>
      <c r="O869" s="54">
        <f t="shared" si="564"/>
        <v>-0.55031446540880502</v>
      </c>
      <c r="P869" s="54">
        <f t="shared" si="564"/>
        <v>-9.7902097902097918E-2</v>
      </c>
      <c r="Q869" s="54">
        <f t="shared" si="564"/>
        <v>-0.15744506977452344</v>
      </c>
      <c r="R869" s="54">
        <f t="shared" si="564"/>
        <v>-1</v>
      </c>
      <c r="S869" s="54" t="e">
        <f t="shared" si="564"/>
        <v>#DIV/0!</v>
      </c>
      <c r="T869" s="54" t="e">
        <f t="shared" si="564"/>
        <v>#DIV/0!</v>
      </c>
      <c r="U869" s="54" t="e">
        <f t="shared" si="564"/>
        <v>#DIV/0!</v>
      </c>
      <c r="V869" s="54" t="e">
        <f t="shared" si="564"/>
        <v>#DIV/0!</v>
      </c>
      <c r="W869" s="258"/>
      <c r="X869" s="258"/>
    </row>
    <row r="870" spans="1:26">
      <c r="A870" s="46" t="str">
        <f>Home!$B$1</f>
        <v>Poland</v>
      </c>
      <c r="B870" s="47" t="s">
        <v>94</v>
      </c>
      <c r="C870" s="47" t="s">
        <v>546</v>
      </c>
      <c r="D870" s="47" t="s">
        <v>69</v>
      </c>
      <c r="E870" s="46" t="s">
        <v>389</v>
      </c>
      <c r="F870" s="48" t="s">
        <v>678</v>
      </c>
      <c r="G870" s="48" t="s">
        <v>15</v>
      </c>
      <c r="H870" s="48" t="s">
        <v>16</v>
      </c>
      <c r="I870" s="48"/>
      <c r="J870" s="48" t="s">
        <v>99</v>
      </c>
      <c r="K870" s="49"/>
      <c r="L870" s="53">
        <f>'Seasonality&amp; Avg.stay'!B375/1000</f>
        <v>142</v>
      </c>
      <c r="M870" s="53">
        <f>'Seasonality&amp; Avg.stay'!C375/1000</f>
        <v>110</v>
      </c>
      <c r="N870" s="53">
        <f>'Seasonality&amp; Avg.stay'!D375/1000</f>
        <v>54</v>
      </c>
      <c r="O870" s="53">
        <f>'Seasonality&amp; Avg.stay'!E375/1000</f>
        <v>88</v>
      </c>
      <c r="P870" s="53">
        <f>'Seasonality&amp; Avg.stay'!F375/1000</f>
        <v>70</v>
      </c>
      <c r="Q870" s="349">
        <f>P870*(1+(P870/L870)^(1/4)-1)*1.04</f>
        <v>61.000557368168934</v>
      </c>
      <c r="R870" s="110">
        <f>Forecasting!R956</f>
        <v>0</v>
      </c>
      <c r="S870" s="110">
        <f>Forecasting!S956</f>
        <v>0</v>
      </c>
      <c r="T870" s="110">
        <f>Forecasting!T956</f>
        <v>0</v>
      </c>
      <c r="U870" s="110">
        <f>Forecasting!U956</f>
        <v>0</v>
      </c>
      <c r="V870" s="110">
        <f>Forecasting!V956</f>
        <v>0</v>
      </c>
      <c r="W870" s="102">
        <f>+(Q870/M870)^(1/4)-1</f>
        <v>-0.13705070254000562</v>
      </c>
      <c r="X870" s="102">
        <f>+(V870/Q870)^(1/5)-1</f>
        <v>-1</v>
      </c>
      <c r="Z870" s="11"/>
    </row>
    <row r="871" spans="1:26">
      <c r="A871" s="48"/>
      <c r="B871" s="48"/>
      <c r="C871" s="52" t="s">
        <v>892</v>
      </c>
      <c r="D871" s="52"/>
      <c r="E871" s="52"/>
      <c r="F871" s="52"/>
      <c r="G871" s="52"/>
      <c r="H871" s="52"/>
      <c r="I871" s="52"/>
      <c r="J871" s="52" t="s">
        <v>58</v>
      </c>
      <c r="K871" s="49"/>
      <c r="L871" s="53"/>
      <c r="M871" s="54">
        <f t="shared" ref="M871:V871" si="565">M870/L870-1</f>
        <v>-0.22535211267605637</v>
      </c>
      <c r="N871" s="54">
        <f t="shared" si="565"/>
        <v>-0.50909090909090904</v>
      </c>
      <c r="O871" s="54">
        <f t="shared" si="565"/>
        <v>0.62962962962962954</v>
      </c>
      <c r="P871" s="54">
        <f t="shared" si="565"/>
        <v>-0.20454545454545459</v>
      </c>
      <c r="Q871" s="54">
        <f t="shared" si="565"/>
        <v>-0.12856346616901526</v>
      </c>
      <c r="R871" s="54">
        <f t="shared" si="565"/>
        <v>-1</v>
      </c>
      <c r="S871" s="54" t="e">
        <f t="shared" si="565"/>
        <v>#DIV/0!</v>
      </c>
      <c r="T871" s="54" t="e">
        <f t="shared" si="565"/>
        <v>#DIV/0!</v>
      </c>
      <c r="U871" s="54" t="e">
        <f t="shared" si="565"/>
        <v>#DIV/0!</v>
      </c>
      <c r="V871" s="54" t="e">
        <f t="shared" si="565"/>
        <v>#DIV/0!</v>
      </c>
      <c r="W871" s="258"/>
      <c r="X871" s="258"/>
    </row>
    <row r="872" spans="1:26">
      <c r="A872" s="46" t="str">
        <f>Home!$B$1</f>
        <v>Poland</v>
      </c>
      <c r="B872" s="47" t="s">
        <v>94</v>
      </c>
      <c r="C872" s="47" t="s">
        <v>546</v>
      </c>
      <c r="D872" s="47" t="s">
        <v>69</v>
      </c>
      <c r="E872" s="46" t="s">
        <v>391</v>
      </c>
      <c r="F872" s="48" t="s">
        <v>679</v>
      </c>
      <c r="G872" s="48" t="s">
        <v>15</v>
      </c>
      <c r="H872" s="48" t="s">
        <v>16</v>
      </c>
      <c r="I872" s="48"/>
      <c r="J872" s="48" t="s">
        <v>99</v>
      </c>
      <c r="K872" s="49"/>
      <c r="L872" s="92"/>
      <c r="M872" s="92"/>
      <c r="N872" s="92"/>
      <c r="O872" s="92"/>
      <c r="P872" s="92"/>
      <c r="Q872" s="92"/>
      <c r="R872" s="110">
        <f>Forecasting!R958</f>
        <v>0</v>
      </c>
      <c r="S872" s="110">
        <f>Forecasting!S958</f>
        <v>0</v>
      </c>
      <c r="T872" s="110">
        <f>Forecasting!T958</f>
        <v>0</v>
      </c>
      <c r="U872" s="110">
        <f>Forecasting!U958</f>
        <v>0</v>
      </c>
      <c r="V872" s="110">
        <f>Forecasting!V958</f>
        <v>0</v>
      </c>
      <c r="W872" s="102" t="e">
        <f>+(Q872/M872)^(1/4)-1</f>
        <v>#DIV/0!</v>
      </c>
      <c r="X872" s="102" t="e">
        <f>+(V872/Q872)^(1/5)-1</f>
        <v>#DIV/0!</v>
      </c>
      <c r="Z872" s="11"/>
    </row>
    <row r="873" spans="1:26">
      <c r="A873" s="48"/>
      <c r="B873" s="48"/>
      <c r="C873" s="52" t="s">
        <v>892</v>
      </c>
      <c r="D873" s="52"/>
      <c r="E873" s="52"/>
      <c r="F873" s="52"/>
      <c r="G873" s="52"/>
      <c r="H873" s="52"/>
      <c r="I873" s="52"/>
      <c r="J873" s="52" t="s">
        <v>58</v>
      </c>
      <c r="K873" s="49"/>
      <c r="L873" s="53"/>
      <c r="M873" s="54" t="e">
        <f t="shared" ref="M873:V873" si="566">M872/L872-1</f>
        <v>#DIV/0!</v>
      </c>
      <c r="N873" s="54" t="e">
        <f t="shared" si="566"/>
        <v>#DIV/0!</v>
      </c>
      <c r="O873" s="54" t="e">
        <f t="shared" si="566"/>
        <v>#DIV/0!</v>
      </c>
      <c r="P873" s="54" t="e">
        <f t="shared" si="566"/>
        <v>#DIV/0!</v>
      </c>
      <c r="Q873" s="54" t="e">
        <f t="shared" si="566"/>
        <v>#DIV/0!</v>
      </c>
      <c r="R873" s="54" t="e">
        <f t="shared" si="566"/>
        <v>#DIV/0!</v>
      </c>
      <c r="S873" s="54" t="e">
        <f t="shared" si="566"/>
        <v>#DIV/0!</v>
      </c>
      <c r="T873" s="54" t="e">
        <f t="shared" si="566"/>
        <v>#DIV/0!</v>
      </c>
      <c r="U873" s="54" t="e">
        <f t="shared" si="566"/>
        <v>#DIV/0!</v>
      </c>
      <c r="V873" s="54" t="e">
        <f t="shared" si="566"/>
        <v>#DIV/0!</v>
      </c>
      <c r="W873" s="258"/>
      <c r="X873" s="258"/>
    </row>
    <row r="874" spans="1:26">
      <c r="A874" s="46" t="str">
        <f>Home!$B$1</f>
        <v>Poland</v>
      </c>
      <c r="B874" s="47" t="s">
        <v>94</v>
      </c>
      <c r="C874" s="47" t="s">
        <v>546</v>
      </c>
      <c r="D874" s="47" t="s">
        <v>69</v>
      </c>
      <c r="E874" s="46" t="s">
        <v>393</v>
      </c>
      <c r="F874" s="48" t="s">
        <v>680</v>
      </c>
      <c r="G874" s="48" t="s">
        <v>15</v>
      </c>
      <c r="H874" s="48" t="s">
        <v>16</v>
      </c>
      <c r="I874" s="48"/>
      <c r="J874" s="48" t="s">
        <v>99</v>
      </c>
      <c r="K874" s="49"/>
      <c r="L874" s="92"/>
      <c r="M874" s="92"/>
      <c r="N874" s="92"/>
      <c r="O874" s="92"/>
      <c r="P874" s="92"/>
      <c r="Q874" s="92"/>
      <c r="R874" s="110">
        <f>Forecasting!R960</f>
        <v>0</v>
      </c>
      <c r="S874" s="110">
        <f>Forecasting!S960</f>
        <v>0</v>
      </c>
      <c r="T874" s="110">
        <f>Forecasting!T960</f>
        <v>0</v>
      </c>
      <c r="U874" s="110">
        <f>Forecasting!U960</f>
        <v>0</v>
      </c>
      <c r="V874" s="110">
        <f>Forecasting!V960</f>
        <v>0</v>
      </c>
      <c r="W874" s="102" t="e">
        <f>+(Q874/M874)^(1/4)-1</f>
        <v>#DIV/0!</v>
      </c>
      <c r="X874" s="102" t="e">
        <f>+(V874/Q874)^(1/5)-1</f>
        <v>#DIV/0!</v>
      </c>
      <c r="Z874" s="11"/>
    </row>
    <row r="875" spans="1:26">
      <c r="A875" s="48"/>
      <c r="B875" s="48"/>
      <c r="C875" s="52" t="s">
        <v>892</v>
      </c>
      <c r="D875" s="52"/>
      <c r="E875" s="52"/>
      <c r="F875" s="52"/>
      <c r="G875" s="52"/>
      <c r="H875" s="52"/>
      <c r="I875" s="52"/>
      <c r="J875" s="52" t="s">
        <v>58</v>
      </c>
      <c r="K875" s="49"/>
      <c r="L875" s="53"/>
      <c r="M875" s="54" t="e">
        <f t="shared" ref="M875:V875" si="567">M874/L874-1</f>
        <v>#DIV/0!</v>
      </c>
      <c r="N875" s="54" t="e">
        <f t="shared" si="567"/>
        <v>#DIV/0!</v>
      </c>
      <c r="O875" s="54" t="e">
        <f t="shared" si="567"/>
        <v>#DIV/0!</v>
      </c>
      <c r="P875" s="54" t="e">
        <f t="shared" si="567"/>
        <v>#DIV/0!</v>
      </c>
      <c r="Q875" s="54" t="e">
        <f t="shared" si="567"/>
        <v>#DIV/0!</v>
      </c>
      <c r="R875" s="54" t="e">
        <f t="shared" si="567"/>
        <v>#DIV/0!</v>
      </c>
      <c r="S875" s="54" t="e">
        <f t="shared" si="567"/>
        <v>#DIV/0!</v>
      </c>
      <c r="T875" s="54" t="e">
        <f t="shared" si="567"/>
        <v>#DIV/0!</v>
      </c>
      <c r="U875" s="54" t="e">
        <f t="shared" si="567"/>
        <v>#DIV/0!</v>
      </c>
      <c r="V875" s="54" t="e">
        <f t="shared" si="567"/>
        <v>#DIV/0!</v>
      </c>
      <c r="W875" s="258"/>
      <c r="X875" s="258"/>
    </row>
    <row r="876" spans="1:26">
      <c r="A876" s="46" t="str">
        <f>Home!$B$1</f>
        <v>Poland</v>
      </c>
      <c r="B876" s="47" t="s">
        <v>94</v>
      </c>
      <c r="C876" s="47" t="s">
        <v>546</v>
      </c>
      <c r="D876" s="47" t="s">
        <v>69</v>
      </c>
      <c r="E876" s="46" t="s">
        <v>395</v>
      </c>
      <c r="F876" s="48" t="s">
        <v>681</v>
      </c>
      <c r="G876" s="48" t="s">
        <v>15</v>
      </c>
      <c r="H876" s="48" t="s">
        <v>16</v>
      </c>
      <c r="I876" s="48"/>
      <c r="J876" s="48" t="s">
        <v>99</v>
      </c>
      <c r="K876" s="49"/>
      <c r="L876" s="92"/>
      <c r="M876" s="92"/>
      <c r="N876" s="92"/>
      <c r="O876" s="92"/>
      <c r="P876" s="92"/>
      <c r="Q876" s="92"/>
      <c r="R876" s="110">
        <f>Forecasting!R962</f>
        <v>0</v>
      </c>
      <c r="S876" s="110">
        <f>Forecasting!S962</f>
        <v>0</v>
      </c>
      <c r="T876" s="110">
        <f>Forecasting!T962</f>
        <v>0</v>
      </c>
      <c r="U876" s="110">
        <f>Forecasting!U962</f>
        <v>0</v>
      </c>
      <c r="V876" s="110">
        <f>Forecasting!V962</f>
        <v>0</v>
      </c>
      <c r="W876" s="102" t="e">
        <f>+(Q876/M876)^(1/4)-1</f>
        <v>#DIV/0!</v>
      </c>
      <c r="X876" s="102" t="e">
        <f>+(V876/Q876)^(1/5)-1</f>
        <v>#DIV/0!</v>
      </c>
      <c r="Z876" s="11"/>
    </row>
    <row r="877" spans="1:26">
      <c r="A877" s="48"/>
      <c r="B877" s="48"/>
      <c r="C877" s="52" t="s">
        <v>892</v>
      </c>
      <c r="D877" s="52"/>
      <c r="E877" s="52"/>
      <c r="F877" s="52"/>
      <c r="G877" s="52"/>
      <c r="H877" s="52"/>
      <c r="I877" s="52"/>
      <c r="J877" s="52" t="s">
        <v>58</v>
      </c>
      <c r="K877" s="49"/>
      <c r="L877" s="53"/>
      <c r="M877" s="54" t="e">
        <f t="shared" ref="M877:V877" si="568">M876/L876-1</f>
        <v>#DIV/0!</v>
      </c>
      <c r="N877" s="54" t="e">
        <f t="shared" si="568"/>
        <v>#DIV/0!</v>
      </c>
      <c r="O877" s="54" t="e">
        <f t="shared" si="568"/>
        <v>#DIV/0!</v>
      </c>
      <c r="P877" s="54" t="e">
        <f t="shared" si="568"/>
        <v>#DIV/0!</v>
      </c>
      <c r="Q877" s="54" t="e">
        <f t="shared" si="568"/>
        <v>#DIV/0!</v>
      </c>
      <c r="R877" s="54" t="e">
        <f t="shared" si="568"/>
        <v>#DIV/0!</v>
      </c>
      <c r="S877" s="54" t="e">
        <f t="shared" si="568"/>
        <v>#DIV/0!</v>
      </c>
      <c r="T877" s="54" t="e">
        <f t="shared" si="568"/>
        <v>#DIV/0!</v>
      </c>
      <c r="U877" s="54" t="e">
        <f t="shared" si="568"/>
        <v>#DIV/0!</v>
      </c>
      <c r="V877" s="54" t="e">
        <f t="shared" si="568"/>
        <v>#DIV/0!</v>
      </c>
      <c r="W877" s="258"/>
      <c r="X877" s="258"/>
    </row>
    <row r="878" spans="1:26">
      <c r="A878" s="46" t="str">
        <f>Home!$B$1</f>
        <v>Poland</v>
      </c>
      <c r="B878" s="47" t="s">
        <v>94</v>
      </c>
      <c r="C878" s="47" t="s">
        <v>546</v>
      </c>
      <c r="D878" s="47" t="s">
        <v>69</v>
      </c>
      <c r="E878" s="46" t="s">
        <v>397</v>
      </c>
      <c r="F878" s="48" t="s">
        <v>682</v>
      </c>
      <c r="G878" s="48" t="s">
        <v>15</v>
      </c>
      <c r="H878" s="48" t="s">
        <v>16</v>
      </c>
      <c r="I878" s="48"/>
      <c r="J878" s="48" t="s">
        <v>99</v>
      </c>
      <c r="K878" s="49"/>
      <c r="L878" s="92"/>
      <c r="M878" s="92"/>
      <c r="N878" s="92"/>
      <c r="O878" s="92"/>
      <c r="P878" s="92"/>
      <c r="Q878" s="92"/>
      <c r="R878" s="110">
        <f>Forecasting!R964</f>
        <v>0</v>
      </c>
      <c r="S878" s="110">
        <f>Forecasting!S964</f>
        <v>0</v>
      </c>
      <c r="T878" s="110">
        <f>Forecasting!T964</f>
        <v>0</v>
      </c>
      <c r="U878" s="110">
        <f>Forecasting!U964</f>
        <v>0</v>
      </c>
      <c r="V878" s="110">
        <f>Forecasting!V964</f>
        <v>0</v>
      </c>
      <c r="W878" s="102" t="e">
        <f>+(Q878/M878)^(1/4)-1</f>
        <v>#DIV/0!</v>
      </c>
      <c r="X878" s="102" t="e">
        <f>+(V878/Q878)^(1/5)-1</f>
        <v>#DIV/0!</v>
      </c>
      <c r="Z878" s="11"/>
    </row>
    <row r="879" spans="1:26">
      <c r="A879" s="48"/>
      <c r="B879" s="48"/>
      <c r="C879" s="52" t="s">
        <v>892</v>
      </c>
      <c r="D879" s="52"/>
      <c r="E879" s="52"/>
      <c r="F879" s="52"/>
      <c r="G879" s="52"/>
      <c r="H879" s="52"/>
      <c r="I879" s="52"/>
      <c r="J879" s="52" t="s">
        <v>58</v>
      </c>
      <c r="K879" s="49"/>
      <c r="L879" s="53"/>
      <c r="M879" s="54" t="e">
        <f t="shared" ref="M879:V879" si="569">M878/L878-1</f>
        <v>#DIV/0!</v>
      </c>
      <c r="N879" s="54" t="e">
        <f t="shared" si="569"/>
        <v>#DIV/0!</v>
      </c>
      <c r="O879" s="54" t="e">
        <f t="shared" si="569"/>
        <v>#DIV/0!</v>
      </c>
      <c r="P879" s="54" t="e">
        <f t="shared" si="569"/>
        <v>#DIV/0!</v>
      </c>
      <c r="Q879" s="54" t="e">
        <f t="shared" si="569"/>
        <v>#DIV/0!</v>
      </c>
      <c r="R879" s="54" t="e">
        <f t="shared" si="569"/>
        <v>#DIV/0!</v>
      </c>
      <c r="S879" s="54" t="e">
        <f t="shared" si="569"/>
        <v>#DIV/0!</v>
      </c>
      <c r="T879" s="54" t="e">
        <f t="shared" si="569"/>
        <v>#DIV/0!</v>
      </c>
      <c r="U879" s="54" t="e">
        <f t="shared" si="569"/>
        <v>#DIV/0!</v>
      </c>
      <c r="V879" s="54" t="e">
        <f t="shared" si="569"/>
        <v>#DIV/0!</v>
      </c>
      <c r="W879" s="258"/>
      <c r="X879" s="258"/>
    </row>
    <row r="880" spans="1:26">
      <c r="A880" s="46" t="str">
        <f>Home!$B$1</f>
        <v>Poland</v>
      </c>
      <c r="B880" s="47" t="s">
        <v>94</v>
      </c>
      <c r="C880" s="47" t="s">
        <v>546</v>
      </c>
      <c r="D880" s="47" t="s">
        <v>69</v>
      </c>
      <c r="E880" s="46" t="s">
        <v>399</v>
      </c>
      <c r="F880" s="48" t="s">
        <v>683</v>
      </c>
      <c r="G880" s="48" t="s">
        <v>15</v>
      </c>
      <c r="H880" s="48" t="s">
        <v>16</v>
      </c>
      <c r="I880" s="48"/>
      <c r="J880" s="48" t="s">
        <v>99</v>
      </c>
      <c r="K880" s="49"/>
      <c r="L880" s="92"/>
      <c r="M880" s="92"/>
      <c r="N880" s="92"/>
      <c r="O880" s="92"/>
      <c r="P880" s="92"/>
      <c r="Q880" s="92"/>
      <c r="R880" s="110">
        <f>Forecasting!R966</f>
        <v>0</v>
      </c>
      <c r="S880" s="110">
        <f>Forecasting!S966</f>
        <v>0</v>
      </c>
      <c r="T880" s="110">
        <f>Forecasting!T966</f>
        <v>0</v>
      </c>
      <c r="U880" s="110">
        <f>Forecasting!U966</f>
        <v>0</v>
      </c>
      <c r="V880" s="110">
        <f>Forecasting!V966</f>
        <v>0</v>
      </c>
      <c r="W880" s="102" t="e">
        <f>+(Q880/M880)^(1/4)-1</f>
        <v>#DIV/0!</v>
      </c>
      <c r="X880" s="102" t="e">
        <f>+(V880/Q880)^(1/5)-1</f>
        <v>#DIV/0!</v>
      </c>
      <c r="Z880" s="11"/>
    </row>
    <row r="881" spans="1:26">
      <c r="A881" s="48"/>
      <c r="B881" s="48"/>
      <c r="C881" s="52" t="s">
        <v>892</v>
      </c>
      <c r="D881" s="52"/>
      <c r="E881" s="52"/>
      <c r="F881" s="52"/>
      <c r="G881" s="52"/>
      <c r="H881" s="52"/>
      <c r="I881" s="52"/>
      <c r="J881" s="52" t="s">
        <v>58</v>
      </c>
      <c r="K881" s="49"/>
      <c r="L881" s="53"/>
      <c r="M881" s="54" t="e">
        <f t="shared" ref="M881:V881" si="570">M880/L880-1</f>
        <v>#DIV/0!</v>
      </c>
      <c r="N881" s="54" t="e">
        <f t="shared" si="570"/>
        <v>#DIV/0!</v>
      </c>
      <c r="O881" s="54" t="e">
        <f t="shared" si="570"/>
        <v>#DIV/0!</v>
      </c>
      <c r="P881" s="54" t="e">
        <f t="shared" si="570"/>
        <v>#DIV/0!</v>
      </c>
      <c r="Q881" s="54" t="e">
        <f t="shared" si="570"/>
        <v>#DIV/0!</v>
      </c>
      <c r="R881" s="54" t="e">
        <f t="shared" si="570"/>
        <v>#DIV/0!</v>
      </c>
      <c r="S881" s="54" t="e">
        <f t="shared" si="570"/>
        <v>#DIV/0!</v>
      </c>
      <c r="T881" s="54" t="e">
        <f t="shared" si="570"/>
        <v>#DIV/0!</v>
      </c>
      <c r="U881" s="54" t="e">
        <f t="shared" si="570"/>
        <v>#DIV/0!</v>
      </c>
      <c r="V881" s="54" t="e">
        <f t="shared" si="570"/>
        <v>#DIV/0!</v>
      </c>
      <c r="W881" s="258"/>
      <c r="X881" s="258"/>
    </row>
    <row r="882" spans="1:26">
      <c r="A882" s="46" t="str">
        <f>Home!$B$1</f>
        <v>Poland</v>
      </c>
      <c r="B882" s="47" t="s">
        <v>94</v>
      </c>
      <c r="C882" s="47" t="s">
        <v>546</v>
      </c>
      <c r="D882" s="47" t="s">
        <v>69</v>
      </c>
      <c r="E882" s="46" t="s">
        <v>401</v>
      </c>
      <c r="F882" s="48" t="s">
        <v>684</v>
      </c>
      <c r="G882" s="48" t="s">
        <v>15</v>
      </c>
      <c r="H882" s="48" t="s">
        <v>16</v>
      </c>
      <c r="I882" s="48"/>
      <c r="J882" s="48" t="s">
        <v>99</v>
      </c>
      <c r="K882" s="49"/>
      <c r="L882" s="92"/>
      <c r="M882" s="92"/>
      <c r="N882" s="92"/>
      <c r="O882" s="92"/>
      <c r="P882" s="92"/>
      <c r="Q882" s="92"/>
      <c r="R882" s="110">
        <f>Forecasting!R968</f>
        <v>0</v>
      </c>
      <c r="S882" s="110">
        <f>Forecasting!S968</f>
        <v>0</v>
      </c>
      <c r="T882" s="110">
        <f>Forecasting!T968</f>
        <v>0</v>
      </c>
      <c r="U882" s="110">
        <f>Forecasting!U968</f>
        <v>0</v>
      </c>
      <c r="V882" s="110">
        <f>Forecasting!V968</f>
        <v>0</v>
      </c>
      <c r="W882" s="102" t="e">
        <f>+(Q882/M882)^(1/4)-1</f>
        <v>#DIV/0!</v>
      </c>
      <c r="X882" s="102" t="e">
        <f>+(V882/Q882)^(1/5)-1</f>
        <v>#DIV/0!</v>
      </c>
      <c r="Z882" s="11"/>
    </row>
    <row r="883" spans="1:26">
      <c r="A883" s="48"/>
      <c r="B883" s="48"/>
      <c r="C883" s="52" t="s">
        <v>892</v>
      </c>
      <c r="D883" s="52"/>
      <c r="E883" s="52"/>
      <c r="F883" s="52"/>
      <c r="G883" s="52"/>
      <c r="H883" s="52"/>
      <c r="I883" s="52"/>
      <c r="J883" s="52" t="s">
        <v>58</v>
      </c>
      <c r="K883" s="49"/>
      <c r="L883" s="53"/>
      <c r="M883" s="54" t="e">
        <f t="shared" ref="M883:V883" si="571">M882/L882-1</f>
        <v>#DIV/0!</v>
      </c>
      <c r="N883" s="54" t="e">
        <f t="shared" si="571"/>
        <v>#DIV/0!</v>
      </c>
      <c r="O883" s="54" t="e">
        <f t="shared" si="571"/>
        <v>#DIV/0!</v>
      </c>
      <c r="P883" s="54" t="e">
        <f t="shared" si="571"/>
        <v>#DIV/0!</v>
      </c>
      <c r="Q883" s="54" t="e">
        <f t="shared" si="571"/>
        <v>#DIV/0!</v>
      </c>
      <c r="R883" s="54" t="e">
        <f t="shared" si="571"/>
        <v>#DIV/0!</v>
      </c>
      <c r="S883" s="54" t="e">
        <f t="shared" si="571"/>
        <v>#DIV/0!</v>
      </c>
      <c r="T883" s="54" t="e">
        <f t="shared" si="571"/>
        <v>#DIV/0!</v>
      </c>
      <c r="U883" s="54" t="e">
        <f t="shared" si="571"/>
        <v>#DIV/0!</v>
      </c>
      <c r="V883" s="54" t="e">
        <f t="shared" si="571"/>
        <v>#DIV/0!</v>
      </c>
      <c r="W883" s="258"/>
      <c r="X883" s="258"/>
    </row>
    <row r="884" spans="1:26">
      <c r="A884" s="46" t="str">
        <f>Home!$B$1</f>
        <v>Poland</v>
      </c>
      <c r="B884" s="47" t="s">
        <v>94</v>
      </c>
      <c r="C884" s="47" t="s">
        <v>546</v>
      </c>
      <c r="D884" s="47" t="s">
        <v>69</v>
      </c>
      <c r="E884" s="46" t="s">
        <v>403</v>
      </c>
      <c r="F884" s="48" t="s">
        <v>685</v>
      </c>
      <c r="G884" s="48" t="s">
        <v>15</v>
      </c>
      <c r="H884" s="48" t="s">
        <v>16</v>
      </c>
      <c r="I884" s="48"/>
      <c r="J884" s="48" t="s">
        <v>99</v>
      </c>
      <c r="K884" s="49"/>
      <c r="L884" s="92"/>
      <c r="M884" s="92"/>
      <c r="N884" s="92"/>
      <c r="O884" s="92"/>
      <c r="P884" s="92"/>
      <c r="Q884" s="92"/>
      <c r="R884" s="110">
        <f>Forecasting!R970</f>
        <v>0</v>
      </c>
      <c r="S884" s="110">
        <f>Forecasting!S970</f>
        <v>0</v>
      </c>
      <c r="T884" s="110">
        <f>Forecasting!T970</f>
        <v>0</v>
      </c>
      <c r="U884" s="110">
        <f>Forecasting!U970</f>
        <v>0</v>
      </c>
      <c r="V884" s="110">
        <f>Forecasting!V970</f>
        <v>0</v>
      </c>
      <c r="W884" s="102" t="e">
        <f>+(Q884/M884)^(1/4)-1</f>
        <v>#DIV/0!</v>
      </c>
      <c r="X884" s="102" t="e">
        <f>+(V884/Q884)^(1/5)-1</f>
        <v>#DIV/0!</v>
      </c>
      <c r="Z884" s="11"/>
    </row>
    <row r="885" spans="1:26">
      <c r="A885" s="48"/>
      <c r="B885" s="48"/>
      <c r="C885" s="52" t="s">
        <v>892</v>
      </c>
      <c r="D885" s="52"/>
      <c r="E885" s="52"/>
      <c r="F885" s="52"/>
      <c r="G885" s="52"/>
      <c r="H885" s="52"/>
      <c r="I885" s="52"/>
      <c r="J885" s="52" t="s">
        <v>58</v>
      </c>
      <c r="K885" s="49"/>
      <c r="L885" s="53"/>
      <c r="M885" s="54" t="e">
        <f t="shared" ref="M885:V885" si="572">M884/L884-1</f>
        <v>#DIV/0!</v>
      </c>
      <c r="N885" s="54" t="e">
        <f t="shared" si="572"/>
        <v>#DIV/0!</v>
      </c>
      <c r="O885" s="54" t="e">
        <f t="shared" si="572"/>
        <v>#DIV/0!</v>
      </c>
      <c r="P885" s="54" t="e">
        <f t="shared" si="572"/>
        <v>#DIV/0!</v>
      </c>
      <c r="Q885" s="54" t="e">
        <f t="shared" si="572"/>
        <v>#DIV/0!</v>
      </c>
      <c r="R885" s="54" t="e">
        <f t="shared" si="572"/>
        <v>#DIV/0!</v>
      </c>
      <c r="S885" s="54" t="e">
        <f t="shared" si="572"/>
        <v>#DIV/0!</v>
      </c>
      <c r="T885" s="54" t="e">
        <f t="shared" si="572"/>
        <v>#DIV/0!</v>
      </c>
      <c r="U885" s="54" t="e">
        <f t="shared" si="572"/>
        <v>#DIV/0!</v>
      </c>
      <c r="V885" s="54" t="e">
        <f t="shared" si="572"/>
        <v>#DIV/0!</v>
      </c>
      <c r="W885" s="258"/>
      <c r="X885" s="258"/>
    </row>
    <row r="886" spans="1:26">
      <c r="A886" s="46" t="str">
        <f>Home!$B$1</f>
        <v>Poland</v>
      </c>
      <c r="B886" s="47" t="s">
        <v>94</v>
      </c>
      <c r="C886" s="47" t="s">
        <v>546</v>
      </c>
      <c r="D886" s="47" t="s">
        <v>69</v>
      </c>
      <c r="E886" s="46" t="s">
        <v>405</v>
      </c>
      <c r="F886" s="48" t="s">
        <v>686</v>
      </c>
      <c r="G886" s="48" t="s">
        <v>15</v>
      </c>
      <c r="H886" s="48" t="s">
        <v>16</v>
      </c>
      <c r="I886" s="48"/>
      <c r="J886" s="48" t="s">
        <v>99</v>
      </c>
      <c r="K886" s="49"/>
      <c r="L886" s="92"/>
      <c r="M886" s="92"/>
      <c r="N886" s="92"/>
      <c r="O886" s="92"/>
      <c r="P886" s="92"/>
      <c r="Q886" s="92"/>
      <c r="R886" s="110">
        <f>Forecasting!R972</f>
        <v>0</v>
      </c>
      <c r="S886" s="110">
        <f>Forecasting!S972</f>
        <v>0</v>
      </c>
      <c r="T886" s="110">
        <f>Forecasting!T972</f>
        <v>0</v>
      </c>
      <c r="U886" s="110">
        <f>Forecasting!U972</f>
        <v>0</v>
      </c>
      <c r="V886" s="110">
        <f>Forecasting!V972</f>
        <v>0</v>
      </c>
      <c r="W886" s="102" t="e">
        <f>+(Q886/M886)^(1/4)-1</f>
        <v>#DIV/0!</v>
      </c>
      <c r="X886" s="102" t="e">
        <f>+(V886/Q886)^(1/5)-1</f>
        <v>#DIV/0!</v>
      </c>
      <c r="Z886" s="11"/>
    </row>
    <row r="887" spans="1:26">
      <c r="A887" s="48"/>
      <c r="B887" s="48"/>
      <c r="C887" s="52" t="s">
        <v>892</v>
      </c>
      <c r="D887" s="52"/>
      <c r="E887" s="52"/>
      <c r="F887" s="52"/>
      <c r="G887" s="52"/>
      <c r="H887" s="52"/>
      <c r="I887" s="52"/>
      <c r="J887" s="52" t="s">
        <v>58</v>
      </c>
      <c r="K887" s="49"/>
      <c r="L887" s="53"/>
      <c r="M887" s="54" t="e">
        <f t="shared" ref="M887:V887" si="573">M886/L886-1</f>
        <v>#DIV/0!</v>
      </c>
      <c r="N887" s="54" t="e">
        <f t="shared" si="573"/>
        <v>#DIV/0!</v>
      </c>
      <c r="O887" s="54" t="e">
        <f t="shared" si="573"/>
        <v>#DIV/0!</v>
      </c>
      <c r="P887" s="54" t="e">
        <f t="shared" si="573"/>
        <v>#DIV/0!</v>
      </c>
      <c r="Q887" s="54" t="e">
        <f t="shared" si="573"/>
        <v>#DIV/0!</v>
      </c>
      <c r="R887" s="54" t="e">
        <f t="shared" si="573"/>
        <v>#DIV/0!</v>
      </c>
      <c r="S887" s="54" t="e">
        <f t="shared" si="573"/>
        <v>#DIV/0!</v>
      </c>
      <c r="T887" s="54" t="e">
        <f t="shared" si="573"/>
        <v>#DIV/0!</v>
      </c>
      <c r="U887" s="54" t="e">
        <f t="shared" si="573"/>
        <v>#DIV/0!</v>
      </c>
      <c r="V887" s="54" t="e">
        <f t="shared" si="573"/>
        <v>#DIV/0!</v>
      </c>
      <c r="W887" s="258"/>
      <c r="X887" s="258"/>
    </row>
    <row r="888" spans="1:26">
      <c r="A888" s="46" t="str">
        <f>Home!$B$1</f>
        <v>Poland</v>
      </c>
      <c r="B888" s="47" t="s">
        <v>94</v>
      </c>
      <c r="C888" s="47" t="s">
        <v>546</v>
      </c>
      <c r="D888" s="47" t="s">
        <v>69</v>
      </c>
      <c r="E888" s="46" t="s">
        <v>407</v>
      </c>
      <c r="F888" s="48" t="s">
        <v>687</v>
      </c>
      <c r="G888" s="48" t="s">
        <v>15</v>
      </c>
      <c r="H888" s="48" t="s">
        <v>16</v>
      </c>
      <c r="I888" s="48"/>
      <c r="J888" s="48" t="s">
        <v>99</v>
      </c>
      <c r="K888" s="49">
        <v>995</v>
      </c>
      <c r="L888" s="92"/>
      <c r="M888" s="92"/>
      <c r="N888" s="92"/>
      <c r="O888" s="92"/>
      <c r="P888" s="92"/>
      <c r="Q888" s="92"/>
      <c r="R888" s="110">
        <f>Forecasting!R974</f>
        <v>0</v>
      </c>
      <c r="S888" s="110">
        <f>Forecasting!S974</f>
        <v>0</v>
      </c>
      <c r="T888" s="110">
        <f>Forecasting!T974</f>
        <v>0</v>
      </c>
      <c r="U888" s="110">
        <f>Forecasting!U974</f>
        <v>0</v>
      </c>
      <c r="V888" s="110">
        <f>Forecasting!V974</f>
        <v>0</v>
      </c>
      <c r="W888" s="102" t="e">
        <f>+(Q888/M888)^(1/4)-1</f>
        <v>#DIV/0!</v>
      </c>
      <c r="X888" s="102" t="e">
        <f>+(V888/Q888)^(1/5)-1</f>
        <v>#DIV/0!</v>
      </c>
      <c r="Z888" s="11"/>
    </row>
    <row r="889" spans="1:26">
      <c r="A889" s="48"/>
      <c r="B889" s="48"/>
      <c r="C889" s="52" t="s">
        <v>892</v>
      </c>
      <c r="D889" s="52"/>
      <c r="E889" s="52"/>
      <c r="F889" s="52"/>
      <c r="G889" s="52"/>
      <c r="H889" s="52"/>
      <c r="I889" s="52"/>
      <c r="J889" s="52" t="s">
        <v>58</v>
      </c>
      <c r="K889" s="49"/>
      <c r="L889" s="53"/>
      <c r="M889" s="54" t="e">
        <f t="shared" ref="M889:V889" si="574">M888/L888-1</f>
        <v>#DIV/0!</v>
      </c>
      <c r="N889" s="54" t="e">
        <f t="shared" si="574"/>
        <v>#DIV/0!</v>
      </c>
      <c r="O889" s="54" t="e">
        <f t="shared" si="574"/>
        <v>#DIV/0!</v>
      </c>
      <c r="P889" s="54" t="e">
        <f t="shared" si="574"/>
        <v>#DIV/0!</v>
      </c>
      <c r="Q889" s="54" t="e">
        <f t="shared" si="574"/>
        <v>#DIV/0!</v>
      </c>
      <c r="R889" s="54" t="e">
        <f t="shared" si="574"/>
        <v>#DIV/0!</v>
      </c>
      <c r="S889" s="54" t="e">
        <f t="shared" si="574"/>
        <v>#DIV/0!</v>
      </c>
      <c r="T889" s="54" t="e">
        <f t="shared" si="574"/>
        <v>#DIV/0!</v>
      </c>
      <c r="U889" s="54" t="e">
        <f t="shared" si="574"/>
        <v>#DIV/0!</v>
      </c>
      <c r="V889" s="54" t="e">
        <f t="shared" si="574"/>
        <v>#DIV/0!</v>
      </c>
      <c r="W889" s="258"/>
      <c r="X889" s="258"/>
    </row>
    <row r="890" spans="1:26">
      <c r="A890" s="46" t="str">
        <f>Home!$B$1</f>
        <v>Poland</v>
      </c>
      <c r="B890" s="47" t="s">
        <v>94</v>
      </c>
      <c r="C890" s="47" t="s">
        <v>546</v>
      </c>
      <c r="D890" s="47" t="s">
        <v>69</v>
      </c>
      <c r="E890" s="46" t="s">
        <v>409</v>
      </c>
      <c r="F890" s="48" t="s">
        <v>688</v>
      </c>
      <c r="G890" s="48" t="s">
        <v>15</v>
      </c>
      <c r="H890" s="48" t="s">
        <v>16</v>
      </c>
      <c r="I890" s="48"/>
      <c r="J890" s="48" t="s">
        <v>99</v>
      </c>
      <c r="K890" s="49"/>
      <c r="L890" s="92">
        <f>'Seasonality&amp; Avg.stay'!B379/1000</f>
        <v>123</v>
      </c>
      <c r="M890" s="92">
        <f>'Seasonality&amp; Avg.stay'!C379/1000</f>
        <v>114</v>
      </c>
      <c r="N890" s="92">
        <f>'Seasonality&amp; Avg.stay'!D379/1000</f>
        <v>153</v>
      </c>
      <c r="O890" s="92">
        <f>'Seasonality&amp; Avg.stay'!E379/1000</f>
        <v>118</v>
      </c>
      <c r="P890" s="92">
        <f>'Seasonality&amp; Avg.stay'!F379/1000</f>
        <v>88</v>
      </c>
      <c r="Q890" s="349">
        <f>P890*(1+(P890/L890)^(1/4)-1)*1.024</f>
        <v>82.875663613109424</v>
      </c>
      <c r="R890" s="110">
        <f>Forecasting!R976</f>
        <v>0</v>
      </c>
      <c r="S890" s="110">
        <f>Forecasting!S976</f>
        <v>0</v>
      </c>
      <c r="T890" s="110">
        <f>Forecasting!T976</f>
        <v>0</v>
      </c>
      <c r="U890" s="110">
        <f>Forecasting!U976</f>
        <v>0</v>
      </c>
      <c r="V890" s="110">
        <f>Forecasting!V976</f>
        <v>0</v>
      </c>
      <c r="W890" s="102">
        <f>+(Q890/M890)^(1/4)-1</f>
        <v>-7.6619833700018014E-2</v>
      </c>
      <c r="X890" s="102">
        <f>+(V890/Q890)^(1/5)-1</f>
        <v>-1</v>
      </c>
      <c r="Z890" s="11"/>
    </row>
    <row r="891" spans="1:26">
      <c r="A891" s="48"/>
      <c r="B891" s="48"/>
      <c r="C891" s="52" t="s">
        <v>892</v>
      </c>
      <c r="D891" s="52"/>
      <c r="E891" s="52"/>
      <c r="F891" s="52"/>
      <c r="G891" s="52"/>
      <c r="H891" s="52"/>
      <c r="I891" s="52"/>
      <c r="J891" s="52" t="s">
        <v>58</v>
      </c>
      <c r="K891" s="49"/>
      <c r="L891" s="53"/>
      <c r="M891" s="54">
        <f t="shared" ref="M891:V891" si="575">M890/L890-1</f>
        <v>-7.3170731707317027E-2</v>
      </c>
      <c r="N891" s="54">
        <f t="shared" si="575"/>
        <v>0.34210526315789469</v>
      </c>
      <c r="O891" s="54">
        <f t="shared" si="575"/>
        <v>-0.22875816993464049</v>
      </c>
      <c r="P891" s="54">
        <f t="shared" si="575"/>
        <v>-0.25423728813559321</v>
      </c>
      <c r="Q891" s="54">
        <f t="shared" si="575"/>
        <v>-5.8231095305574687E-2</v>
      </c>
      <c r="R891" s="54">
        <f t="shared" si="575"/>
        <v>-1</v>
      </c>
      <c r="S891" s="54" t="e">
        <f t="shared" si="575"/>
        <v>#DIV/0!</v>
      </c>
      <c r="T891" s="54" t="e">
        <f t="shared" si="575"/>
        <v>#DIV/0!</v>
      </c>
      <c r="U891" s="54" t="e">
        <f t="shared" si="575"/>
        <v>#DIV/0!</v>
      </c>
      <c r="V891" s="54" t="e">
        <f t="shared" si="575"/>
        <v>#DIV/0!</v>
      </c>
      <c r="W891" s="258"/>
      <c r="X891" s="258"/>
    </row>
    <row r="892" spans="1:26">
      <c r="A892" s="46" t="str">
        <f>Home!$B$1</f>
        <v>Poland</v>
      </c>
      <c r="B892" s="47" t="s">
        <v>94</v>
      </c>
      <c r="C892" s="47" t="s">
        <v>546</v>
      </c>
      <c r="D892" s="47" t="s">
        <v>69</v>
      </c>
      <c r="E892" s="46" t="s">
        <v>411</v>
      </c>
      <c r="F892" s="48" t="s">
        <v>689</v>
      </c>
      <c r="G892" s="48" t="s">
        <v>15</v>
      </c>
      <c r="H892" s="48" t="s">
        <v>16</v>
      </c>
      <c r="I892" s="48"/>
      <c r="J892" s="48" t="s">
        <v>99</v>
      </c>
      <c r="K892" s="49">
        <v>633</v>
      </c>
      <c r="L892" s="92">
        <f>'Seasonality&amp; Avg.stay'!B357/1000</f>
        <v>64</v>
      </c>
      <c r="M892" s="92">
        <f>'Seasonality&amp; Avg.stay'!C357/1000</f>
        <v>36</v>
      </c>
      <c r="N892" s="92">
        <f>'Seasonality&amp; Avg.stay'!D357/1000</f>
        <v>40</v>
      </c>
      <c r="O892" s="92">
        <f>'Seasonality&amp; Avg.stay'!E357/1000</f>
        <v>123</v>
      </c>
      <c r="P892" s="92">
        <f>'Seasonality&amp; Avg.stay'!F357/1000</f>
        <v>120</v>
      </c>
      <c r="Q892" s="349">
        <f>P892*(1+(P892/L892)^(1/4)-1)*0.944</f>
        <v>132.55727216632536</v>
      </c>
      <c r="R892" s="110">
        <f>Forecasting!R978</f>
        <v>0</v>
      </c>
      <c r="S892" s="110">
        <f>Forecasting!S978</f>
        <v>0</v>
      </c>
      <c r="T892" s="110">
        <f>Forecasting!T978</f>
        <v>0</v>
      </c>
      <c r="U892" s="110">
        <f>Forecasting!U978</f>
        <v>0</v>
      </c>
      <c r="V892" s="110">
        <f>Forecasting!V978</f>
        <v>0</v>
      </c>
      <c r="W892" s="102">
        <f>+(Q892/M892)^(1/4)-1</f>
        <v>0.38524076778404348</v>
      </c>
      <c r="X892" s="102">
        <f>+(V892/Q892)^(1/5)-1</f>
        <v>-1</v>
      </c>
      <c r="Z892" s="11"/>
    </row>
    <row r="893" spans="1:26">
      <c r="A893" s="48"/>
      <c r="B893" s="48"/>
      <c r="C893" s="52" t="s">
        <v>892</v>
      </c>
      <c r="D893" s="52"/>
      <c r="E893" s="52"/>
      <c r="F893" s="52"/>
      <c r="G893" s="52"/>
      <c r="H893" s="52"/>
      <c r="I893" s="52"/>
      <c r="J893" s="52" t="s">
        <v>58</v>
      </c>
      <c r="K893" s="49"/>
      <c r="L893" s="53"/>
      <c r="M893" s="54">
        <f t="shared" ref="M893:V893" si="576">M892/L892-1</f>
        <v>-0.4375</v>
      </c>
      <c r="N893" s="54">
        <f t="shared" si="576"/>
        <v>0.11111111111111116</v>
      </c>
      <c r="O893" s="54">
        <f t="shared" si="576"/>
        <v>2.0750000000000002</v>
      </c>
      <c r="P893" s="54">
        <f t="shared" si="576"/>
        <v>-2.4390243902439046E-2</v>
      </c>
      <c r="Q893" s="54">
        <f>Q892/P892-1</f>
        <v>0.10464393471937794</v>
      </c>
      <c r="R893" s="54">
        <f t="shared" si="576"/>
        <v>-1</v>
      </c>
      <c r="S893" s="54" t="e">
        <f t="shared" si="576"/>
        <v>#DIV/0!</v>
      </c>
      <c r="T893" s="54" t="e">
        <f t="shared" si="576"/>
        <v>#DIV/0!</v>
      </c>
      <c r="U893" s="54" t="e">
        <f t="shared" si="576"/>
        <v>#DIV/0!</v>
      </c>
      <c r="V893" s="54" t="e">
        <f t="shared" si="576"/>
        <v>#DIV/0!</v>
      </c>
      <c r="W893" s="258"/>
      <c r="X893" s="258"/>
    </row>
    <row r="894" spans="1:26">
      <c r="A894" s="46" t="str">
        <f>Home!$B$1</f>
        <v>Poland</v>
      </c>
      <c r="B894" s="47" t="s">
        <v>94</v>
      </c>
      <c r="C894" s="47" t="s">
        <v>546</v>
      </c>
      <c r="D894" s="47" t="s">
        <v>69</v>
      </c>
      <c r="E894" s="46" t="s">
        <v>413</v>
      </c>
      <c r="F894" s="48" t="s">
        <v>690</v>
      </c>
      <c r="G894" s="48" t="s">
        <v>15</v>
      </c>
      <c r="H894" s="48" t="s">
        <v>16</v>
      </c>
      <c r="I894" s="48"/>
      <c r="J894" s="48" t="s">
        <v>99</v>
      </c>
      <c r="K894" s="49"/>
      <c r="L894" s="92"/>
      <c r="M894" s="92"/>
      <c r="N894" s="92"/>
      <c r="O894" s="92"/>
      <c r="P894" s="92"/>
      <c r="Q894" s="92"/>
      <c r="R894" s="110">
        <f>Forecasting!R980</f>
        <v>0</v>
      </c>
      <c r="S894" s="110">
        <f>Forecasting!S980</f>
        <v>0</v>
      </c>
      <c r="T894" s="110">
        <f>Forecasting!T980</f>
        <v>0</v>
      </c>
      <c r="U894" s="110">
        <f>Forecasting!U980</f>
        <v>0</v>
      </c>
      <c r="V894" s="110">
        <f>Forecasting!V980</f>
        <v>0</v>
      </c>
      <c r="W894" s="102" t="e">
        <f>+(Q894/M894)^(1/4)-1</f>
        <v>#DIV/0!</v>
      </c>
      <c r="X894" s="102" t="e">
        <f>+(V894/Q894)^(1/5)-1</f>
        <v>#DIV/0!</v>
      </c>
      <c r="Z894" s="11"/>
    </row>
    <row r="895" spans="1:26">
      <c r="A895" s="48"/>
      <c r="B895" s="48"/>
      <c r="C895" s="52" t="s">
        <v>892</v>
      </c>
      <c r="D895" s="52"/>
      <c r="E895" s="52"/>
      <c r="F895" s="52"/>
      <c r="G895" s="52"/>
      <c r="H895" s="52"/>
      <c r="I895" s="52"/>
      <c r="J895" s="52" t="s">
        <v>58</v>
      </c>
      <c r="K895" s="49"/>
      <c r="L895" s="53"/>
      <c r="M895" s="54" t="e">
        <f t="shared" ref="M895:V895" si="577">M894/L894-1</f>
        <v>#DIV/0!</v>
      </c>
      <c r="N895" s="54" t="e">
        <f t="shared" si="577"/>
        <v>#DIV/0!</v>
      </c>
      <c r="O895" s="54" t="e">
        <f t="shared" si="577"/>
        <v>#DIV/0!</v>
      </c>
      <c r="P895" s="54" t="e">
        <f t="shared" si="577"/>
        <v>#DIV/0!</v>
      </c>
      <c r="Q895" s="54" t="e">
        <f t="shared" si="577"/>
        <v>#DIV/0!</v>
      </c>
      <c r="R895" s="54" t="e">
        <f t="shared" si="577"/>
        <v>#DIV/0!</v>
      </c>
      <c r="S895" s="54" t="e">
        <f t="shared" si="577"/>
        <v>#DIV/0!</v>
      </c>
      <c r="T895" s="54" t="e">
        <f t="shared" si="577"/>
        <v>#DIV/0!</v>
      </c>
      <c r="U895" s="54" t="e">
        <f t="shared" si="577"/>
        <v>#DIV/0!</v>
      </c>
      <c r="V895" s="54" t="e">
        <f t="shared" si="577"/>
        <v>#DIV/0!</v>
      </c>
      <c r="W895" s="258"/>
      <c r="X895" s="258"/>
    </row>
    <row r="896" spans="1:26">
      <c r="A896" s="46" t="str">
        <f>Home!$B$1</f>
        <v>Poland</v>
      </c>
      <c r="B896" s="47" t="s">
        <v>94</v>
      </c>
      <c r="C896" s="47" t="s">
        <v>546</v>
      </c>
      <c r="D896" s="47" t="s">
        <v>69</v>
      </c>
      <c r="E896" s="46" t="s">
        <v>415</v>
      </c>
      <c r="F896" s="48" t="s">
        <v>691</v>
      </c>
      <c r="G896" s="48" t="s">
        <v>15</v>
      </c>
      <c r="H896" s="48" t="s">
        <v>16</v>
      </c>
      <c r="I896" s="48"/>
      <c r="J896" s="48" t="s">
        <v>99</v>
      </c>
      <c r="K896" s="49" t="s">
        <v>565</v>
      </c>
      <c r="L896" s="92"/>
      <c r="M896" s="92"/>
      <c r="N896" s="92"/>
      <c r="O896" s="92"/>
      <c r="P896" s="92"/>
      <c r="Q896" s="92"/>
      <c r="R896" s="110">
        <f>Forecasting!R982</f>
        <v>0</v>
      </c>
      <c r="S896" s="110">
        <f>Forecasting!S982</f>
        <v>0</v>
      </c>
      <c r="T896" s="110">
        <f>Forecasting!T982</f>
        <v>0</v>
      </c>
      <c r="U896" s="110">
        <f>Forecasting!U982</f>
        <v>0</v>
      </c>
      <c r="V896" s="110">
        <f>Forecasting!V982</f>
        <v>0</v>
      </c>
      <c r="W896" s="102" t="e">
        <f>+(Q896/M896)^(1/4)-1</f>
        <v>#DIV/0!</v>
      </c>
      <c r="X896" s="102" t="e">
        <f>+(V896/Q896)^(1/5)-1</f>
        <v>#DIV/0!</v>
      </c>
      <c r="Z896" s="11"/>
    </row>
    <row r="897" spans="1:26">
      <c r="A897" s="48"/>
      <c r="B897" s="48"/>
      <c r="C897" s="52" t="s">
        <v>892</v>
      </c>
      <c r="D897" s="52"/>
      <c r="E897" s="52"/>
      <c r="F897" s="52"/>
      <c r="G897" s="52"/>
      <c r="H897" s="52"/>
      <c r="I897" s="52"/>
      <c r="J897" s="52" t="s">
        <v>58</v>
      </c>
      <c r="K897" s="49"/>
      <c r="L897" s="53"/>
      <c r="M897" s="54" t="e">
        <f t="shared" ref="M897:V897" si="578">M896/L896-1</f>
        <v>#DIV/0!</v>
      </c>
      <c r="N897" s="54" t="e">
        <f t="shared" si="578"/>
        <v>#DIV/0!</v>
      </c>
      <c r="O897" s="54" t="e">
        <f t="shared" si="578"/>
        <v>#DIV/0!</v>
      </c>
      <c r="P897" s="54" t="e">
        <f t="shared" si="578"/>
        <v>#DIV/0!</v>
      </c>
      <c r="Q897" s="54" t="e">
        <f t="shared" si="578"/>
        <v>#DIV/0!</v>
      </c>
      <c r="R897" s="54" t="e">
        <f t="shared" si="578"/>
        <v>#DIV/0!</v>
      </c>
      <c r="S897" s="54" t="e">
        <f t="shared" si="578"/>
        <v>#DIV/0!</v>
      </c>
      <c r="T897" s="54" t="e">
        <f t="shared" si="578"/>
        <v>#DIV/0!</v>
      </c>
      <c r="U897" s="54" t="e">
        <f t="shared" si="578"/>
        <v>#DIV/0!</v>
      </c>
      <c r="V897" s="54" t="e">
        <f t="shared" si="578"/>
        <v>#DIV/0!</v>
      </c>
      <c r="W897" s="258"/>
      <c r="X897" s="258"/>
    </row>
    <row r="898" spans="1:26">
      <c r="A898" s="46" t="str">
        <f>Home!$B$1</f>
        <v>Poland</v>
      </c>
      <c r="B898" s="47" t="s">
        <v>94</v>
      </c>
      <c r="C898" s="47" t="s">
        <v>546</v>
      </c>
      <c r="D898" s="47" t="s">
        <v>69</v>
      </c>
      <c r="E898" s="46" t="s">
        <v>417</v>
      </c>
      <c r="F898" s="48" t="s">
        <v>692</v>
      </c>
      <c r="G898" s="48" t="s">
        <v>15</v>
      </c>
      <c r="H898" s="48" t="s">
        <v>16</v>
      </c>
      <c r="I898" s="48"/>
      <c r="J898" s="48" t="s">
        <v>99</v>
      </c>
      <c r="K898" s="49"/>
      <c r="L898" s="92"/>
      <c r="M898" s="92"/>
      <c r="N898" s="92"/>
      <c r="O898" s="92"/>
      <c r="P898" s="92"/>
      <c r="Q898" s="92"/>
      <c r="R898" s="110">
        <f>Forecasting!R984</f>
        <v>0</v>
      </c>
      <c r="S898" s="110">
        <f>Forecasting!S984</f>
        <v>0</v>
      </c>
      <c r="T898" s="110">
        <f>Forecasting!T984</f>
        <v>0</v>
      </c>
      <c r="U898" s="110">
        <f>Forecasting!U984</f>
        <v>0</v>
      </c>
      <c r="V898" s="110">
        <f>Forecasting!V984</f>
        <v>0</v>
      </c>
      <c r="W898" s="102" t="e">
        <f>+(Q898/M898)^(1/4)-1</f>
        <v>#DIV/0!</v>
      </c>
      <c r="X898" s="102" t="e">
        <f>+(V898/Q898)^(1/5)-1</f>
        <v>#DIV/0!</v>
      </c>
      <c r="Z898" s="11"/>
    </row>
    <row r="899" spans="1:26">
      <c r="A899" s="48"/>
      <c r="B899" s="48"/>
      <c r="C899" s="52" t="s">
        <v>892</v>
      </c>
      <c r="D899" s="52"/>
      <c r="E899" s="52"/>
      <c r="F899" s="52"/>
      <c r="G899" s="52"/>
      <c r="H899" s="52"/>
      <c r="I899" s="52"/>
      <c r="J899" s="52" t="s">
        <v>58</v>
      </c>
      <c r="K899" s="49"/>
      <c r="L899" s="53"/>
      <c r="M899" s="54" t="e">
        <f t="shared" ref="M899:V899" si="579">M898/L898-1</f>
        <v>#DIV/0!</v>
      </c>
      <c r="N899" s="54" t="e">
        <f t="shared" si="579"/>
        <v>#DIV/0!</v>
      </c>
      <c r="O899" s="54" t="e">
        <f t="shared" si="579"/>
        <v>#DIV/0!</v>
      </c>
      <c r="P899" s="54" t="e">
        <f t="shared" si="579"/>
        <v>#DIV/0!</v>
      </c>
      <c r="Q899" s="54" t="e">
        <f t="shared" si="579"/>
        <v>#DIV/0!</v>
      </c>
      <c r="R899" s="54" t="e">
        <f t="shared" si="579"/>
        <v>#DIV/0!</v>
      </c>
      <c r="S899" s="54" t="e">
        <f t="shared" si="579"/>
        <v>#DIV/0!</v>
      </c>
      <c r="T899" s="54" t="e">
        <f t="shared" si="579"/>
        <v>#DIV/0!</v>
      </c>
      <c r="U899" s="54" t="e">
        <f t="shared" si="579"/>
        <v>#DIV/0!</v>
      </c>
      <c r="V899" s="54" t="e">
        <f t="shared" si="579"/>
        <v>#DIV/0!</v>
      </c>
      <c r="W899" s="258"/>
      <c r="X899" s="258"/>
    </row>
    <row r="900" spans="1:26">
      <c r="A900" s="46" t="str">
        <f>Home!$B$1</f>
        <v>Poland</v>
      </c>
      <c r="B900" s="47" t="s">
        <v>94</v>
      </c>
      <c r="C900" s="47" t="s">
        <v>546</v>
      </c>
      <c r="D900" s="47" t="s">
        <v>69</v>
      </c>
      <c r="E900" s="46" t="s">
        <v>419</v>
      </c>
      <c r="F900" s="48" t="s">
        <v>693</v>
      </c>
      <c r="G900" s="48" t="s">
        <v>15</v>
      </c>
      <c r="H900" s="48" t="s">
        <v>16</v>
      </c>
      <c r="I900" s="48"/>
      <c r="J900" s="48" t="s">
        <v>99</v>
      </c>
      <c r="K900" s="49">
        <v>3286</v>
      </c>
      <c r="L900" s="92">
        <f>'Seasonality&amp; Avg.stay'!B383/1000</f>
        <v>763</v>
      </c>
      <c r="M900" s="92">
        <f>'Seasonality&amp; Avg.stay'!C383/1000</f>
        <v>409</v>
      </c>
      <c r="N900" s="92">
        <f>'Seasonality&amp; Avg.stay'!D383/1000</f>
        <v>463</v>
      </c>
      <c r="O900" s="92">
        <f>'Seasonality&amp; Avg.stay'!E383/1000</f>
        <v>570</v>
      </c>
      <c r="P900" s="92">
        <f>'Seasonality&amp; Avg.stay'!F383/1000</f>
        <v>492</v>
      </c>
      <c r="Q900" s="349">
        <f>P900*(1+(P900/L900)^(1/4)-1)*1.05</f>
        <v>462.92916543632549</v>
      </c>
      <c r="R900" s="110">
        <f>Forecasting!R986</f>
        <v>0</v>
      </c>
      <c r="S900" s="110">
        <f>Forecasting!S986</f>
        <v>0</v>
      </c>
      <c r="T900" s="110">
        <f>Forecasting!T986</f>
        <v>0</v>
      </c>
      <c r="U900" s="110">
        <f>Forecasting!U986</f>
        <v>0</v>
      </c>
      <c r="V900" s="110">
        <f>Forecasting!V986</f>
        <v>0</v>
      </c>
      <c r="W900" s="102">
        <f>+(Q900/M900)^(1/4)-1</f>
        <v>3.1449117825271822E-2</v>
      </c>
      <c r="X900" s="102">
        <f>+(V900/Q900)^(1/5)-1</f>
        <v>-1</v>
      </c>
      <c r="Z900" s="11"/>
    </row>
    <row r="901" spans="1:26">
      <c r="A901" s="48"/>
      <c r="B901" s="48"/>
      <c r="C901" s="52" t="s">
        <v>892</v>
      </c>
      <c r="D901" s="52"/>
      <c r="E901" s="52"/>
      <c r="F901" s="52"/>
      <c r="G901" s="52"/>
      <c r="H901" s="52"/>
      <c r="I901" s="52"/>
      <c r="J901" s="52" t="s">
        <v>58</v>
      </c>
      <c r="K901" s="49"/>
      <c r="L901" s="53"/>
      <c r="M901" s="54">
        <f t="shared" ref="M901:V901" si="580">M900/L900-1</f>
        <v>-0.46395806028833553</v>
      </c>
      <c r="N901" s="54">
        <f t="shared" si="580"/>
        <v>0.13202933985330079</v>
      </c>
      <c r="O901" s="54">
        <f t="shared" si="580"/>
        <v>0.23110151187904959</v>
      </c>
      <c r="P901" s="54">
        <f t="shared" si="580"/>
        <v>-0.13684210526315788</v>
      </c>
      <c r="Q901" s="54">
        <f t="shared" si="580"/>
        <v>-5.9087062121289669E-2</v>
      </c>
      <c r="R901" s="54">
        <f t="shared" si="580"/>
        <v>-1</v>
      </c>
      <c r="S901" s="54" t="e">
        <f t="shared" si="580"/>
        <v>#DIV/0!</v>
      </c>
      <c r="T901" s="54" t="e">
        <f t="shared" si="580"/>
        <v>#DIV/0!</v>
      </c>
      <c r="U901" s="54" t="e">
        <f t="shared" si="580"/>
        <v>#DIV/0!</v>
      </c>
      <c r="V901" s="54" t="e">
        <f t="shared" si="580"/>
        <v>#DIV/0!</v>
      </c>
      <c r="W901" s="258"/>
      <c r="X901" s="258"/>
    </row>
    <row r="902" spans="1:26">
      <c r="A902" s="46" t="str">
        <f>Home!$B$1</f>
        <v>Poland</v>
      </c>
      <c r="B902" s="47" t="s">
        <v>94</v>
      </c>
      <c r="C902" s="47" t="s">
        <v>546</v>
      </c>
      <c r="D902" s="94" t="s">
        <v>69</v>
      </c>
      <c r="E902" s="95" t="s">
        <v>879</v>
      </c>
      <c r="F902" s="94" t="s">
        <v>882</v>
      </c>
      <c r="G902" s="48"/>
      <c r="H902" s="48"/>
      <c r="I902" s="48"/>
      <c r="J902" s="48" t="s">
        <v>99</v>
      </c>
      <c r="K902" s="49"/>
      <c r="L902" s="270">
        <f>('Seasonality&amp; Avg.stay'!B414/1000)-SUM('Secondary cum Calculation'!L900,'Secondary cum Calculation'!L892,'Secondary cum Calculation'!L890,'Secondary cum Calculation'!L870,'Secondary cum Calculation'!L868,'Secondary cum Calculation'!L846,'Secondary cum Calculation'!L842,'Secondary cum Calculation'!L836,'Secondary cum Calculation'!L834,'Secondary cum Calculation'!L822,'Secondary cum Calculation'!L818)</f>
        <v>2061.5250237928249</v>
      </c>
      <c r="M902" s="270">
        <f>('Seasonality&amp; Avg.stay'!C414/1000)-SUM('Secondary cum Calculation'!M900,'Secondary cum Calculation'!M892,'Secondary cum Calculation'!M890,'Secondary cum Calculation'!M870,'Secondary cum Calculation'!M868,'Secondary cum Calculation'!M846,'Secondary cum Calculation'!M842,'Secondary cum Calculation'!M836,'Secondary cum Calculation'!M834,'Secondary cum Calculation'!M822,'Secondary cum Calculation'!M818)</f>
        <v>2908.2235533511548</v>
      </c>
      <c r="N902" s="270">
        <f>('Seasonality&amp; Avg.stay'!D414/1000)-SUM('Secondary cum Calculation'!N900,'Secondary cum Calculation'!N892,'Secondary cum Calculation'!N890,'Secondary cum Calculation'!N870,'Secondary cum Calculation'!N868,'Secondary cum Calculation'!N846,'Secondary cum Calculation'!N842,'Secondary cum Calculation'!N836,'Secondary cum Calculation'!N834,'Secondary cum Calculation'!N822,'Secondary cum Calculation'!N818)</f>
        <v>2235.9934490327623</v>
      </c>
      <c r="O902" s="270">
        <f>('Seasonality&amp; Avg.stay'!E414/1000)-SUM('Secondary cum Calculation'!O900,'Secondary cum Calculation'!O892,'Secondary cum Calculation'!O890,'Secondary cum Calculation'!O870,'Secondary cum Calculation'!O868,'Secondary cum Calculation'!O846,'Secondary cum Calculation'!O842,'Secondary cum Calculation'!O836,'Secondary cum Calculation'!O834,'Secondary cum Calculation'!O822,'Secondary cum Calculation'!O818)</f>
        <v>2977.7966470588235</v>
      </c>
      <c r="P902" s="270">
        <f>('Seasonality&amp; Avg.stay'!F414/1000)-SUM('Secondary cum Calculation'!P900,'Secondary cum Calculation'!P892,'Secondary cum Calculation'!P890,'Secondary cum Calculation'!P870,'Secondary cum Calculation'!P868,'Secondary cum Calculation'!P846,'Secondary cum Calculation'!P842,'Secondary cum Calculation'!P836,'Secondary cum Calculation'!P834,'Secondary cum Calculation'!P822,'Secondary cum Calculation'!P818)</f>
        <v>2976.0534705882355</v>
      </c>
      <c r="Q902" s="352">
        <f>('Seasonality&amp; Avg.stay'!G414/1000)-SUM('Secondary cum Calculation'!Q900,'Secondary cum Calculation'!Q892,'Secondary cum Calculation'!Q890,'Secondary cum Calculation'!Q870,'Secondary cum Calculation'!Q868,'Secondary cum Calculation'!Q846,'Secondary cum Calculation'!Q842,'Secondary cum Calculation'!Q836,'Secondary cum Calculation'!Q834,'Secondary cum Calculation'!Q822,'Secondary cum Calculation'!Q818)</f>
        <v>3056.9633855022298</v>
      </c>
      <c r="R902" s="110">
        <f>Forecasting!R988</f>
        <v>0</v>
      </c>
      <c r="S902" s="110">
        <f>Forecasting!S988</f>
        <v>0</v>
      </c>
      <c r="T902" s="110">
        <f>Forecasting!T988</f>
        <v>0</v>
      </c>
      <c r="U902" s="110">
        <f>Forecasting!U988</f>
        <v>0</v>
      </c>
      <c r="V902" s="110">
        <f>Forecasting!V988</f>
        <v>0</v>
      </c>
      <c r="W902" s="102">
        <f>+(Q902/M902)^(1/4)-1</f>
        <v>1.2547981884027282E-2</v>
      </c>
      <c r="X902" s="102">
        <f>+(V902/Q902)^(1/5)-1</f>
        <v>-1</v>
      </c>
      <c r="Z902" s="11"/>
    </row>
    <row r="903" spans="1:26">
      <c r="A903" s="48"/>
      <c r="B903" s="48"/>
      <c r="C903" s="52" t="s">
        <v>892</v>
      </c>
      <c r="D903" s="52"/>
      <c r="E903" s="52"/>
      <c r="F903" s="52"/>
      <c r="G903" s="52"/>
      <c r="H903" s="52"/>
      <c r="I903" s="52"/>
      <c r="J903" s="52" t="s">
        <v>58</v>
      </c>
      <c r="K903" s="49"/>
      <c r="L903" s="53"/>
      <c r="M903" s="54">
        <f t="shared" ref="M903:V903" si="581">M902/L902-1</f>
        <v>0.41071465045840738</v>
      </c>
      <c r="N903" s="54">
        <f t="shared" si="581"/>
        <v>-0.23114801595763834</v>
      </c>
      <c r="O903" s="54">
        <f t="shared" si="581"/>
        <v>0.33175553280218573</v>
      </c>
      <c r="P903" s="54">
        <f t="shared" si="581"/>
        <v>-5.8539137395752228E-4</v>
      </c>
      <c r="Q903" s="54">
        <f t="shared" si="581"/>
        <v>2.7186982933475878E-2</v>
      </c>
      <c r="R903" s="54">
        <f t="shared" si="581"/>
        <v>-1</v>
      </c>
      <c r="S903" s="54" t="e">
        <f t="shared" si="581"/>
        <v>#DIV/0!</v>
      </c>
      <c r="T903" s="54" t="e">
        <f t="shared" si="581"/>
        <v>#DIV/0!</v>
      </c>
      <c r="U903" s="54" t="e">
        <f t="shared" si="581"/>
        <v>#DIV/0!</v>
      </c>
      <c r="V903" s="54" t="e">
        <f t="shared" si="581"/>
        <v>#DIV/0!</v>
      </c>
      <c r="W903" s="258"/>
      <c r="X903" s="258"/>
    </row>
    <row r="904" spans="1:26">
      <c r="A904" s="46" t="str">
        <f>Home!$B$1</f>
        <v>Poland</v>
      </c>
      <c r="B904" s="47" t="s">
        <v>94</v>
      </c>
      <c r="C904" s="47" t="s">
        <v>546</v>
      </c>
      <c r="D904" s="46" t="s">
        <v>70</v>
      </c>
      <c r="E904" s="48"/>
      <c r="F904" s="48" t="s">
        <v>694</v>
      </c>
      <c r="G904" s="48" t="s">
        <v>15</v>
      </c>
      <c r="H904" s="48" t="s">
        <v>16</v>
      </c>
      <c r="I904" s="48"/>
      <c r="J904" s="48" t="s">
        <v>99</v>
      </c>
      <c r="K904" s="76">
        <f>SUM(K905:K918)</f>
        <v>0</v>
      </c>
      <c r="L904" s="92">
        <f>SUM(L906,L908,L910,L912,L914,L916,L918,L920,L922,L924,L926,L928,L930,L932,L934)</f>
        <v>30.684725075329453</v>
      </c>
      <c r="M904" s="92">
        <f t="shared" ref="M904:Q904" si="582">SUM(M906,M908,M910,M912,M914,M916,M918,M920,M922,M924,M926,M928,M930,M932,M934)</f>
        <v>42.164130026086298</v>
      </c>
      <c r="N904" s="92">
        <f t="shared" si="582"/>
        <v>36.156641710798738</v>
      </c>
      <c r="O904" s="92">
        <f t="shared" si="582"/>
        <v>41.070924694601359</v>
      </c>
      <c r="P904" s="92">
        <f t="shared" si="582"/>
        <v>46.363210382450632</v>
      </c>
      <c r="Q904" s="92">
        <f t="shared" si="582"/>
        <v>48.841907364934627</v>
      </c>
      <c r="R904" s="110">
        <f>Forecasting!R990</f>
        <v>51.158895135277753</v>
      </c>
      <c r="S904" s="110">
        <f>Forecasting!S990</f>
        <v>53.298234296365237</v>
      </c>
      <c r="T904" s="110">
        <f>Forecasting!T990</f>
        <v>55.059053556440809</v>
      </c>
      <c r="U904" s="110">
        <f>Forecasting!U990</f>
        <v>57.314803815954285</v>
      </c>
      <c r="V904" s="110">
        <f>Forecasting!V990</f>
        <v>59.53342329960784</v>
      </c>
      <c r="W904" s="102">
        <f>+(Q904/M904)^(1/4)-1</f>
        <v>3.7438516749683126E-2</v>
      </c>
      <c r="X904" s="102">
        <f>+(V904/Q904)^(1/5)-1</f>
        <v>4.0383960523816986E-2</v>
      </c>
      <c r="Z904" s="11"/>
    </row>
    <row r="905" spans="1:26">
      <c r="A905" s="48"/>
      <c r="B905" s="48"/>
      <c r="C905" s="52" t="s">
        <v>892</v>
      </c>
      <c r="D905" s="52"/>
      <c r="E905" s="52"/>
      <c r="F905" s="52"/>
      <c r="G905" s="52"/>
      <c r="H905" s="52"/>
      <c r="I905" s="52"/>
      <c r="J905" s="52" t="s">
        <v>58</v>
      </c>
      <c r="K905" s="49"/>
      <c r="L905" s="53"/>
      <c r="M905" s="54">
        <f t="shared" ref="M905:V905" si="583">M904/L904-1</f>
        <v>0.37410812456606624</v>
      </c>
      <c r="N905" s="54">
        <f t="shared" si="583"/>
        <v>-0.14247864978053193</v>
      </c>
      <c r="O905" s="54">
        <f t="shared" si="583"/>
        <v>0.13591646655432865</v>
      </c>
      <c r="P905" s="54">
        <f t="shared" si="583"/>
        <v>0.12885723239011782</v>
      </c>
      <c r="Q905" s="54">
        <f t="shared" si="583"/>
        <v>5.3462582984163509E-2</v>
      </c>
      <c r="R905" s="54">
        <f t="shared" si="583"/>
        <v>4.7438519405705648E-2</v>
      </c>
      <c r="S905" s="54">
        <f t="shared" si="583"/>
        <v>4.1817540340355341E-2</v>
      </c>
      <c r="T905" s="54">
        <f t="shared" si="583"/>
        <v>3.3037103073331187E-2</v>
      </c>
      <c r="U905" s="54">
        <f t="shared" si="583"/>
        <v>4.0969651924748662E-2</v>
      </c>
      <c r="V905" s="54">
        <f t="shared" si="583"/>
        <v>3.8709361908972895E-2</v>
      </c>
      <c r="W905" s="258"/>
      <c r="X905" s="258"/>
    </row>
    <row r="906" spans="1:26">
      <c r="A906" s="46" t="str">
        <f>Home!$B$1</f>
        <v>Poland</v>
      </c>
      <c r="B906" s="47" t="s">
        <v>94</v>
      </c>
      <c r="C906" s="47" t="s">
        <v>546</v>
      </c>
      <c r="D906" s="47" t="s">
        <v>70</v>
      </c>
      <c r="E906" s="46" t="s">
        <v>422</v>
      </c>
      <c r="F906" s="48" t="s">
        <v>695</v>
      </c>
      <c r="G906" s="48" t="s">
        <v>15</v>
      </c>
      <c r="H906" s="48" t="s">
        <v>16</v>
      </c>
      <c r="I906" s="48"/>
      <c r="J906" s="48" t="s">
        <v>99</v>
      </c>
      <c r="K906" s="49"/>
      <c r="L906" s="92">
        <f>VLOOKUP(E906,'Tourism Demand &amp; Flows'!$E$342:$P$548,8,0)</f>
        <v>0</v>
      </c>
      <c r="M906" s="92">
        <f>VLOOKUP(E906,'Tourism Demand &amp; Flows'!$E$342:$P$548,9,0)</f>
        <v>0</v>
      </c>
      <c r="N906" s="92">
        <f>VLOOKUP(E906,'Tourism Demand &amp; Flows'!$E$342:$P$548,10,0)</f>
        <v>0</v>
      </c>
      <c r="O906" s="92">
        <f>VLOOKUP(E906,'Tourism Demand &amp; Flows'!$E$342:$P$548,11,0)</f>
        <v>0</v>
      </c>
      <c r="P906" s="92">
        <f>VLOOKUP(E906,'Tourism Demand &amp; Flows'!$E$342:$P$548,12,0)</f>
        <v>0</v>
      </c>
      <c r="Q906" s="92">
        <f>Forecasting!Q1006</f>
        <v>0</v>
      </c>
      <c r="R906" s="110">
        <f>Forecasting!R1006</f>
        <v>0</v>
      </c>
      <c r="S906" s="110">
        <f>Forecasting!S1006</f>
        <v>0</v>
      </c>
      <c r="T906" s="110">
        <f>Forecasting!T1006</f>
        <v>0</v>
      </c>
      <c r="U906" s="110">
        <f>Forecasting!U1006</f>
        <v>0</v>
      </c>
      <c r="V906" s="110">
        <f>Forecasting!V1006</f>
        <v>0</v>
      </c>
      <c r="W906" s="102" t="e">
        <f>+(Q906/M906)^(1/4)-1</f>
        <v>#DIV/0!</v>
      </c>
      <c r="X906" s="102" t="e">
        <f>+(V906/Q906)^(1/5)-1</f>
        <v>#DIV/0!</v>
      </c>
      <c r="Z906" s="11"/>
    </row>
    <row r="907" spans="1:26">
      <c r="A907" s="48"/>
      <c r="B907" s="48"/>
      <c r="C907" s="52" t="s">
        <v>892</v>
      </c>
      <c r="D907" s="52"/>
      <c r="E907" s="52"/>
      <c r="F907" s="52"/>
      <c r="G907" s="52"/>
      <c r="H907" s="52"/>
      <c r="I907" s="52"/>
      <c r="J907" s="52" t="s">
        <v>58</v>
      </c>
      <c r="K907" s="49"/>
      <c r="L907" s="53"/>
      <c r="M907" s="54" t="e">
        <f t="shared" ref="M907:V907" si="584">M906/L906-1</f>
        <v>#DIV/0!</v>
      </c>
      <c r="N907" s="54" t="e">
        <f t="shared" si="584"/>
        <v>#DIV/0!</v>
      </c>
      <c r="O907" s="54" t="e">
        <f t="shared" si="584"/>
        <v>#DIV/0!</v>
      </c>
      <c r="P907" s="54" t="e">
        <f t="shared" si="584"/>
        <v>#DIV/0!</v>
      </c>
      <c r="Q907" s="54" t="e">
        <f t="shared" si="584"/>
        <v>#DIV/0!</v>
      </c>
      <c r="R907" s="54" t="e">
        <f t="shared" si="584"/>
        <v>#DIV/0!</v>
      </c>
      <c r="S907" s="54" t="e">
        <f t="shared" si="584"/>
        <v>#DIV/0!</v>
      </c>
      <c r="T907" s="54" t="e">
        <f t="shared" si="584"/>
        <v>#DIV/0!</v>
      </c>
      <c r="U907" s="54" t="e">
        <f t="shared" si="584"/>
        <v>#DIV/0!</v>
      </c>
      <c r="V907" s="54" t="e">
        <f t="shared" si="584"/>
        <v>#DIV/0!</v>
      </c>
      <c r="W907" s="258"/>
      <c r="X907" s="258"/>
    </row>
    <row r="908" spans="1:26">
      <c r="A908" s="46" t="str">
        <f>Home!$B$1</f>
        <v>Poland</v>
      </c>
      <c r="B908" s="47" t="s">
        <v>94</v>
      </c>
      <c r="C908" s="47" t="s">
        <v>546</v>
      </c>
      <c r="D908" s="47" t="s">
        <v>70</v>
      </c>
      <c r="E908" s="46" t="s">
        <v>424</v>
      </c>
      <c r="F908" s="48" t="s">
        <v>696</v>
      </c>
      <c r="G908" s="48" t="s">
        <v>15</v>
      </c>
      <c r="H908" s="48" t="s">
        <v>16</v>
      </c>
      <c r="I908" s="48"/>
      <c r="J908" s="48" t="s">
        <v>99</v>
      </c>
      <c r="K908" s="49"/>
      <c r="L908" s="92">
        <f>VLOOKUP(E908,'Tourism Demand &amp; Flows'!$E$342:$P$548,8,0)</f>
        <v>0</v>
      </c>
      <c r="M908" s="92">
        <f>VLOOKUP(E908,'Tourism Demand &amp; Flows'!$E$342:$P$548,9,0)</f>
        <v>0</v>
      </c>
      <c r="N908" s="92">
        <f>VLOOKUP(E908,'Tourism Demand &amp; Flows'!$E$342:$P$548,10,0)</f>
        <v>0</v>
      </c>
      <c r="O908" s="92">
        <f>VLOOKUP(E908,'Tourism Demand &amp; Flows'!$E$342:$P$548,11,0)</f>
        <v>0</v>
      </c>
      <c r="P908" s="92">
        <f>VLOOKUP(E908,'Tourism Demand &amp; Flows'!$E$342:$P$548,12,0)</f>
        <v>0</v>
      </c>
      <c r="Q908" s="92">
        <f>Forecasting!Q1008</f>
        <v>0</v>
      </c>
      <c r="R908" s="110">
        <f>Forecasting!R1008</f>
        <v>0</v>
      </c>
      <c r="S908" s="110">
        <f>Forecasting!S1008</f>
        <v>0</v>
      </c>
      <c r="T908" s="110">
        <f>Forecasting!T1008</f>
        <v>0</v>
      </c>
      <c r="U908" s="110">
        <f>Forecasting!U1008</f>
        <v>0</v>
      </c>
      <c r="V908" s="110">
        <f>Forecasting!V1008</f>
        <v>0</v>
      </c>
      <c r="W908" s="102" t="e">
        <f>+(Q908/M908)^(1/4)-1</f>
        <v>#DIV/0!</v>
      </c>
      <c r="X908" s="102" t="e">
        <f>+(V908/Q908)^(1/5)-1</f>
        <v>#DIV/0!</v>
      </c>
      <c r="Z908" s="11"/>
    </row>
    <row r="909" spans="1:26">
      <c r="A909" s="48"/>
      <c r="B909" s="48"/>
      <c r="C909" s="52" t="s">
        <v>892</v>
      </c>
      <c r="D909" s="52"/>
      <c r="E909" s="52"/>
      <c r="F909" s="52"/>
      <c r="G909" s="52"/>
      <c r="H909" s="52"/>
      <c r="I909" s="52"/>
      <c r="J909" s="52" t="s">
        <v>58</v>
      </c>
      <c r="K909" s="49"/>
      <c r="L909" s="53"/>
      <c r="M909" s="54" t="e">
        <f t="shared" ref="M909:V909" si="585">M908/L908-1</f>
        <v>#DIV/0!</v>
      </c>
      <c r="N909" s="54" t="e">
        <f t="shared" si="585"/>
        <v>#DIV/0!</v>
      </c>
      <c r="O909" s="54" t="e">
        <f t="shared" si="585"/>
        <v>#DIV/0!</v>
      </c>
      <c r="P909" s="54" t="e">
        <f t="shared" si="585"/>
        <v>#DIV/0!</v>
      </c>
      <c r="Q909" s="54" t="e">
        <f t="shared" si="585"/>
        <v>#DIV/0!</v>
      </c>
      <c r="R909" s="54" t="e">
        <f t="shared" si="585"/>
        <v>#DIV/0!</v>
      </c>
      <c r="S909" s="54" t="e">
        <f t="shared" si="585"/>
        <v>#DIV/0!</v>
      </c>
      <c r="T909" s="54" t="e">
        <f t="shared" si="585"/>
        <v>#DIV/0!</v>
      </c>
      <c r="U909" s="54" t="e">
        <f t="shared" si="585"/>
        <v>#DIV/0!</v>
      </c>
      <c r="V909" s="54" t="e">
        <f t="shared" si="585"/>
        <v>#DIV/0!</v>
      </c>
      <c r="W909" s="258"/>
      <c r="X909" s="258"/>
    </row>
    <row r="910" spans="1:26">
      <c r="A910" s="46" t="str">
        <f>Home!$B$1</f>
        <v>Poland</v>
      </c>
      <c r="B910" s="47" t="s">
        <v>94</v>
      </c>
      <c r="C910" s="47" t="s">
        <v>546</v>
      </c>
      <c r="D910" s="47" t="s">
        <v>70</v>
      </c>
      <c r="E910" s="46" t="s">
        <v>426</v>
      </c>
      <c r="F910" s="48" t="s">
        <v>697</v>
      </c>
      <c r="G910" s="48" t="s">
        <v>15</v>
      </c>
      <c r="H910" s="48" t="s">
        <v>16</v>
      </c>
      <c r="I910" s="48"/>
      <c r="J910" s="48" t="s">
        <v>99</v>
      </c>
      <c r="K910" s="49"/>
      <c r="L910" s="92">
        <f>VLOOKUP(E910,'Tourism Demand &amp; Flows'!$E$342:$P$548,8,0)</f>
        <v>0</v>
      </c>
      <c r="M910" s="92">
        <f>VLOOKUP(E910,'Tourism Demand &amp; Flows'!$E$342:$P$548,9,0)</f>
        <v>0</v>
      </c>
      <c r="N910" s="92">
        <f>VLOOKUP(E910,'Tourism Demand &amp; Flows'!$E$342:$P$548,10,0)</f>
        <v>0</v>
      </c>
      <c r="O910" s="92">
        <f>VLOOKUP(E910,'Tourism Demand &amp; Flows'!$E$342:$P$548,11,0)</f>
        <v>0</v>
      </c>
      <c r="P910" s="92">
        <f>VLOOKUP(E910,'Tourism Demand &amp; Flows'!$E$342:$P$548,12,0)</f>
        <v>0</v>
      </c>
      <c r="Q910" s="92">
        <f>Forecasting!Q1010</f>
        <v>0</v>
      </c>
      <c r="R910" s="110">
        <f>Forecasting!R1010</f>
        <v>0</v>
      </c>
      <c r="S910" s="110">
        <f>Forecasting!S1010</f>
        <v>0</v>
      </c>
      <c r="T910" s="110">
        <f>Forecasting!T1010</f>
        <v>0</v>
      </c>
      <c r="U910" s="110">
        <f>Forecasting!U1010</f>
        <v>0</v>
      </c>
      <c r="V910" s="110">
        <f>Forecasting!V1010</f>
        <v>0</v>
      </c>
      <c r="W910" s="102" t="e">
        <f>+(Q910/M910)^(1/4)-1</f>
        <v>#DIV/0!</v>
      </c>
      <c r="X910" s="102" t="e">
        <f>+(V910/Q910)^(1/5)-1</f>
        <v>#DIV/0!</v>
      </c>
      <c r="Z910" s="11"/>
    </row>
    <row r="911" spans="1:26">
      <c r="A911" s="48"/>
      <c r="B911" s="48"/>
      <c r="C911" s="52" t="s">
        <v>892</v>
      </c>
      <c r="D911" s="52"/>
      <c r="E911" s="52"/>
      <c r="F911" s="52"/>
      <c r="G911" s="52"/>
      <c r="H911" s="52"/>
      <c r="I911" s="52"/>
      <c r="J911" s="52" t="s">
        <v>58</v>
      </c>
      <c r="K911" s="49"/>
      <c r="L911" s="53"/>
      <c r="M911" s="54" t="e">
        <f t="shared" ref="M911:V911" si="586">M910/L910-1</f>
        <v>#DIV/0!</v>
      </c>
      <c r="N911" s="54" t="e">
        <f t="shared" si="586"/>
        <v>#DIV/0!</v>
      </c>
      <c r="O911" s="54" t="e">
        <f t="shared" si="586"/>
        <v>#DIV/0!</v>
      </c>
      <c r="P911" s="54" t="e">
        <f t="shared" si="586"/>
        <v>#DIV/0!</v>
      </c>
      <c r="Q911" s="54" t="e">
        <f t="shared" si="586"/>
        <v>#DIV/0!</v>
      </c>
      <c r="R911" s="54" t="e">
        <f t="shared" si="586"/>
        <v>#DIV/0!</v>
      </c>
      <c r="S911" s="54" t="e">
        <f t="shared" si="586"/>
        <v>#DIV/0!</v>
      </c>
      <c r="T911" s="54" t="e">
        <f t="shared" si="586"/>
        <v>#DIV/0!</v>
      </c>
      <c r="U911" s="54" t="e">
        <f t="shared" si="586"/>
        <v>#DIV/0!</v>
      </c>
      <c r="V911" s="54" t="e">
        <f t="shared" si="586"/>
        <v>#DIV/0!</v>
      </c>
      <c r="W911" s="258"/>
      <c r="X911" s="258"/>
    </row>
    <row r="912" spans="1:26">
      <c r="A912" s="46" t="str">
        <f>Home!$B$1</f>
        <v>Poland</v>
      </c>
      <c r="B912" s="47" t="s">
        <v>94</v>
      </c>
      <c r="C912" s="47" t="s">
        <v>546</v>
      </c>
      <c r="D912" s="47" t="s">
        <v>70</v>
      </c>
      <c r="E912" s="46" t="s">
        <v>428</v>
      </c>
      <c r="F912" s="48" t="s">
        <v>698</v>
      </c>
      <c r="G912" s="48" t="s">
        <v>15</v>
      </c>
      <c r="H912" s="48" t="s">
        <v>16</v>
      </c>
      <c r="I912" s="48"/>
      <c r="J912" s="48" t="s">
        <v>99</v>
      </c>
      <c r="K912" s="49"/>
      <c r="L912" s="92">
        <f>VLOOKUP(E912,'Tourism Demand &amp; Flows'!$E$342:$P$548,8,0)</f>
        <v>0</v>
      </c>
      <c r="M912" s="92">
        <f>VLOOKUP(E912,'Tourism Demand &amp; Flows'!$E$342:$P$548,9,0)</f>
        <v>0</v>
      </c>
      <c r="N912" s="92">
        <f>VLOOKUP(E912,'Tourism Demand &amp; Flows'!$E$342:$P$548,10,0)</f>
        <v>0</v>
      </c>
      <c r="O912" s="92">
        <f>VLOOKUP(E912,'Tourism Demand &amp; Flows'!$E$342:$P$548,11,0)</f>
        <v>0</v>
      </c>
      <c r="P912" s="92">
        <f>VLOOKUP(E912,'Tourism Demand &amp; Flows'!$E$342:$P$548,12,0)</f>
        <v>0</v>
      </c>
      <c r="Q912" s="92">
        <f>Forecasting!Q1012</f>
        <v>0</v>
      </c>
      <c r="R912" s="110">
        <f>Forecasting!R1012</f>
        <v>0</v>
      </c>
      <c r="S912" s="110">
        <f>Forecasting!S1012</f>
        <v>0</v>
      </c>
      <c r="T912" s="110">
        <f>Forecasting!T1012</f>
        <v>0</v>
      </c>
      <c r="U912" s="110">
        <f>Forecasting!U1012</f>
        <v>0</v>
      </c>
      <c r="V912" s="110">
        <f>Forecasting!V1012</f>
        <v>0</v>
      </c>
      <c r="W912" s="102" t="e">
        <f>+(Q912/M912)^(1/4)-1</f>
        <v>#DIV/0!</v>
      </c>
      <c r="X912" s="102" t="e">
        <f>+(V912/Q912)^(1/5)-1</f>
        <v>#DIV/0!</v>
      </c>
      <c r="Z912" s="11"/>
    </row>
    <row r="913" spans="1:26">
      <c r="A913" s="48"/>
      <c r="B913" s="48"/>
      <c r="C913" s="52" t="s">
        <v>892</v>
      </c>
      <c r="D913" s="52"/>
      <c r="E913" s="52"/>
      <c r="F913" s="52"/>
      <c r="G913" s="52"/>
      <c r="H913" s="52"/>
      <c r="I913" s="52"/>
      <c r="J913" s="52" t="s">
        <v>58</v>
      </c>
      <c r="K913" s="49"/>
      <c r="L913" s="53"/>
      <c r="M913" s="54" t="e">
        <f t="shared" ref="M913:V913" si="587">M912/L912-1</f>
        <v>#DIV/0!</v>
      </c>
      <c r="N913" s="54" t="e">
        <f t="shared" si="587"/>
        <v>#DIV/0!</v>
      </c>
      <c r="O913" s="54" t="e">
        <f t="shared" si="587"/>
        <v>#DIV/0!</v>
      </c>
      <c r="P913" s="54" t="e">
        <f t="shared" si="587"/>
        <v>#DIV/0!</v>
      </c>
      <c r="Q913" s="54" t="e">
        <f t="shared" si="587"/>
        <v>#DIV/0!</v>
      </c>
      <c r="R913" s="54" t="e">
        <f t="shared" si="587"/>
        <v>#DIV/0!</v>
      </c>
      <c r="S913" s="54" t="e">
        <f t="shared" si="587"/>
        <v>#DIV/0!</v>
      </c>
      <c r="T913" s="54" t="e">
        <f t="shared" si="587"/>
        <v>#DIV/0!</v>
      </c>
      <c r="U913" s="54" t="e">
        <f t="shared" si="587"/>
        <v>#DIV/0!</v>
      </c>
      <c r="V913" s="54" t="e">
        <f t="shared" si="587"/>
        <v>#DIV/0!</v>
      </c>
      <c r="W913" s="258"/>
      <c r="X913" s="258"/>
    </row>
    <row r="914" spans="1:26">
      <c r="A914" s="46" t="str">
        <f>Home!$B$1</f>
        <v>Poland</v>
      </c>
      <c r="B914" s="47" t="s">
        <v>94</v>
      </c>
      <c r="C914" s="47" t="s">
        <v>546</v>
      </c>
      <c r="D914" s="47" t="s">
        <v>70</v>
      </c>
      <c r="E914" s="46" t="s">
        <v>430</v>
      </c>
      <c r="F914" s="48" t="s">
        <v>699</v>
      </c>
      <c r="G914" s="48" t="s">
        <v>15</v>
      </c>
      <c r="H914" s="48" t="s">
        <v>16</v>
      </c>
      <c r="I914" s="48"/>
      <c r="J914" s="48" t="s">
        <v>99</v>
      </c>
      <c r="K914" s="49"/>
      <c r="L914" s="92">
        <f>VLOOKUP(E914,'Tourism Demand &amp; Flows'!$E$342:$P$548,8,0)</f>
        <v>0</v>
      </c>
      <c r="M914" s="92">
        <f>VLOOKUP(E914,'Tourism Demand &amp; Flows'!$E$342:$P$548,9,0)</f>
        <v>0</v>
      </c>
      <c r="N914" s="92">
        <f>VLOOKUP(E914,'Tourism Demand &amp; Flows'!$E$342:$P$548,10,0)</f>
        <v>0</v>
      </c>
      <c r="O914" s="92">
        <f>VLOOKUP(E914,'Tourism Demand &amp; Flows'!$E$342:$P$548,11,0)</f>
        <v>0</v>
      </c>
      <c r="P914" s="92">
        <f>VLOOKUP(E914,'Tourism Demand &amp; Flows'!$E$342:$P$548,12,0)</f>
        <v>0</v>
      </c>
      <c r="Q914" s="92">
        <f>Forecasting!Q1014</f>
        <v>0</v>
      </c>
      <c r="R914" s="110">
        <f>Forecasting!R1014</f>
        <v>0</v>
      </c>
      <c r="S914" s="110">
        <f>Forecasting!S1014</f>
        <v>0</v>
      </c>
      <c r="T914" s="110">
        <f>Forecasting!T1014</f>
        <v>0</v>
      </c>
      <c r="U914" s="110">
        <f>Forecasting!U1014</f>
        <v>0</v>
      </c>
      <c r="V914" s="110">
        <f>Forecasting!V1014</f>
        <v>0</v>
      </c>
      <c r="W914" s="102" t="e">
        <f>+(Q914/M914)^(1/4)-1</f>
        <v>#DIV/0!</v>
      </c>
      <c r="X914" s="102" t="e">
        <f>+(V914/Q914)^(1/5)-1</f>
        <v>#DIV/0!</v>
      </c>
      <c r="Z914" s="11"/>
    </row>
    <row r="915" spans="1:26">
      <c r="A915" s="48"/>
      <c r="B915" s="48"/>
      <c r="C915" s="52" t="s">
        <v>892</v>
      </c>
      <c r="D915" s="52"/>
      <c r="E915" s="52"/>
      <c r="F915" s="52"/>
      <c r="G915" s="52"/>
      <c r="H915" s="52"/>
      <c r="I915" s="52"/>
      <c r="J915" s="52" t="s">
        <v>58</v>
      </c>
      <c r="K915" s="49"/>
      <c r="L915" s="53"/>
      <c r="M915" s="54" t="e">
        <f t="shared" ref="M915:V915" si="588">M914/L914-1</f>
        <v>#DIV/0!</v>
      </c>
      <c r="N915" s="54" t="e">
        <f t="shared" si="588"/>
        <v>#DIV/0!</v>
      </c>
      <c r="O915" s="54" t="e">
        <f t="shared" si="588"/>
        <v>#DIV/0!</v>
      </c>
      <c r="P915" s="54" t="e">
        <f t="shared" si="588"/>
        <v>#DIV/0!</v>
      </c>
      <c r="Q915" s="54" t="e">
        <f t="shared" si="588"/>
        <v>#DIV/0!</v>
      </c>
      <c r="R915" s="54" t="e">
        <f t="shared" si="588"/>
        <v>#DIV/0!</v>
      </c>
      <c r="S915" s="54" t="e">
        <f t="shared" si="588"/>
        <v>#DIV/0!</v>
      </c>
      <c r="T915" s="54" t="e">
        <f t="shared" si="588"/>
        <v>#DIV/0!</v>
      </c>
      <c r="U915" s="54" t="e">
        <f t="shared" si="588"/>
        <v>#DIV/0!</v>
      </c>
      <c r="V915" s="54" t="e">
        <f t="shared" si="588"/>
        <v>#DIV/0!</v>
      </c>
      <c r="W915" s="258"/>
      <c r="X915" s="258"/>
    </row>
    <row r="916" spans="1:26">
      <c r="A916" s="46" t="str">
        <f>Home!$B$1</f>
        <v>Poland</v>
      </c>
      <c r="B916" s="47" t="s">
        <v>94</v>
      </c>
      <c r="C916" s="47" t="s">
        <v>546</v>
      </c>
      <c r="D916" s="47" t="s">
        <v>70</v>
      </c>
      <c r="E916" s="46" t="s">
        <v>432</v>
      </c>
      <c r="F916" s="48" t="s">
        <v>700</v>
      </c>
      <c r="G916" s="48" t="s">
        <v>15</v>
      </c>
      <c r="H916" s="48" t="s">
        <v>16</v>
      </c>
      <c r="I916" s="48"/>
      <c r="J916" s="48" t="s">
        <v>99</v>
      </c>
      <c r="K916" s="49"/>
      <c r="L916" s="92">
        <f>VLOOKUP(E916,'Tourism Demand &amp; Flows'!$E$342:$P$548,8,0)</f>
        <v>0</v>
      </c>
      <c r="M916" s="92">
        <f>VLOOKUP(E916,'Tourism Demand &amp; Flows'!$E$342:$P$548,9,0)</f>
        <v>0</v>
      </c>
      <c r="N916" s="92">
        <f>VLOOKUP(E916,'Tourism Demand &amp; Flows'!$E$342:$P$548,10,0)</f>
        <v>0</v>
      </c>
      <c r="O916" s="92">
        <f>VLOOKUP(E916,'Tourism Demand &amp; Flows'!$E$342:$P$548,11,0)</f>
        <v>0</v>
      </c>
      <c r="P916" s="92">
        <f>VLOOKUP(E916,'Tourism Demand &amp; Flows'!$E$342:$P$548,12,0)</f>
        <v>0</v>
      </c>
      <c r="Q916" s="92">
        <f>Forecasting!Q1016</f>
        <v>0</v>
      </c>
      <c r="R916" s="110">
        <f>Forecasting!R1016</f>
        <v>0</v>
      </c>
      <c r="S916" s="110">
        <f>Forecasting!S1016</f>
        <v>0</v>
      </c>
      <c r="T916" s="110">
        <f>Forecasting!T1016</f>
        <v>0</v>
      </c>
      <c r="U916" s="110">
        <f>Forecasting!U1016</f>
        <v>0</v>
      </c>
      <c r="V916" s="110">
        <f>Forecasting!V1016</f>
        <v>0</v>
      </c>
      <c r="W916" s="102" t="e">
        <f>+(Q916/M916)^(1/4)-1</f>
        <v>#DIV/0!</v>
      </c>
      <c r="X916" s="102" t="e">
        <f>+(V916/Q916)^(1/5)-1</f>
        <v>#DIV/0!</v>
      </c>
      <c r="Z916" s="11"/>
    </row>
    <row r="917" spans="1:26">
      <c r="A917" s="48"/>
      <c r="B917" s="48"/>
      <c r="C917" s="52" t="s">
        <v>892</v>
      </c>
      <c r="D917" s="52"/>
      <c r="E917" s="52"/>
      <c r="F917" s="52"/>
      <c r="G917" s="52"/>
      <c r="H917" s="52"/>
      <c r="I917" s="52"/>
      <c r="J917" s="52" t="s">
        <v>58</v>
      </c>
      <c r="K917" s="49"/>
      <c r="L917" s="53"/>
      <c r="M917" s="54" t="e">
        <f t="shared" ref="M917:V917" si="589">M916/L916-1</f>
        <v>#DIV/0!</v>
      </c>
      <c r="N917" s="54" t="e">
        <f t="shared" si="589"/>
        <v>#DIV/0!</v>
      </c>
      <c r="O917" s="54" t="e">
        <f t="shared" si="589"/>
        <v>#DIV/0!</v>
      </c>
      <c r="P917" s="54" t="e">
        <f t="shared" si="589"/>
        <v>#DIV/0!</v>
      </c>
      <c r="Q917" s="54" t="e">
        <f t="shared" si="589"/>
        <v>#DIV/0!</v>
      </c>
      <c r="R917" s="54" t="e">
        <f t="shared" si="589"/>
        <v>#DIV/0!</v>
      </c>
      <c r="S917" s="54" t="e">
        <f t="shared" si="589"/>
        <v>#DIV/0!</v>
      </c>
      <c r="T917" s="54" t="e">
        <f t="shared" si="589"/>
        <v>#DIV/0!</v>
      </c>
      <c r="U917" s="54" t="e">
        <f t="shared" si="589"/>
        <v>#DIV/0!</v>
      </c>
      <c r="V917" s="54" t="e">
        <f t="shared" si="589"/>
        <v>#DIV/0!</v>
      </c>
      <c r="W917" s="258"/>
      <c r="X917" s="258"/>
    </row>
    <row r="918" spans="1:26">
      <c r="A918" s="46" t="str">
        <f>Home!$B$1</f>
        <v>Poland</v>
      </c>
      <c r="B918" s="47" t="s">
        <v>94</v>
      </c>
      <c r="C918" s="47" t="s">
        <v>546</v>
      </c>
      <c r="D918" s="47" t="s">
        <v>70</v>
      </c>
      <c r="E918" s="46" t="s">
        <v>434</v>
      </c>
      <c r="F918" s="48" t="s">
        <v>701</v>
      </c>
      <c r="G918" s="48" t="s">
        <v>15</v>
      </c>
      <c r="H918" s="48" t="s">
        <v>16</v>
      </c>
      <c r="I918" s="48"/>
      <c r="J918" s="48" t="s">
        <v>99</v>
      </c>
      <c r="K918" s="49"/>
      <c r="L918" s="92">
        <f>VLOOKUP(E918,'Tourism Demand &amp; Flows'!$E$342:$P$548,8,0)</f>
        <v>0</v>
      </c>
      <c r="M918" s="92">
        <f>VLOOKUP(E918,'Tourism Demand &amp; Flows'!$E$342:$P$548,9,0)</f>
        <v>0</v>
      </c>
      <c r="N918" s="92">
        <f>VLOOKUP(E918,'Tourism Demand &amp; Flows'!$E$342:$P$548,10,0)</f>
        <v>0</v>
      </c>
      <c r="O918" s="92">
        <f>VLOOKUP(E918,'Tourism Demand &amp; Flows'!$E$342:$P$548,11,0)</f>
        <v>0</v>
      </c>
      <c r="P918" s="92">
        <f>VLOOKUP(E918,'Tourism Demand &amp; Flows'!$E$342:$P$548,12,0)</f>
        <v>0</v>
      </c>
      <c r="Q918" s="92">
        <f>Forecasting!Q1018</f>
        <v>0</v>
      </c>
      <c r="R918" s="110">
        <f>Forecasting!R1018</f>
        <v>0</v>
      </c>
      <c r="S918" s="110">
        <f>Forecasting!S1018</f>
        <v>0</v>
      </c>
      <c r="T918" s="110">
        <f>Forecasting!T1018</f>
        <v>0</v>
      </c>
      <c r="U918" s="110">
        <f>Forecasting!U1018</f>
        <v>0</v>
      </c>
      <c r="V918" s="110">
        <f>Forecasting!V1018</f>
        <v>0</v>
      </c>
      <c r="W918" s="102" t="e">
        <f>+(Q918/M918)^(1/4)-1</f>
        <v>#DIV/0!</v>
      </c>
      <c r="X918" s="102" t="e">
        <f>+(V918/Q918)^(1/5)-1</f>
        <v>#DIV/0!</v>
      </c>
      <c r="Z918" s="11"/>
    </row>
    <row r="919" spans="1:26">
      <c r="A919" s="48"/>
      <c r="B919" s="48"/>
      <c r="C919" s="52" t="s">
        <v>892</v>
      </c>
      <c r="D919" s="52"/>
      <c r="E919" s="52"/>
      <c r="F919" s="52"/>
      <c r="G919" s="52"/>
      <c r="H919" s="52"/>
      <c r="I919" s="52"/>
      <c r="J919" s="52" t="s">
        <v>58</v>
      </c>
      <c r="K919" s="49"/>
      <c r="L919" s="53"/>
      <c r="M919" s="54" t="e">
        <f t="shared" ref="M919:V919" si="590">M918/L918-1</f>
        <v>#DIV/0!</v>
      </c>
      <c r="N919" s="54" t="e">
        <f t="shared" si="590"/>
        <v>#DIV/0!</v>
      </c>
      <c r="O919" s="54" t="e">
        <f t="shared" si="590"/>
        <v>#DIV/0!</v>
      </c>
      <c r="P919" s="54" t="e">
        <f t="shared" si="590"/>
        <v>#DIV/0!</v>
      </c>
      <c r="Q919" s="54" t="e">
        <f t="shared" si="590"/>
        <v>#DIV/0!</v>
      </c>
      <c r="R919" s="54" t="e">
        <f t="shared" si="590"/>
        <v>#DIV/0!</v>
      </c>
      <c r="S919" s="54" t="e">
        <f t="shared" si="590"/>
        <v>#DIV/0!</v>
      </c>
      <c r="T919" s="54" t="e">
        <f t="shared" si="590"/>
        <v>#DIV/0!</v>
      </c>
      <c r="U919" s="54" t="e">
        <f t="shared" si="590"/>
        <v>#DIV/0!</v>
      </c>
      <c r="V919" s="54" t="e">
        <f t="shared" si="590"/>
        <v>#DIV/0!</v>
      </c>
      <c r="W919" s="258"/>
      <c r="X919" s="258"/>
    </row>
    <row r="920" spans="1:26">
      <c r="A920" s="46" t="str">
        <f>Home!$B$1</f>
        <v>Poland</v>
      </c>
      <c r="B920" s="47" t="s">
        <v>94</v>
      </c>
      <c r="C920" s="47" t="s">
        <v>546</v>
      </c>
      <c r="D920" s="47" t="s">
        <v>70</v>
      </c>
      <c r="E920" s="46" t="s">
        <v>436</v>
      </c>
      <c r="F920" s="48" t="s">
        <v>702</v>
      </c>
      <c r="G920" s="48" t="s">
        <v>15</v>
      </c>
      <c r="H920" s="48" t="s">
        <v>16</v>
      </c>
      <c r="I920" s="48"/>
      <c r="J920" s="48" t="s">
        <v>99</v>
      </c>
      <c r="K920" s="49"/>
      <c r="L920" s="92">
        <f>VLOOKUP(E920,'Tourism Demand &amp; Flows'!$E$342:$P$548,8,0)</f>
        <v>0</v>
      </c>
      <c r="M920" s="92">
        <f>VLOOKUP(E920,'Tourism Demand &amp; Flows'!$E$342:$P$548,9,0)</f>
        <v>0</v>
      </c>
      <c r="N920" s="92">
        <f>VLOOKUP(E920,'Tourism Demand &amp; Flows'!$E$342:$P$548,10,0)</f>
        <v>0</v>
      </c>
      <c r="O920" s="92">
        <f>VLOOKUP(E920,'Tourism Demand &amp; Flows'!$E$342:$P$548,11,0)</f>
        <v>0</v>
      </c>
      <c r="P920" s="92">
        <f>VLOOKUP(E920,'Tourism Demand &amp; Flows'!$E$342:$P$548,12,0)</f>
        <v>0</v>
      </c>
      <c r="Q920" s="92">
        <f>Forecasting!Q1020</f>
        <v>0</v>
      </c>
      <c r="R920" s="110">
        <f>Forecasting!R1020</f>
        <v>0</v>
      </c>
      <c r="S920" s="110">
        <f>Forecasting!S1020</f>
        <v>0</v>
      </c>
      <c r="T920" s="110">
        <f>Forecasting!T1020</f>
        <v>0</v>
      </c>
      <c r="U920" s="110">
        <f>Forecasting!U1020</f>
        <v>0</v>
      </c>
      <c r="V920" s="110">
        <f>Forecasting!V1020</f>
        <v>0</v>
      </c>
      <c r="W920" s="102" t="e">
        <f>+(Q920/M920)^(1/4)-1</f>
        <v>#DIV/0!</v>
      </c>
      <c r="X920" s="102" t="e">
        <f>+(V920/Q920)^(1/5)-1</f>
        <v>#DIV/0!</v>
      </c>
      <c r="Z920" s="11"/>
    </row>
    <row r="921" spans="1:26">
      <c r="A921" s="48"/>
      <c r="B921" s="48"/>
      <c r="C921" s="52" t="s">
        <v>892</v>
      </c>
      <c r="D921" s="52"/>
      <c r="E921" s="52"/>
      <c r="F921" s="52"/>
      <c r="G921" s="52"/>
      <c r="H921" s="52"/>
      <c r="I921" s="52"/>
      <c r="J921" s="52" t="s">
        <v>58</v>
      </c>
      <c r="K921" s="49"/>
      <c r="L921" s="53"/>
      <c r="M921" s="54" t="e">
        <f t="shared" ref="M921:V921" si="591">M920/L920-1</f>
        <v>#DIV/0!</v>
      </c>
      <c r="N921" s="54" t="e">
        <f t="shared" si="591"/>
        <v>#DIV/0!</v>
      </c>
      <c r="O921" s="54" t="e">
        <f t="shared" si="591"/>
        <v>#DIV/0!</v>
      </c>
      <c r="P921" s="54" t="e">
        <f t="shared" si="591"/>
        <v>#DIV/0!</v>
      </c>
      <c r="Q921" s="54" t="e">
        <f t="shared" si="591"/>
        <v>#DIV/0!</v>
      </c>
      <c r="R921" s="54" t="e">
        <f t="shared" si="591"/>
        <v>#DIV/0!</v>
      </c>
      <c r="S921" s="54" t="e">
        <f t="shared" si="591"/>
        <v>#DIV/0!</v>
      </c>
      <c r="T921" s="54" t="e">
        <f t="shared" si="591"/>
        <v>#DIV/0!</v>
      </c>
      <c r="U921" s="54" t="e">
        <f t="shared" si="591"/>
        <v>#DIV/0!</v>
      </c>
      <c r="V921" s="54" t="e">
        <f t="shared" si="591"/>
        <v>#DIV/0!</v>
      </c>
      <c r="W921" s="258"/>
      <c r="X921" s="258"/>
    </row>
    <row r="922" spans="1:26">
      <c r="A922" s="46" t="str">
        <f>Home!$B$1</f>
        <v>Poland</v>
      </c>
      <c r="B922" s="47" t="s">
        <v>94</v>
      </c>
      <c r="C922" s="47" t="s">
        <v>546</v>
      </c>
      <c r="D922" s="47" t="s">
        <v>70</v>
      </c>
      <c r="E922" s="46" t="s">
        <v>438</v>
      </c>
      <c r="F922" s="48" t="s">
        <v>703</v>
      </c>
      <c r="G922" s="48" t="s">
        <v>15</v>
      </c>
      <c r="H922" s="48" t="s">
        <v>16</v>
      </c>
      <c r="I922" s="48"/>
      <c r="J922" s="48" t="s">
        <v>99</v>
      </c>
      <c r="K922" s="49"/>
      <c r="L922" s="92">
        <f>VLOOKUP(E922,'Tourism Demand &amp; Flows'!$E$342:$P$548,8,0)</f>
        <v>0</v>
      </c>
      <c r="M922" s="92">
        <f>VLOOKUP(E922,'Tourism Demand &amp; Flows'!$E$342:$P$548,9,0)</f>
        <v>0</v>
      </c>
      <c r="N922" s="92">
        <f>VLOOKUP(E922,'Tourism Demand &amp; Flows'!$E$342:$P$548,10,0)</f>
        <v>0</v>
      </c>
      <c r="O922" s="92">
        <f>VLOOKUP(E922,'Tourism Demand &amp; Flows'!$E$342:$P$548,11,0)</f>
        <v>0</v>
      </c>
      <c r="P922" s="92">
        <f>VLOOKUP(E922,'Tourism Demand &amp; Flows'!$E$342:$P$548,12,0)</f>
        <v>0</v>
      </c>
      <c r="Q922" s="92">
        <f>Forecasting!Q1022</f>
        <v>0</v>
      </c>
      <c r="R922" s="110">
        <f>Forecasting!R1022</f>
        <v>0</v>
      </c>
      <c r="S922" s="110">
        <f>Forecasting!S1022</f>
        <v>0</v>
      </c>
      <c r="T922" s="110">
        <f>Forecasting!T1022</f>
        <v>0</v>
      </c>
      <c r="U922" s="110">
        <f>Forecasting!U1022</f>
        <v>0</v>
      </c>
      <c r="V922" s="110">
        <f>Forecasting!V1022</f>
        <v>0</v>
      </c>
      <c r="W922" s="102" t="e">
        <f>+(Q922/M922)^(1/4)-1</f>
        <v>#DIV/0!</v>
      </c>
      <c r="X922" s="102" t="e">
        <f>+(V922/Q922)^(1/5)-1</f>
        <v>#DIV/0!</v>
      </c>
      <c r="Z922" s="11"/>
    </row>
    <row r="923" spans="1:26">
      <c r="A923" s="48"/>
      <c r="B923" s="48"/>
      <c r="C923" s="52" t="s">
        <v>892</v>
      </c>
      <c r="D923" s="52"/>
      <c r="E923" s="52"/>
      <c r="F923" s="52"/>
      <c r="G923" s="52"/>
      <c r="H923" s="52"/>
      <c r="I923" s="52"/>
      <c r="J923" s="52" t="s">
        <v>58</v>
      </c>
      <c r="K923" s="49"/>
      <c r="L923" s="53"/>
      <c r="M923" s="54" t="e">
        <f t="shared" ref="M923:V923" si="592">M922/L922-1</f>
        <v>#DIV/0!</v>
      </c>
      <c r="N923" s="54" t="e">
        <f t="shared" si="592"/>
        <v>#DIV/0!</v>
      </c>
      <c r="O923" s="54" t="e">
        <f t="shared" si="592"/>
        <v>#DIV/0!</v>
      </c>
      <c r="P923" s="54" t="e">
        <f t="shared" si="592"/>
        <v>#DIV/0!</v>
      </c>
      <c r="Q923" s="54" t="e">
        <f t="shared" si="592"/>
        <v>#DIV/0!</v>
      </c>
      <c r="R923" s="54" t="e">
        <f t="shared" si="592"/>
        <v>#DIV/0!</v>
      </c>
      <c r="S923" s="54" t="e">
        <f t="shared" si="592"/>
        <v>#DIV/0!</v>
      </c>
      <c r="T923" s="54" t="e">
        <f t="shared" si="592"/>
        <v>#DIV/0!</v>
      </c>
      <c r="U923" s="54" t="e">
        <f t="shared" si="592"/>
        <v>#DIV/0!</v>
      </c>
      <c r="V923" s="54" t="e">
        <f t="shared" si="592"/>
        <v>#DIV/0!</v>
      </c>
      <c r="W923" s="258"/>
      <c r="X923" s="258"/>
    </row>
    <row r="924" spans="1:26">
      <c r="A924" s="46" t="str">
        <f>Home!$B$1</f>
        <v>Poland</v>
      </c>
      <c r="B924" s="47" t="s">
        <v>94</v>
      </c>
      <c r="C924" s="47" t="s">
        <v>546</v>
      </c>
      <c r="D924" s="47" t="s">
        <v>70</v>
      </c>
      <c r="E924" s="46" t="s">
        <v>440</v>
      </c>
      <c r="F924" s="48" t="s">
        <v>704</v>
      </c>
      <c r="G924" s="48" t="s">
        <v>15</v>
      </c>
      <c r="H924" s="48" t="s">
        <v>16</v>
      </c>
      <c r="I924" s="48"/>
      <c r="J924" s="48" t="s">
        <v>99</v>
      </c>
      <c r="K924" s="49"/>
      <c r="L924" s="92">
        <f>VLOOKUP(E924,'Tourism Demand &amp; Flows'!$E$342:$P$548,8,0)</f>
        <v>0</v>
      </c>
      <c r="M924" s="92">
        <f>VLOOKUP(E924,'Tourism Demand &amp; Flows'!$E$342:$P$548,9,0)</f>
        <v>0</v>
      </c>
      <c r="N924" s="92">
        <f>VLOOKUP(E924,'Tourism Demand &amp; Flows'!$E$342:$P$548,10,0)</f>
        <v>0</v>
      </c>
      <c r="O924" s="92">
        <f>VLOOKUP(E924,'Tourism Demand &amp; Flows'!$E$342:$P$548,11,0)</f>
        <v>0</v>
      </c>
      <c r="P924" s="92">
        <f>VLOOKUP(E924,'Tourism Demand &amp; Flows'!$E$342:$P$548,12,0)</f>
        <v>0</v>
      </c>
      <c r="Q924" s="92">
        <f>Forecasting!Q1024</f>
        <v>0</v>
      </c>
      <c r="R924" s="110">
        <f>Forecasting!R1024</f>
        <v>0</v>
      </c>
      <c r="S924" s="110">
        <f>Forecasting!S1024</f>
        <v>0</v>
      </c>
      <c r="T924" s="110">
        <f>Forecasting!T1024</f>
        <v>0</v>
      </c>
      <c r="U924" s="110">
        <f>Forecasting!U1024</f>
        <v>0</v>
      </c>
      <c r="V924" s="110">
        <f>Forecasting!V1024</f>
        <v>0</v>
      </c>
      <c r="W924" s="102" t="e">
        <f>+(Q924/M924)^(1/4)-1</f>
        <v>#DIV/0!</v>
      </c>
      <c r="X924" s="102" t="e">
        <f>+(V924/Q924)^(1/5)-1</f>
        <v>#DIV/0!</v>
      </c>
      <c r="Z924" s="11"/>
    </row>
    <row r="925" spans="1:26">
      <c r="A925" s="48"/>
      <c r="B925" s="48"/>
      <c r="C925" s="52" t="s">
        <v>892</v>
      </c>
      <c r="D925" s="52"/>
      <c r="E925" s="52"/>
      <c r="F925" s="52"/>
      <c r="G925" s="52"/>
      <c r="H925" s="52"/>
      <c r="I925" s="52"/>
      <c r="J925" s="52" t="s">
        <v>58</v>
      </c>
      <c r="K925" s="49"/>
      <c r="L925" s="53"/>
      <c r="M925" s="54" t="e">
        <f t="shared" ref="M925:V925" si="593">M924/L924-1</f>
        <v>#DIV/0!</v>
      </c>
      <c r="N925" s="54" t="e">
        <f t="shared" si="593"/>
        <v>#DIV/0!</v>
      </c>
      <c r="O925" s="54" t="e">
        <f t="shared" si="593"/>
        <v>#DIV/0!</v>
      </c>
      <c r="P925" s="54" t="e">
        <f t="shared" si="593"/>
        <v>#DIV/0!</v>
      </c>
      <c r="Q925" s="54" t="e">
        <f t="shared" si="593"/>
        <v>#DIV/0!</v>
      </c>
      <c r="R925" s="54" t="e">
        <f t="shared" si="593"/>
        <v>#DIV/0!</v>
      </c>
      <c r="S925" s="54" t="e">
        <f t="shared" si="593"/>
        <v>#DIV/0!</v>
      </c>
      <c r="T925" s="54" t="e">
        <f t="shared" si="593"/>
        <v>#DIV/0!</v>
      </c>
      <c r="U925" s="54" t="e">
        <f t="shared" si="593"/>
        <v>#DIV/0!</v>
      </c>
      <c r="V925" s="54" t="e">
        <f t="shared" si="593"/>
        <v>#DIV/0!</v>
      </c>
      <c r="W925" s="258"/>
      <c r="X925" s="258"/>
    </row>
    <row r="926" spans="1:26">
      <c r="A926" s="46" t="str">
        <f>Home!$B$1</f>
        <v>Poland</v>
      </c>
      <c r="B926" s="47" t="s">
        <v>94</v>
      </c>
      <c r="C926" s="47" t="s">
        <v>546</v>
      </c>
      <c r="D926" s="47" t="s">
        <v>70</v>
      </c>
      <c r="E926" s="46" t="s">
        <v>442</v>
      </c>
      <c r="F926" s="48" t="s">
        <v>705</v>
      </c>
      <c r="G926" s="48" t="s">
        <v>15</v>
      </c>
      <c r="H926" s="48" t="s">
        <v>16</v>
      </c>
      <c r="I926" s="48"/>
      <c r="J926" s="48" t="s">
        <v>99</v>
      </c>
      <c r="K926" s="49"/>
      <c r="L926" s="92">
        <f>VLOOKUP(E926,'Tourism Demand &amp; Flows'!$E$342:$P$548,8,0)</f>
        <v>0</v>
      </c>
      <c r="M926" s="92">
        <f>VLOOKUP(E926,'Tourism Demand &amp; Flows'!$E$342:$P$548,9,0)</f>
        <v>0</v>
      </c>
      <c r="N926" s="92">
        <f>VLOOKUP(E926,'Tourism Demand &amp; Flows'!$E$342:$P$548,10,0)</f>
        <v>0</v>
      </c>
      <c r="O926" s="92">
        <f>VLOOKUP(E926,'Tourism Demand &amp; Flows'!$E$342:$P$548,11,0)</f>
        <v>0</v>
      </c>
      <c r="P926" s="92">
        <f>VLOOKUP(E926,'Tourism Demand &amp; Flows'!$E$342:$P$548,12,0)</f>
        <v>0</v>
      </c>
      <c r="Q926" s="92">
        <f>Forecasting!Q1026</f>
        <v>0</v>
      </c>
      <c r="R926" s="110">
        <f>Forecasting!R1026</f>
        <v>0</v>
      </c>
      <c r="S926" s="110">
        <f>Forecasting!S1026</f>
        <v>0</v>
      </c>
      <c r="T926" s="110">
        <f>Forecasting!T1026</f>
        <v>0</v>
      </c>
      <c r="U926" s="110">
        <f>Forecasting!U1026</f>
        <v>0</v>
      </c>
      <c r="V926" s="110">
        <f>Forecasting!V1026</f>
        <v>0</v>
      </c>
      <c r="W926" s="102" t="e">
        <f>+(Q926/M926)^(1/4)-1</f>
        <v>#DIV/0!</v>
      </c>
      <c r="X926" s="102" t="e">
        <f>+(V926/Q926)^(1/5)-1</f>
        <v>#DIV/0!</v>
      </c>
      <c r="Z926" s="11"/>
    </row>
    <row r="927" spans="1:26">
      <c r="A927" s="48"/>
      <c r="B927" s="48"/>
      <c r="C927" s="52" t="s">
        <v>892</v>
      </c>
      <c r="D927" s="52"/>
      <c r="E927" s="52"/>
      <c r="F927" s="52"/>
      <c r="G927" s="52"/>
      <c r="H927" s="52"/>
      <c r="I927" s="52"/>
      <c r="J927" s="52" t="s">
        <v>58</v>
      </c>
      <c r="K927" s="49"/>
      <c r="L927" s="53"/>
      <c r="M927" s="54" t="e">
        <f t="shared" ref="M927:V927" si="594">M926/L926-1</f>
        <v>#DIV/0!</v>
      </c>
      <c r="N927" s="54" t="e">
        <f t="shared" si="594"/>
        <v>#DIV/0!</v>
      </c>
      <c r="O927" s="54" t="e">
        <f t="shared" si="594"/>
        <v>#DIV/0!</v>
      </c>
      <c r="P927" s="54" t="e">
        <f t="shared" si="594"/>
        <v>#DIV/0!</v>
      </c>
      <c r="Q927" s="54" t="e">
        <f t="shared" si="594"/>
        <v>#DIV/0!</v>
      </c>
      <c r="R927" s="54" t="e">
        <f t="shared" si="594"/>
        <v>#DIV/0!</v>
      </c>
      <c r="S927" s="54" t="e">
        <f t="shared" si="594"/>
        <v>#DIV/0!</v>
      </c>
      <c r="T927" s="54" t="e">
        <f t="shared" si="594"/>
        <v>#DIV/0!</v>
      </c>
      <c r="U927" s="54" t="e">
        <f t="shared" si="594"/>
        <v>#DIV/0!</v>
      </c>
      <c r="V927" s="54" t="e">
        <f t="shared" si="594"/>
        <v>#DIV/0!</v>
      </c>
      <c r="W927" s="258"/>
      <c r="X927" s="258"/>
    </row>
    <row r="928" spans="1:26">
      <c r="A928" s="46" t="str">
        <f>Home!$B$1</f>
        <v>Poland</v>
      </c>
      <c r="B928" s="47" t="s">
        <v>94</v>
      </c>
      <c r="C928" s="47" t="s">
        <v>546</v>
      </c>
      <c r="D928" s="47" t="s">
        <v>70</v>
      </c>
      <c r="E928" s="46" t="s">
        <v>444</v>
      </c>
      <c r="F928" s="48" t="s">
        <v>706</v>
      </c>
      <c r="G928" s="48" t="s">
        <v>15</v>
      </c>
      <c r="H928" s="48" t="s">
        <v>16</v>
      </c>
      <c r="I928" s="48"/>
      <c r="J928" s="48" t="s">
        <v>99</v>
      </c>
      <c r="K928" s="49"/>
      <c r="L928" s="92">
        <f>VLOOKUP(E928,'Tourism Demand &amp; Flows'!$E$342:$P$548,8,0)</f>
        <v>0</v>
      </c>
      <c r="M928" s="92">
        <f>VLOOKUP(E928,'Tourism Demand &amp; Flows'!$E$342:$P$548,9,0)</f>
        <v>0</v>
      </c>
      <c r="N928" s="92">
        <f>VLOOKUP(E928,'Tourism Demand &amp; Flows'!$E$342:$P$548,10,0)</f>
        <v>0</v>
      </c>
      <c r="O928" s="92">
        <f>VLOOKUP(E928,'Tourism Demand &amp; Flows'!$E$342:$P$548,11,0)</f>
        <v>0</v>
      </c>
      <c r="P928" s="92">
        <f>VLOOKUP(E928,'Tourism Demand &amp; Flows'!$E$342:$P$548,12,0)</f>
        <v>0</v>
      </c>
      <c r="Q928" s="92">
        <f>Forecasting!Q1028</f>
        <v>0</v>
      </c>
      <c r="R928" s="110">
        <f>Forecasting!R1028</f>
        <v>0</v>
      </c>
      <c r="S928" s="110">
        <f>Forecasting!S1028</f>
        <v>0</v>
      </c>
      <c r="T928" s="110">
        <f>Forecasting!T1028</f>
        <v>0</v>
      </c>
      <c r="U928" s="110">
        <f>Forecasting!U1028</f>
        <v>0</v>
      </c>
      <c r="V928" s="110">
        <f>Forecasting!V1028</f>
        <v>0</v>
      </c>
      <c r="W928" s="102" t="e">
        <f>+(Q928/M928)^(1/4)-1</f>
        <v>#DIV/0!</v>
      </c>
      <c r="X928" s="102" t="e">
        <f>+(V928/Q928)^(1/5)-1</f>
        <v>#DIV/0!</v>
      </c>
      <c r="Z928" s="11"/>
    </row>
    <row r="929" spans="1:26">
      <c r="A929" s="48"/>
      <c r="B929" s="48"/>
      <c r="C929" s="52" t="s">
        <v>892</v>
      </c>
      <c r="D929" s="52"/>
      <c r="E929" s="52"/>
      <c r="F929" s="52"/>
      <c r="G929" s="52"/>
      <c r="H929" s="52"/>
      <c r="I929" s="52"/>
      <c r="J929" s="52" t="s">
        <v>58</v>
      </c>
      <c r="K929" s="49"/>
      <c r="L929" s="53"/>
      <c r="M929" s="54" t="e">
        <f t="shared" ref="M929:V929" si="595">M928/L928-1</f>
        <v>#DIV/0!</v>
      </c>
      <c r="N929" s="54" t="e">
        <f t="shared" si="595"/>
        <v>#DIV/0!</v>
      </c>
      <c r="O929" s="54" t="e">
        <f t="shared" si="595"/>
        <v>#DIV/0!</v>
      </c>
      <c r="P929" s="54" t="e">
        <f t="shared" si="595"/>
        <v>#DIV/0!</v>
      </c>
      <c r="Q929" s="54" t="e">
        <f t="shared" si="595"/>
        <v>#DIV/0!</v>
      </c>
      <c r="R929" s="54" t="e">
        <f t="shared" si="595"/>
        <v>#DIV/0!</v>
      </c>
      <c r="S929" s="54" t="e">
        <f t="shared" si="595"/>
        <v>#DIV/0!</v>
      </c>
      <c r="T929" s="54" t="e">
        <f t="shared" si="595"/>
        <v>#DIV/0!</v>
      </c>
      <c r="U929" s="54" t="e">
        <f t="shared" si="595"/>
        <v>#DIV/0!</v>
      </c>
      <c r="V929" s="54" t="e">
        <f t="shared" si="595"/>
        <v>#DIV/0!</v>
      </c>
      <c r="W929" s="258"/>
      <c r="X929" s="258"/>
    </row>
    <row r="930" spans="1:26">
      <c r="A930" s="46" t="str">
        <f>Home!$B$1</f>
        <v>Poland</v>
      </c>
      <c r="B930" s="47" t="s">
        <v>94</v>
      </c>
      <c r="C930" s="47" t="s">
        <v>546</v>
      </c>
      <c r="D930" s="47" t="s">
        <v>70</v>
      </c>
      <c r="E930" s="46" t="s">
        <v>446</v>
      </c>
      <c r="F930" s="48" t="s">
        <v>707</v>
      </c>
      <c r="G930" s="48" t="s">
        <v>15</v>
      </c>
      <c r="H930" s="48" t="s">
        <v>16</v>
      </c>
      <c r="I930" s="48"/>
      <c r="J930" s="48" t="s">
        <v>99</v>
      </c>
      <c r="K930" s="49"/>
      <c r="L930" s="92">
        <f>VLOOKUP(E930,'Tourism Demand &amp; Flows'!$E$342:$P$548,8,0)</f>
        <v>0</v>
      </c>
      <c r="M930" s="92">
        <f>VLOOKUP(E930,'Tourism Demand &amp; Flows'!$E$342:$P$548,9,0)</f>
        <v>0</v>
      </c>
      <c r="N930" s="92">
        <f>VLOOKUP(E930,'Tourism Demand &amp; Flows'!$E$342:$P$548,10,0)</f>
        <v>0</v>
      </c>
      <c r="O930" s="92">
        <f>VLOOKUP(E930,'Tourism Demand &amp; Flows'!$E$342:$P$548,11,0)</f>
        <v>0</v>
      </c>
      <c r="P930" s="92">
        <f>VLOOKUP(E930,'Tourism Demand &amp; Flows'!$E$342:$P$548,12,0)</f>
        <v>0</v>
      </c>
      <c r="Q930" s="92">
        <f>Forecasting!Q1030</f>
        <v>0</v>
      </c>
      <c r="R930" s="110">
        <f>Forecasting!R1030</f>
        <v>0</v>
      </c>
      <c r="S930" s="110">
        <f>Forecasting!S1030</f>
        <v>0</v>
      </c>
      <c r="T930" s="110">
        <f>Forecasting!T1030</f>
        <v>0</v>
      </c>
      <c r="U930" s="110">
        <f>Forecasting!U1030</f>
        <v>0</v>
      </c>
      <c r="V930" s="110">
        <f>Forecasting!V1030</f>
        <v>0</v>
      </c>
      <c r="W930" s="102" t="e">
        <f>+(Q930/M930)^(1/4)-1</f>
        <v>#DIV/0!</v>
      </c>
      <c r="X930" s="102" t="e">
        <f>+(V930/Q930)^(1/5)-1</f>
        <v>#DIV/0!</v>
      </c>
      <c r="Z930" s="11"/>
    </row>
    <row r="931" spans="1:26">
      <c r="A931" s="48"/>
      <c r="B931" s="48"/>
      <c r="C931" s="52" t="s">
        <v>892</v>
      </c>
      <c r="D931" s="52"/>
      <c r="E931" s="52"/>
      <c r="F931" s="52"/>
      <c r="G931" s="52"/>
      <c r="H931" s="52"/>
      <c r="I931" s="52"/>
      <c r="J931" s="52" t="s">
        <v>58</v>
      </c>
      <c r="K931" s="49"/>
      <c r="L931" s="53"/>
      <c r="M931" s="54" t="e">
        <f t="shared" ref="M931:V931" si="596">M930/L930-1</f>
        <v>#DIV/0!</v>
      </c>
      <c r="N931" s="54" t="e">
        <f t="shared" si="596"/>
        <v>#DIV/0!</v>
      </c>
      <c r="O931" s="54" t="e">
        <f t="shared" si="596"/>
        <v>#DIV/0!</v>
      </c>
      <c r="P931" s="54" t="e">
        <f t="shared" si="596"/>
        <v>#DIV/0!</v>
      </c>
      <c r="Q931" s="54" t="e">
        <f t="shared" si="596"/>
        <v>#DIV/0!</v>
      </c>
      <c r="R931" s="54" t="e">
        <f t="shared" si="596"/>
        <v>#DIV/0!</v>
      </c>
      <c r="S931" s="54" t="e">
        <f t="shared" si="596"/>
        <v>#DIV/0!</v>
      </c>
      <c r="T931" s="54" t="e">
        <f t="shared" si="596"/>
        <v>#DIV/0!</v>
      </c>
      <c r="U931" s="54" t="e">
        <f t="shared" si="596"/>
        <v>#DIV/0!</v>
      </c>
      <c r="V931" s="54" t="e">
        <f t="shared" si="596"/>
        <v>#DIV/0!</v>
      </c>
      <c r="W931" s="258"/>
      <c r="X931" s="258"/>
    </row>
    <row r="932" spans="1:26">
      <c r="A932" s="46" t="str">
        <f>Home!$B$1</f>
        <v>Poland</v>
      </c>
      <c r="B932" s="47" t="s">
        <v>94</v>
      </c>
      <c r="C932" s="47" t="s">
        <v>546</v>
      </c>
      <c r="D932" s="47" t="s">
        <v>70</v>
      </c>
      <c r="E932" s="46" t="s">
        <v>448</v>
      </c>
      <c r="F932" s="48" t="s">
        <v>708</v>
      </c>
      <c r="G932" s="48" t="s">
        <v>15</v>
      </c>
      <c r="H932" s="48" t="s">
        <v>16</v>
      </c>
      <c r="I932" s="48"/>
      <c r="J932" s="48" t="s">
        <v>99</v>
      </c>
      <c r="K932" s="49"/>
      <c r="L932" s="92">
        <f>VLOOKUP(E932,'Tourism Demand &amp; Flows'!$E$342:$P$548,8,0)</f>
        <v>0</v>
      </c>
      <c r="M932" s="92">
        <f>VLOOKUP(E932,'Tourism Demand &amp; Flows'!$E$342:$P$548,9,0)</f>
        <v>0</v>
      </c>
      <c r="N932" s="92">
        <f>VLOOKUP(E932,'Tourism Demand &amp; Flows'!$E$342:$P$548,10,0)</f>
        <v>0</v>
      </c>
      <c r="O932" s="92">
        <f>VLOOKUP(E932,'Tourism Demand &amp; Flows'!$E$342:$P$548,11,0)</f>
        <v>0</v>
      </c>
      <c r="P932" s="92">
        <f>VLOOKUP(E932,'Tourism Demand &amp; Flows'!$E$342:$P$548,12,0)</f>
        <v>0</v>
      </c>
      <c r="Q932" s="92">
        <f>Forecasting!Q1032</f>
        <v>0</v>
      </c>
      <c r="R932" s="110">
        <f>Forecasting!R1032</f>
        <v>0</v>
      </c>
      <c r="S932" s="110">
        <f>Forecasting!S1032</f>
        <v>0</v>
      </c>
      <c r="T932" s="110">
        <f>Forecasting!T1032</f>
        <v>0</v>
      </c>
      <c r="U932" s="110">
        <f>Forecasting!U1032</f>
        <v>0</v>
      </c>
      <c r="V932" s="110">
        <f>Forecasting!V1032</f>
        <v>0</v>
      </c>
      <c r="W932" s="102" t="e">
        <f>+(Q932/M932)^(1/4)-1</f>
        <v>#DIV/0!</v>
      </c>
      <c r="X932" s="102" t="e">
        <f>+(V932/Q932)^(1/5)-1</f>
        <v>#DIV/0!</v>
      </c>
      <c r="Z932" s="11"/>
    </row>
    <row r="933" spans="1:26">
      <c r="A933" s="48"/>
      <c r="B933" s="48"/>
      <c r="C933" s="52" t="s">
        <v>892</v>
      </c>
      <c r="D933" s="52"/>
      <c r="E933" s="52"/>
      <c r="F933" s="52"/>
      <c r="G933" s="52"/>
      <c r="H933" s="52"/>
      <c r="I933" s="52"/>
      <c r="J933" s="52" t="s">
        <v>58</v>
      </c>
      <c r="K933" s="49"/>
      <c r="L933" s="53"/>
      <c r="M933" s="54" t="e">
        <f t="shared" ref="M933:V933" si="597">M932/L932-1</f>
        <v>#DIV/0!</v>
      </c>
      <c r="N933" s="54" t="e">
        <f t="shared" si="597"/>
        <v>#DIV/0!</v>
      </c>
      <c r="O933" s="54" t="e">
        <f t="shared" si="597"/>
        <v>#DIV/0!</v>
      </c>
      <c r="P933" s="54" t="e">
        <f t="shared" si="597"/>
        <v>#DIV/0!</v>
      </c>
      <c r="Q933" s="54" t="e">
        <f t="shared" si="597"/>
        <v>#DIV/0!</v>
      </c>
      <c r="R933" s="54" t="e">
        <f t="shared" si="597"/>
        <v>#DIV/0!</v>
      </c>
      <c r="S933" s="54" t="e">
        <f t="shared" si="597"/>
        <v>#DIV/0!</v>
      </c>
      <c r="T933" s="54" t="e">
        <f t="shared" si="597"/>
        <v>#DIV/0!</v>
      </c>
      <c r="U933" s="54" t="e">
        <f t="shared" si="597"/>
        <v>#DIV/0!</v>
      </c>
      <c r="V933" s="54" t="e">
        <f t="shared" si="597"/>
        <v>#DIV/0!</v>
      </c>
      <c r="W933" s="258"/>
      <c r="X933" s="258"/>
    </row>
    <row r="934" spans="1:26">
      <c r="A934" s="46" t="str">
        <f>Home!$B$1</f>
        <v>Poland</v>
      </c>
      <c r="B934" s="47" t="s">
        <v>94</v>
      </c>
      <c r="C934" s="47" t="s">
        <v>546</v>
      </c>
      <c r="D934" s="94" t="s">
        <v>70</v>
      </c>
      <c r="E934" s="95" t="s">
        <v>880</v>
      </c>
      <c r="F934" s="94" t="s">
        <v>882</v>
      </c>
      <c r="G934" s="48"/>
      <c r="H934" s="48"/>
      <c r="I934" s="48"/>
      <c r="J934" s="48" t="s">
        <v>99</v>
      </c>
      <c r="K934" s="49"/>
      <c r="L934" s="92">
        <f>'Seasonality&amp; Avg.stay'!B430</f>
        <v>30.684725075329453</v>
      </c>
      <c r="M934" s="92">
        <f>'Seasonality&amp; Avg.stay'!C430</f>
        <v>42.164130026086298</v>
      </c>
      <c r="N934" s="92">
        <f>'Seasonality&amp; Avg.stay'!D430</f>
        <v>36.156641710798738</v>
      </c>
      <c r="O934" s="92">
        <f>'Seasonality&amp; Avg.stay'!E430</f>
        <v>41.070924694601359</v>
      </c>
      <c r="P934" s="92">
        <f>'Seasonality&amp; Avg.stay'!F430</f>
        <v>46.363210382450632</v>
      </c>
      <c r="Q934" s="92">
        <f>'Seasonality&amp; Avg.stay'!G430</f>
        <v>48.841907364934627</v>
      </c>
      <c r="R934" s="110">
        <f>Forecasting!R1034</f>
        <v>0</v>
      </c>
      <c r="S934" s="110">
        <f>Forecasting!S1034</f>
        <v>0</v>
      </c>
      <c r="T934" s="110">
        <f>Forecasting!T1034</f>
        <v>0</v>
      </c>
      <c r="U934" s="110">
        <f>Forecasting!U1034</f>
        <v>0</v>
      </c>
      <c r="V934" s="110">
        <f>Forecasting!V1034</f>
        <v>0</v>
      </c>
      <c r="W934" s="102">
        <f>+(Q934/M934)^(1/4)-1</f>
        <v>3.7438516749683126E-2</v>
      </c>
      <c r="X934" s="102">
        <f>+(V934/Q934)^(1/5)-1</f>
        <v>-1</v>
      </c>
      <c r="Z934" s="11"/>
    </row>
    <row r="935" spans="1:26">
      <c r="A935" s="48"/>
      <c r="B935" s="48"/>
      <c r="C935" s="52" t="s">
        <v>892</v>
      </c>
      <c r="D935" s="52"/>
      <c r="E935" s="52"/>
      <c r="F935" s="52"/>
      <c r="G935" s="52"/>
      <c r="H935" s="52"/>
      <c r="I935" s="52"/>
      <c r="J935" s="52" t="s">
        <v>58</v>
      </c>
      <c r="K935" s="49"/>
      <c r="L935" s="53"/>
      <c r="M935" s="54">
        <f t="shared" ref="M935:V935" si="598">M934/L934-1</f>
        <v>0.37410812456606624</v>
      </c>
      <c r="N935" s="54">
        <f t="shared" si="598"/>
        <v>-0.14247864978053193</v>
      </c>
      <c r="O935" s="54">
        <f t="shared" si="598"/>
        <v>0.13591646655432865</v>
      </c>
      <c r="P935" s="54">
        <f t="shared" si="598"/>
        <v>0.12885723239011782</v>
      </c>
      <c r="Q935" s="54">
        <f t="shared" si="598"/>
        <v>5.3462582984163509E-2</v>
      </c>
      <c r="R935" s="54">
        <f t="shared" si="598"/>
        <v>-1</v>
      </c>
      <c r="S935" s="54" t="e">
        <f t="shared" si="598"/>
        <v>#DIV/0!</v>
      </c>
      <c r="T935" s="54" t="e">
        <f t="shared" si="598"/>
        <v>#DIV/0!</v>
      </c>
      <c r="U935" s="54" t="e">
        <f t="shared" si="598"/>
        <v>#DIV/0!</v>
      </c>
      <c r="V935" s="54" t="e">
        <f t="shared" si="598"/>
        <v>#DIV/0!</v>
      </c>
      <c r="W935" s="258"/>
      <c r="X935" s="258"/>
    </row>
    <row r="936" spans="1:26">
      <c r="A936" s="46" t="str">
        <f>Home!$B$1</f>
        <v>Poland</v>
      </c>
      <c r="B936" s="47" t="s">
        <v>94</v>
      </c>
      <c r="C936" s="47" t="s">
        <v>546</v>
      </c>
      <c r="D936" s="46" t="s">
        <v>72</v>
      </c>
      <c r="E936" s="48"/>
      <c r="F936" s="48" t="s">
        <v>709</v>
      </c>
      <c r="G936" s="48" t="s">
        <v>15</v>
      </c>
      <c r="H936" s="48" t="s">
        <v>16</v>
      </c>
      <c r="I936" s="48"/>
      <c r="J936" s="48" t="s">
        <v>99</v>
      </c>
      <c r="K936" s="76">
        <f>SUM(K937:K939)</f>
        <v>13855</v>
      </c>
      <c r="L936" s="348">
        <f>SUM(L938,L940,L942)</f>
        <v>56.587033400524213</v>
      </c>
      <c r="M936" s="348">
        <f t="shared" ref="M936:Q936" si="599">SUM(M938,M940,M942)</f>
        <v>59.022271260319201</v>
      </c>
      <c r="N936" s="348">
        <f t="shared" si="599"/>
        <v>45.04</v>
      </c>
      <c r="O936" s="348">
        <f t="shared" si="599"/>
        <v>40</v>
      </c>
      <c r="P936" s="348">
        <f t="shared" si="599"/>
        <v>39.4</v>
      </c>
      <c r="Q936" s="348">
        <f t="shared" si="599"/>
        <v>39.604539834363905</v>
      </c>
      <c r="R936" s="110">
        <f>Forecasting!R1036</f>
        <v>39.885853262982963</v>
      </c>
      <c r="S936" s="110">
        <f>Forecasting!S1036</f>
        <v>40.315709744022293</v>
      </c>
      <c r="T936" s="110">
        <f>Forecasting!T1036</f>
        <v>40.691271984525287</v>
      </c>
      <c r="U936" s="110">
        <f>Forecasting!U1036</f>
        <v>40.920801606198253</v>
      </c>
      <c r="V936" s="110">
        <f>Forecasting!V1036</f>
        <v>41.239538929483615</v>
      </c>
      <c r="W936" s="102">
        <f>+(Q936/M936)^(1/4)-1</f>
        <v>-9.4929804701033627E-2</v>
      </c>
      <c r="X936" s="102">
        <f>+(V936/Q936)^(1/5)-1</f>
        <v>8.1235635137792972E-3</v>
      </c>
      <c r="Z936" s="11"/>
    </row>
    <row r="937" spans="1:26">
      <c r="A937" s="48"/>
      <c r="B937" s="48"/>
      <c r="C937" s="52" t="s">
        <v>892</v>
      </c>
      <c r="D937" s="52"/>
      <c r="E937" s="52"/>
      <c r="F937" s="52"/>
      <c r="G937" s="52"/>
      <c r="H937" s="52"/>
      <c r="I937" s="52"/>
      <c r="J937" s="52" t="s">
        <v>58</v>
      </c>
      <c r="K937" s="49"/>
      <c r="L937" s="53"/>
      <c r="M937" s="54">
        <f t="shared" ref="M937:V937" si="600">M936/L936-1</f>
        <v>4.3035262911881755E-2</v>
      </c>
      <c r="N937" s="54">
        <f t="shared" si="600"/>
        <v>-0.23689822437788011</v>
      </c>
      <c r="O937" s="54">
        <f t="shared" si="600"/>
        <v>-0.11190053285968027</v>
      </c>
      <c r="P937" s="54">
        <f t="shared" si="600"/>
        <v>-1.5000000000000013E-2</v>
      </c>
      <c r="Q937" s="54">
        <f t="shared" si="600"/>
        <v>5.1913663544138622E-3</v>
      </c>
      <c r="R937" s="54">
        <f t="shared" si="600"/>
        <v>7.1030601490531531E-3</v>
      </c>
      <c r="S937" s="54">
        <f t="shared" si="600"/>
        <v>1.0777166485699041E-2</v>
      </c>
      <c r="T937" s="54">
        <f t="shared" si="600"/>
        <v>9.315530915555259E-3</v>
      </c>
      <c r="U937" s="54">
        <f t="shared" si="600"/>
        <v>5.6407580908321986E-3</v>
      </c>
      <c r="V937" s="54">
        <f t="shared" si="600"/>
        <v>7.7891270643408728E-3</v>
      </c>
      <c r="W937" s="258"/>
      <c r="X937" s="258"/>
    </row>
    <row r="938" spans="1:26">
      <c r="A938" s="46" t="str">
        <f>Home!$B$1</f>
        <v>Poland</v>
      </c>
      <c r="B938" s="47" t="s">
        <v>94</v>
      </c>
      <c r="C938" s="47" t="s">
        <v>546</v>
      </c>
      <c r="D938" s="47" t="s">
        <v>72</v>
      </c>
      <c r="E938" s="46" t="s">
        <v>451</v>
      </c>
      <c r="F938" s="48" t="s">
        <v>710</v>
      </c>
      <c r="G938" s="48" t="s">
        <v>15</v>
      </c>
      <c r="H938" s="48" t="s">
        <v>16</v>
      </c>
      <c r="I938" s="48"/>
      <c r="J938" s="48" t="s">
        <v>99</v>
      </c>
      <c r="K938" s="49">
        <v>13855</v>
      </c>
      <c r="L938" s="92">
        <f>'Seasonality&amp; Avg.stay'!B449</f>
        <v>8.7513124384669929</v>
      </c>
      <c r="M938" s="92">
        <f>'Seasonality&amp; Avg.stay'!C449</f>
        <v>8.3530592966432398</v>
      </c>
      <c r="N938" s="92">
        <f>'Seasonality&amp; Avg.stay'!D449</f>
        <v>6.5904557353732818</v>
      </c>
      <c r="O938" s="92">
        <f>'Seasonality&amp; Avg.stay'!E449</f>
        <v>5.8582572588574857</v>
      </c>
      <c r="P938" s="92">
        <f>'Seasonality&amp; Avg.stay'!F449</f>
        <v>5.5844095041901021</v>
      </c>
      <c r="Q938" s="349">
        <f>P938*(1+(P938/L938)^(1/4)-1)*1.09</f>
        <v>5.4403867292659402</v>
      </c>
      <c r="R938" s="110">
        <f>Forecasting!R1052</f>
        <v>0</v>
      </c>
      <c r="S938" s="110">
        <f>Forecasting!S1052</f>
        <v>0</v>
      </c>
      <c r="T938" s="110">
        <f>Forecasting!T1052</f>
        <v>0</v>
      </c>
      <c r="U938" s="110">
        <f>Forecasting!U1052</f>
        <v>0</v>
      </c>
      <c r="V938" s="110">
        <f>Forecasting!V1052</f>
        <v>0</v>
      </c>
      <c r="W938" s="102">
        <f>+(Q938/M938)^(1/4)-1</f>
        <v>-0.10164900729992665</v>
      </c>
      <c r="X938" s="102">
        <f>+(V938/Q938)^(1/5)-1</f>
        <v>-1</v>
      </c>
      <c r="Z938" s="11"/>
    </row>
    <row r="939" spans="1:26">
      <c r="A939" s="48"/>
      <c r="B939" s="48"/>
      <c r="C939" s="52" t="s">
        <v>892</v>
      </c>
      <c r="D939" s="52"/>
      <c r="E939" s="52"/>
      <c r="F939" s="52"/>
      <c r="G939" s="52"/>
      <c r="H939" s="52"/>
      <c r="I939" s="52"/>
      <c r="J939" s="52" t="s">
        <v>58</v>
      </c>
      <c r="K939" s="49"/>
      <c r="L939" s="53"/>
      <c r="M939" s="54">
        <f t="shared" ref="M939:V939" si="601">M938/L938-1</f>
        <v>-4.550781892704503E-2</v>
      </c>
      <c r="N939" s="54">
        <f t="shared" si="601"/>
        <v>-0.21101293534193843</v>
      </c>
      <c r="O939" s="54">
        <f t="shared" si="601"/>
        <v>-0.11109982464275281</v>
      </c>
      <c r="P939" s="54">
        <f t="shared" si="601"/>
        <v>-4.6745600708015145E-2</v>
      </c>
      <c r="Q939" s="54">
        <f>Q938/P938-1</f>
        <v>-2.5790152891921436E-2</v>
      </c>
      <c r="R939" s="54">
        <f t="shared" si="601"/>
        <v>-1</v>
      </c>
      <c r="S939" s="54" t="e">
        <f t="shared" si="601"/>
        <v>#DIV/0!</v>
      </c>
      <c r="T939" s="54" t="e">
        <f t="shared" si="601"/>
        <v>#DIV/0!</v>
      </c>
      <c r="U939" s="54" t="e">
        <f t="shared" si="601"/>
        <v>#DIV/0!</v>
      </c>
      <c r="V939" s="54" t="e">
        <f t="shared" si="601"/>
        <v>#DIV/0!</v>
      </c>
      <c r="W939" s="258"/>
      <c r="X939" s="258"/>
    </row>
    <row r="940" spans="1:26">
      <c r="A940" s="46" t="str">
        <f>Home!$B$1</f>
        <v>Poland</v>
      </c>
      <c r="B940" s="47" t="s">
        <v>94</v>
      </c>
      <c r="C940" s="47" t="s">
        <v>546</v>
      </c>
      <c r="D940" s="47" t="s">
        <v>72</v>
      </c>
      <c r="E940" s="46" t="s">
        <v>453</v>
      </c>
      <c r="F940" s="48" t="s">
        <v>711</v>
      </c>
      <c r="G940" s="48" t="s">
        <v>15</v>
      </c>
      <c r="H940" s="48" t="s">
        <v>16</v>
      </c>
      <c r="I940" s="48"/>
      <c r="J940" s="48" t="s">
        <v>99</v>
      </c>
      <c r="K940" s="49">
        <v>19659</v>
      </c>
      <c r="L940" s="92">
        <f>'Seasonality&amp; Avg.stay'!B450</f>
        <v>4.3371278183440767</v>
      </c>
      <c r="M940" s="92">
        <f>'Seasonality&amp; Avg.stay'!C450</f>
        <v>4.1300374490760143</v>
      </c>
      <c r="N940" s="92">
        <f>'Seasonality&amp; Avg.stay'!D450</f>
        <v>2.9623616395422023</v>
      </c>
      <c r="O940" s="92">
        <f>'Seasonality&amp; Avg.stay'!E450</f>
        <v>2.725927234876417</v>
      </c>
      <c r="P940" s="92">
        <f>'Seasonality&amp; Avg.stay'!F450</f>
        <v>2.6643220250942408</v>
      </c>
      <c r="Q940" s="349">
        <f>P940*(1+(P940/L940)^(1/4)-1)*1.12</f>
        <v>2.6418056280252729</v>
      </c>
      <c r="R940" s="110">
        <f>Forecasting!R1054</f>
        <v>0</v>
      </c>
      <c r="S940" s="110">
        <f>Forecasting!S1054</f>
        <v>0</v>
      </c>
      <c r="T940" s="110">
        <f>Forecasting!T1054</f>
        <v>0</v>
      </c>
      <c r="U940" s="110">
        <f>Forecasting!U1054</f>
        <v>0</v>
      </c>
      <c r="V940" s="110">
        <f>Forecasting!V1054</f>
        <v>0</v>
      </c>
      <c r="W940" s="102">
        <f>+(Q940/M940)^(1/4)-1</f>
        <v>-0.10569281932438956</v>
      </c>
      <c r="X940" s="102">
        <f>+(V940/Q940)^(1/5)-1</f>
        <v>-1</v>
      </c>
      <c r="Z940" s="11"/>
    </row>
    <row r="941" spans="1:26">
      <c r="A941" s="48"/>
      <c r="B941" s="48"/>
      <c r="C941" s="52" t="s">
        <v>892</v>
      </c>
      <c r="D941" s="52"/>
      <c r="E941" s="52"/>
      <c r="F941" s="52"/>
      <c r="G941" s="52"/>
      <c r="H941" s="52"/>
      <c r="I941" s="52"/>
      <c r="J941" s="52" t="s">
        <v>58</v>
      </c>
      <c r="K941" s="49"/>
      <c r="L941" s="53"/>
      <c r="M941" s="54">
        <f t="shared" ref="M941:V941" si="602">M940/L940-1</f>
        <v>-4.7748274420727044E-2</v>
      </c>
      <c r="N941" s="54">
        <f t="shared" si="602"/>
        <v>-0.28272765657247212</v>
      </c>
      <c r="O941" s="54">
        <f t="shared" si="602"/>
        <v>-7.981280931734025E-2</v>
      </c>
      <c r="P941" s="54">
        <f t="shared" si="602"/>
        <v>-2.2599726432158129E-2</v>
      </c>
      <c r="Q941" s="54">
        <f>Q940/P940-1</f>
        <v>-8.451079432926778E-3</v>
      </c>
      <c r="R941" s="54">
        <f t="shared" si="602"/>
        <v>-1</v>
      </c>
      <c r="S941" s="54" t="e">
        <f t="shared" si="602"/>
        <v>#DIV/0!</v>
      </c>
      <c r="T941" s="54" t="e">
        <f t="shared" si="602"/>
        <v>#DIV/0!</v>
      </c>
      <c r="U941" s="54" t="e">
        <f t="shared" si="602"/>
        <v>#DIV/0!</v>
      </c>
      <c r="V941" s="54" t="e">
        <f t="shared" si="602"/>
        <v>#DIV/0!</v>
      </c>
      <c r="W941" s="258"/>
      <c r="X941" s="258"/>
    </row>
    <row r="942" spans="1:26">
      <c r="A942" s="46" t="str">
        <f>Home!$B$1</f>
        <v>Poland</v>
      </c>
      <c r="B942" s="47" t="s">
        <v>94</v>
      </c>
      <c r="C942" s="47" t="s">
        <v>546</v>
      </c>
      <c r="D942" s="47" t="s">
        <v>72</v>
      </c>
      <c r="E942" s="46" t="s">
        <v>455</v>
      </c>
      <c r="F942" s="48" t="s">
        <v>712</v>
      </c>
      <c r="G942" s="48" t="s">
        <v>15</v>
      </c>
      <c r="H942" s="48" t="s">
        <v>16</v>
      </c>
      <c r="I942" s="48"/>
      <c r="J942" s="48" t="s">
        <v>99</v>
      </c>
      <c r="K942" s="49"/>
      <c r="L942" s="92">
        <f>'Seasonality&amp; Avg.stay'!B451</f>
        <v>43.498593143713144</v>
      </c>
      <c r="M942" s="92">
        <f>'Seasonality&amp; Avg.stay'!C451</f>
        <v>46.539174514599949</v>
      </c>
      <c r="N942" s="92">
        <f>'Seasonality&amp; Avg.stay'!D451</f>
        <v>35.487182625084515</v>
      </c>
      <c r="O942" s="92">
        <f>'Seasonality&amp; Avg.stay'!E451</f>
        <v>31.415815506266096</v>
      </c>
      <c r="P942" s="92">
        <f>'Seasonality&amp; Avg.stay'!F451</f>
        <v>31.151268470715657</v>
      </c>
      <c r="Q942" s="349">
        <f>P942*(1+(P942/L942)^(1/4)-1)*1.1</f>
        <v>31.522347477072689</v>
      </c>
      <c r="R942" s="110">
        <f>Forecasting!R1056</f>
        <v>0</v>
      </c>
      <c r="S942" s="110">
        <f>Forecasting!S1056</f>
        <v>0</v>
      </c>
      <c r="T942" s="110">
        <f>Forecasting!T1056</f>
        <v>0</v>
      </c>
      <c r="U942" s="110">
        <f>Forecasting!U1056</f>
        <v>0</v>
      </c>
      <c r="V942" s="110">
        <f>Forecasting!V1056</f>
        <v>0</v>
      </c>
      <c r="W942" s="102">
        <f>+(Q942/M942)^(1/4)-1</f>
        <v>-9.280641808930723E-2</v>
      </c>
      <c r="X942" s="102">
        <f>+(V942/Q942)^(1/5)-1</f>
        <v>-1</v>
      </c>
      <c r="Z942" s="11"/>
    </row>
    <row r="943" spans="1:26">
      <c r="A943" s="48"/>
      <c r="B943" s="48"/>
      <c r="C943" s="52" t="s">
        <v>892</v>
      </c>
      <c r="D943" s="52"/>
      <c r="E943" s="52"/>
      <c r="F943" s="52"/>
      <c r="G943" s="52"/>
      <c r="H943" s="52"/>
      <c r="I943" s="52"/>
      <c r="J943" s="52" t="s">
        <v>58</v>
      </c>
      <c r="K943" s="49"/>
      <c r="L943" s="53"/>
      <c r="M943" s="54">
        <f t="shared" ref="M943:V943" si="603">M942/L942-1</f>
        <v>6.9900683013842668E-2</v>
      </c>
      <c r="N943" s="54">
        <f t="shared" si="603"/>
        <v>-0.23747717927502732</v>
      </c>
      <c r="O943" s="54">
        <f t="shared" si="603"/>
        <v>-0.11472782051569586</v>
      </c>
      <c r="P943" s="54">
        <f t="shared" si="603"/>
        <v>-8.4208234383625902E-3</v>
      </c>
      <c r="Q943" s="54">
        <f>Q942/P942-1</f>
        <v>1.1912163599561598E-2</v>
      </c>
      <c r="R943" s="54">
        <f t="shared" si="603"/>
        <v>-1</v>
      </c>
      <c r="S943" s="54" t="e">
        <f t="shared" si="603"/>
        <v>#DIV/0!</v>
      </c>
      <c r="T943" s="54" t="e">
        <f t="shared" si="603"/>
        <v>#DIV/0!</v>
      </c>
      <c r="U943" s="54" t="e">
        <f t="shared" si="603"/>
        <v>#DIV/0!</v>
      </c>
      <c r="V943" s="54" t="e">
        <f t="shared" si="603"/>
        <v>#DIV/0!</v>
      </c>
      <c r="W943" s="258"/>
      <c r="X943" s="258"/>
    </row>
    <row r="944" spans="1:26">
      <c r="A944" s="46" t="str">
        <f>Home!$B$1</f>
        <v>Poland</v>
      </c>
      <c r="B944" s="47" t="s">
        <v>94</v>
      </c>
      <c r="C944" s="47" t="s">
        <v>546</v>
      </c>
      <c r="D944" s="46" t="s">
        <v>74</v>
      </c>
      <c r="E944" s="48"/>
      <c r="F944" s="48" t="s">
        <v>713</v>
      </c>
      <c r="G944" s="48" t="s">
        <v>15</v>
      </c>
      <c r="H944" s="48" t="s">
        <v>16</v>
      </c>
      <c r="I944" s="48"/>
      <c r="J944" s="48" t="s">
        <v>99</v>
      </c>
      <c r="K944" s="76">
        <f>SUM(K945:K981)</f>
        <v>0</v>
      </c>
      <c r="L944" s="92">
        <f>SUM(L946,L948,L950,L952,L954,L956,L958,L960,L962,L964,L966,L968,L970,L972,L974,L976,L978,L980,L982,L984,L986,L988,L990,L992,L994,L996,L998,L1000,L1002,L1004,L1006,L1008,L1010,L1012,L1014,L1016,L1018,L1020)</f>
        <v>11.996385251827457</v>
      </c>
      <c r="M944" s="92">
        <f t="shared" ref="M944:Q944" si="604">SUM(M946,M948,M950,M952,M954,M956,M958,M960,M962,M964,M966,M968,M970,M972,M974,M976,M978,M980,M982,M984,M986,M988,M990,M992,M994,M996,M998,M1000,M1002,M1004,M1006,M1008,M1010,M1012,M1014,M1016,M1018,M1020)</f>
        <v>12.524138485018877</v>
      </c>
      <c r="N944" s="92">
        <f t="shared" si="604"/>
        <v>11.434894369025624</v>
      </c>
      <c r="O944" s="92">
        <f t="shared" si="604"/>
        <v>12.085000000000001</v>
      </c>
      <c r="P944" s="92">
        <f t="shared" si="604"/>
        <v>11.131</v>
      </c>
      <c r="Q944" s="92">
        <f t="shared" si="604"/>
        <v>10.924589509669229</v>
      </c>
      <c r="R944" s="110">
        <f>Forecasting!R1058</f>
        <v>11.052970151400105</v>
      </c>
      <c r="S944" s="110">
        <f>Forecasting!S1058</f>
        <v>11.15136817646154</v>
      </c>
      <c r="T944" s="110">
        <f>Forecasting!T1058</f>
        <v>11.368881584437096</v>
      </c>
      <c r="U944" s="110">
        <f>Forecasting!U1058</f>
        <v>11.535269797706436</v>
      </c>
      <c r="V944" s="110">
        <f>Forecasting!V1058</f>
        <v>11.744023317050152</v>
      </c>
      <c r="W944" s="102">
        <f>+(Q944/M944)^(1/4)-1</f>
        <v>-3.3583543753666789E-2</v>
      </c>
      <c r="X944" s="102">
        <f>+(V944/Q944)^(1/5)-1</f>
        <v>1.4570792069248606E-2</v>
      </c>
      <c r="Z944" s="11"/>
    </row>
    <row r="945" spans="1:26">
      <c r="A945" s="48"/>
      <c r="B945" s="48"/>
      <c r="C945" s="52" t="s">
        <v>892</v>
      </c>
      <c r="D945" s="52"/>
      <c r="E945" s="52"/>
      <c r="F945" s="52"/>
      <c r="G945" s="52"/>
      <c r="H945" s="52"/>
      <c r="I945" s="52"/>
      <c r="J945" s="52" t="s">
        <v>58</v>
      </c>
      <c r="K945" s="49"/>
      <c r="L945" s="53"/>
      <c r="M945" s="54">
        <f t="shared" ref="M945:V945" si="605">M944/L944-1</f>
        <v>4.3992687973323008E-2</v>
      </c>
      <c r="N945" s="54">
        <f t="shared" si="605"/>
        <v>-8.6971580304400553E-2</v>
      </c>
      <c r="O945" s="54">
        <f t="shared" si="605"/>
        <v>5.6852788490583395E-2</v>
      </c>
      <c r="P945" s="54">
        <f t="shared" si="605"/>
        <v>-7.8940835746793558E-2</v>
      </c>
      <c r="Q945" s="54">
        <f t="shared" si="605"/>
        <v>-1.8543750815809168E-2</v>
      </c>
      <c r="R945" s="54">
        <f t="shared" si="605"/>
        <v>1.1751530033897284E-2</v>
      </c>
      <c r="S945" s="54">
        <f t="shared" si="605"/>
        <v>8.9024057528075407E-3</v>
      </c>
      <c r="T945" s="54">
        <f t="shared" si="605"/>
        <v>1.9505535512197136E-2</v>
      </c>
      <c r="U945" s="54">
        <f t="shared" si="605"/>
        <v>1.4635407364705921E-2</v>
      </c>
      <c r="V945" s="54">
        <f t="shared" si="605"/>
        <v>1.8096977617742649E-2</v>
      </c>
      <c r="W945" s="258"/>
      <c r="X945" s="258"/>
    </row>
    <row r="946" spans="1:26">
      <c r="A946" s="46" t="str">
        <f>Home!$B$1</f>
        <v>Poland</v>
      </c>
      <c r="B946" s="47" t="s">
        <v>94</v>
      </c>
      <c r="C946" s="47" t="s">
        <v>546</v>
      </c>
      <c r="D946" s="47" t="s">
        <v>74</v>
      </c>
      <c r="E946" s="46" t="s">
        <v>458</v>
      </c>
      <c r="F946" s="48" t="s">
        <v>714</v>
      </c>
      <c r="G946" s="48" t="s">
        <v>15</v>
      </c>
      <c r="H946" s="48" t="s">
        <v>16</v>
      </c>
      <c r="I946" s="48"/>
      <c r="J946" s="48" t="s">
        <v>99</v>
      </c>
      <c r="K946" s="49"/>
      <c r="L946" s="92">
        <f>VLOOKUP(E946,'Tourism Demand &amp; Flows'!$E$342:$P$548,8,0)</f>
        <v>0</v>
      </c>
      <c r="M946" s="92">
        <f>VLOOKUP(E946,'Tourism Demand &amp; Flows'!$E$342:$P$548,9,0)</f>
        <v>0</v>
      </c>
      <c r="N946" s="92">
        <f>VLOOKUP(E946,'Tourism Demand &amp; Flows'!$E$342:$P$548,10,0)</f>
        <v>0</v>
      </c>
      <c r="O946" s="92">
        <f>VLOOKUP(E946,'Tourism Demand &amp; Flows'!$E$342:$P$548,11,0)</f>
        <v>0</v>
      </c>
      <c r="P946" s="92">
        <f>VLOOKUP(E946,'Tourism Demand &amp; Flows'!$E$342:$P$548,12,0)</f>
        <v>0</v>
      </c>
      <c r="Q946" s="92">
        <f>Forecasting!Q1074</f>
        <v>0</v>
      </c>
      <c r="R946" s="110">
        <f>Forecasting!R1074</f>
        <v>0</v>
      </c>
      <c r="S946" s="110">
        <f>Forecasting!S1074</f>
        <v>0</v>
      </c>
      <c r="T946" s="110">
        <f>Forecasting!T1074</f>
        <v>0</v>
      </c>
      <c r="U946" s="110">
        <f>Forecasting!U1074</f>
        <v>0</v>
      </c>
      <c r="V946" s="110">
        <f>Forecasting!V1074</f>
        <v>0</v>
      </c>
      <c r="W946" s="102" t="e">
        <f>+(Q946/M946)^(1/4)-1</f>
        <v>#DIV/0!</v>
      </c>
      <c r="X946" s="102" t="e">
        <f>+(V946/Q946)^(1/5)-1</f>
        <v>#DIV/0!</v>
      </c>
      <c r="Z946" s="11"/>
    </row>
    <row r="947" spans="1:26">
      <c r="A947" s="48"/>
      <c r="B947" s="48"/>
      <c r="C947" s="52" t="s">
        <v>892</v>
      </c>
      <c r="D947" s="52"/>
      <c r="E947" s="52"/>
      <c r="F947" s="52"/>
      <c r="G947" s="52"/>
      <c r="H947" s="52"/>
      <c r="I947" s="52"/>
      <c r="J947" s="52" t="s">
        <v>58</v>
      </c>
      <c r="K947" s="49"/>
      <c r="L947" s="53"/>
      <c r="M947" s="54" t="e">
        <f t="shared" ref="M947:V947" si="606">M946/L946-1</f>
        <v>#DIV/0!</v>
      </c>
      <c r="N947" s="54" t="e">
        <f t="shared" si="606"/>
        <v>#DIV/0!</v>
      </c>
      <c r="O947" s="54" t="e">
        <f t="shared" si="606"/>
        <v>#DIV/0!</v>
      </c>
      <c r="P947" s="54" t="e">
        <f t="shared" si="606"/>
        <v>#DIV/0!</v>
      </c>
      <c r="Q947" s="54" t="e">
        <f t="shared" si="606"/>
        <v>#DIV/0!</v>
      </c>
      <c r="R947" s="54" t="e">
        <f t="shared" si="606"/>
        <v>#DIV/0!</v>
      </c>
      <c r="S947" s="54" t="e">
        <f t="shared" si="606"/>
        <v>#DIV/0!</v>
      </c>
      <c r="T947" s="54" t="e">
        <f t="shared" si="606"/>
        <v>#DIV/0!</v>
      </c>
      <c r="U947" s="54" t="e">
        <f t="shared" si="606"/>
        <v>#DIV/0!</v>
      </c>
      <c r="V947" s="54" t="e">
        <f t="shared" si="606"/>
        <v>#DIV/0!</v>
      </c>
      <c r="W947" s="258"/>
      <c r="X947" s="258"/>
    </row>
    <row r="948" spans="1:26">
      <c r="A948" s="46" t="str">
        <f>Home!$B$1</f>
        <v>Poland</v>
      </c>
      <c r="B948" s="47" t="s">
        <v>94</v>
      </c>
      <c r="C948" s="47" t="s">
        <v>546</v>
      </c>
      <c r="D948" s="47" t="s">
        <v>74</v>
      </c>
      <c r="E948" s="46" t="s">
        <v>460</v>
      </c>
      <c r="F948" s="48" t="s">
        <v>715</v>
      </c>
      <c r="G948" s="48" t="s">
        <v>15</v>
      </c>
      <c r="H948" s="48" t="s">
        <v>16</v>
      </c>
      <c r="I948" s="48"/>
      <c r="J948" s="48" t="s">
        <v>99</v>
      </c>
      <c r="K948" s="49"/>
      <c r="L948" s="92">
        <f>VLOOKUP(E948,'Tourism Demand &amp; Flows'!$E$342:$P$548,8,0)</f>
        <v>0</v>
      </c>
      <c r="M948" s="92">
        <f>VLOOKUP(E948,'Tourism Demand &amp; Flows'!$E$342:$P$548,9,0)</f>
        <v>0</v>
      </c>
      <c r="N948" s="92">
        <f>VLOOKUP(E948,'Tourism Demand &amp; Flows'!$E$342:$P$548,10,0)</f>
        <v>0</v>
      </c>
      <c r="O948" s="92">
        <f>VLOOKUP(E948,'Tourism Demand &amp; Flows'!$E$342:$P$548,11,0)</f>
        <v>0</v>
      </c>
      <c r="P948" s="92">
        <f>VLOOKUP(E948,'Tourism Demand &amp; Flows'!$E$342:$P$548,12,0)</f>
        <v>0</v>
      </c>
      <c r="Q948" s="92">
        <f>Forecasting!Q1076</f>
        <v>0</v>
      </c>
      <c r="R948" s="110">
        <f>Forecasting!R1076</f>
        <v>0</v>
      </c>
      <c r="S948" s="110">
        <f>Forecasting!S1076</f>
        <v>0</v>
      </c>
      <c r="T948" s="110">
        <f>Forecasting!T1076</f>
        <v>0</v>
      </c>
      <c r="U948" s="110">
        <f>Forecasting!U1076</f>
        <v>0</v>
      </c>
      <c r="V948" s="110">
        <f>Forecasting!V1076</f>
        <v>0</v>
      </c>
      <c r="W948" s="102" t="e">
        <f>+(Q948/M948)^(1/4)-1</f>
        <v>#DIV/0!</v>
      </c>
      <c r="X948" s="102" t="e">
        <f>+(V948/Q948)^(1/5)-1</f>
        <v>#DIV/0!</v>
      </c>
      <c r="Z948" s="11"/>
    </row>
    <row r="949" spans="1:26">
      <c r="A949" s="48"/>
      <c r="B949" s="48"/>
      <c r="C949" s="52" t="s">
        <v>892</v>
      </c>
      <c r="D949" s="52"/>
      <c r="E949" s="52"/>
      <c r="F949" s="52"/>
      <c r="G949" s="52"/>
      <c r="H949" s="52"/>
      <c r="I949" s="52"/>
      <c r="J949" s="52" t="s">
        <v>58</v>
      </c>
      <c r="K949" s="49"/>
      <c r="L949" s="53"/>
      <c r="M949" s="54" t="e">
        <f t="shared" ref="M949:V949" si="607">M948/L948-1</f>
        <v>#DIV/0!</v>
      </c>
      <c r="N949" s="54" t="e">
        <f t="shared" si="607"/>
        <v>#DIV/0!</v>
      </c>
      <c r="O949" s="54" t="e">
        <f t="shared" si="607"/>
        <v>#DIV/0!</v>
      </c>
      <c r="P949" s="54" t="e">
        <f t="shared" si="607"/>
        <v>#DIV/0!</v>
      </c>
      <c r="Q949" s="54" t="e">
        <f t="shared" si="607"/>
        <v>#DIV/0!</v>
      </c>
      <c r="R949" s="54" t="e">
        <f t="shared" si="607"/>
        <v>#DIV/0!</v>
      </c>
      <c r="S949" s="54" t="e">
        <f t="shared" si="607"/>
        <v>#DIV/0!</v>
      </c>
      <c r="T949" s="54" t="e">
        <f t="shared" si="607"/>
        <v>#DIV/0!</v>
      </c>
      <c r="U949" s="54" t="e">
        <f t="shared" si="607"/>
        <v>#DIV/0!</v>
      </c>
      <c r="V949" s="54" t="e">
        <f t="shared" si="607"/>
        <v>#DIV/0!</v>
      </c>
      <c r="W949" s="258"/>
      <c r="X949" s="258"/>
    </row>
    <row r="950" spans="1:26">
      <c r="A950" s="46" t="str">
        <f>Home!$B$1</f>
        <v>Poland</v>
      </c>
      <c r="B950" s="47" t="s">
        <v>94</v>
      </c>
      <c r="C950" s="47" t="s">
        <v>546</v>
      </c>
      <c r="D950" s="47" t="s">
        <v>74</v>
      </c>
      <c r="E950" s="46" t="s">
        <v>462</v>
      </c>
      <c r="F950" s="48" t="s">
        <v>716</v>
      </c>
      <c r="G950" s="48" t="s">
        <v>15</v>
      </c>
      <c r="H950" s="48" t="s">
        <v>16</v>
      </c>
      <c r="I950" s="48"/>
      <c r="J950" s="48" t="s">
        <v>99</v>
      </c>
      <c r="K950" s="49"/>
      <c r="L950" s="92">
        <f>VLOOKUP(E950,'Tourism Demand &amp; Flows'!$E$342:$P$548,8,0)</f>
        <v>0</v>
      </c>
      <c r="M950" s="92">
        <f>VLOOKUP(E950,'Tourism Demand &amp; Flows'!$E$342:$P$548,9,0)</f>
        <v>0</v>
      </c>
      <c r="N950" s="92">
        <f>VLOOKUP(E950,'Tourism Demand &amp; Flows'!$E$342:$P$548,10,0)</f>
        <v>0</v>
      </c>
      <c r="O950" s="92">
        <f>VLOOKUP(E950,'Tourism Demand &amp; Flows'!$E$342:$P$548,11,0)</f>
        <v>0</v>
      </c>
      <c r="P950" s="92">
        <f>VLOOKUP(E950,'Tourism Demand &amp; Flows'!$E$342:$P$548,12,0)</f>
        <v>0</v>
      </c>
      <c r="Q950" s="92">
        <f>Forecasting!Q1078</f>
        <v>0</v>
      </c>
      <c r="R950" s="110">
        <f>Forecasting!R1078</f>
        <v>0</v>
      </c>
      <c r="S950" s="110">
        <f>Forecasting!S1078</f>
        <v>0</v>
      </c>
      <c r="T950" s="110">
        <f>Forecasting!T1078</f>
        <v>0</v>
      </c>
      <c r="U950" s="110">
        <f>Forecasting!U1078</f>
        <v>0</v>
      </c>
      <c r="V950" s="110">
        <f>Forecasting!V1078</f>
        <v>0</v>
      </c>
      <c r="W950" s="102" t="e">
        <f>+(Q950/M950)^(1/4)-1</f>
        <v>#DIV/0!</v>
      </c>
      <c r="X950" s="102" t="e">
        <f>+(V950/Q950)^(1/5)-1</f>
        <v>#DIV/0!</v>
      </c>
      <c r="Z950" s="11"/>
    </row>
    <row r="951" spans="1:26">
      <c r="A951" s="48"/>
      <c r="B951" s="48"/>
      <c r="C951" s="52" t="s">
        <v>892</v>
      </c>
      <c r="D951" s="52"/>
      <c r="E951" s="52"/>
      <c r="F951" s="52"/>
      <c r="G951" s="52"/>
      <c r="H951" s="52"/>
      <c r="I951" s="52"/>
      <c r="J951" s="52" t="s">
        <v>58</v>
      </c>
      <c r="K951" s="49"/>
      <c r="L951" s="53"/>
      <c r="M951" s="54" t="e">
        <f t="shared" ref="M951:V951" si="608">M950/L950-1</f>
        <v>#DIV/0!</v>
      </c>
      <c r="N951" s="54" t="e">
        <f t="shared" si="608"/>
        <v>#DIV/0!</v>
      </c>
      <c r="O951" s="54" t="e">
        <f t="shared" si="608"/>
        <v>#DIV/0!</v>
      </c>
      <c r="P951" s="54" t="e">
        <f t="shared" si="608"/>
        <v>#DIV/0!</v>
      </c>
      <c r="Q951" s="54" t="e">
        <f t="shared" si="608"/>
        <v>#DIV/0!</v>
      </c>
      <c r="R951" s="54" t="e">
        <f t="shared" si="608"/>
        <v>#DIV/0!</v>
      </c>
      <c r="S951" s="54" t="e">
        <f t="shared" si="608"/>
        <v>#DIV/0!</v>
      </c>
      <c r="T951" s="54" t="e">
        <f t="shared" si="608"/>
        <v>#DIV/0!</v>
      </c>
      <c r="U951" s="54" t="e">
        <f t="shared" si="608"/>
        <v>#DIV/0!</v>
      </c>
      <c r="V951" s="54" t="e">
        <f t="shared" si="608"/>
        <v>#DIV/0!</v>
      </c>
      <c r="W951" s="258"/>
      <c r="X951" s="258"/>
    </row>
    <row r="952" spans="1:26">
      <c r="A952" s="46" t="str">
        <f>Home!$B$1</f>
        <v>Poland</v>
      </c>
      <c r="B952" s="47" t="s">
        <v>94</v>
      </c>
      <c r="C952" s="47" t="s">
        <v>546</v>
      </c>
      <c r="D952" s="47" t="s">
        <v>74</v>
      </c>
      <c r="E952" s="46" t="s">
        <v>464</v>
      </c>
      <c r="F952" s="48" t="s">
        <v>717</v>
      </c>
      <c r="G952" s="48" t="s">
        <v>15</v>
      </c>
      <c r="H952" s="48" t="s">
        <v>16</v>
      </c>
      <c r="I952" s="48"/>
      <c r="J952" s="48" t="s">
        <v>99</v>
      </c>
      <c r="K952" s="49"/>
      <c r="L952" s="92">
        <f>VLOOKUP(E952,'Tourism Demand &amp; Flows'!$E$342:$P$548,8,0)</f>
        <v>0</v>
      </c>
      <c r="M952" s="92">
        <f>VLOOKUP(E952,'Tourism Demand &amp; Flows'!$E$342:$P$548,9,0)</f>
        <v>0</v>
      </c>
      <c r="N952" s="92">
        <f>VLOOKUP(E952,'Tourism Demand &amp; Flows'!$E$342:$P$548,10,0)</f>
        <v>0</v>
      </c>
      <c r="O952" s="92">
        <f>VLOOKUP(E952,'Tourism Demand &amp; Flows'!$E$342:$P$548,11,0)</f>
        <v>0</v>
      </c>
      <c r="P952" s="92">
        <f>VLOOKUP(E952,'Tourism Demand &amp; Flows'!$E$342:$P$548,12,0)</f>
        <v>0</v>
      </c>
      <c r="Q952" s="92">
        <f>Forecasting!Q1080</f>
        <v>0</v>
      </c>
      <c r="R952" s="110">
        <f>Forecasting!R1080</f>
        <v>0</v>
      </c>
      <c r="S952" s="110">
        <f>Forecasting!S1080</f>
        <v>0</v>
      </c>
      <c r="T952" s="110">
        <f>Forecasting!T1080</f>
        <v>0</v>
      </c>
      <c r="U952" s="110">
        <f>Forecasting!U1080</f>
        <v>0</v>
      </c>
      <c r="V952" s="110">
        <f>Forecasting!V1080</f>
        <v>0</v>
      </c>
      <c r="W952" s="102" t="e">
        <f>+(Q952/M952)^(1/4)-1</f>
        <v>#DIV/0!</v>
      </c>
      <c r="X952" s="102" t="e">
        <f>+(V952/Q952)^(1/5)-1</f>
        <v>#DIV/0!</v>
      </c>
      <c r="Z952" s="11"/>
    </row>
    <row r="953" spans="1:26">
      <c r="A953" s="48"/>
      <c r="B953" s="48"/>
      <c r="C953" s="52" t="s">
        <v>892</v>
      </c>
      <c r="D953" s="52"/>
      <c r="E953" s="52"/>
      <c r="F953" s="52"/>
      <c r="G953" s="52"/>
      <c r="H953" s="52"/>
      <c r="I953" s="52"/>
      <c r="J953" s="52" t="s">
        <v>58</v>
      </c>
      <c r="K953" s="49"/>
      <c r="L953" s="53"/>
      <c r="M953" s="54" t="e">
        <f t="shared" ref="M953:V953" si="609">M952/L952-1</f>
        <v>#DIV/0!</v>
      </c>
      <c r="N953" s="54" t="e">
        <f t="shared" si="609"/>
        <v>#DIV/0!</v>
      </c>
      <c r="O953" s="54" t="e">
        <f t="shared" si="609"/>
        <v>#DIV/0!</v>
      </c>
      <c r="P953" s="54" t="e">
        <f t="shared" si="609"/>
        <v>#DIV/0!</v>
      </c>
      <c r="Q953" s="54" t="e">
        <f t="shared" si="609"/>
        <v>#DIV/0!</v>
      </c>
      <c r="R953" s="54" t="e">
        <f t="shared" si="609"/>
        <v>#DIV/0!</v>
      </c>
      <c r="S953" s="54" t="e">
        <f t="shared" si="609"/>
        <v>#DIV/0!</v>
      </c>
      <c r="T953" s="54" t="e">
        <f t="shared" si="609"/>
        <v>#DIV/0!</v>
      </c>
      <c r="U953" s="54" t="e">
        <f t="shared" si="609"/>
        <v>#DIV/0!</v>
      </c>
      <c r="V953" s="54" t="e">
        <f t="shared" si="609"/>
        <v>#DIV/0!</v>
      </c>
      <c r="W953" s="258"/>
      <c r="X953" s="258"/>
    </row>
    <row r="954" spans="1:26">
      <c r="A954" s="46" t="str">
        <f>Home!$B$1</f>
        <v>Poland</v>
      </c>
      <c r="B954" s="47" t="s">
        <v>94</v>
      </c>
      <c r="C954" s="47" t="s">
        <v>546</v>
      </c>
      <c r="D954" s="47" t="s">
        <v>74</v>
      </c>
      <c r="E954" s="46" t="s">
        <v>466</v>
      </c>
      <c r="F954" s="48" t="s">
        <v>718</v>
      </c>
      <c r="G954" s="48" t="s">
        <v>15</v>
      </c>
      <c r="H954" s="48" t="s">
        <v>16</v>
      </c>
      <c r="I954" s="48"/>
      <c r="J954" s="48" t="s">
        <v>99</v>
      </c>
      <c r="K954" s="49"/>
      <c r="L954" s="92">
        <f>VLOOKUP(E954,'Tourism Demand &amp; Flows'!$E$342:$P$548,8,0)</f>
        <v>0</v>
      </c>
      <c r="M954" s="92">
        <f>VLOOKUP(E954,'Tourism Demand &amp; Flows'!$E$342:$P$548,9,0)</f>
        <v>0</v>
      </c>
      <c r="N954" s="92">
        <f>VLOOKUP(E954,'Tourism Demand &amp; Flows'!$E$342:$P$548,10,0)</f>
        <v>0</v>
      </c>
      <c r="O954" s="92">
        <f>VLOOKUP(E954,'Tourism Demand &amp; Flows'!$E$342:$P$548,11,0)</f>
        <v>0</v>
      </c>
      <c r="P954" s="92">
        <f>VLOOKUP(E954,'Tourism Demand &amp; Flows'!$E$342:$P$548,12,0)</f>
        <v>0</v>
      </c>
      <c r="Q954" s="92">
        <f>Forecasting!Q1082</f>
        <v>0</v>
      </c>
      <c r="R954" s="110">
        <f>Forecasting!R1082</f>
        <v>0</v>
      </c>
      <c r="S954" s="110">
        <f>Forecasting!S1082</f>
        <v>0</v>
      </c>
      <c r="T954" s="110">
        <f>Forecasting!T1082</f>
        <v>0</v>
      </c>
      <c r="U954" s="110">
        <f>Forecasting!U1082</f>
        <v>0</v>
      </c>
      <c r="V954" s="110">
        <f>Forecasting!V1082</f>
        <v>0</v>
      </c>
      <c r="W954" s="102" t="e">
        <f>+(Q954/M954)^(1/4)-1</f>
        <v>#DIV/0!</v>
      </c>
      <c r="X954" s="102" t="e">
        <f>+(V954/Q954)^(1/5)-1</f>
        <v>#DIV/0!</v>
      </c>
      <c r="Z954" s="11"/>
    </row>
    <row r="955" spans="1:26">
      <c r="A955" s="48"/>
      <c r="B955" s="48"/>
      <c r="C955" s="52" t="s">
        <v>892</v>
      </c>
      <c r="D955" s="52"/>
      <c r="E955" s="52"/>
      <c r="F955" s="52"/>
      <c r="G955" s="52"/>
      <c r="H955" s="52"/>
      <c r="I955" s="52"/>
      <c r="J955" s="52" t="s">
        <v>58</v>
      </c>
      <c r="K955" s="49"/>
      <c r="L955" s="53"/>
      <c r="M955" s="54" t="e">
        <f t="shared" ref="M955:V955" si="610">M954/L954-1</f>
        <v>#DIV/0!</v>
      </c>
      <c r="N955" s="54" t="e">
        <f t="shared" si="610"/>
        <v>#DIV/0!</v>
      </c>
      <c r="O955" s="54" t="e">
        <f t="shared" si="610"/>
        <v>#DIV/0!</v>
      </c>
      <c r="P955" s="54" t="e">
        <f t="shared" si="610"/>
        <v>#DIV/0!</v>
      </c>
      <c r="Q955" s="54" t="e">
        <f t="shared" si="610"/>
        <v>#DIV/0!</v>
      </c>
      <c r="R955" s="54" t="e">
        <f t="shared" si="610"/>
        <v>#DIV/0!</v>
      </c>
      <c r="S955" s="54" t="e">
        <f t="shared" si="610"/>
        <v>#DIV/0!</v>
      </c>
      <c r="T955" s="54" t="e">
        <f t="shared" si="610"/>
        <v>#DIV/0!</v>
      </c>
      <c r="U955" s="54" t="e">
        <f t="shared" si="610"/>
        <v>#DIV/0!</v>
      </c>
      <c r="V955" s="54" t="e">
        <f t="shared" si="610"/>
        <v>#DIV/0!</v>
      </c>
      <c r="W955" s="258"/>
      <c r="X955" s="258"/>
    </row>
    <row r="956" spans="1:26">
      <c r="A956" s="46" t="str">
        <f>Home!$B$1</f>
        <v>Poland</v>
      </c>
      <c r="B956" s="47" t="s">
        <v>94</v>
      </c>
      <c r="C956" s="47" t="s">
        <v>546</v>
      </c>
      <c r="D956" s="47" t="s">
        <v>74</v>
      </c>
      <c r="E956" s="46" t="s">
        <v>468</v>
      </c>
      <c r="F956" s="48" t="s">
        <v>719</v>
      </c>
      <c r="G956" s="48" t="s">
        <v>15</v>
      </c>
      <c r="H956" s="48" t="s">
        <v>16</v>
      </c>
      <c r="I956" s="48"/>
      <c r="J956" s="48" t="s">
        <v>99</v>
      </c>
      <c r="K956" s="49"/>
      <c r="L956" s="92">
        <f>VLOOKUP(E956,'Tourism Demand &amp; Flows'!$E$342:$P$548,8,0)</f>
        <v>0</v>
      </c>
      <c r="M956" s="92">
        <f>VLOOKUP(E956,'Tourism Demand &amp; Flows'!$E$342:$P$548,9,0)</f>
        <v>0</v>
      </c>
      <c r="N956" s="92">
        <f>VLOOKUP(E956,'Tourism Demand &amp; Flows'!$E$342:$P$548,10,0)</f>
        <v>0</v>
      </c>
      <c r="O956" s="92">
        <f>VLOOKUP(E956,'Tourism Demand &amp; Flows'!$E$342:$P$548,11,0)</f>
        <v>0</v>
      </c>
      <c r="P956" s="92">
        <f>VLOOKUP(E956,'Tourism Demand &amp; Flows'!$E$342:$P$548,12,0)</f>
        <v>0</v>
      </c>
      <c r="Q956" s="92">
        <f>Forecasting!Q1084</f>
        <v>0</v>
      </c>
      <c r="R956" s="110">
        <f>Forecasting!R1084</f>
        <v>0</v>
      </c>
      <c r="S956" s="110">
        <f>Forecasting!S1084</f>
        <v>0</v>
      </c>
      <c r="T956" s="110">
        <f>Forecasting!T1084</f>
        <v>0</v>
      </c>
      <c r="U956" s="110">
        <f>Forecasting!U1084</f>
        <v>0</v>
      </c>
      <c r="V956" s="110">
        <f>Forecasting!V1084</f>
        <v>0</v>
      </c>
      <c r="W956" s="102" t="e">
        <f>+(Q956/M956)^(1/4)-1</f>
        <v>#DIV/0!</v>
      </c>
      <c r="X956" s="102" t="e">
        <f>+(V956/Q956)^(1/5)-1</f>
        <v>#DIV/0!</v>
      </c>
      <c r="Z956" s="11"/>
    </row>
    <row r="957" spans="1:26">
      <c r="A957" s="48"/>
      <c r="B957" s="48"/>
      <c r="C957" s="52" t="s">
        <v>892</v>
      </c>
      <c r="D957" s="52"/>
      <c r="E957" s="52"/>
      <c r="F957" s="52"/>
      <c r="G957" s="52"/>
      <c r="H957" s="52"/>
      <c r="I957" s="52"/>
      <c r="J957" s="52" t="s">
        <v>58</v>
      </c>
      <c r="K957" s="49"/>
      <c r="L957" s="53"/>
      <c r="M957" s="54" t="e">
        <f t="shared" ref="M957:V957" si="611">M956/L956-1</f>
        <v>#DIV/0!</v>
      </c>
      <c r="N957" s="54" t="e">
        <f t="shared" si="611"/>
        <v>#DIV/0!</v>
      </c>
      <c r="O957" s="54" t="e">
        <f t="shared" si="611"/>
        <v>#DIV/0!</v>
      </c>
      <c r="P957" s="54" t="e">
        <f t="shared" si="611"/>
        <v>#DIV/0!</v>
      </c>
      <c r="Q957" s="54" t="e">
        <f t="shared" si="611"/>
        <v>#DIV/0!</v>
      </c>
      <c r="R957" s="54" t="e">
        <f t="shared" si="611"/>
        <v>#DIV/0!</v>
      </c>
      <c r="S957" s="54" t="e">
        <f t="shared" si="611"/>
        <v>#DIV/0!</v>
      </c>
      <c r="T957" s="54" t="e">
        <f t="shared" si="611"/>
        <v>#DIV/0!</v>
      </c>
      <c r="U957" s="54" t="e">
        <f t="shared" si="611"/>
        <v>#DIV/0!</v>
      </c>
      <c r="V957" s="54" t="e">
        <f t="shared" si="611"/>
        <v>#DIV/0!</v>
      </c>
      <c r="W957" s="258"/>
      <c r="X957" s="258"/>
    </row>
    <row r="958" spans="1:26">
      <c r="A958" s="46" t="str">
        <f>Home!$B$1</f>
        <v>Poland</v>
      </c>
      <c r="B958" s="47" t="s">
        <v>94</v>
      </c>
      <c r="C958" s="47" t="s">
        <v>546</v>
      </c>
      <c r="D958" s="47" t="s">
        <v>74</v>
      </c>
      <c r="E958" s="46" t="s">
        <v>470</v>
      </c>
      <c r="F958" s="48" t="s">
        <v>720</v>
      </c>
      <c r="G958" s="48" t="s">
        <v>15</v>
      </c>
      <c r="H958" s="48" t="s">
        <v>16</v>
      </c>
      <c r="I958" s="48"/>
      <c r="J958" s="48" t="s">
        <v>99</v>
      </c>
      <c r="K958" s="49"/>
      <c r="L958" s="92">
        <f>VLOOKUP(E958,'Tourism Demand &amp; Flows'!$E$342:$P$548,8,0)</f>
        <v>0</v>
      </c>
      <c r="M958" s="92">
        <f>VLOOKUP(E958,'Tourism Demand &amp; Flows'!$E$342:$P$548,9,0)</f>
        <v>0</v>
      </c>
      <c r="N958" s="92">
        <f>VLOOKUP(E958,'Tourism Demand &amp; Flows'!$E$342:$P$548,10,0)</f>
        <v>0</v>
      </c>
      <c r="O958" s="92">
        <f>VLOOKUP(E958,'Tourism Demand &amp; Flows'!$E$342:$P$548,11,0)</f>
        <v>0</v>
      </c>
      <c r="P958" s="92">
        <f>VLOOKUP(E958,'Tourism Demand &amp; Flows'!$E$342:$P$548,12,0)</f>
        <v>0</v>
      </c>
      <c r="Q958" s="92">
        <f>Forecasting!Q1086</f>
        <v>0</v>
      </c>
      <c r="R958" s="110">
        <f>Forecasting!R1086</f>
        <v>0</v>
      </c>
      <c r="S958" s="110">
        <f>Forecasting!S1086</f>
        <v>0</v>
      </c>
      <c r="T958" s="110">
        <f>Forecasting!T1086</f>
        <v>0</v>
      </c>
      <c r="U958" s="110">
        <f>Forecasting!U1086</f>
        <v>0</v>
      </c>
      <c r="V958" s="110">
        <f>Forecasting!V1086</f>
        <v>0</v>
      </c>
      <c r="W958" s="102" t="e">
        <f>+(Q958/M958)^(1/4)-1</f>
        <v>#DIV/0!</v>
      </c>
      <c r="X958" s="102" t="e">
        <f>+(V958/Q958)^(1/5)-1</f>
        <v>#DIV/0!</v>
      </c>
      <c r="Z958" s="11"/>
    </row>
    <row r="959" spans="1:26">
      <c r="A959" s="48"/>
      <c r="B959" s="48"/>
      <c r="C959" s="52" t="s">
        <v>892</v>
      </c>
      <c r="D959" s="52"/>
      <c r="E959" s="52"/>
      <c r="F959" s="52"/>
      <c r="G959" s="52"/>
      <c r="H959" s="52"/>
      <c r="I959" s="52"/>
      <c r="J959" s="52" t="s">
        <v>58</v>
      </c>
      <c r="K959" s="49"/>
      <c r="L959" s="53"/>
      <c r="M959" s="54" t="e">
        <f t="shared" ref="M959:V959" si="612">M958/L958-1</f>
        <v>#DIV/0!</v>
      </c>
      <c r="N959" s="54" t="e">
        <f t="shared" si="612"/>
        <v>#DIV/0!</v>
      </c>
      <c r="O959" s="54" t="e">
        <f t="shared" si="612"/>
        <v>#DIV/0!</v>
      </c>
      <c r="P959" s="54" t="e">
        <f t="shared" si="612"/>
        <v>#DIV/0!</v>
      </c>
      <c r="Q959" s="54" t="e">
        <f t="shared" si="612"/>
        <v>#DIV/0!</v>
      </c>
      <c r="R959" s="54" t="e">
        <f t="shared" si="612"/>
        <v>#DIV/0!</v>
      </c>
      <c r="S959" s="54" t="e">
        <f t="shared" si="612"/>
        <v>#DIV/0!</v>
      </c>
      <c r="T959" s="54" t="e">
        <f t="shared" si="612"/>
        <v>#DIV/0!</v>
      </c>
      <c r="U959" s="54" t="e">
        <f t="shared" si="612"/>
        <v>#DIV/0!</v>
      </c>
      <c r="V959" s="54" t="e">
        <f t="shared" si="612"/>
        <v>#DIV/0!</v>
      </c>
      <c r="W959" s="258"/>
      <c r="X959" s="258"/>
    </row>
    <row r="960" spans="1:26">
      <c r="A960" s="46" t="str">
        <f>Home!$B$1</f>
        <v>Poland</v>
      </c>
      <c r="B960" s="47" t="s">
        <v>94</v>
      </c>
      <c r="C960" s="47" t="s">
        <v>546</v>
      </c>
      <c r="D960" s="47" t="s">
        <v>74</v>
      </c>
      <c r="E960" s="46" t="s">
        <v>472</v>
      </c>
      <c r="F960" s="48" t="s">
        <v>721</v>
      </c>
      <c r="G960" s="48" t="s">
        <v>15</v>
      </c>
      <c r="H960" s="48" t="s">
        <v>16</v>
      </c>
      <c r="I960" s="48"/>
      <c r="J960" s="48" t="s">
        <v>99</v>
      </c>
      <c r="K960" s="49"/>
      <c r="L960" s="92">
        <f>VLOOKUP(E960,'Tourism Demand &amp; Flows'!$E$342:$P$548,8,0)</f>
        <v>0</v>
      </c>
      <c r="M960" s="92">
        <f>VLOOKUP(E960,'Tourism Demand &amp; Flows'!$E$342:$P$548,9,0)</f>
        <v>0</v>
      </c>
      <c r="N960" s="92">
        <f>VLOOKUP(E960,'Tourism Demand &amp; Flows'!$E$342:$P$548,10,0)</f>
        <v>0</v>
      </c>
      <c r="O960" s="92">
        <f>VLOOKUP(E960,'Tourism Demand &amp; Flows'!$E$342:$P$548,11,0)</f>
        <v>0</v>
      </c>
      <c r="P960" s="92">
        <f>VLOOKUP(E960,'Tourism Demand &amp; Flows'!$E$342:$P$548,12,0)</f>
        <v>0</v>
      </c>
      <c r="Q960" s="92">
        <f>Forecasting!Q1088</f>
        <v>0</v>
      </c>
      <c r="R960" s="110">
        <f>Forecasting!R1088</f>
        <v>0</v>
      </c>
      <c r="S960" s="110">
        <f>Forecasting!S1088</f>
        <v>0</v>
      </c>
      <c r="T960" s="110">
        <f>Forecasting!T1088</f>
        <v>0</v>
      </c>
      <c r="U960" s="110">
        <f>Forecasting!U1088</f>
        <v>0</v>
      </c>
      <c r="V960" s="110">
        <f>Forecasting!V1088</f>
        <v>0</v>
      </c>
      <c r="W960" s="102" t="e">
        <f>+(Q960/M960)^(1/4)-1</f>
        <v>#DIV/0!</v>
      </c>
      <c r="X960" s="102" t="e">
        <f>+(V960/Q960)^(1/5)-1</f>
        <v>#DIV/0!</v>
      </c>
      <c r="Z960" s="11"/>
    </row>
    <row r="961" spans="1:26">
      <c r="A961" s="48"/>
      <c r="B961" s="48"/>
      <c r="C961" s="52" t="s">
        <v>892</v>
      </c>
      <c r="D961" s="52"/>
      <c r="E961" s="52"/>
      <c r="F961" s="52"/>
      <c r="G961" s="52"/>
      <c r="H961" s="52"/>
      <c r="I961" s="52"/>
      <c r="J961" s="52" t="s">
        <v>58</v>
      </c>
      <c r="K961" s="49"/>
      <c r="L961" s="53"/>
      <c r="M961" s="54" t="e">
        <f t="shared" ref="M961:V961" si="613">M960/L960-1</f>
        <v>#DIV/0!</v>
      </c>
      <c r="N961" s="54" t="e">
        <f t="shared" si="613"/>
        <v>#DIV/0!</v>
      </c>
      <c r="O961" s="54" t="e">
        <f t="shared" si="613"/>
        <v>#DIV/0!</v>
      </c>
      <c r="P961" s="54" t="e">
        <f t="shared" si="613"/>
        <v>#DIV/0!</v>
      </c>
      <c r="Q961" s="54" t="e">
        <f t="shared" si="613"/>
        <v>#DIV/0!</v>
      </c>
      <c r="R961" s="54" t="e">
        <f t="shared" si="613"/>
        <v>#DIV/0!</v>
      </c>
      <c r="S961" s="54" t="e">
        <f t="shared" si="613"/>
        <v>#DIV/0!</v>
      </c>
      <c r="T961" s="54" t="e">
        <f t="shared" si="613"/>
        <v>#DIV/0!</v>
      </c>
      <c r="U961" s="54" t="e">
        <f t="shared" si="613"/>
        <v>#DIV/0!</v>
      </c>
      <c r="V961" s="54" t="e">
        <f t="shared" si="613"/>
        <v>#DIV/0!</v>
      </c>
      <c r="W961" s="258"/>
      <c r="X961" s="258"/>
    </row>
    <row r="962" spans="1:26">
      <c r="A962" s="46" t="str">
        <f>Home!$B$1</f>
        <v>Poland</v>
      </c>
      <c r="B962" s="47" t="s">
        <v>94</v>
      </c>
      <c r="C962" s="47" t="s">
        <v>546</v>
      </c>
      <c r="D962" s="47" t="s">
        <v>74</v>
      </c>
      <c r="E962" s="46" t="s">
        <v>474</v>
      </c>
      <c r="F962" s="48" t="s">
        <v>722</v>
      </c>
      <c r="G962" s="48" t="s">
        <v>15</v>
      </c>
      <c r="H962" s="48" t="s">
        <v>16</v>
      </c>
      <c r="I962" s="48"/>
      <c r="J962" s="48" t="s">
        <v>99</v>
      </c>
      <c r="K962" s="49"/>
      <c r="L962" s="92">
        <f>VLOOKUP(E962,'Tourism Demand &amp; Flows'!$E$342:$P$548,8,0)</f>
        <v>0</v>
      </c>
      <c r="M962" s="92">
        <f>VLOOKUP(E962,'Tourism Demand &amp; Flows'!$E$342:$P$548,9,0)</f>
        <v>0</v>
      </c>
      <c r="N962" s="92">
        <f>VLOOKUP(E962,'Tourism Demand &amp; Flows'!$E$342:$P$548,10,0)</f>
        <v>0</v>
      </c>
      <c r="O962" s="92">
        <f>VLOOKUP(E962,'Tourism Demand &amp; Flows'!$E$342:$P$548,11,0)</f>
        <v>0</v>
      </c>
      <c r="P962" s="92">
        <f>VLOOKUP(E962,'Tourism Demand &amp; Flows'!$E$342:$P$548,12,0)</f>
        <v>0</v>
      </c>
      <c r="Q962" s="92">
        <f>Forecasting!Q1090</f>
        <v>0</v>
      </c>
      <c r="R962" s="110">
        <f>Forecasting!R1090</f>
        <v>0</v>
      </c>
      <c r="S962" s="110">
        <f>Forecasting!S1090</f>
        <v>0</v>
      </c>
      <c r="T962" s="110">
        <f>Forecasting!T1090</f>
        <v>0</v>
      </c>
      <c r="U962" s="110">
        <f>Forecasting!U1090</f>
        <v>0</v>
      </c>
      <c r="V962" s="110">
        <f>Forecasting!V1090</f>
        <v>0</v>
      </c>
      <c r="W962" s="102" t="e">
        <f>+(Q962/M962)^(1/4)-1</f>
        <v>#DIV/0!</v>
      </c>
      <c r="X962" s="102" t="e">
        <f>+(V962/Q962)^(1/5)-1</f>
        <v>#DIV/0!</v>
      </c>
      <c r="Z962" s="11"/>
    </row>
    <row r="963" spans="1:26">
      <c r="A963" s="48"/>
      <c r="B963" s="48"/>
      <c r="C963" s="52" t="s">
        <v>892</v>
      </c>
      <c r="D963" s="52"/>
      <c r="E963" s="52"/>
      <c r="F963" s="52"/>
      <c r="G963" s="52"/>
      <c r="H963" s="52"/>
      <c r="I963" s="52"/>
      <c r="J963" s="52" t="s">
        <v>58</v>
      </c>
      <c r="K963" s="49"/>
      <c r="L963" s="53"/>
      <c r="M963" s="54" t="e">
        <f t="shared" ref="M963:V963" si="614">M962/L962-1</f>
        <v>#DIV/0!</v>
      </c>
      <c r="N963" s="54" t="e">
        <f t="shared" si="614"/>
        <v>#DIV/0!</v>
      </c>
      <c r="O963" s="54" t="e">
        <f t="shared" si="614"/>
        <v>#DIV/0!</v>
      </c>
      <c r="P963" s="54" t="e">
        <f t="shared" si="614"/>
        <v>#DIV/0!</v>
      </c>
      <c r="Q963" s="54" t="e">
        <f t="shared" si="614"/>
        <v>#DIV/0!</v>
      </c>
      <c r="R963" s="54" t="e">
        <f t="shared" si="614"/>
        <v>#DIV/0!</v>
      </c>
      <c r="S963" s="54" t="e">
        <f t="shared" si="614"/>
        <v>#DIV/0!</v>
      </c>
      <c r="T963" s="54" t="e">
        <f t="shared" si="614"/>
        <v>#DIV/0!</v>
      </c>
      <c r="U963" s="54" t="e">
        <f t="shared" si="614"/>
        <v>#DIV/0!</v>
      </c>
      <c r="V963" s="54" t="e">
        <f t="shared" si="614"/>
        <v>#DIV/0!</v>
      </c>
      <c r="W963" s="258"/>
      <c r="X963" s="258"/>
    </row>
    <row r="964" spans="1:26">
      <c r="A964" s="46" t="str">
        <f>Home!$B$1</f>
        <v>Poland</v>
      </c>
      <c r="B964" s="47" t="s">
        <v>94</v>
      </c>
      <c r="C964" s="47" t="s">
        <v>546</v>
      </c>
      <c r="D964" s="47" t="s">
        <v>74</v>
      </c>
      <c r="E964" s="46" t="s">
        <v>476</v>
      </c>
      <c r="F964" s="48" t="s">
        <v>723</v>
      </c>
      <c r="G964" s="48" t="s">
        <v>15</v>
      </c>
      <c r="H964" s="48" t="s">
        <v>16</v>
      </c>
      <c r="I964" s="48"/>
      <c r="J964" s="48" t="s">
        <v>99</v>
      </c>
      <c r="K964" s="49"/>
      <c r="L964" s="92">
        <f>VLOOKUP(E964,'Tourism Demand &amp; Flows'!$E$342:$P$548,8,0)</f>
        <v>0</v>
      </c>
      <c r="M964" s="92">
        <f>VLOOKUP(E964,'Tourism Demand &amp; Flows'!$E$342:$P$548,9,0)</f>
        <v>0</v>
      </c>
      <c r="N964" s="92">
        <f>VLOOKUP(E964,'Tourism Demand &amp; Flows'!$E$342:$P$548,10,0)</f>
        <v>0</v>
      </c>
      <c r="O964" s="92">
        <f>VLOOKUP(E964,'Tourism Demand &amp; Flows'!$E$342:$P$548,11,0)</f>
        <v>0</v>
      </c>
      <c r="P964" s="92">
        <f>VLOOKUP(E964,'Tourism Demand &amp; Flows'!$E$342:$P$548,12,0)</f>
        <v>0</v>
      </c>
      <c r="Q964" s="92">
        <f>Forecasting!Q1092</f>
        <v>0</v>
      </c>
      <c r="R964" s="110">
        <f>Forecasting!R1092</f>
        <v>0</v>
      </c>
      <c r="S964" s="110">
        <f>Forecasting!S1092</f>
        <v>0</v>
      </c>
      <c r="T964" s="110">
        <f>Forecasting!T1092</f>
        <v>0</v>
      </c>
      <c r="U964" s="110">
        <f>Forecasting!U1092</f>
        <v>0</v>
      </c>
      <c r="V964" s="110">
        <f>Forecasting!V1092</f>
        <v>0</v>
      </c>
      <c r="W964" s="102" t="e">
        <f>+(Q964/M964)^(1/4)-1</f>
        <v>#DIV/0!</v>
      </c>
      <c r="X964" s="102" t="e">
        <f>+(V964/Q964)^(1/5)-1</f>
        <v>#DIV/0!</v>
      </c>
      <c r="Z964" s="11"/>
    </row>
    <row r="965" spans="1:26">
      <c r="A965" s="48"/>
      <c r="B965" s="48"/>
      <c r="C965" s="52" t="s">
        <v>892</v>
      </c>
      <c r="D965" s="52"/>
      <c r="E965" s="52"/>
      <c r="F965" s="52"/>
      <c r="G965" s="52"/>
      <c r="H965" s="52"/>
      <c r="I965" s="52"/>
      <c r="J965" s="52" t="s">
        <v>58</v>
      </c>
      <c r="K965" s="49"/>
      <c r="L965" s="53"/>
      <c r="M965" s="54" t="e">
        <f t="shared" ref="M965:V965" si="615">M964/L964-1</f>
        <v>#DIV/0!</v>
      </c>
      <c r="N965" s="54" t="e">
        <f t="shared" si="615"/>
        <v>#DIV/0!</v>
      </c>
      <c r="O965" s="54" t="e">
        <f t="shared" si="615"/>
        <v>#DIV/0!</v>
      </c>
      <c r="P965" s="54" t="e">
        <f t="shared" si="615"/>
        <v>#DIV/0!</v>
      </c>
      <c r="Q965" s="54" t="e">
        <f t="shared" si="615"/>
        <v>#DIV/0!</v>
      </c>
      <c r="R965" s="54" t="e">
        <f t="shared" si="615"/>
        <v>#DIV/0!</v>
      </c>
      <c r="S965" s="54" t="e">
        <f t="shared" si="615"/>
        <v>#DIV/0!</v>
      </c>
      <c r="T965" s="54" t="e">
        <f t="shared" si="615"/>
        <v>#DIV/0!</v>
      </c>
      <c r="U965" s="54" t="e">
        <f t="shared" si="615"/>
        <v>#DIV/0!</v>
      </c>
      <c r="V965" s="54" t="e">
        <f t="shared" si="615"/>
        <v>#DIV/0!</v>
      </c>
      <c r="W965" s="258"/>
      <c r="X965" s="258"/>
    </row>
    <row r="966" spans="1:26">
      <c r="A966" s="46" t="str">
        <f>Home!$B$1</f>
        <v>Poland</v>
      </c>
      <c r="B966" s="47" t="s">
        <v>94</v>
      </c>
      <c r="C966" s="47" t="s">
        <v>546</v>
      </c>
      <c r="D966" s="47" t="s">
        <v>74</v>
      </c>
      <c r="E966" s="46" t="s">
        <v>478</v>
      </c>
      <c r="F966" s="48" t="s">
        <v>724</v>
      </c>
      <c r="G966" s="48" t="s">
        <v>15</v>
      </c>
      <c r="H966" s="48" t="s">
        <v>16</v>
      </c>
      <c r="I966" s="48"/>
      <c r="J966" s="48" t="s">
        <v>99</v>
      </c>
      <c r="K966" s="49"/>
      <c r="L966" s="92">
        <f>VLOOKUP(E966,'Tourism Demand &amp; Flows'!$E$342:$P$548,8,0)</f>
        <v>0</v>
      </c>
      <c r="M966" s="92">
        <f>VLOOKUP(E966,'Tourism Demand &amp; Flows'!$E$342:$P$548,9,0)</f>
        <v>0</v>
      </c>
      <c r="N966" s="92">
        <f>VLOOKUP(E966,'Tourism Demand &amp; Flows'!$E$342:$P$548,10,0)</f>
        <v>0</v>
      </c>
      <c r="O966" s="92">
        <f>VLOOKUP(E966,'Tourism Demand &amp; Flows'!$E$342:$P$548,11,0)</f>
        <v>0</v>
      </c>
      <c r="P966" s="92">
        <f>VLOOKUP(E966,'Tourism Demand &amp; Flows'!$E$342:$P$548,12,0)</f>
        <v>0</v>
      </c>
      <c r="Q966" s="92">
        <f>Forecasting!Q1094</f>
        <v>0</v>
      </c>
      <c r="R966" s="110">
        <f>Forecasting!R1094</f>
        <v>0</v>
      </c>
      <c r="S966" s="110">
        <f>Forecasting!S1094</f>
        <v>0</v>
      </c>
      <c r="T966" s="110">
        <f>Forecasting!T1094</f>
        <v>0</v>
      </c>
      <c r="U966" s="110">
        <f>Forecasting!U1094</f>
        <v>0</v>
      </c>
      <c r="V966" s="110">
        <f>Forecasting!V1094</f>
        <v>0</v>
      </c>
      <c r="W966" s="102" t="e">
        <f>+(Q966/M966)^(1/4)-1</f>
        <v>#DIV/0!</v>
      </c>
      <c r="X966" s="102" t="e">
        <f>+(V966/Q966)^(1/5)-1</f>
        <v>#DIV/0!</v>
      </c>
      <c r="Z966" s="11"/>
    </row>
    <row r="967" spans="1:26">
      <c r="A967" s="48"/>
      <c r="B967" s="48"/>
      <c r="C967" s="52" t="s">
        <v>892</v>
      </c>
      <c r="D967" s="52"/>
      <c r="E967" s="52"/>
      <c r="F967" s="52"/>
      <c r="G967" s="52"/>
      <c r="H967" s="52"/>
      <c r="I967" s="52"/>
      <c r="J967" s="52" t="s">
        <v>58</v>
      </c>
      <c r="K967" s="49"/>
      <c r="L967" s="53"/>
      <c r="M967" s="54" t="e">
        <f t="shared" ref="M967:V967" si="616">M966/L966-1</f>
        <v>#DIV/0!</v>
      </c>
      <c r="N967" s="54" t="e">
        <f t="shared" si="616"/>
        <v>#DIV/0!</v>
      </c>
      <c r="O967" s="54" t="e">
        <f t="shared" si="616"/>
        <v>#DIV/0!</v>
      </c>
      <c r="P967" s="54" t="e">
        <f t="shared" si="616"/>
        <v>#DIV/0!</v>
      </c>
      <c r="Q967" s="54" t="e">
        <f t="shared" si="616"/>
        <v>#DIV/0!</v>
      </c>
      <c r="R967" s="54" t="e">
        <f t="shared" si="616"/>
        <v>#DIV/0!</v>
      </c>
      <c r="S967" s="54" t="e">
        <f t="shared" si="616"/>
        <v>#DIV/0!</v>
      </c>
      <c r="T967" s="54" t="e">
        <f t="shared" si="616"/>
        <v>#DIV/0!</v>
      </c>
      <c r="U967" s="54" t="e">
        <f t="shared" si="616"/>
        <v>#DIV/0!</v>
      </c>
      <c r="V967" s="54" t="e">
        <f t="shared" si="616"/>
        <v>#DIV/0!</v>
      </c>
      <c r="W967" s="258"/>
      <c r="X967" s="258"/>
    </row>
    <row r="968" spans="1:26">
      <c r="A968" s="46" t="str">
        <f>Home!$B$1</f>
        <v>Poland</v>
      </c>
      <c r="B968" s="47" t="s">
        <v>94</v>
      </c>
      <c r="C968" s="47" t="s">
        <v>546</v>
      </c>
      <c r="D968" s="47" t="s">
        <v>74</v>
      </c>
      <c r="E968" s="46" t="s">
        <v>480</v>
      </c>
      <c r="F968" s="48" t="s">
        <v>725</v>
      </c>
      <c r="G968" s="48" t="s">
        <v>15</v>
      </c>
      <c r="H968" s="48" t="s">
        <v>16</v>
      </c>
      <c r="I968" s="48"/>
      <c r="J968" s="48" t="s">
        <v>99</v>
      </c>
      <c r="K968" s="49"/>
      <c r="L968" s="92">
        <f>VLOOKUP(E968,'Tourism Demand &amp; Flows'!$E$342:$P$548,8,0)</f>
        <v>0</v>
      </c>
      <c r="M968" s="92">
        <f>VLOOKUP(E968,'Tourism Demand &amp; Flows'!$E$342:$P$548,9,0)</f>
        <v>0</v>
      </c>
      <c r="N968" s="92">
        <f>VLOOKUP(E968,'Tourism Demand &amp; Flows'!$E$342:$P$548,10,0)</f>
        <v>0</v>
      </c>
      <c r="O968" s="92">
        <f>VLOOKUP(E968,'Tourism Demand &amp; Flows'!$E$342:$P$548,11,0)</f>
        <v>0</v>
      </c>
      <c r="P968" s="92">
        <f>VLOOKUP(E968,'Tourism Demand &amp; Flows'!$E$342:$P$548,12,0)</f>
        <v>0</v>
      </c>
      <c r="Q968" s="92">
        <f>Forecasting!Q1096</f>
        <v>0</v>
      </c>
      <c r="R968" s="110">
        <f>Forecasting!R1096</f>
        <v>0</v>
      </c>
      <c r="S968" s="110">
        <f>Forecasting!S1096</f>
        <v>0</v>
      </c>
      <c r="T968" s="110">
        <f>Forecasting!T1096</f>
        <v>0</v>
      </c>
      <c r="U968" s="110">
        <f>Forecasting!U1096</f>
        <v>0</v>
      </c>
      <c r="V968" s="110">
        <f>Forecasting!V1096</f>
        <v>0</v>
      </c>
      <c r="W968" s="102" t="e">
        <f>+(Q968/M968)^(1/4)-1</f>
        <v>#DIV/0!</v>
      </c>
      <c r="X968" s="102" t="e">
        <f>+(V968/Q968)^(1/5)-1</f>
        <v>#DIV/0!</v>
      </c>
      <c r="Z968" s="11"/>
    </row>
    <row r="969" spans="1:26">
      <c r="A969" s="48"/>
      <c r="B969" s="48"/>
      <c r="C969" s="52" t="s">
        <v>892</v>
      </c>
      <c r="D969" s="52"/>
      <c r="E969" s="52"/>
      <c r="F969" s="52"/>
      <c r="G969" s="52"/>
      <c r="H969" s="52"/>
      <c r="I969" s="52"/>
      <c r="J969" s="52" t="s">
        <v>58</v>
      </c>
      <c r="K969" s="49"/>
      <c r="L969" s="53"/>
      <c r="M969" s="54" t="e">
        <f t="shared" ref="M969:V969" si="617">M968/L968-1</f>
        <v>#DIV/0!</v>
      </c>
      <c r="N969" s="54" t="e">
        <f t="shared" si="617"/>
        <v>#DIV/0!</v>
      </c>
      <c r="O969" s="54" t="e">
        <f t="shared" si="617"/>
        <v>#DIV/0!</v>
      </c>
      <c r="P969" s="54" t="e">
        <f t="shared" si="617"/>
        <v>#DIV/0!</v>
      </c>
      <c r="Q969" s="54" t="e">
        <f t="shared" si="617"/>
        <v>#DIV/0!</v>
      </c>
      <c r="R969" s="54" t="e">
        <f t="shared" si="617"/>
        <v>#DIV/0!</v>
      </c>
      <c r="S969" s="54" t="e">
        <f t="shared" si="617"/>
        <v>#DIV/0!</v>
      </c>
      <c r="T969" s="54" t="e">
        <f t="shared" si="617"/>
        <v>#DIV/0!</v>
      </c>
      <c r="U969" s="54" t="e">
        <f t="shared" si="617"/>
        <v>#DIV/0!</v>
      </c>
      <c r="V969" s="54" t="e">
        <f t="shared" si="617"/>
        <v>#DIV/0!</v>
      </c>
      <c r="W969" s="258"/>
      <c r="X969" s="258"/>
    </row>
    <row r="970" spans="1:26">
      <c r="A970" s="46" t="str">
        <f>Home!$B$1</f>
        <v>Poland</v>
      </c>
      <c r="B970" s="47" t="s">
        <v>94</v>
      </c>
      <c r="C970" s="47" t="s">
        <v>546</v>
      </c>
      <c r="D970" s="47" t="s">
        <v>74</v>
      </c>
      <c r="E970" s="46" t="s">
        <v>482</v>
      </c>
      <c r="F970" s="48" t="s">
        <v>726</v>
      </c>
      <c r="G970" s="48" t="s">
        <v>15</v>
      </c>
      <c r="H970" s="48" t="s">
        <v>16</v>
      </c>
      <c r="I970" s="48"/>
      <c r="J970" s="48" t="s">
        <v>99</v>
      </c>
      <c r="K970" s="49"/>
      <c r="L970" s="92">
        <f>VLOOKUP(E970,'Tourism Demand &amp; Flows'!$E$342:$P$548,8,0)</f>
        <v>0</v>
      </c>
      <c r="M970" s="92">
        <f>VLOOKUP(E970,'Tourism Demand &amp; Flows'!$E$342:$P$548,9,0)</f>
        <v>0</v>
      </c>
      <c r="N970" s="92">
        <f>VLOOKUP(E970,'Tourism Demand &amp; Flows'!$E$342:$P$548,10,0)</f>
        <v>0</v>
      </c>
      <c r="O970" s="92">
        <f>VLOOKUP(E970,'Tourism Demand &amp; Flows'!$E$342:$P$548,11,0)</f>
        <v>0</v>
      </c>
      <c r="P970" s="92">
        <f>VLOOKUP(E970,'Tourism Demand &amp; Flows'!$E$342:$P$548,12,0)</f>
        <v>0</v>
      </c>
      <c r="Q970" s="92">
        <f>Forecasting!Q1098</f>
        <v>0</v>
      </c>
      <c r="R970" s="110">
        <f>Forecasting!R1098</f>
        <v>0</v>
      </c>
      <c r="S970" s="110">
        <f>Forecasting!S1098</f>
        <v>0</v>
      </c>
      <c r="T970" s="110">
        <f>Forecasting!T1098</f>
        <v>0</v>
      </c>
      <c r="U970" s="110">
        <f>Forecasting!U1098</f>
        <v>0</v>
      </c>
      <c r="V970" s="110">
        <f>Forecasting!V1098</f>
        <v>0</v>
      </c>
      <c r="W970" s="102" t="e">
        <f>+(Q970/M970)^(1/4)-1</f>
        <v>#DIV/0!</v>
      </c>
      <c r="X970" s="102" t="e">
        <f>+(V970/Q970)^(1/5)-1</f>
        <v>#DIV/0!</v>
      </c>
      <c r="Z970" s="11"/>
    </row>
    <row r="971" spans="1:26">
      <c r="A971" s="48"/>
      <c r="B971" s="48"/>
      <c r="C971" s="52" t="s">
        <v>892</v>
      </c>
      <c r="D971" s="52"/>
      <c r="E971" s="52"/>
      <c r="F971" s="52"/>
      <c r="G971" s="52"/>
      <c r="H971" s="52"/>
      <c r="I971" s="52"/>
      <c r="J971" s="52" t="s">
        <v>58</v>
      </c>
      <c r="K971" s="49"/>
      <c r="L971" s="53"/>
      <c r="M971" s="54" t="e">
        <f t="shared" ref="M971:V971" si="618">M970/L970-1</f>
        <v>#DIV/0!</v>
      </c>
      <c r="N971" s="54" t="e">
        <f t="shared" si="618"/>
        <v>#DIV/0!</v>
      </c>
      <c r="O971" s="54" t="e">
        <f t="shared" si="618"/>
        <v>#DIV/0!</v>
      </c>
      <c r="P971" s="54" t="e">
        <f t="shared" si="618"/>
        <v>#DIV/0!</v>
      </c>
      <c r="Q971" s="54" t="e">
        <f t="shared" si="618"/>
        <v>#DIV/0!</v>
      </c>
      <c r="R971" s="54" t="e">
        <f t="shared" si="618"/>
        <v>#DIV/0!</v>
      </c>
      <c r="S971" s="54" t="e">
        <f t="shared" si="618"/>
        <v>#DIV/0!</v>
      </c>
      <c r="T971" s="54" t="e">
        <f t="shared" si="618"/>
        <v>#DIV/0!</v>
      </c>
      <c r="U971" s="54" t="e">
        <f t="shared" si="618"/>
        <v>#DIV/0!</v>
      </c>
      <c r="V971" s="54" t="e">
        <f t="shared" si="618"/>
        <v>#DIV/0!</v>
      </c>
      <c r="W971" s="258"/>
      <c r="X971" s="258"/>
    </row>
    <row r="972" spans="1:26">
      <c r="A972" s="46" t="str">
        <f>Home!$B$1</f>
        <v>Poland</v>
      </c>
      <c r="B972" s="47" t="s">
        <v>94</v>
      </c>
      <c r="C972" s="47" t="s">
        <v>546</v>
      </c>
      <c r="D972" s="47" t="s">
        <v>74</v>
      </c>
      <c r="E972" s="46" t="s">
        <v>484</v>
      </c>
      <c r="F972" s="48" t="s">
        <v>727</v>
      </c>
      <c r="G972" s="48" t="s">
        <v>15</v>
      </c>
      <c r="H972" s="48" t="s">
        <v>16</v>
      </c>
      <c r="I972" s="48"/>
      <c r="J972" s="48" t="s">
        <v>99</v>
      </c>
      <c r="K972" s="49"/>
      <c r="L972" s="92">
        <f>VLOOKUP(E972,'Tourism Demand &amp; Flows'!$E$342:$P$548,8,0)</f>
        <v>0</v>
      </c>
      <c r="M972" s="92">
        <f>VLOOKUP(E972,'Tourism Demand &amp; Flows'!$E$342:$P$548,9,0)</f>
        <v>0</v>
      </c>
      <c r="N972" s="92">
        <f>VLOOKUP(E972,'Tourism Demand &amp; Flows'!$E$342:$P$548,10,0)</f>
        <v>0</v>
      </c>
      <c r="O972" s="92">
        <f>VLOOKUP(E972,'Tourism Demand &amp; Flows'!$E$342:$P$548,11,0)</f>
        <v>0</v>
      </c>
      <c r="P972" s="92">
        <f>VLOOKUP(E972,'Tourism Demand &amp; Flows'!$E$342:$P$548,12,0)</f>
        <v>0</v>
      </c>
      <c r="Q972" s="92">
        <f>Forecasting!Q1100</f>
        <v>0</v>
      </c>
      <c r="R972" s="110">
        <f>Forecasting!R1100</f>
        <v>0</v>
      </c>
      <c r="S972" s="110">
        <f>Forecasting!S1100</f>
        <v>0</v>
      </c>
      <c r="T972" s="110">
        <f>Forecasting!T1100</f>
        <v>0</v>
      </c>
      <c r="U972" s="110">
        <f>Forecasting!U1100</f>
        <v>0</v>
      </c>
      <c r="V972" s="110">
        <f>Forecasting!V1100</f>
        <v>0</v>
      </c>
      <c r="W972" s="102" t="e">
        <f>+(Q972/M972)^(1/4)-1</f>
        <v>#DIV/0!</v>
      </c>
      <c r="X972" s="102" t="e">
        <f>+(V972/Q972)^(1/5)-1</f>
        <v>#DIV/0!</v>
      </c>
      <c r="Z972" s="11"/>
    </row>
    <row r="973" spans="1:26">
      <c r="A973" s="48"/>
      <c r="B973" s="48"/>
      <c r="C973" s="52" t="s">
        <v>892</v>
      </c>
      <c r="D973" s="52"/>
      <c r="E973" s="52"/>
      <c r="F973" s="52"/>
      <c r="G973" s="52"/>
      <c r="H973" s="52"/>
      <c r="I973" s="52"/>
      <c r="J973" s="52" t="s">
        <v>58</v>
      </c>
      <c r="K973" s="49"/>
      <c r="L973" s="53"/>
      <c r="M973" s="54" t="e">
        <f t="shared" ref="M973:V973" si="619">M972/L972-1</f>
        <v>#DIV/0!</v>
      </c>
      <c r="N973" s="54" t="e">
        <f t="shared" si="619"/>
        <v>#DIV/0!</v>
      </c>
      <c r="O973" s="54" t="e">
        <f t="shared" si="619"/>
        <v>#DIV/0!</v>
      </c>
      <c r="P973" s="54" t="e">
        <f t="shared" si="619"/>
        <v>#DIV/0!</v>
      </c>
      <c r="Q973" s="54" t="e">
        <f t="shared" si="619"/>
        <v>#DIV/0!</v>
      </c>
      <c r="R973" s="54" t="e">
        <f t="shared" si="619"/>
        <v>#DIV/0!</v>
      </c>
      <c r="S973" s="54" t="e">
        <f t="shared" si="619"/>
        <v>#DIV/0!</v>
      </c>
      <c r="T973" s="54" t="e">
        <f t="shared" si="619"/>
        <v>#DIV/0!</v>
      </c>
      <c r="U973" s="54" t="e">
        <f t="shared" si="619"/>
        <v>#DIV/0!</v>
      </c>
      <c r="V973" s="54" t="e">
        <f t="shared" si="619"/>
        <v>#DIV/0!</v>
      </c>
      <c r="W973" s="258"/>
      <c r="X973" s="258"/>
    </row>
    <row r="974" spans="1:26">
      <c r="A974" s="46" t="str">
        <f>Home!$B$1</f>
        <v>Poland</v>
      </c>
      <c r="B974" s="47" t="s">
        <v>94</v>
      </c>
      <c r="C974" s="47" t="s">
        <v>546</v>
      </c>
      <c r="D974" s="47" t="s">
        <v>74</v>
      </c>
      <c r="E974" s="46" t="s">
        <v>486</v>
      </c>
      <c r="F974" s="48" t="s">
        <v>728</v>
      </c>
      <c r="G974" s="48" t="s">
        <v>15</v>
      </c>
      <c r="H974" s="48" t="s">
        <v>16</v>
      </c>
      <c r="I974" s="48"/>
      <c r="J974" s="48" t="s">
        <v>99</v>
      </c>
      <c r="K974" s="49"/>
      <c r="L974" s="92">
        <f>VLOOKUP(E974,'Tourism Demand &amp; Flows'!$E$342:$P$548,8,0)</f>
        <v>0</v>
      </c>
      <c r="M974" s="92">
        <f>VLOOKUP(E974,'Tourism Demand &amp; Flows'!$E$342:$P$548,9,0)</f>
        <v>0</v>
      </c>
      <c r="N974" s="92">
        <f>VLOOKUP(E974,'Tourism Demand &amp; Flows'!$E$342:$P$548,10,0)</f>
        <v>0</v>
      </c>
      <c r="O974" s="92">
        <f>VLOOKUP(E974,'Tourism Demand &amp; Flows'!$E$342:$P$548,11,0)</f>
        <v>0</v>
      </c>
      <c r="P974" s="92">
        <f>VLOOKUP(E974,'Tourism Demand &amp; Flows'!$E$342:$P$548,12,0)</f>
        <v>0</v>
      </c>
      <c r="Q974" s="92">
        <f>Forecasting!Q1102</f>
        <v>0</v>
      </c>
      <c r="R974" s="110">
        <f>Forecasting!R1102</f>
        <v>0</v>
      </c>
      <c r="S974" s="110">
        <f>Forecasting!S1102</f>
        <v>0</v>
      </c>
      <c r="T974" s="110">
        <f>Forecasting!T1102</f>
        <v>0</v>
      </c>
      <c r="U974" s="110">
        <f>Forecasting!U1102</f>
        <v>0</v>
      </c>
      <c r="V974" s="110">
        <f>Forecasting!V1102</f>
        <v>0</v>
      </c>
      <c r="W974" s="102" t="e">
        <f>+(Q974/M974)^(1/4)-1</f>
        <v>#DIV/0!</v>
      </c>
      <c r="X974" s="102" t="e">
        <f>+(V974/Q974)^(1/5)-1</f>
        <v>#DIV/0!</v>
      </c>
      <c r="Z974" s="11"/>
    </row>
    <row r="975" spans="1:26">
      <c r="A975" s="48"/>
      <c r="B975" s="48"/>
      <c r="C975" s="52" t="s">
        <v>892</v>
      </c>
      <c r="D975" s="52"/>
      <c r="E975" s="52"/>
      <c r="F975" s="52"/>
      <c r="G975" s="52"/>
      <c r="H975" s="52"/>
      <c r="I975" s="52"/>
      <c r="J975" s="52" t="s">
        <v>58</v>
      </c>
      <c r="K975" s="49"/>
      <c r="L975" s="53"/>
      <c r="M975" s="54" t="e">
        <f t="shared" ref="M975:V975" si="620">M974/L974-1</f>
        <v>#DIV/0!</v>
      </c>
      <c r="N975" s="54" t="e">
        <f t="shared" si="620"/>
        <v>#DIV/0!</v>
      </c>
      <c r="O975" s="54" t="e">
        <f t="shared" si="620"/>
        <v>#DIV/0!</v>
      </c>
      <c r="P975" s="54" t="e">
        <f t="shared" si="620"/>
        <v>#DIV/0!</v>
      </c>
      <c r="Q975" s="54" t="e">
        <f t="shared" si="620"/>
        <v>#DIV/0!</v>
      </c>
      <c r="R975" s="54" t="e">
        <f t="shared" si="620"/>
        <v>#DIV/0!</v>
      </c>
      <c r="S975" s="54" t="e">
        <f t="shared" si="620"/>
        <v>#DIV/0!</v>
      </c>
      <c r="T975" s="54" t="e">
        <f t="shared" si="620"/>
        <v>#DIV/0!</v>
      </c>
      <c r="U975" s="54" t="e">
        <f t="shared" si="620"/>
        <v>#DIV/0!</v>
      </c>
      <c r="V975" s="54" t="e">
        <f t="shared" si="620"/>
        <v>#DIV/0!</v>
      </c>
      <c r="W975" s="258"/>
      <c r="X975" s="258"/>
    </row>
    <row r="976" spans="1:26">
      <c r="A976" s="46" t="str">
        <f>Home!$B$1</f>
        <v>Poland</v>
      </c>
      <c r="B976" s="47" t="s">
        <v>94</v>
      </c>
      <c r="C976" s="47" t="s">
        <v>546</v>
      </c>
      <c r="D976" s="47" t="s">
        <v>74</v>
      </c>
      <c r="E976" s="46" t="s">
        <v>488</v>
      </c>
      <c r="F976" s="48" t="s">
        <v>729</v>
      </c>
      <c r="G976" s="48" t="s">
        <v>15</v>
      </c>
      <c r="H976" s="48" t="s">
        <v>16</v>
      </c>
      <c r="I976" s="48"/>
      <c r="J976" s="48" t="s">
        <v>99</v>
      </c>
      <c r="K976" s="49"/>
      <c r="L976" s="92">
        <f>VLOOKUP(E976,'Tourism Demand &amp; Flows'!$E$342:$P$548,8,0)</f>
        <v>0</v>
      </c>
      <c r="M976" s="92">
        <f>VLOOKUP(E976,'Tourism Demand &amp; Flows'!$E$342:$P$548,9,0)</f>
        <v>0</v>
      </c>
      <c r="N976" s="92">
        <f>VLOOKUP(E976,'Tourism Demand &amp; Flows'!$E$342:$P$548,10,0)</f>
        <v>0</v>
      </c>
      <c r="O976" s="92">
        <f>VLOOKUP(E976,'Tourism Demand &amp; Flows'!$E$342:$P$548,11,0)</f>
        <v>0</v>
      </c>
      <c r="P976" s="92">
        <f>VLOOKUP(E976,'Tourism Demand &amp; Flows'!$E$342:$P$548,12,0)</f>
        <v>0</v>
      </c>
      <c r="Q976" s="92">
        <f>Forecasting!Q1104</f>
        <v>0</v>
      </c>
      <c r="R976" s="110">
        <f>Forecasting!R1104</f>
        <v>0</v>
      </c>
      <c r="S976" s="110">
        <f>Forecasting!S1104</f>
        <v>0</v>
      </c>
      <c r="T976" s="110">
        <f>Forecasting!T1104</f>
        <v>0</v>
      </c>
      <c r="U976" s="110">
        <f>Forecasting!U1104</f>
        <v>0</v>
      </c>
      <c r="V976" s="110">
        <f>Forecasting!V1104</f>
        <v>0</v>
      </c>
      <c r="W976" s="102" t="e">
        <f>+(Q976/M976)^(1/4)-1</f>
        <v>#DIV/0!</v>
      </c>
      <c r="X976" s="102" t="e">
        <f>+(V976/Q976)^(1/5)-1</f>
        <v>#DIV/0!</v>
      </c>
      <c r="Z976" s="11"/>
    </row>
    <row r="977" spans="1:26">
      <c r="A977" s="48"/>
      <c r="B977" s="48"/>
      <c r="C977" s="52" t="s">
        <v>892</v>
      </c>
      <c r="D977" s="52"/>
      <c r="E977" s="52"/>
      <c r="F977" s="52"/>
      <c r="G977" s="52"/>
      <c r="H977" s="52"/>
      <c r="I977" s="52"/>
      <c r="J977" s="52" t="s">
        <v>58</v>
      </c>
      <c r="K977" s="49"/>
      <c r="L977" s="53"/>
      <c r="M977" s="54" t="e">
        <f t="shared" ref="M977:V977" si="621">M976/L976-1</f>
        <v>#DIV/0!</v>
      </c>
      <c r="N977" s="54" t="e">
        <f t="shared" si="621"/>
        <v>#DIV/0!</v>
      </c>
      <c r="O977" s="54" t="e">
        <f t="shared" si="621"/>
        <v>#DIV/0!</v>
      </c>
      <c r="P977" s="54" t="e">
        <f t="shared" si="621"/>
        <v>#DIV/0!</v>
      </c>
      <c r="Q977" s="54" t="e">
        <f t="shared" si="621"/>
        <v>#DIV/0!</v>
      </c>
      <c r="R977" s="54" t="e">
        <f t="shared" si="621"/>
        <v>#DIV/0!</v>
      </c>
      <c r="S977" s="54" t="e">
        <f t="shared" si="621"/>
        <v>#DIV/0!</v>
      </c>
      <c r="T977" s="54" t="e">
        <f t="shared" si="621"/>
        <v>#DIV/0!</v>
      </c>
      <c r="U977" s="54" t="e">
        <f t="shared" si="621"/>
        <v>#DIV/0!</v>
      </c>
      <c r="V977" s="54" t="e">
        <f t="shared" si="621"/>
        <v>#DIV/0!</v>
      </c>
      <c r="W977" s="258"/>
      <c r="X977" s="258"/>
    </row>
    <row r="978" spans="1:26">
      <c r="A978" s="46" t="str">
        <f>Home!$B$1</f>
        <v>Poland</v>
      </c>
      <c r="B978" s="47" t="s">
        <v>94</v>
      </c>
      <c r="C978" s="47" t="s">
        <v>546</v>
      </c>
      <c r="D978" s="47" t="s">
        <v>74</v>
      </c>
      <c r="E978" s="46" t="s">
        <v>490</v>
      </c>
      <c r="F978" s="48" t="s">
        <v>730</v>
      </c>
      <c r="G978" s="48" t="s">
        <v>15</v>
      </c>
      <c r="H978" s="48" t="s">
        <v>16</v>
      </c>
      <c r="I978" s="48"/>
      <c r="J978" s="48" t="s">
        <v>99</v>
      </c>
      <c r="K978" s="49"/>
      <c r="L978" s="92">
        <f>VLOOKUP(E978,'Tourism Demand &amp; Flows'!$E$342:$P$548,8,0)</f>
        <v>0</v>
      </c>
      <c r="M978" s="92">
        <f>VLOOKUP(E978,'Tourism Demand &amp; Flows'!$E$342:$P$548,9,0)</f>
        <v>0</v>
      </c>
      <c r="N978" s="92">
        <f>VLOOKUP(E978,'Tourism Demand &amp; Flows'!$E$342:$P$548,10,0)</f>
        <v>0</v>
      </c>
      <c r="O978" s="92">
        <f>VLOOKUP(E978,'Tourism Demand &amp; Flows'!$E$342:$P$548,11,0)</f>
        <v>0</v>
      </c>
      <c r="P978" s="92">
        <f>VLOOKUP(E978,'Tourism Demand &amp; Flows'!$E$342:$P$548,12,0)</f>
        <v>0</v>
      </c>
      <c r="Q978" s="92">
        <f>Forecasting!Q1106</f>
        <v>0</v>
      </c>
      <c r="R978" s="110">
        <f>Forecasting!R1106</f>
        <v>0</v>
      </c>
      <c r="S978" s="110">
        <f>Forecasting!S1106</f>
        <v>0</v>
      </c>
      <c r="T978" s="110">
        <f>Forecasting!T1106</f>
        <v>0</v>
      </c>
      <c r="U978" s="110">
        <f>Forecasting!U1106</f>
        <v>0</v>
      </c>
      <c r="V978" s="110">
        <f>Forecasting!V1106</f>
        <v>0</v>
      </c>
      <c r="W978" s="102" t="e">
        <f>+(Q978/M978)^(1/4)-1</f>
        <v>#DIV/0!</v>
      </c>
      <c r="X978" s="102" t="e">
        <f>+(V978/Q978)^(1/5)-1</f>
        <v>#DIV/0!</v>
      </c>
      <c r="Z978" s="11"/>
    </row>
    <row r="979" spans="1:26">
      <c r="A979" s="48"/>
      <c r="B979" s="48"/>
      <c r="C979" s="52" t="s">
        <v>892</v>
      </c>
      <c r="D979" s="52"/>
      <c r="E979" s="52"/>
      <c r="F979" s="52"/>
      <c r="G979" s="52"/>
      <c r="H979" s="52"/>
      <c r="I979" s="52"/>
      <c r="J979" s="52" t="s">
        <v>58</v>
      </c>
      <c r="K979" s="49"/>
      <c r="L979" s="53"/>
      <c r="M979" s="54" t="e">
        <f t="shared" ref="M979:V979" si="622">M978/L978-1</f>
        <v>#DIV/0!</v>
      </c>
      <c r="N979" s="54" t="e">
        <f t="shared" si="622"/>
        <v>#DIV/0!</v>
      </c>
      <c r="O979" s="54" t="e">
        <f t="shared" si="622"/>
        <v>#DIV/0!</v>
      </c>
      <c r="P979" s="54" t="e">
        <f t="shared" si="622"/>
        <v>#DIV/0!</v>
      </c>
      <c r="Q979" s="54" t="e">
        <f t="shared" si="622"/>
        <v>#DIV/0!</v>
      </c>
      <c r="R979" s="54" t="e">
        <f t="shared" si="622"/>
        <v>#DIV/0!</v>
      </c>
      <c r="S979" s="54" t="e">
        <f t="shared" si="622"/>
        <v>#DIV/0!</v>
      </c>
      <c r="T979" s="54" t="e">
        <f t="shared" si="622"/>
        <v>#DIV/0!</v>
      </c>
      <c r="U979" s="54" t="e">
        <f t="shared" si="622"/>
        <v>#DIV/0!</v>
      </c>
      <c r="V979" s="54" t="e">
        <f t="shared" si="622"/>
        <v>#DIV/0!</v>
      </c>
      <c r="W979" s="258"/>
      <c r="X979" s="258"/>
    </row>
    <row r="980" spans="1:26">
      <c r="A980" s="46" t="str">
        <f>Home!$B$1</f>
        <v>Poland</v>
      </c>
      <c r="B980" s="47" t="s">
        <v>94</v>
      </c>
      <c r="C980" s="47" t="s">
        <v>546</v>
      </c>
      <c r="D980" s="47" t="s">
        <v>74</v>
      </c>
      <c r="E980" s="46" t="s">
        <v>492</v>
      </c>
      <c r="F980" s="48" t="s">
        <v>731</v>
      </c>
      <c r="G980" s="48" t="s">
        <v>15</v>
      </c>
      <c r="H980" s="48" t="s">
        <v>16</v>
      </c>
      <c r="I980" s="48"/>
      <c r="J980" s="48" t="s">
        <v>99</v>
      </c>
      <c r="K980" s="49"/>
      <c r="L980" s="92">
        <f>VLOOKUP(E980,'Tourism Demand &amp; Flows'!$E$342:$P$548,8,0)</f>
        <v>0</v>
      </c>
      <c r="M980" s="92">
        <f>VLOOKUP(E980,'Tourism Demand &amp; Flows'!$E$342:$P$548,9,0)</f>
        <v>0</v>
      </c>
      <c r="N980" s="92">
        <f>VLOOKUP(E980,'Tourism Demand &amp; Flows'!$E$342:$P$548,10,0)</f>
        <v>0</v>
      </c>
      <c r="O980" s="92">
        <f>VLOOKUP(E980,'Tourism Demand &amp; Flows'!$E$342:$P$548,11,0)</f>
        <v>0</v>
      </c>
      <c r="P980" s="92">
        <f>VLOOKUP(E980,'Tourism Demand &amp; Flows'!$E$342:$P$548,12,0)</f>
        <v>0</v>
      </c>
      <c r="Q980" s="92">
        <f>Forecasting!Q1108</f>
        <v>0</v>
      </c>
      <c r="R980" s="110">
        <f>Forecasting!R1108</f>
        <v>0</v>
      </c>
      <c r="S980" s="110">
        <f>Forecasting!S1108</f>
        <v>0</v>
      </c>
      <c r="T980" s="110">
        <f>Forecasting!T1108</f>
        <v>0</v>
      </c>
      <c r="U980" s="110">
        <f>Forecasting!U1108</f>
        <v>0</v>
      </c>
      <c r="V980" s="110">
        <f>Forecasting!V1108</f>
        <v>0</v>
      </c>
      <c r="W980" s="102" t="e">
        <f>+(Q980/M980)^(1/4)-1</f>
        <v>#DIV/0!</v>
      </c>
      <c r="X980" s="102" t="e">
        <f>+(V980/Q980)^(1/5)-1</f>
        <v>#DIV/0!</v>
      </c>
      <c r="Z980" s="11"/>
    </row>
    <row r="981" spans="1:26">
      <c r="A981" s="48"/>
      <c r="B981" s="48"/>
      <c r="C981" s="52" t="s">
        <v>892</v>
      </c>
      <c r="D981" s="52"/>
      <c r="E981" s="52"/>
      <c r="F981" s="52"/>
      <c r="G981" s="52"/>
      <c r="H981" s="52"/>
      <c r="I981" s="52"/>
      <c r="J981" s="52" t="s">
        <v>58</v>
      </c>
      <c r="K981" s="49"/>
      <c r="L981" s="53"/>
      <c r="M981" s="54" t="e">
        <f t="shared" ref="M981:V981" si="623">M980/L980-1</f>
        <v>#DIV/0!</v>
      </c>
      <c r="N981" s="54" t="e">
        <f t="shared" si="623"/>
        <v>#DIV/0!</v>
      </c>
      <c r="O981" s="54" t="e">
        <f t="shared" si="623"/>
        <v>#DIV/0!</v>
      </c>
      <c r="P981" s="54" t="e">
        <f t="shared" si="623"/>
        <v>#DIV/0!</v>
      </c>
      <c r="Q981" s="54" t="e">
        <f t="shared" si="623"/>
        <v>#DIV/0!</v>
      </c>
      <c r="R981" s="54" t="e">
        <f t="shared" si="623"/>
        <v>#DIV/0!</v>
      </c>
      <c r="S981" s="54" t="e">
        <f t="shared" si="623"/>
        <v>#DIV/0!</v>
      </c>
      <c r="T981" s="54" t="e">
        <f t="shared" si="623"/>
        <v>#DIV/0!</v>
      </c>
      <c r="U981" s="54" t="e">
        <f t="shared" si="623"/>
        <v>#DIV/0!</v>
      </c>
      <c r="V981" s="54" t="e">
        <f t="shared" si="623"/>
        <v>#DIV/0!</v>
      </c>
      <c r="W981" s="258"/>
      <c r="X981" s="258"/>
    </row>
    <row r="982" spans="1:26">
      <c r="A982" s="46" t="str">
        <f>Home!$B$1</f>
        <v>Poland</v>
      </c>
      <c r="B982" s="47" t="s">
        <v>94</v>
      </c>
      <c r="C982" s="47" t="s">
        <v>546</v>
      </c>
      <c r="D982" s="47" t="s">
        <v>74</v>
      </c>
      <c r="E982" s="46" t="s">
        <v>494</v>
      </c>
      <c r="F982" s="48" t="s">
        <v>732</v>
      </c>
      <c r="G982" s="48" t="s">
        <v>15</v>
      </c>
      <c r="H982" s="48" t="s">
        <v>16</v>
      </c>
      <c r="I982" s="48"/>
      <c r="J982" s="48" t="s">
        <v>99</v>
      </c>
      <c r="K982" s="49"/>
      <c r="L982" s="92">
        <f>VLOOKUP(E982,'Tourism Demand &amp; Flows'!$E$342:$P$548,8,0)</f>
        <v>0</v>
      </c>
      <c r="M982" s="92">
        <f>VLOOKUP(E982,'Tourism Demand &amp; Flows'!$E$342:$P$548,9,0)</f>
        <v>0</v>
      </c>
      <c r="N982" s="92">
        <f>VLOOKUP(E982,'Tourism Demand &amp; Flows'!$E$342:$P$548,10,0)</f>
        <v>0</v>
      </c>
      <c r="O982" s="92">
        <f>VLOOKUP(E982,'Tourism Demand &amp; Flows'!$E$342:$P$548,11,0)</f>
        <v>0</v>
      </c>
      <c r="P982" s="92">
        <f>VLOOKUP(E982,'Tourism Demand &amp; Flows'!$E$342:$P$548,12,0)</f>
        <v>0</v>
      </c>
      <c r="Q982" s="92">
        <f>Forecasting!Q1110</f>
        <v>0</v>
      </c>
      <c r="R982" s="110">
        <f>Forecasting!R1110</f>
        <v>0</v>
      </c>
      <c r="S982" s="110">
        <f>Forecasting!S1110</f>
        <v>0</v>
      </c>
      <c r="T982" s="110">
        <f>Forecasting!T1110</f>
        <v>0</v>
      </c>
      <c r="U982" s="110">
        <f>Forecasting!U1110</f>
        <v>0</v>
      </c>
      <c r="V982" s="110">
        <f>Forecasting!V1110</f>
        <v>0</v>
      </c>
      <c r="W982" s="102" t="e">
        <f>+(Q982/M982)^(1/4)-1</f>
        <v>#DIV/0!</v>
      </c>
      <c r="X982" s="102" t="e">
        <f>+(V982/Q982)^(1/5)-1</f>
        <v>#DIV/0!</v>
      </c>
      <c r="Z982" s="11"/>
    </row>
    <row r="983" spans="1:26">
      <c r="A983" s="48"/>
      <c r="B983" s="48"/>
      <c r="C983" s="52" t="s">
        <v>892</v>
      </c>
      <c r="D983" s="52"/>
      <c r="E983" s="52"/>
      <c r="F983" s="52"/>
      <c r="G983" s="52"/>
      <c r="H983" s="52"/>
      <c r="I983" s="52"/>
      <c r="J983" s="52" t="s">
        <v>58</v>
      </c>
      <c r="K983" s="49"/>
      <c r="L983" s="53"/>
      <c r="M983" s="54" t="e">
        <f t="shared" ref="M983:V983" si="624">M982/L982-1</f>
        <v>#DIV/0!</v>
      </c>
      <c r="N983" s="54" t="e">
        <f t="shared" si="624"/>
        <v>#DIV/0!</v>
      </c>
      <c r="O983" s="54" t="e">
        <f t="shared" si="624"/>
        <v>#DIV/0!</v>
      </c>
      <c r="P983" s="54" t="e">
        <f t="shared" si="624"/>
        <v>#DIV/0!</v>
      </c>
      <c r="Q983" s="54" t="e">
        <f t="shared" si="624"/>
        <v>#DIV/0!</v>
      </c>
      <c r="R983" s="54" t="e">
        <f t="shared" si="624"/>
        <v>#DIV/0!</v>
      </c>
      <c r="S983" s="54" t="e">
        <f t="shared" si="624"/>
        <v>#DIV/0!</v>
      </c>
      <c r="T983" s="54" t="e">
        <f t="shared" si="624"/>
        <v>#DIV/0!</v>
      </c>
      <c r="U983" s="54" t="e">
        <f t="shared" si="624"/>
        <v>#DIV/0!</v>
      </c>
      <c r="V983" s="54" t="e">
        <f t="shared" si="624"/>
        <v>#DIV/0!</v>
      </c>
      <c r="W983" s="258"/>
      <c r="X983" s="258"/>
    </row>
    <row r="984" spans="1:26">
      <c r="A984" s="46" t="str">
        <f>Home!$B$1</f>
        <v>Poland</v>
      </c>
      <c r="B984" s="47" t="s">
        <v>94</v>
      </c>
      <c r="C984" s="47" t="s">
        <v>546</v>
      </c>
      <c r="D984" s="47" t="s">
        <v>74</v>
      </c>
      <c r="E984" s="46" t="s">
        <v>496</v>
      </c>
      <c r="F984" s="48" t="s">
        <v>733</v>
      </c>
      <c r="G984" s="48" t="s">
        <v>15</v>
      </c>
      <c r="H984" s="48" t="s">
        <v>16</v>
      </c>
      <c r="I984" s="48"/>
      <c r="J984" s="48" t="s">
        <v>99</v>
      </c>
      <c r="K984" s="49"/>
      <c r="L984" s="92">
        <f>VLOOKUP(E984,'Tourism Demand &amp; Flows'!$E$342:$P$548,8,0)</f>
        <v>0</v>
      </c>
      <c r="M984" s="92">
        <f>VLOOKUP(E984,'Tourism Demand &amp; Flows'!$E$342:$P$548,9,0)</f>
        <v>0</v>
      </c>
      <c r="N984" s="92">
        <f>VLOOKUP(E984,'Tourism Demand &amp; Flows'!$E$342:$P$548,10,0)</f>
        <v>0</v>
      </c>
      <c r="O984" s="92">
        <f>VLOOKUP(E984,'Tourism Demand &amp; Flows'!$E$342:$P$548,11,0)</f>
        <v>0</v>
      </c>
      <c r="P984" s="92">
        <f>VLOOKUP(E984,'Tourism Demand &amp; Flows'!$E$342:$P$548,12,0)</f>
        <v>0</v>
      </c>
      <c r="Q984" s="92">
        <f>Forecasting!Q1112</f>
        <v>0</v>
      </c>
      <c r="R984" s="110">
        <f>Forecasting!R1112</f>
        <v>0</v>
      </c>
      <c r="S984" s="110">
        <f>Forecasting!S1112</f>
        <v>0</v>
      </c>
      <c r="T984" s="110">
        <f>Forecasting!T1112</f>
        <v>0</v>
      </c>
      <c r="U984" s="110">
        <f>Forecasting!U1112</f>
        <v>0</v>
      </c>
      <c r="V984" s="110">
        <f>Forecasting!V1112</f>
        <v>0</v>
      </c>
      <c r="W984" s="102" t="e">
        <f>+(Q984/M984)^(1/4)-1</f>
        <v>#DIV/0!</v>
      </c>
      <c r="X984" s="102" t="e">
        <f>+(V984/Q984)^(1/5)-1</f>
        <v>#DIV/0!</v>
      </c>
      <c r="Z984" s="11"/>
    </row>
    <row r="985" spans="1:26">
      <c r="A985" s="48"/>
      <c r="B985" s="48"/>
      <c r="C985" s="52" t="s">
        <v>892</v>
      </c>
      <c r="D985" s="52"/>
      <c r="E985" s="52"/>
      <c r="F985" s="52"/>
      <c r="G985" s="52"/>
      <c r="H985" s="52"/>
      <c r="I985" s="52"/>
      <c r="J985" s="52" t="s">
        <v>58</v>
      </c>
      <c r="K985" s="49"/>
      <c r="L985" s="53"/>
      <c r="M985" s="54" t="e">
        <f t="shared" ref="M985:V985" si="625">M984/L984-1</f>
        <v>#DIV/0!</v>
      </c>
      <c r="N985" s="54" t="e">
        <f t="shared" si="625"/>
        <v>#DIV/0!</v>
      </c>
      <c r="O985" s="54" t="e">
        <f t="shared" si="625"/>
        <v>#DIV/0!</v>
      </c>
      <c r="P985" s="54" t="e">
        <f t="shared" si="625"/>
        <v>#DIV/0!</v>
      </c>
      <c r="Q985" s="54" t="e">
        <f t="shared" si="625"/>
        <v>#DIV/0!</v>
      </c>
      <c r="R985" s="54" t="e">
        <f t="shared" si="625"/>
        <v>#DIV/0!</v>
      </c>
      <c r="S985" s="54" t="e">
        <f t="shared" si="625"/>
        <v>#DIV/0!</v>
      </c>
      <c r="T985" s="54" t="e">
        <f t="shared" si="625"/>
        <v>#DIV/0!</v>
      </c>
      <c r="U985" s="54" t="e">
        <f t="shared" si="625"/>
        <v>#DIV/0!</v>
      </c>
      <c r="V985" s="54" t="e">
        <f t="shared" si="625"/>
        <v>#DIV/0!</v>
      </c>
      <c r="W985" s="258"/>
      <c r="X985" s="258"/>
    </row>
    <row r="986" spans="1:26">
      <c r="A986" s="46" t="str">
        <f>Home!$B$1</f>
        <v>Poland</v>
      </c>
      <c r="B986" s="47" t="s">
        <v>94</v>
      </c>
      <c r="C986" s="47" t="s">
        <v>546</v>
      </c>
      <c r="D986" s="47" t="s">
        <v>74</v>
      </c>
      <c r="E986" s="46" t="s">
        <v>498</v>
      </c>
      <c r="F986" s="48" t="s">
        <v>734</v>
      </c>
      <c r="G986" s="48" t="s">
        <v>15</v>
      </c>
      <c r="H986" s="48" t="s">
        <v>16</v>
      </c>
      <c r="I986" s="48"/>
      <c r="J986" s="48" t="s">
        <v>99</v>
      </c>
      <c r="K986" s="49"/>
      <c r="L986" s="92">
        <f>VLOOKUP(E986,'Tourism Demand &amp; Flows'!$E$342:$P$548,8,0)</f>
        <v>0</v>
      </c>
      <c r="M986" s="92">
        <f>VLOOKUP(E986,'Tourism Demand &amp; Flows'!$E$342:$P$548,9,0)</f>
        <v>0</v>
      </c>
      <c r="N986" s="92">
        <f>VLOOKUP(E986,'Tourism Demand &amp; Flows'!$E$342:$P$548,10,0)</f>
        <v>0</v>
      </c>
      <c r="O986" s="92">
        <f>VLOOKUP(E986,'Tourism Demand &amp; Flows'!$E$342:$P$548,11,0)</f>
        <v>0</v>
      </c>
      <c r="P986" s="92">
        <f>VLOOKUP(E986,'Tourism Demand &amp; Flows'!$E$342:$P$548,12,0)</f>
        <v>0</v>
      </c>
      <c r="Q986" s="92">
        <f>Forecasting!Q1114</f>
        <v>0</v>
      </c>
      <c r="R986" s="110">
        <f>Forecasting!R1114</f>
        <v>0</v>
      </c>
      <c r="S986" s="110">
        <f>Forecasting!S1114</f>
        <v>0</v>
      </c>
      <c r="T986" s="110">
        <f>Forecasting!T1114</f>
        <v>0</v>
      </c>
      <c r="U986" s="110">
        <f>Forecasting!U1114</f>
        <v>0</v>
      </c>
      <c r="V986" s="110">
        <f>Forecasting!V1114</f>
        <v>0</v>
      </c>
      <c r="W986" s="102" t="e">
        <f>+(Q986/M986)^(1/4)-1</f>
        <v>#DIV/0!</v>
      </c>
      <c r="X986" s="102" t="e">
        <f>+(V986/Q986)^(1/5)-1</f>
        <v>#DIV/0!</v>
      </c>
      <c r="Z986" s="11"/>
    </row>
    <row r="987" spans="1:26">
      <c r="A987" s="48"/>
      <c r="B987" s="48"/>
      <c r="C987" s="52" t="s">
        <v>892</v>
      </c>
      <c r="D987" s="52"/>
      <c r="E987" s="52"/>
      <c r="F987" s="52"/>
      <c r="G987" s="52"/>
      <c r="H987" s="52"/>
      <c r="I987" s="52"/>
      <c r="J987" s="52" t="s">
        <v>58</v>
      </c>
      <c r="K987" s="49"/>
      <c r="L987" s="53"/>
      <c r="M987" s="54" t="e">
        <f t="shared" ref="M987:V987" si="626">M986/L986-1</f>
        <v>#DIV/0!</v>
      </c>
      <c r="N987" s="54" t="e">
        <f t="shared" si="626"/>
        <v>#DIV/0!</v>
      </c>
      <c r="O987" s="54" t="e">
        <f t="shared" si="626"/>
        <v>#DIV/0!</v>
      </c>
      <c r="P987" s="54" t="e">
        <f t="shared" si="626"/>
        <v>#DIV/0!</v>
      </c>
      <c r="Q987" s="54" t="e">
        <f t="shared" si="626"/>
        <v>#DIV/0!</v>
      </c>
      <c r="R987" s="54" t="e">
        <f t="shared" si="626"/>
        <v>#DIV/0!</v>
      </c>
      <c r="S987" s="54" t="e">
        <f t="shared" si="626"/>
        <v>#DIV/0!</v>
      </c>
      <c r="T987" s="54" t="e">
        <f t="shared" si="626"/>
        <v>#DIV/0!</v>
      </c>
      <c r="U987" s="54" t="e">
        <f t="shared" si="626"/>
        <v>#DIV/0!</v>
      </c>
      <c r="V987" s="54" t="e">
        <f t="shared" si="626"/>
        <v>#DIV/0!</v>
      </c>
      <c r="W987" s="258"/>
      <c r="X987" s="258"/>
    </row>
    <row r="988" spans="1:26">
      <c r="A988" s="46" t="str">
        <f>Home!$B$1</f>
        <v>Poland</v>
      </c>
      <c r="B988" s="47" t="s">
        <v>94</v>
      </c>
      <c r="C988" s="47" t="s">
        <v>546</v>
      </c>
      <c r="D988" s="47" t="s">
        <v>74</v>
      </c>
      <c r="E988" s="46" t="s">
        <v>500</v>
      </c>
      <c r="F988" s="48" t="s">
        <v>735</v>
      </c>
      <c r="G988" s="48" t="s">
        <v>15</v>
      </c>
      <c r="H988" s="48" t="s">
        <v>16</v>
      </c>
      <c r="I988" s="48"/>
      <c r="J988" s="48" t="s">
        <v>99</v>
      </c>
      <c r="K988" s="49">
        <v>1688</v>
      </c>
      <c r="L988" s="92">
        <f>VLOOKUP(E988,'Tourism Demand &amp; Flows'!$E$342:$P$548,8,0)</f>
        <v>0</v>
      </c>
      <c r="M988" s="92">
        <f>VLOOKUP(E988,'Tourism Demand &amp; Flows'!$E$342:$P$548,9,0)</f>
        <v>0</v>
      </c>
      <c r="N988" s="92">
        <f>VLOOKUP(E988,'Tourism Demand &amp; Flows'!$E$342:$P$548,10,0)</f>
        <v>0</v>
      </c>
      <c r="O988" s="92">
        <f>VLOOKUP(E988,'Tourism Demand &amp; Flows'!$E$342:$P$548,11,0)</f>
        <v>0</v>
      </c>
      <c r="P988" s="92">
        <f>VLOOKUP(E988,'Tourism Demand &amp; Flows'!$E$342:$P$548,12,0)</f>
        <v>0</v>
      </c>
      <c r="Q988" s="92">
        <f>Forecasting!Q1116</f>
        <v>0</v>
      </c>
      <c r="R988" s="110">
        <f>Forecasting!R1116</f>
        <v>0</v>
      </c>
      <c r="S988" s="110">
        <f>Forecasting!S1116</f>
        <v>0</v>
      </c>
      <c r="T988" s="110">
        <f>Forecasting!T1116</f>
        <v>0</v>
      </c>
      <c r="U988" s="110">
        <f>Forecasting!U1116</f>
        <v>0</v>
      </c>
      <c r="V988" s="110">
        <f>Forecasting!V1116</f>
        <v>0</v>
      </c>
      <c r="W988" s="102" t="e">
        <f>+(Q988/M988)^(1/4)-1</f>
        <v>#DIV/0!</v>
      </c>
      <c r="X988" s="102" t="e">
        <f>+(V988/Q988)^(1/5)-1</f>
        <v>#DIV/0!</v>
      </c>
      <c r="Z988" s="11"/>
    </row>
    <row r="989" spans="1:26">
      <c r="A989" s="48"/>
      <c r="B989" s="48"/>
      <c r="C989" s="52" t="s">
        <v>892</v>
      </c>
      <c r="D989" s="52"/>
      <c r="E989" s="52"/>
      <c r="F989" s="52"/>
      <c r="G989" s="52"/>
      <c r="H989" s="52"/>
      <c r="I989" s="52"/>
      <c r="J989" s="52" t="s">
        <v>58</v>
      </c>
      <c r="K989" s="49"/>
      <c r="L989" s="53"/>
      <c r="M989" s="54" t="e">
        <f t="shared" ref="M989:V989" si="627">M988/L988-1</f>
        <v>#DIV/0!</v>
      </c>
      <c r="N989" s="54" t="e">
        <f t="shared" si="627"/>
        <v>#DIV/0!</v>
      </c>
      <c r="O989" s="54" t="e">
        <f t="shared" si="627"/>
        <v>#DIV/0!</v>
      </c>
      <c r="P989" s="54" t="e">
        <f t="shared" si="627"/>
        <v>#DIV/0!</v>
      </c>
      <c r="Q989" s="54" t="e">
        <f t="shared" si="627"/>
        <v>#DIV/0!</v>
      </c>
      <c r="R989" s="54" t="e">
        <f t="shared" si="627"/>
        <v>#DIV/0!</v>
      </c>
      <c r="S989" s="54" t="e">
        <f t="shared" si="627"/>
        <v>#DIV/0!</v>
      </c>
      <c r="T989" s="54" t="e">
        <f t="shared" si="627"/>
        <v>#DIV/0!</v>
      </c>
      <c r="U989" s="54" t="e">
        <f t="shared" si="627"/>
        <v>#DIV/0!</v>
      </c>
      <c r="V989" s="54" t="e">
        <f t="shared" si="627"/>
        <v>#DIV/0!</v>
      </c>
      <c r="W989" s="258"/>
      <c r="X989" s="258"/>
    </row>
    <row r="990" spans="1:26">
      <c r="A990" s="46" t="str">
        <f>Home!$B$1</f>
        <v>Poland</v>
      </c>
      <c r="B990" s="47" t="s">
        <v>94</v>
      </c>
      <c r="C990" s="47" t="s">
        <v>546</v>
      </c>
      <c r="D990" s="47" t="s">
        <v>74</v>
      </c>
      <c r="E990" s="46" t="s">
        <v>502</v>
      </c>
      <c r="F990" s="48" t="s">
        <v>736</v>
      </c>
      <c r="G990" s="48" t="s">
        <v>15</v>
      </c>
      <c r="H990" s="48" t="s">
        <v>16</v>
      </c>
      <c r="I990" s="48"/>
      <c r="J990" s="48" t="s">
        <v>99</v>
      </c>
      <c r="K990" s="49"/>
      <c r="L990" s="92">
        <f>VLOOKUP(E990,'Tourism Demand &amp; Flows'!$E$342:$P$548,8,0)</f>
        <v>0</v>
      </c>
      <c r="M990" s="92">
        <f>VLOOKUP(E990,'Tourism Demand &amp; Flows'!$E$342:$P$548,9,0)</f>
        <v>0</v>
      </c>
      <c r="N990" s="92">
        <f>VLOOKUP(E990,'Tourism Demand &amp; Flows'!$E$342:$P$548,10,0)</f>
        <v>0</v>
      </c>
      <c r="O990" s="92">
        <f>VLOOKUP(E990,'Tourism Demand &amp; Flows'!$E$342:$P$548,11,0)</f>
        <v>0</v>
      </c>
      <c r="P990" s="92">
        <f>VLOOKUP(E990,'Tourism Demand &amp; Flows'!$E$342:$P$548,12,0)</f>
        <v>0</v>
      </c>
      <c r="Q990" s="92">
        <f>Forecasting!Q1118</f>
        <v>0</v>
      </c>
      <c r="R990" s="110">
        <f>Forecasting!R1118</f>
        <v>0</v>
      </c>
      <c r="S990" s="110">
        <f>Forecasting!S1118</f>
        <v>0</v>
      </c>
      <c r="T990" s="110">
        <f>Forecasting!T1118</f>
        <v>0</v>
      </c>
      <c r="U990" s="110">
        <f>Forecasting!U1118</f>
        <v>0</v>
      </c>
      <c r="V990" s="110">
        <f>Forecasting!V1118</f>
        <v>0</v>
      </c>
      <c r="W990" s="102" t="e">
        <f>+(Q990/M990)^(1/4)-1</f>
        <v>#DIV/0!</v>
      </c>
      <c r="X990" s="102" t="e">
        <f>+(V990/Q990)^(1/5)-1</f>
        <v>#DIV/0!</v>
      </c>
      <c r="Z990" s="11"/>
    </row>
    <row r="991" spans="1:26">
      <c r="A991" s="48"/>
      <c r="B991" s="48"/>
      <c r="C991" s="52" t="s">
        <v>892</v>
      </c>
      <c r="D991" s="52"/>
      <c r="E991" s="52"/>
      <c r="F991" s="52"/>
      <c r="G991" s="52"/>
      <c r="H991" s="52"/>
      <c r="I991" s="52"/>
      <c r="J991" s="52" t="s">
        <v>58</v>
      </c>
      <c r="K991" s="49"/>
      <c r="L991" s="53"/>
      <c r="M991" s="54" t="e">
        <f t="shared" ref="M991:V991" si="628">M990/L990-1</f>
        <v>#DIV/0!</v>
      </c>
      <c r="N991" s="54" t="e">
        <f t="shared" si="628"/>
        <v>#DIV/0!</v>
      </c>
      <c r="O991" s="54" t="e">
        <f t="shared" si="628"/>
        <v>#DIV/0!</v>
      </c>
      <c r="P991" s="54" t="e">
        <f t="shared" si="628"/>
        <v>#DIV/0!</v>
      </c>
      <c r="Q991" s="54" t="e">
        <f t="shared" si="628"/>
        <v>#DIV/0!</v>
      </c>
      <c r="R991" s="54" t="e">
        <f t="shared" si="628"/>
        <v>#DIV/0!</v>
      </c>
      <c r="S991" s="54" t="e">
        <f t="shared" si="628"/>
        <v>#DIV/0!</v>
      </c>
      <c r="T991" s="54" t="e">
        <f t="shared" si="628"/>
        <v>#DIV/0!</v>
      </c>
      <c r="U991" s="54" t="e">
        <f t="shared" si="628"/>
        <v>#DIV/0!</v>
      </c>
      <c r="V991" s="54" t="e">
        <f t="shared" si="628"/>
        <v>#DIV/0!</v>
      </c>
      <c r="W991" s="258"/>
      <c r="X991" s="258"/>
    </row>
    <row r="992" spans="1:26">
      <c r="A992" s="46" t="str">
        <f>Home!$B$1</f>
        <v>Poland</v>
      </c>
      <c r="B992" s="47" t="s">
        <v>94</v>
      </c>
      <c r="C992" s="47" t="s">
        <v>546</v>
      </c>
      <c r="D992" s="47" t="s">
        <v>74</v>
      </c>
      <c r="E992" s="46" t="s">
        <v>504</v>
      </c>
      <c r="F992" s="48" t="s">
        <v>737</v>
      </c>
      <c r="G992" s="48" t="s">
        <v>15</v>
      </c>
      <c r="H992" s="48" t="s">
        <v>16</v>
      </c>
      <c r="I992" s="48"/>
      <c r="J992" s="48" t="s">
        <v>99</v>
      </c>
      <c r="K992" s="49"/>
      <c r="L992" s="92">
        <f>VLOOKUP(E992,'Tourism Demand &amp; Flows'!$E$342:$P$548,8,0)</f>
        <v>0</v>
      </c>
      <c r="M992" s="92">
        <f>VLOOKUP(E992,'Tourism Demand &amp; Flows'!$E$342:$P$548,9,0)</f>
        <v>0</v>
      </c>
      <c r="N992" s="92">
        <f>VLOOKUP(E992,'Tourism Demand &amp; Flows'!$E$342:$P$548,10,0)</f>
        <v>0</v>
      </c>
      <c r="O992" s="92">
        <f>VLOOKUP(E992,'Tourism Demand &amp; Flows'!$E$342:$P$548,11,0)</f>
        <v>0</v>
      </c>
      <c r="P992" s="92">
        <f>VLOOKUP(E992,'Tourism Demand &amp; Flows'!$E$342:$P$548,12,0)</f>
        <v>0</v>
      </c>
      <c r="Q992" s="92">
        <f>Forecasting!Q1120</f>
        <v>0</v>
      </c>
      <c r="R992" s="110">
        <f>Forecasting!R1120</f>
        <v>0</v>
      </c>
      <c r="S992" s="110">
        <f>Forecasting!S1120</f>
        <v>0</v>
      </c>
      <c r="T992" s="110">
        <f>Forecasting!T1120</f>
        <v>0</v>
      </c>
      <c r="U992" s="110">
        <f>Forecasting!U1120</f>
        <v>0</v>
      </c>
      <c r="V992" s="110">
        <f>Forecasting!V1120</f>
        <v>0</v>
      </c>
      <c r="W992" s="102" t="e">
        <f>+(Q992/M992)^(1/4)-1</f>
        <v>#DIV/0!</v>
      </c>
      <c r="X992" s="102" t="e">
        <f>+(V992/Q992)^(1/5)-1</f>
        <v>#DIV/0!</v>
      </c>
      <c r="Z992" s="11"/>
    </row>
    <row r="993" spans="1:26">
      <c r="A993" s="48"/>
      <c r="B993" s="48"/>
      <c r="C993" s="52" t="s">
        <v>892</v>
      </c>
      <c r="D993" s="52"/>
      <c r="E993" s="52"/>
      <c r="F993" s="52"/>
      <c r="G993" s="52"/>
      <c r="H993" s="52"/>
      <c r="I993" s="52"/>
      <c r="J993" s="52" t="s">
        <v>58</v>
      </c>
      <c r="K993" s="49"/>
      <c r="L993" s="53"/>
      <c r="M993" s="54" t="e">
        <f t="shared" ref="M993:V993" si="629">M992/L992-1</f>
        <v>#DIV/0!</v>
      </c>
      <c r="N993" s="54" t="e">
        <f t="shared" si="629"/>
        <v>#DIV/0!</v>
      </c>
      <c r="O993" s="54" t="e">
        <f t="shared" si="629"/>
        <v>#DIV/0!</v>
      </c>
      <c r="P993" s="54" t="e">
        <f t="shared" si="629"/>
        <v>#DIV/0!</v>
      </c>
      <c r="Q993" s="54" t="e">
        <f t="shared" si="629"/>
        <v>#DIV/0!</v>
      </c>
      <c r="R993" s="54" t="e">
        <f t="shared" si="629"/>
        <v>#DIV/0!</v>
      </c>
      <c r="S993" s="54" t="e">
        <f t="shared" si="629"/>
        <v>#DIV/0!</v>
      </c>
      <c r="T993" s="54" t="e">
        <f t="shared" si="629"/>
        <v>#DIV/0!</v>
      </c>
      <c r="U993" s="54" t="e">
        <f t="shared" si="629"/>
        <v>#DIV/0!</v>
      </c>
      <c r="V993" s="54" t="e">
        <f t="shared" si="629"/>
        <v>#DIV/0!</v>
      </c>
      <c r="W993" s="258"/>
      <c r="X993" s="258"/>
    </row>
    <row r="994" spans="1:26">
      <c r="A994" s="46" t="str">
        <f>Home!$B$1</f>
        <v>Poland</v>
      </c>
      <c r="B994" s="47" t="s">
        <v>94</v>
      </c>
      <c r="C994" s="47" t="s">
        <v>546</v>
      </c>
      <c r="D994" s="47" t="s">
        <v>74</v>
      </c>
      <c r="E994" s="46" t="s">
        <v>506</v>
      </c>
      <c r="F994" s="48" t="s">
        <v>738</v>
      </c>
      <c r="G994" s="48" t="s">
        <v>15</v>
      </c>
      <c r="H994" s="48" t="s">
        <v>16</v>
      </c>
      <c r="I994" s="48"/>
      <c r="J994" s="48" t="s">
        <v>99</v>
      </c>
      <c r="K994" s="49"/>
      <c r="L994" s="92">
        <f>VLOOKUP(E994,'Tourism Demand &amp; Flows'!$E$342:$P$548,8,0)</f>
        <v>0</v>
      </c>
      <c r="M994" s="92">
        <f>VLOOKUP(E994,'Tourism Demand &amp; Flows'!$E$342:$P$548,9,0)</f>
        <v>0</v>
      </c>
      <c r="N994" s="92">
        <f>VLOOKUP(E994,'Tourism Demand &amp; Flows'!$E$342:$P$548,10,0)</f>
        <v>0</v>
      </c>
      <c r="O994" s="92">
        <f>VLOOKUP(E994,'Tourism Demand &amp; Flows'!$E$342:$P$548,11,0)</f>
        <v>0</v>
      </c>
      <c r="P994" s="92">
        <f>VLOOKUP(E994,'Tourism Demand &amp; Flows'!$E$342:$P$548,12,0)</f>
        <v>0</v>
      </c>
      <c r="Q994" s="92">
        <f>Forecasting!Q1122</f>
        <v>0</v>
      </c>
      <c r="R994" s="110">
        <f>Forecasting!R1122</f>
        <v>0</v>
      </c>
      <c r="S994" s="110">
        <f>Forecasting!S1122</f>
        <v>0</v>
      </c>
      <c r="T994" s="110">
        <f>Forecasting!T1122</f>
        <v>0</v>
      </c>
      <c r="U994" s="110">
        <f>Forecasting!U1122</f>
        <v>0</v>
      </c>
      <c r="V994" s="110">
        <f>Forecasting!V1122</f>
        <v>0</v>
      </c>
      <c r="W994" s="102" t="e">
        <f>+(Q994/M994)^(1/4)-1</f>
        <v>#DIV/0!</v>
      </c>
      <c r="X994" s="102" t="e">
        <f>+(V994/Q994)^(1/5)-1</f>
        <v>#DIV/0!</v>
      </c>
      <c r="Z994" s="11"/>
    </row>
    <row r="995" spans="1:26">
      <c r="A995" s="48"/>
      <c r="B995" s="48"/>
      <c r="C995" s="52" t="s">
        <v>892</v>
      </c>
      <c r="D995" s="52"/>
      <c r="E995" s="52"/>
      <c r="F995" s="52"/>
      <c r="G995" s="52"/>
      <c r="H995" s="52"/>
      <c r="I995" s="52"/>
      <c r="J995" s="52" t="s">
        <v>58</v>
      </c>
      <c r="K995" s="49"/>
      <c r="L995" s="53"/>
      <c r="M995" s="54" t="e">
        <f t="shared" ref="M995:V995" si="630">M994/L994-1</f>
        <v>#DIV/0!</v>
      </c>
      <c r="N995" s="54" t="e">
        <f t="shared" si="630"/>
        <v>#DIV/0!</v>
      </c>
      <c r="O995" s="54" t="e">
        <f t="shared" si="630"/>
        <v>#DIV/0!</v>
      </c>
      <c r="P995" s="54" t="e">
        <f t="shared" si="630"/>
        <v>#DIV/0!</v>
      </c>
      <c r="Q995" s="54" t="e">
        <f t="shared" si="630"/>
        <v>#DIV/0!</v>
      </c>
      <c r="R995" s="54" t="e">
        <f t="shared" si="630"/>
        <v>#DIV/0!</v>
      </c>
      <c r="S995" s="54" t="e">
        <f t="shared" si="630"/>
        <v>#DIV/0!</v>
      </c>
      <c r="T995" s="54" t="e">
        <f t="shared" si="630"/>
        <v>#DIV/0!</v>
      </c>
      <c r="U995" s="54" t="e">
        <f t="shared" si="630"/>
        <v>#DIV/0!</v>
      </c>
      <c r="V995" s="54" t="e">
        <f t="shared" si="630"/>
        <v>#DIV/0!</v>
      </c>
      <c r="W995" s="258"/>
      <c r="X995" s="258"/>
    </row>
    <row r="996" spans="1:26">
      <c r="A996" s="46" t="str">
        <f>Home!$B$1</f>
        <v>Poland</v>
      </c>
      <c r="B996" s="47" t="s">
        <v>94</v>
      </c>
      <c r="C996" s="47" t="s">
        <v>546</v>
      </c>
      <c r="D996" s="47" t="s">
        <v>74</v>
      </c>
      <c r="E996" s="46" t="s">
        <v>508</v>
      </c>
      <c r="F996" s="48" t="s">
        <v>739</v>
      </c>
      <c r="G996" s="48" t="s">
        <v>15</v>
      </c>
      <c r="H996" s="48" t="s">
        <v>16</v>
      </c>
      <c r="I996" s="48"/>
      <c r="J996" s="48" t="s">
        <v>99</v>
      </c>
      <c r="K996" s="49"/>
      <c r="L996" s="92">
        <f>VLOOKUP(E996,'Tourism Demand &amp; Flows'!$E$342:$P$548,8,0)</f>
        <v>0</v>
      </c>
      <c r="M996" s="92">
        <f>VLOOKUP(E996,'Tourism Demand &amp; Flows'!$E$342:$P$548,9,0)</f>
        <v>0</v>
      </c>
      <c r="N996" s="92">
        <f>VLOOKUP(E996,'Tourism Demand &amp; Flows'!$E$342:$P$548,10,0)</f>
        <v>0</v>
      </c>
      <c r="O996" s="92">
        <f>VLOOKUP(E996,'Tourism Demand &amp; Flows'!$E$342:$P$548,11,0)</f>
        <v>0</v>
      </c>
      <c r="P996" s="92">
        <f>VLOOKUP(E996,'Tourism Demand &amp; Flows'!$E$342:$P$548,12,0)</f>
        <v>0</v>
      </c>
      <c r="Q996" s="92">
        <f>Forecasting!Q1124</f>
        <v>0</v>
      </c>
      <c r="R996" s="110">
        <f>Forecasting!R1124</f>
        <v>0</v>
      </c>
      <c r="S996" s="110">
        <f>Forecasting!S1124</f>
        <v>0</v>
      </c>
      <c r="T996" s="110">
        <f>Forecasting!T1124</f>
        <v>0</v>
      </c>
      <c r="U996" s="110">
        <f>Forecasting!U1124</f>
        <v>0</v>
      </c>
      <c r="V996" s="110">
        <f>Forecasting!V1124</f>
        <v>0</v>
      </c>
      <c r="W996" s="102" t="e">
        <f>+(Q996/M996)^(1/4)-1</f>
        <v>#DIV/0!</v>
      </c>
      <c r="X996" s="102" t="e">
        <f>+(V996/Q996)^(1/5)-1</f>
        <v>#DIV/0!</v>
      </c>
      <c r="Z996" s="11"/>
    </row>
    <row r="997" spans="1:26">
      <c r="A997" s="48"/>
      <c r="B997" s="48"/>
      <c r="C997" s="52" t="s">
        <v>892</v>
      </c>
      <c r="D997" s="52"/>
      <c r="E997" s="52"/>
      <c r="F997" s="52"/>
      <c r="G997" s="52"/>
      <c r="H997" s="52"/>
      <c r="I997" s="52"/>
      <c r="J997" s="52" t="s">
        <v>58</v>
      </c>
      <c r="K997" s="49"/>
      <c r="L997" s="53"/>
      <c r="M997" s="54" t="e">
        <f t="shared" ref="M997:V997" si="631">M996/L996-1</f>
        <v>#DIV/0!</v>
      </c>
      <c r="N997" s="54" t="e">
        <f t="shared" si="631"/>
        <v>#DIV/0!</v>
      </c>
      <c r="O997" s="54" t="e">
        <f t="shared" si="631"/>
        <v>#DIV/0!</v>
      </c>
      <c r="P997" s="54" t="e">
        <f t="shared" si="631"/>
        <v>#DIV/0!</v>
      </c>
      <c r="Q997" s="54" t="e">
        <f t="shared" si="631"/>
        <v>#DIV/0!</v>
      </c>
      <c r="R997" s="54" t="e">
        <f t="shared" si="631"/>
        <v>#DIV/0!</v>
      </c>
      <c r="S997" s="54" t="e">
        <f t="shared" si="631"/>
        <v>#DIV/0!</v>
      </c>
      <c r="T997" s="54" t="e">
        <f t="shared" si="631"/>
        <v>#DIV/0!</v>
      </c>
      <c r="U997" s="54" t="e">
        <f t="shared" si="631"/>
        <v>#DIV/0!</v>
      </c>
      <c r="V997" s="54" t="e">
        <f t="shared" si="631"/>
        <v>#DIV/0!</v>
      </c>
      <c r="W997" s="258"/>
      <c r="X997" s="258"/>
    </row>
    <row r="998" spans="1:26">
      <c r="A998" s="46" t="str">
        <f>Home!$B$1</f>
        <v>Poland</v>
      </c>
      <c r="B998" s="47" t="s">
        <v>94</v>
      </c>
      <c r="C998" s="47" t="s">
        <v>546</v>
      </c>
      <c r="D998" s="47" t="s">
        <v>74</v>
      </c>
      <c r="E998" s="46" t="s">
        <v>510</v>
      </c>
      <c r="F998" s="48" t="s">
        <v>740</v>
      </c>
      <c r="G998" s="48" t="s">
        <v>15</v>
      </c>
      <c r="H998" s="48" t="s">
        <v>16</v>
      </c>
      <c r="I998" s="48"/>
      <c r="J998" s="48" t="s">
        <v>99</v>
      </c>
      <c r="K998" s="49"/>
      <c r="L998" s="92">
        <f>VLOOKUP(E998,'Tourism Demand &amp; Flows'!$E$342:$P$548,8,0)</f>
        <v>0</v>
      </c>
      <c r="M998" s="92">
        <f>VLOOKUP(E998,'Tourism Demand &amp; Flows'!$E$342:$P$548,9,0)</f>
        <v>0</v>
      </c>
      <c r="N998" s="92">
        <f>VLOOKUP(E998,'Tourism Demand &amp; Flows'!$E$342:$P$548,10,0)</f>
        <v>0</v>
      </c>
      <c r="O998" s="92">
        <f>VLOOKUP(E998,'Tourism Demand &amp; Flows'!$E$342:$P$548,11,0)</f>
        <v>0</v>
      </c>
      <c r="P998" s="92">
        <f>VLOOKUP(E998,'Tourism Demand &amp; Flows'!$E$342:$P$548,12,0)</f>
        <v>0</v>
      </c>
      <c r="Q998" s="92">
        <f>Forecasting!Q1126</f>
        <v>0</v>
      </c>
      <c r="R998" s="110">
        <f>Forecasting!R1126</f>
        <v>0</v>
      </c>
      <c r="S998" s="110">
        <f>Forecasting!S1126</f>
        <v>0</v>
      </c>
      <c r="T998" s="110">
        <f>Forecasting!T1126</f>
        <v>0</v>
      </c>
      <c r="U998" s="110">
        <f>Forecasting!U1126</f>
        <v>0</v>
      </c>
      <c r="V998" s="110">
        <f>Forecasting!V1126</f>
        <v>0</v>
      </c>
      <c r="W998" s="102" t="e">
        <f>+(Q998/M998)^(1/4)-1</f>
        <v>#DIV/0!</v>
      </c>
      <c r="X998" s="102" t="e">
        <f>+(V998/Q998)^(1/5)-1</f>
        <v>#DIV/0!</v>
      </c>
      <c r="Z998" s="11"/>
    </row>
    <row r="999" spans="1:26">
      <c r="A999" s="48"/>
      <c r="B999" s="48"/>
      <c r="C999" s="52" t="s">
        <v>892</v>
      </c>
      <c r="D999" s="52"/>
      <c r="E999" s="52"/>
      <c r="F999" s="52"/>
      <c r="G999" s="52"/>
      <c r="H999" s="52"/>
      <c r="I999" s="52"/>
      <c r="J999" s="52" t="s">
        <v>58</v>
      </c>
      <c r="K999" s="49"/>
      <c r="L999" s="53"/>
      <c r="M999" s="54" t="e">
        <f t="shared" ref="M999:V999" si="632">M998/L998-1</f>
        <v>#DIV/0!</v>
      </c>
      <c r="N999" s="54" t="e">
        <f t="shared" si="632"/>
        <v>#DIV/0!</v>
      </c>
      <c r="O999" s="54" t="e">
        <f t="shared" si="632"/>
        <v>#DIV/0!</v>
      </c>
      <c r="P999" s="54" t="e">
        <f t="shared" si="632"/>
        <v>#DIV/0!</v>
      </c>
      <c r="Q999" s="54" t="e">
        <f t="shared" si="632"/>
        <v>#DIV/0!</v>
      </c>
      <c r="R999" s="54" t="e">
        <f t="shared" si="632"/>
        <v>#DIV/0!</v>
      </c>
      <c r="S999" s="54" t="e">
        <f t="shared" si="632"/>
        <v>#DIV/0!</v>
      </c>
      <c r="T999" s="54" t="e">
        <f t="shared" si="632"/>
        <v>#DIV/0!</v>
      </c>
      <c r="U999" s="54" t="e">
        <f t="shared" si="632"/>
        <v>#DIV/0!</v>
      </c>
      <c r="V999" s="54" t="e">
        <f t="shared" si="632"/>
        <v>#DIV/0!</v>
      </c>
      <c r="W999" s="258"/>
      <c r="X999" s="258"/>
    </row>
    <row r="1000" spans="1:26">
      <c r="A1000" s="46" t="str">
        <f>Home!$B$1</f>
        <v>Poland</v>
      </c>
      <c r="B1000" s="47" t="s">
        <v>94</v>
      </c>
      <c r="C1000" s="47" t="s">
        <v>546</v>
      </c>
      <c r="D1000" s="47" t="s">
        <v>74</v>
      </c>
      <c r="E1000" s="46" t="s">
        <v>512</v>
      </c>
      <c r="F1000" s="48" t="s">
        <v>741</v>
      </c>
      <c r="G1000" s="48" t="s">
        <v>15</v>
      </c>
      <c r="H1000" s="48" t="s">
        <v>16</v>
      </c>
      <c r="I1000" s="48"/>
      <c r="J1000" s="48" t="s">
        <v>99</v>
      </c>
      <c r="K1000" s="49"/>
      <c r="L1000" s="92">
        <f>VLOOKUP(E1000,'Tourism Demand &amp; Flows'!$E$342:$P$548,8,0)</f>
        <v>0</v>
      </c>
      <c r="M1000" s="92">
        <f>VLOOKUP(E1000,'Tourism Demand &amp; Flows'!$E$342:$P$548,9,0)</f>
        <v>0</v>
      </c>
      <c r="N1000" s="92">
        <f>VLOOKUP(E1000,'Tourism Demand &amp; Flows'!$E$342:$P$548,10,0)</f>
        <v>0</v>
      </c>
      <c r="O1000" s="92">
        <f>VLOOKUP(E1000,'Tourism Demand &amp; Flows'!$E$342:$P$548,11,0)</f>
        <v>0</v>
      </c>
      <c r="P1000" s="92">
        <f>VLOOKUP(E1000,'Tourism Demand &amp; Flows'!$E$342:$P$548,12,0)</f>
        <v>0</v>
      </c>
      <c r="Q1000" s="92">
        <f>Forecasting!Q1128</f>
        <v>0</v>
      </c>
      <c r="R1000" s="110">
        <f>Forecasting!R1128</f>
        <v>0</v>
      </c>
      <c r="S1000" s="110">
        <f>Forecasting!S1128</f>
        <v>0</v>
      </c>
      <c r="T1000" s="110">
        <f>Forecasting!T1128</f>
        <v>0</v>
      </c>
      <c r="U1000" s="110">
        <f>Forecasting!U1128</f>
        <v>0</v>
      </c>
      <c r="V1000" s="110">
        <f>Forecasting!V1128</f>
        <v>0</v>
      </c>
      <c r="W1000" s="102" t="e">
        <f>+(Q1000/M1000)^(1/4)-1</f>
        <v>#DIV/0!</v>
      </c>
      <c r="X1000" s="102" t="e">
        <f>+(V1000/Q1000)^(1/5)-1</f>
        <v>#DIV/0!</v>
      </c>
      <c r="Z1000" s="11"/>
    </row>
    <row r="1001" spans="1:26">
      <c r="A1001" s="48"/>
      <c r="B1001" s="48"/>
      <c r="C1001" s="52" t="s">
        <v>892</v>
      </c>
      <c r="D1001" s="52"/>
      <c r="E1001" s="52"/>
      <c r="F1001" s="52"/>
      <c r="G1001" s="52"/>
      <c r="H1001" s="52"/>
      <c r="I1001" s="52"/>
      <c r="J1001" s="52" t="s">
        <v>58</v>
      </c>
      <c r="K1001" s="49"/>
      <c r="L1001" s="53"/>
      <c r="M1001" s="54" t="e">
        <f t="shared" ref="M1001:V1001" si="633">M1000/L1000-1</f>
        <v>#DIV/0!</v>
      </c>
      <c r="N1001" s="54" t="e">
        <f t="shared" si="633"/>
        <v>#DIV/0!</v>
      </c>
      <c r="O1001" s="54" t="e">
        <f t="shared" si="633"/>
        <v>#DIV/0!</v>
      </c>
      <c r="P1001" s="54" t="e">
        <f t="shared" si="633"/>
        <v>#DIV/0!</v>
      </c>
      <c r="Q1001" s="54" t="e">
        <f t="shared" si="633"/>
        <v>#DIV/0!</v>
      </c>
      <c r="R1001" s="54" t="e">
        <f t="shared" si="633"/>
        <v>#DIV/0!</v>
      </c>
      <c r="S1001" s="54" t="e">
        <f t="shared" si="633"/>
        <v>#DIV/0!</v>
      </c>
      <c r="T1001" s="54" t="e">
        <f t="shared" si="633"/>
        <v>#DIV/0!</v>
      </c>
      <c r="U1001" s="54" t="e">
        <f t="shared" si="633"/>
        <v>#DIV/0!</v>
      </c>
      <c r="V1001" s="54" t="e">
        <f t="shared" si="633"/>
        <v>#DIV/0!</v>
      </c>
      <c r="W1001" s="258"/>
      <c r="X1001" s="258"/>
    </row>
    <row r="1002" spans="1:26">
      <c r="A1002" s="46" t="str">
        <f>Home!$B$1</f>
        <v>Poland</v>
      </c>
      <c r="B1002" s="47" t="s">
        <v>94</v>
      </c>
      <c r="C1002" s="47" t="s">
        <v>546</v>
      </c>
      <c r="D1002" s="47" t="s">
        <v>74</v>
      </c>
      <c r="E1002" s="46" t="s">
        <v>514</v>
      </c>
      <c r="F1002" s="48" t="s">
        <v>742</v>
      </c>
      <c r="G1002" s="48" t="s">
        <v>15</v>
      </c>
      <c r="H1002" s="48" t="s">
        <v>16</v>
      </c>
      <c r="I1002" s="48"/>
      <c r="J1002" s="48" t="s">
        <v>99</v>
      </c>
      <c r="K1002" s="49"/>
      <c r="L1002" s="92">
        <f>VLOOKUP(E1002,'Tourism Demand &amp; Flows'!$E$342:$P$548,8,0)</f>
        <v>0</v>
      </c>
      <c r="M1002" s="92">
        <f>VLOOKUP(E1002,'Tourism Demand &amp; Flows'!$E$342:$P$548,9,0)</f>
        <v>0</v>
      </c>
      <c r="N1002" s="92">
        <f>VLOOKUP(E1002,'Tourism Demand &amp; Flows'!$E$342:$P$548,10,0)</f>
        <v>0</v>
      </c>
      <c r="O1002" s="92">
        <f>VLOOKUP(E1002,'Tourism Demand &amp; Flows'!$E$342:$P$548,11,0)</f>
        <v>0</v>
      </c>
      <c r="P1002" s="92">
        <f>VLOOKUP(E1002,'Tourism Demand &amp; Flows'!$E$342:$P$548,12,0)</f>
        <v>0</v>
      </c>
      <c r="Q1002" s="92">
        <f>Forecasting!Q1130</f>
        <v>0</v>
      </c>
      <c r="R1002" s="110">
        <f>Forecasting!R1130</f>
        <v>0</v>
      </c>
      <c r="S1002" s="110">
        <f>Forecasting!S1130</f>
        <v>0</v>
      </c>
      <c r="T1002" s="110">
        <f>Forecasting!T1130</f>
        <v>0</v>
      </c>
      <c r="U1002" s="110">
        <f>Forecasting!U1130</f>
        <v>0</v>
      </c>
      <c r="V1002" s="110">
        <f>Forecasting!V1130</f>
        <v>0</v>
      </c>
      <c r="W1002" s="102" t="e">
        <f>+(Q1002/M1002)^(1/4)-1</f>
        <v>#DIV/0!</v>
      </c>
      <c r="X1002" s="102" t="e">
        <f>+(V1002/Q1002)^(1/5)-1</f>
        <v>#DIV/0!</v>
      </c>
      <c r="Z1002" s="11"/>
    </row>
    <row r="1003" spans="1:26">
      <c r="A1003" s="48"/>
      <c r="B1003" s="48"/>
      <c r="C1003" s="52" t="s">
        <v>892</v>
      </c>
      <c r="D1003" s="52"/>
      <c r="E1003" s="52"/>
      <c r="F1003" s="52"/>
      <c r="G1003" s="52"/>
      <c r="H1003" s="52"/>
      <c r="I1003" s="52"/>
      <c r="J1003" s="52" t="s">
        <v>58</v>
      </c>
      <c r="K1003" s="49"/>
      <c r="L1003" s="53"/>
      <c r="M1003" s="54" t="e">
        <f t="shared" ref="M1003:V1003" si="634">M1002/L1002-1</f>
        <v>#DIV/0!</v>
      </c>
      <c r="N1003" s="54" t="e">
        <f t="shared" si="634"/>
        <v>#DIV/0!</v>
      </c>
      <c r="O1003" s="54" t="e">
        <f t="shared" si="634"/>
        <v>#DIV/0!</v>
      </c>
      <c r="P1003" s="54" t="e">
        <f t="shared" si="634"/>
        <v>#DIV/0!</v>
      </c>
      <c r="Q1003" s="54" t="e">
        <f t="shared" si="634"/>
        <v>#DIV/0!</v>
      </c>
      <c r="R1003" s="54" t="e">
        <f t="shared" si="634"/>
        <v>#DIV/0!</v>
      </c>
      <c r="S1003" s="54" t="e">
        <f t="shared" si="634"/>
        <v>#DIV/0!</v>
      </c>
      <c r="T1003" s="54" t="e">
        <f t="shared" si="634"/>
        <v>#DIV/0!</v>
      </c>
      <c r="U1003" s="54" t="e">
        <f t="shared" si="634"/>
        <v>#DIV/0!</v>
      </c>
      <c r="V1003" s="54" t="e">
        <f t="shared" si="634"/>
        <v>#DIV/0!</v>
      </c>
      <c r="W1003" s="258"/>
      <c r="X1003" s="258"/>
    </row>
    <row r="1004" spans="1:26">
      <c r="A1004" s="46" t="str">
        <f>Home!$B$1</f>
        <v>Poland</v>
      </c>
      <c r="B1004" s="47" t="s">
        <v>94</v>
      </c>
      <c r="C1004" s="47" t="s">
        <v>546</v>
      </c>
      <c r="D1004" s="47" t="s">
        <v>74</v>
      </c>
      <c r="E1004" s="46" t="s">
        <v>516</v>
      </c>
      <c r="F1004" s="48" t="s">
        <v>743</v>
      </c>
      <c r="G1004" s="48" t="s">
        <v>15</v>
      </c>
      <c r="H1004" s="48" t="s">
        <v>16</v>
      </c>
      <c r="I1004" s="48"/>
      <c r="J1004" s="48" t="s">
        <v>99</v>
      </c>
      <c r="K1004" s="49"/>
      <c r="L1004" s="92">
        <f>VLOOKUP(E1004,'Tourism Demand &amp; Flows'!$E$342:$P$548,8,0)</f>
        <v>0</v>
      </c>
      <c r="M1004" s="92">
        <f>VLOOKUP(E1004,'Tourism Demand &amp; Flows'!$E$342:$P$548,9,0)</f>
        <v>0</v>
      </c>
      <c r="N1004" s="92">
        <f>VLOOKUP(E1004,'Tourism Demand &amp; Flows'!$E$342:$P$548,10,0)</f>
        <v>0</v>
      </c>
      <c r="O1004" s="92">
        <f>VLOOKUP(E1004,'Tourism Demand &amp; Flows'!$E$342:$P$548,11,0)</f>
        <v>0</v>
      </c>
      <c r="P1004" s="92">
        <f>VLOOKUP(E1004,'Tourism Demand &amp; Flows'!$E$342:$P$548,12,0)</f>
        <v>0</v>
      </c>
      <c r="Q1004" s="92">
        <f>Forecasting!Q1132</f>
        <v>0</v>
      </c>
      <c r="R1004" s="110">
        <f>Forecasting!R1132</f>
        <v>0</v>
      </c>
      <c r="S1004" s="110">
        <f>Forecasting!S1132</f>
        <v>0</v>
      </c>
      <c r="T1004" s="110">
        <f>Forecasting!T1132</f>
        <v>0</v>
      </c>
      <c r="U1004" s="110">
        <f>Forecasting!U1132</f>
        <v>0</v>
      </c>
      <c r="V1004" s="110">
        <f>Forecasting!V1132</f>
        <v>0</v>
      </c>
      <c r="W1004" s="102" t="e">
        <f>+(Q1004/M1004)^(1/4)-1</f>
        <v>#DIV/0!</v>
      </c>
      <c r="X1004" s="102" t="e">
        <f>+(V1004/Q1004)^(1/5)-1</f>
        <v>#DIV/0!</v>
      </c>
      <c r="Z1004" s="11"/>
    </row>
    <row r="1005" spans="1:26">
      <c r="A1005" s="48"/>
      <c r="B1005" s="48"/>
      <c r="C1005" s="52" t="s">
        <v>892</v>
      </c>
      <c r="D1005" s="52"/>
      <c r="E1005" s="52"/>
      <c r="F1005" s="52"/>
      <c r="G1005" s="52"/>
      <c r="H1005" s="52"/>
      <c r="I1005" s="52"/>
      <c r="J1005" s="52" t="s">
        <v>58</v>
      </c>
      <c r="K1005" s="49"/>
      <c r="L1005" s="53"/>
      <c r="M1005" s="54" t="e">
        <f t="shared" ref="M1005:V1005" si="635">M1004/L1004-1</f>
        <v>#DIV/0!</v>
      </c>
      <c r="N1005" s="54" t="e">
        <f t="shared" si="635"/>
        <v>#DIV/0!</v>
      </c>
      <c r="O1005" s="54" t="e">
        <f t="shared" si="635"/>
        <v>#DIV/0!</v>
      </c>
      <c r="P1005" s="54" t="e">
        <f t="shared" si="635"/>
        <v>#DIV/0!</v>
      </c>
      <c r="Q1005" s="54" t="e">
        <f t="shared" si="635"/>
        <v>#DIV/0!</v>
      </c>
      <c r="R1005" s="54" t="e">
        <f t="shared" si="635"/>
        <v>#DIV/0!</v>
      </c>
      <c r="S1005" s="54" t="e">
        <f t="shared" si="635"/>
        <v>#DIV/0!</v>
      </c>
      <c r="T1005" s="54" t="e">
        <f t="shared" si="635"/>
        <v>#DIV/0!</v>
      </c>
      <c r="U1005" s="54" t="e">
        <f t="shared" si="635"/>
        <v>#DIV/0!</v>
      </c>
      <c r="V1005" s="54" t="e">
        <f t="shared" si="635"/>
        <v>#DIV/0!</v>
      </c>
      <c r="W1005" s="258"/>
      <c r="X1005" s="258"/>
    </row>
    <row r="1006" spans="1:26">
      <c r="A1006" s="46" t="str">
        <f>Home!$B$1</f>
        <v>Poland</v>
      </c>
      <c r="B1006" s="47" t="s">
        <v>94</v>
      </c>
      <c r="C1006" s="47" t="s">
        <v>546</v>
      </c>
      <c r="D1006" s="47" t="s">
        <v>74</v>
      </c>
      <c r="E1006" s="46" t="s">
        <v>518</v>
      </c>
      <c r="F1006" s="48" t="s">
        <v>744</v>
      </c>
      <c r="G1006" s="48" t="s">
        <v>15</v>
      </c>
      <c r="H1006" s="48" t="s">
        <v>16</v>
      </c>
      <c r="I1006" s="48"/>
      <c r="J1006" s="48" t="s">
        <v>99</v>
      </c>
      <c r="K1006" s="49"/>
      <c r="L1006" s="92">
        <f>VLOOKUP(E1006,'Tourism Demand &amp; Flows'!$E$342:$P$548,8,0)</f>
        <v>0</v>
      </c>
      <c r="M1006" s="92">
        <f>VLOOKUP(E1006,'Tourism Demand &amp; Flows'!$E$342:$P$548,9,0)</f>
        <v>0</v>
      </c>
      <c r="N1006" s="92">
        <f>VLOOKUP(E1006,'Tourism Demand &amp; Flows'!$E$342:$P$548,10,0)</f>
        <v>0</v>
      </c>
      <c r="O1006" s="92">
        <f>VLOOKUP(E1006,'Tourism Demand &amp; Flows'!$E$342:$P$548,11,0)</f>
        <v>0</v>
      </c>
      <c r="P1006" s="92">
        <f>VLOOKUP(E1006,'Tourism Demand &amp; Flows'!$E$342:$P$548,12,0)</f>
        <v>0</v>
      </c>
      <c r="Q1006" s="92">
        <f>Forecasting!Q1134</f>
        <v>0</v>
      </c>
      <c r="R1006" s="110">
        <f>Forecasting!R1134</f>
        <v>0</v>
      </c>
      <c r="S1006" s="110">
        <f>Forecasting!S1134</f>
        <v>0</v>
      </c>
      <c r="T1006" s="110">
        <f>Forecasting!T1134</f>
        <v>0</v>
      </c>
      <c r="U1006" s="110">
        <f>Forecasting!U1134</f>
        <v>0</v>
      </c>
      <c r="V1006" s="110">
        <f>Forecasting!V1134</f>
        <v>0</v>
      </c>
      <c r="W1006" s="102" t="e">
        <f>+(Q1006/M1006)^(1/4)-1</f>
        <v>#DIV/0!</v>
      </c>
      <c r="X1006" s="102" t="e">
        <f>+(V1006/Q1006)^(1/5)-1</f>
        <v>#DIV/0!</v>
      </c>
      <c r="Z1006" s="11"/>
    </row>
    <row r="1007" spans="1:26">
      <c r="A1007" s="48"/>
      <c r="B1007" s="48"/>
      <c r="C1007" s="52" t="s">
        <v>892</v>
      </c>
      <c r="D1007" s="52"/>
      <c r="E1007" s="52"/>
      <c r="F1007" s="52"/>
      <c r="G1007" s="52"/>
      <c r="H1007" s="52"/>
      <c r="I1007" s="52"/>
      <c r="J1007" s="52" t="s">
        <v>58</v>
      </c>
      <c r="K1007" s="49"/>
      <c r="L1007" s="53"/>
      <c r="M1007" s="54" t="e">
        <f t="shared" ref="M1007:V1007" si="636">M1006/L1006-1</f>
        <v>#DIV/0!</v>
      </c>
      <c r="N1007" s="54" t="e">
        <f t="shared" si="636"/>
        <v>#DIV/0!</v>
      </c>
      <c r="O1007" s="54" t="e">
        <f t="shared" si="636"/>
        <v>#DIV/0!</v>
      </c>
      <c r="P1007" s="54" t="e">
        <f t="shared" si="636"/>
        <v>#DIV/0!</v>
      </c>
      <c r="Q1007" s="54" t="e">
        <f t="shared" si="636"/>
        <v>#DIV/0!</v>
      </c>
      <c r="R1007" s="54" t="e">
        <f t="shared" si="636"/>
        <v>#DIV/0!</v>
      </c>
      <c r="S1007" s="54" t="e">
        <f t="shared" si="636"/>
        <v>#DIV/0!</v>
      </c>
      <c r="T1007" s="54" t="e">
        <f t="shared" si="636"/>
        <v>#DIV/0!</v>
      </c>
      <c r="U1007" s="54" t="e">
        <f t="shared" si="636"/>
        <v>#DIV/0!</v>
      </c>
      <c r="V1007" s="54" t="e">
        <f t="shared" si="636"/>
        <v>#DIV/0!</v>
      </c>
      <c r="W1007" s="258"/>
      <c r="X1007" s="258"/>
    </row>
    <row r="1008" spans="1:26">
      <c r="A1008" s="46" t="str">
        <f>Home!$B$1</f>
        <v>Poland</v>
      </c>
      <c r="B1008" s="47" t="s">
        <v>94</v>
      </c>
      <c r="C1008" s="47" t="s">
        <v>546</v>
      </c>
      <c r="D1008" s="47" t="s">
        <v>74</v>
      </c>
      <c r="E1008" s="46" t="s">
        <v>520</v>
      </c>
      <c r="F1008" s="48" t="s">
        <v>745</v>
      </c>
      <c r="G1008" s="48" t="s">
        <v>15</v>
      </c>
      <c r="H1008" s="48" t="s">
        <v>16</v>
      </c>
      <c r="I1008" s="48"/>
      <c r="J1008" s="48" t="s">
        <v>99</v>
      </c>
      <c r="K1008" s="49"/>
      <c r="L1008" s="92">
        <f>VLOOKUP(E1008,'Tourism Demand &amp; Flows'!$E$342:$P$548,8,0)</f>
        <v>0</v>
      </c>
      <c r="M1008" s="92">
        <f>VLOOKUP(E1008,'Tourism Demand &amp; Flows'!$E$342:$P$548,9,0)</f>
        <v>0</v>
      </c>
      <c r="N1008" s="92">
        <f>VLOOKUP(E1008,'Tourism Demand &amp; Flows'!$E$342:$P$548,10,0)</f>
        <v>0</v>
      </c>
      <c r="O1008" s="92">
        <f>VLOOKUP(E1008,'Tourism Demand &amp; Flows'!$E$342:$P$548,11,0)</f>
        <v>0</v>
      </c>
      <c r="P1008" s="92">
        <f>VLOOKUP(E1008,'Tourism Demand &amp; Flows'!$E$342:$P$548,12,0)</f>
        <v>0</v>
      </c>
      <c r="Q1008" s="92">
        <f>Forecasting!Q1136</f>
        <v>0</v>
      </c>
      <c r="R1008" s="110">
        <f>Forecasting!R1136</f>
        <v>0</v>
      </c>
      <c r="S1008" s="110">
        <f>Forecasting!S1136</f>
        <v>0</v>
      </c>
      <c r="T1008" s="110">
        <f>Forecasting!T1136</f>
        <v>0</v>
      </c>
      <c r="U1008" s="110">
        <f>Forecasting!U1136</f>
        <v>0</v>
      </c>
      <c r="V1008" s="110">
        <f>Forecasting!V1136</f>
        <v>0</v>
      </c>
      <c r="W1008" s="102" t="e">
        <f>+(Q1008/M1008)^(1/4)-1</f>
        <v>#DIV/0!</v>
      </c>
      <c r="X1008" s="102" t="e">
        <f>+(V1008/Q1008)^(1/5)-1</f>
        <v>#DIV/0!</v>
      </c>
      <c r="Z1008" s="11"/>
    </row>
    <row r="1009" spans="1:26">
      <c r="A1009" s="48"/>
      <c r="B1009" s="48"/>
      <c r="C1009" s="52" t="s">
        <v>892</v>
      </c>
      <c r="D1009" s="52"/>
      <c r="E1009" s="52"/>
      <c r="F1009" s="52"/>
      <c r="G1009" s="52"/>
      <c r="H1009" s="52"/>
      <c r="I1009" s="52"/>
      <c r="J1009" s="52" t="s">
        <v>58</v>
      </c>
      <c r="K1009" s="49"/>
      <c r="L1009" s="53"/>
      <c r="M1009" s="54" t="e">
        <f t="shared" ref="M1009:V1009" si="637">M1008/L1008-1</f>
        <v>#DIV/0!</v>
      </c>
      <c r="N1009" s="54" t="e">
        <f t="shared" si="637"/>
        <v>#DIV/0!</v>
      </c>
      <c r="O1009" s="54" t="e">
        <f t="shared" si="637"/>
        <v>#DIV/0!</v>
      </c>
      <c r="P1009" s="54" t="e">
        <f t="shared" si="637"/>
        <v>#DIV/0!</v>
      </c>
      <c r="Q1009" s="54" t="e">
        <f t="shared" si="637"/>
        <v>#DIV/0!</v>
      </c>
      <c r="R1009" s="54" t="e">
        <f t="shared" si="637"/>
        <v>#DIV/0!</v>
      </c>
      <c r="S1009" s="54" t="e">
        <f t="shared" si="637"/>
        <v>#DIV/0!</v>
      </c>
      <c r="T1009" s="54" t="e">
        <f t="shared" si="637"/>
        <v>#DIV/0!</v>
      </c>
      <c r="U1009" s="54" t="e">
        <f t="shared" si="637"/>
        <v>#DIV/0!</v>
      </c>
      <c r="V1009" s="54" t="e">
        <f t="shared" si="637"/>
        <v>#DIV/0!</v>
      </c>
      <c r="W1009" s="258"/>
      <c r="X1009" s="258"/>
    </row>
    <row r="1010" spans="1:26">
      <c r="A1010" s="46" t="str">
        <f>Home!$B$1</f>
        <v>Poland</v>
      </c>
      <c r="B1010" s="47" t="s">
        <v>94</v>
      </c>
      <c r="C1010" s="47" t="s">
        <v>546</v>
      </c>
      <c r="D1010" s="47" t="s">
        <v>74</v>
      </c>
      <c r="E1010" s="46" t="s">
        <v>522</v>
      </c>
      <c r="F1010" s="48" t="s">
        <v>746</v>
      </c>
      <c r="G1010" s="48" t="s">
        <v>15</v>
      </c>
      <c r="H1010" s="48" t="s">
        <v>16</v>
      </c>
      <c r="I1010" s="48"/>
      <c r="J1010" s="48" t="s">
        <v>99</v>
      </c>
      <c r="K1010" s="49"/>
      <c r="L1010" s="92">
        <f>VLOOKUP(E1010,'Tourism Demand &amp; Flows'!$E$342:$P$548,8,0)</f>
        <v>0</v>
      </c>
      <c r="M1010" s="92">
        <f>VLOOKUP(E1010,'Tourism Demand &amp; Flows'!$E$342:$P$548,9,0)</f>
        <v>0</v>
      </c>
      <c r="N1010" s="92">
        <f>VLOOKUP(E1010,'Tourism Demand &amp; Flows'!$E$342:$P$548,10,0)</f>
        <v>0</v>
      </c>
      <c r="O1010" s="92">
        <f>VLOOKUP(E1010,'Tourism Demand &amp; Flows'!$E$342:$P$548,11,0)</f>
        <v>0</v>
      </c>
      <c r="P1010" s="92">
        <f>VLOOKUP(E1010,'Tourism Demand &amp; Flows'!$E$342:$P$548,12,0)</f>
        <v>0</v>
      </c>
      <c r="Q1010" s="92">
        <f>Forecasting!Q1138</f>
        <v>0</v>
      </c>
      <c r="R1010" s="110">
        <f>Forecasting!R1138</f>
        <v>0</v>
      </c>
      <c r="S1010" s="110">
        <f>Forecasting!S1138</f>
        <v>0</v>
      </c>
      <c r="T1010" s="110">
        <f>Forecasting!T1138</f>
        <v>0</v>
      </c>
      <c r="U1010" s="110">
        <f>Forecasting!U1138</f>
        <v>0</v>
      </c>
      <c r="V1010" s="110">
        <f>Forecasting!V1138</f>
        <v>0</v>
      </c>
      <c r="W1010" s="102" t="e">
        <f>+(Q1010/M1010)^(1/4)-1</f>
        <v>#DIV/0!</v>
      </c>
      <c r="X1010" s="102" t="e">
        <f>+(V1010/Q1010)^(1/5)-1</f>
        <v>#DIV/0!</v>
      </c>
      <c r="Z1010" s="11"/>
    </row>
    <row r="1011" spans="1:26">
      <c r="A1011" s="48"/>
      <c r="B1011" s="48"/>
      <c r="C1011" s="52" t="s">
        <v>892</v>
      </c>
      <c r="D1011" s="52"/>
      <c r="E1011" s="52"/>
      <c r="F1011" s="52"/>
      <c r="G1011" s="52"/>
      <c r="H1011" s="52"/>
      <c r="I1011" s="52"/>
      <c r="J1011" s="52" t="s">
        <v>58</v>
      </c>
      <c r="K1011" s="49"/>
      <c r="L1011" s="53"/>
      <c r="M1011" s="54" t="e">
        <f t="shared" ref="M1011:V1011" si="638">M1010/L1010-1</f>
        <v>#DIV/0!</v>
      </c>
      <c r="N1011" s="54" t="e">
        <f t="shared" si="638"/>
        <v>#DIV/0!</v>
      </c>
      <c r="O1011" s="54" t="e">
        <f t="shared" si="638"/>
        <v>#DIV/0!</v>
      </c>
      <c r="P1011" s="54" t="e">
        <f t="shared" si="638"/>
        <v>#DIV/0!</v>
      </c>
      <c r="Q1011" s="54" t="e">
        <f t="shared" si="638"/>
        <v>#DIV/0!</v>
      </c>
      <c r="R1011" s="54" t="e">
        <f t="shared" si="638"/>
        <v>#DIV/0!</v>
      </c>
      <c r="S1011" s="54" t="e">
        <f t="shared" si="638"/>
        <v>#DIV/0!</v>
      </c>
      <c r="T1011" s="54" t="e">
        <f t="shared" si="638"/>
        <v>#DIV/0!</v>
      </c>
      <c r="U1011" s="54" t="e">
        <f t="shared" si="638"/>
        <v>#DIV/0!</v>
      </c>
      <c r="V1011" s="54" t="e">
        <f t="shared" si="638"/>
        <v>#DIV/0!</v>
      </c>
      <c r="W1011" s="258"/>
      <c r="X1011" s="258"/>
    </row>
    <row r="1012" spans="1:26">
      <c r="A1012" s="46" t="str">
        <f>Home!$B$1</f>
        <v>Poland</v>
      </c>
      <c r="B1012" s="47" t="s">
        <v>94</v>
      </c>
      <c r="C1012" s="47" t="s">
        <v>546</v>
      </c>
      <c r="D1012" s="47" t="s">
        <v>74</v>
      </c>
      <c r="E1012" s="46" t="s">
        <v>524</v>
      </c>
      <c r="F1012" s="48" t="s">
        <v>747</v>
      </c>
      <c r="G1012" s="48" t="s">
        <v>15</v>
      </c>
      <c r="H1012" s="48" t="s">
        <v>16</v>
      </c>
      <c r="I1012" s="48"/>
      <c r="J1012" s="48" t="s">
        <v>99</v>
      </c>
      <c r="K1012" s="49"/>
      <c r="L1012" s="92">
        <f>VLOOKUP(E1012,'Tourism Demand &amp; Flows'!$E$342:$P$548,8,0)</f>
        <v>0</v>
      </c>
      <c r="M1012" s="92">
        <f>VLOOKUP(E1012,'Tourism Demand &amp; Flows'!$E$342:$P$548,9,0)</f>
        <v>0</v>
      </c>
      <c r="N1012" s="92">
        <f>VLOOKUP(E1012,'Tourism Demand &amp; Flows'!$E$342:$P$548,10,0)</f>
        <v>0</v>
      </c>
      <c r="O1012" s="92">
        <f>VLOOKUP(E1012,'Tourism Demand &amp; Flows'!$E$342:$P$548,11,0)</f>
        <v>0</v>
      </c>
      <c r="P1012" s="92">
        <f>VLOOKUP(E1012,'Tourism Demand &amp; Flows'!$E$342:$P$548,12,0)</f>
        <v>0</v>
      </c>
      <c r="Q1012" s="92">
        <f>Forecasting!Q1140</f>
        <v>0</v>
      </c>
      <c r="R1012" s="110">
        <f>Forecasting!R1140</f>
        <v>0</v>
      </c>
      <c r="S1012" s="110">
        <f>Forecasting!S1140</f>
        <v>0</v>
      </c>
      <c r="T1012" s="110">
        <f>Forecasting!T1140</f>
        <v>0</v>
      </c>
      <c r="U1012" s="110">
        <f>Forecasting!U1140</f>
        <v>0</v>
      </c>
      <c r="V1012" s="110">
        <f>Forecasting!V1140</f>
        <v>0</v>
      </c>
      <c r="W1012" s="102" t="e">
        <f>+(Q1012/M1012)^(1/4)-1</f>
        <v>#DIV/0!</v>
      </c>
      <c r="X1012" s="102" t="e">
        <f>+(V1012/Q1012)^(1/5)-1</f>
        <v>#DIV/0!</v>
      </c>
      <c r="Z1012" s="11"/>
    </row>
    <row r="1013" spans="1:26">
      <c r="A1013" s="48"/>
      <c r="B1013" s="48"/>
      <c r="C1013" s="52" t="s">
        <v>892</v>
      </c>
      <c r="D1013" s="52"/>
      <c r="E1013" s="52"/>
      <c r="F1013" s="52"/>
      <c r="G1013" s="52"/>
      <c r="H1013" s="52"/>
      <c r="I1013" s="52"/>
      <c r="J1013" s="52" t="s">
        <v>58</v>
      </c>
      <c r="K1013" s="49"/>
      <c r="L1013" s="53"/>
      <c r="M1013" s="54" t="e">
        <f t="shared" ref="M1013:V1013" si="639">M1012/L1012-1</f>
        <v>#DIV/0!</v>
      </c>
      <c r="N1013" s="54" t="e">
        <f t="shared" si="639"/>
        <v>#DIV/0!</v>
      </c>
      <c r="O1013" s="54" t="e">
        <f t="shared" si="639"/>
        <v>#DIV/0!</v>
      </c>
      <c r="P1013" s="54" t="e">
        <f t="shared" si="639"/>
        <v>#DIV/0!</v>
      </c>
      <c r="Q1013" s="54" t="e">
        <f t="shared" si="639"/>
        <v>#DIV/0!</v>
      </c>
      <c r="R1013" s="54" t="e">
        <f t="shared" si="639"/>
        <v>#DIV/0!</v>
      </c>
      <c r="S1013" s="54" t="e">
        <f t="shared" si="639"/>
        <v>#DIV/0!</v>
      </c>
      <c r="T1013" s="54" t="e">
        <f t="shared" si="639"/>
        <v>#DIV/0!</v>
      </c>
      <c r="U1013" s="54" t="e">
        <f t="shared" si="639"/>
        <v>#DIV/0!</v>
      </c>
      <c r="V1013" s="54" t="e">
        <f t="shared" si="639"/>
        <v>#DIV/0!</v>
      </c>
      <c r="W1013" s="258"/>
      <c r="X1013" s="258"/>
    </row>
    <row r="1014" spans="1:26">
      <c r="A1014" s="46" t="str">
        <f>Home!$B$1</f>
        <v>Poland</v>
      </c>
      <c r="B1014" s="47" t="s">
        <v>94</v>
      </c>
      <c r="C1014" s="47" t="s">
        <v>546</v>
      </c>
      <c r="D1014" s="47" t="s">
        <v>74</v>
      </c>
      <c r="E1014" s="46" t="s">
        <v>526</v>
      </c>
      <c r="F1014" s="48" t="s">
        <v>748</v>
      </c>
      <c r="G1014" s="48" t="s">
        <v>15</v>
      </c>
      <c r="H1014" s="48" t="s">
        <v>16</v>
      </c>
      <c r="I1014" s="48"/>
      <c r="J1014" s="48" t="s">
        <v>99</v>
      </c>
      <c r="K1014" s="49"/>
      <c r="L1014" s="92">
        <f>VLOOKUP(E1014,'Tourism Demand &amp; Flows'!$E$342:$P$548,8,0)</f>
        <v>0</v>
      </c>
      <c r="M1014" s="92">
        <f>VLOOKUP(E1014,'Tourism Demand &amp; Flows'!$E$342:$P$548,9,0)</f>
        <v>0</v>
      </c>
      <c r="N1014" s="92">
        <f>VLOOKUP(E1014,'Tourism Demand &amp; Flows'!$E$342:$P$548,10,0)</f>
        <v>0</v>
      </c>
      <c r="O1014" s="92">
        <f>VLOOKUP(E1014,'Tourism Demand &amp; Flows'!$E$342:$P$548,11,0)</f>
        <v>0</v>
      </c>
      <c r="P1014" s="92">
        <f>VLOOKUP(E1014,'Tourism Demand &amp; Flows'!$E$342:$P$548,12,0)</f>
        <v>0</v>
      </c>
      <c r="Q1014" s="92">
        <f>Forecasting!Q1142</f>
        <v>0</v>
      </c>
      <c r="R1014" s="110">
        <f>Forecasting!R1142</f>
        <v>0</v>
      </c>
      <c r="S1014" s="110">
        <f>Forecasting!S1142</f>
        <v>0</v>
      </c>
      <c r="T1014" s="110">
        <f>Forecasting!T1142</f>
        <v>0</v>
      </c>
      <c r="U1014" s="110">
        <f>Forecasting!U1142</f>
        <v>0</v>
      </c>
      <c r="V1014" s="110">
        <f>Forecasting!V1142</f>
        <v>0</v>
      </c>
      <c r="W1014" s="102" t="e">
        <f>+(Q1014/M1014)^(1/4)-1</f>
        <v>#DIV/0!</v>
      </c>
      <c r="X1014" s="102" t="e">
        <f>+(V1014/Q1014)^(1/5)-1</f>
        <v>#DIV/0!</v>
      </c>
      <c r="Z1014" s="11"/>
    </row>
    <row r="1015" spans="1:26">
      <c r="A1015" s="48"/>
      <c r="B1015" s="48"/>
      <c r="C1015" s="52" t="s">
        <v>892</v>
      </c>
      <c r="D1015" s="52"/>
      <c r="E1015" s="52"/>
      <c r="F1015" s="52"/>
      <c r="G1015" s="52"/>
      <c r="H1015" s="52"/>
      <c r="I1015" s="52"/>
      <c r="J1015" s="52" t="s">
        <v>58</v>
      </c>
      <c r="K1015" s="49"/>
      <c r="L1015" s="53"/>
      <c r="M1015" s="54" t="e">
        <f t="shared" ref="M1015:V1015" si="640">M1014/L1014-1</f>
        <v>#DIV/0!</v>
      </c>
      <c r="N1015" s="54" t="e">
        <f t="shared" si="640"/>
        <v>#DIV/0!</v>
      </c>
      <c r="O1015" s="54" t="e">
        <f t="shared" si="640"/>
        <v>#DIV/0!</v>
      </c>
      <c r="P1015" s="54" t="e">
        <f t="shared" si="640"/>
        <v>#DIV/0!</v>
      </c>
      <c r="Q1015" s="54" t="e">
        <f t="shared" si="640"/>
        <v>#DIV/0!</v>
      </c>
      <c r="R1015" s="54" t="e">
        <f t="shared" si="640"/>
        <v>#DIV/0!</v>
      </c>
      <c r="S1015" s="54" t="e">
        <f t="shared" si="640"/>
        <v>#DIV/0!</v>
      </c>
      <c r="T1015" s="54" t="e">
        <f t="shared" si="640"/>
        <v>#DIV/0!</v>
      </c>
      <c r="U1015" s="54" t="e">
        <f t="shared" si="640"/>
        <v>#DIV/0!</v>
      </c>
      <c r="V1015" s="54" t="e">
        <f t="shared" si="640"/>
        <v>#DIV/0!</v>
      </c>
      <c r="W1015" s="258"/>
      <c r="X1015" s="258"/>
    </row>
    <row r="1016" spans="1:26">
      <c r="A1016" s="46" t="str">
        <f>Home!$B$1</f>
        <v>Poland</v>
      </c>
      <c r="B1016" s="47" t="s">
        <v>94</v>
      </c>
      <c r="C1016" s="47" t="s">
        <v>546</v>
      </c>
      <c r="D1016" s="47" t="s">
        <v>74</v>
      </c>
      <c r="E1016" s="46" t="s">
        <v>528</v>
      </c>
      <c r="F1016" s="48" t="s">
        <v>749</v>
      </c>
      <c r="G1016" s="48" t="s">
        <v>15</v>
      </c>
      <c r="H1016" s="48" t="s">
        <v>16</v>
      </c>
      <c r="I1016" s="48"/>
      <c r="J1016" s="48" t="s">
        <v>99</v>
      </c>
      <c r="K1016" s="49"/>
      <c r="L1016" s="92">
        <f>VLOOKUP(E1016,'Tourism Demand &amp; Flows'!$E$342:$P$548,8,0)</f>
        <v>0</v>
      </c>
      <c r="M1016" s="92">
        <f>VLOOKUP(E1016,'Tourism Demand &amp; Flows'!$E$342:$P$548,9,0)</f>
        <v>0</v>
      </c>
      <c r="N1016" s="92">
        <f>VLOOKUP(E1016,'Tourism Demand &amp; Flows'!$E$342:$P$548,10,0)</f>
        <v>0</v>
      </c>
      <c r="O1016" s="92">
        <f>VLOOKUP(E1016,'Tourism Demand &amp; Flows'!$E$342:$P$548,11,0)</f>
        <v>0</v>
      </c>
      <c r="P1016" s="92">
        <f>VLOOKUP(E1016,'Tourism Demand &amp; Flows'!$E$342:$P$548,12,0)</f>
        <v>0</v>
      </c>
      <c r="Q1016" s="92">
        <f>Forecasting!Q1144</f>
        <v>0</v>
      </c>
      <c r="R1016" s="110">
        <f>Forecasting!R1144</f>
        <v>0</v>
      </c>
      <c r="S1016" s="110">
        <f>Forecasting!S1144</f>
        <v>0</v>
      </c>
      <c r="T1016" s="110">
        <f>Forecasting!T1144</f>
        <v>0</v>
      </c>
      <c r="U1016" s="110">
        <f>Forecasting!U1144</f>
        <v>0</v>
      </c>
      <c r="V1016" s="110">
        <f>Forecasting!V1144</f>
        <v>0</v>
      </c>
      <c r="W1016" s="102" t="e">
        <f>+(Q1016/M1016)^(1/4)-1</f>
        <v>#DIV/0!</v>
      </c>
      <c r="X1016" s="102" t="e">
        <f>+(V1016/Q1016)^(1/5)-1</f>
        <v>#DIV/0!</v>
      </c>
      <c r="Z1016" s="11"/>
    </row>
    <row r="1017" spans="1:26">
      <c r="A1017" s="48"/>
      <c r="B1017" s="48"/>
      <c r="C1017" s="52" t="s">
        <v>892</v>
      </c>
      <c r="D1017" s="52"/>
      <c r="E1017" s="52"/>
      <c r="F1017" s="52"/>
      <c r="G1017" s="52"/>
      <c r="H1017" s="52"/>
      <c r="I1017" s="52"/>
      <c r="J1017" s="52" t="s">
        <v>58</v>
      </c>
      <c r="K1017" s="49"/>
      <c r="L1017" s="53"/>
      <c r="M1017" s="54" t="e">
        <f t="shared" ref="M1017:V1017" si="641">M1016/L1016-1</f>
        <v>#DIV/0!</v>
      </c>
      <c r="N1017" s="54" t="e">
        <f t="shared" si="641"/>
        <v>#DIV/0!</v>
      </c>
      <c r="O1017" s="54" t="e">
        <f t="shared" si="641"/>
        <v>#DIV/0!</v>
      </c>
      <c r="P1017" s="54" t="e">
        <f t="shared" si="641"/>
        <v>#DIV/0!</v>
      </c>
      <c r="Q1017" s="92" t="e">
        <f t="shared" si="641"/>
        <v>#DIV/0!</v>
      </c>
      <c r="R1017" s="54" t="e">
        <f t="shared" si="641"/>
        <v>#DIV/0!</v>
      </c>
      <c r="S1017" s="54" t="e">
        <f t="shared" si="641"/>
        <v>#DIV/0!</v>
      </c>
      <c r="T1017" s="54" t="e">
        <f t="shared" si="641"/>
        <v>#DIV/0!</v>
      </c>
      <c r="U1017" s="54" t="e">
        <f t="shared" si="641"/>
        <v>#DIV/0!</v>
      </c>
      <c r="V1017" s="54" t="e">
        <f t="shared" si="641"/>
        <v>#DIV/0!</v>
      </c>
      <c r="W1017" s="258"/>
      <c r="X1017" s="258"/>
    </row>
    <row r="1018" spans="1:26">
      <c r="A1018" s="46" t="str">
        <f>Home!$B$1</f>
        <v>Poland</v>
      </c>
      <c r="B1018" s="47" t="s">
        <v>94</v>
      </c>
      <c r="C1018" s="47" t="s">
        <v>546</v>
      </c>
      <c r="D1018" s="47" t="s">
        <v>74</v>
      </c>
      <c r="E1018" s="46" t="s">
        <v>530</v>
      </c>
      <c r="F1018" s="48" t="s">
        <v>750</v>
      </c>
      <c r="G1018" s="48" t="s">
        <v>15</v>
      </c>
      <c r="H1018" s="48" t="s">
        <v>16</v>
      </c>
      <c r="I1018" s="48"/>
      <c r="J1018" s="48" t="s">
        <v>99</v>
      </c>
      <c r="K1018" s="49"/>
      <c r="L1018" s="92">
        <f>VLOOKUP(E1018,'Tourism Demand &amp; Flows'!$E$342:$P$548,8,0)</f>
        <v>0</v>
      </c>
      <c r="M1018" s="92">
        <f>VLOOKUP(E1018,'Tourism Demand &amp; Flows'!$E$342:$P$548,9,0)</f>
        <v>0</v>
      </c>
      <c r="N1018" s="92">
        <f>VLOOKUP(E1018,'Tourism Demand &amp; Flows'!$E$342:$P$548,10,0)</f>
        <v>0</v>
      </c>
      <c r="O1018" s="92">
        <f>VLOOKUP(E1018,'Tourism Demand &amp; Flows'!$E$342:$P$548,11,0)</f>
        <v>0</v>
      </c>
      <c r="P1018" s="92">
        <f>VLOOKUP(E1018,'Tourism Demand &amp; Flows'!$E$342:$P$548,12,0)</f>
        <v>0</v>
      </c>
      <c r="Q1018" s="92">
        <f>Forecasting!Q1146</f>
        <v>0</v>
      </c>
      <c r="R1018" s="110">
        <f>Forecasting!R1146</f>
        <v>0</v>
      </c>
      <c r="S1018" s="110">
        <f>Forecasting!S1146</f>
        <v>0</v>
      </c>
      <c r="T1018" s="110">
        <f>Forecasting!T1146</f>
        <v>0</v>
      </c>
      <c r="U1018" s="110">
        <f>Forecasting!U1146</f>
        <v>0</v>
      </c>
      <c r="V1018" s="110">
        <f>Forecasting!V1146</f>
        <v>0</v>
      </c>
      <c r="W1018" s="102" t="e">
        <f>+(Q1018/M1018)^(1/4)-1</f>
        <v>#DIV/0!</v>
      </c>
      <c r="X1018" s="102" t="e">
        <f>+(V1018/Q1018)^(1/5)-1</f>
        <v>#DIV/0!</v>
      </c>
      <c r="Z1018" s="11"/>
    </row>
    <row r="1019" spans="1:26">
      <c r="A1019" s="48"/>
      <c r="B1019" s="48"/>
      <c r="C1019" s="52" t="s">
        <v>892</v>
      </c>
      <c r="D1019" s="52"/>
      <c r="E1019" s="52"/>
      <c r="F1019" s="52"/>
      <c r="G1019" s="52"/>
      <c r="H1019" s="52"/>
      <c r="I1019" s="52"/>
      <c r="J1019" s="52" t="s">
        <v>58</v>
      </c>
      <c r="K1019" s="49"/>
      <c r="L1019" s="53"/>
      <c r="M1019" s="54" t="e">
        <f t="shared" ref="M1019:V1019" si="642">M1018/L1018-1</f>
        <v>#DIV/0!</v>
      </c>
      <c r="N1019" s="54" t="e">
        <f t="shared" si="642"/>
        <v>#DIV/0!</v>
      </c>
      <c r="O1019" s="54" t="e">
        <f t="shared" si="642"/>
        <v>#DIV/0!</v>
      </c>
      <c r="P1019" s="54" t="e">
        <f t="shared" si="642"/>
        <v>#DIV/0!</v>
      </c>
      <c r="Q1019" s="54" t="e">
        <f t="shared" si="642"/>
        <v>#DIV/0!</v>
      </c>
      <c r="R1019" s="54" t="e">
        <f t="shared" si="642"/>
        <v>#DIV/0!</v>
      </c>
      <c r="S1019" s="54" t="e">
        <f t="shared" si="642"/>
        <v>#DIV/0!</v>
      </c>
      <c r="T1019" s="54" t="e">
        <f t="shared" si="642"/>
        <v>#DIV/0!</v>
      </c>
      <c r="U1019" s="54" t="e">
        <f t="shared" si="642"/>
        <v>#DIV/0!</v>
      </c>
      <c r="V1019" s="54" t="e">
        <f t="shared" si="642"/>
        <v>#DIV/0!</v>
      </c>
      <c r="W1019" s="258"/>
      <c r="X1019" s="258"/>
    </row>
    <row r="1020" spans="1:26">
      <c r="A1020" s="46" t="str">
        <f>Home!$B$1</f>
        <v>Poland</v>
      </c>
      <c r="B1020" s="47" t="s">
        <v>94</v>
      </c>
      <c r="C1020" s="47" t="s">
        <v>546</v>
      </c>
      <c r="D1020" s="94" t="s">
        <v>74</v>
      </c>
      <c r="E1020" s="95" t="s">
        <v>881</v>
      </c>
      <c r="F1020" s="94" t="s">
        <v>882</v>
      </c>
      <c r="G1020" s="48" t="s">
        <v>15</v>
      </c>
      <c r="H1020" s="48" t="s">
        <v>16</v>
      </c>
      <c r="I1020" s="48"/>
      <c r="J1020" s="48" t="s">
        <v>99</v>
      </c>
      <c r="K1020" s="76">
        <f>63662-SUM($K$284,$K$340,$K$386,$K$432,$K$448,$K$452)</f>
        <v>63662</v>
      </c>
      <c r="L1020" s="92">
        <f>'Seasonality&amp; Avg.stay'!B413/1000</f>
        <v>11.996385251827457</v>
      </c>
      <c r="M1020" s="92">
        <f>'Seasonality&amp; Avg.stay'!C413/1000</f>
        <v>12.524138485018877</v>
      </c>
      <c r="N1020" s="92">
        <f>'Seasonality&amp; Avg.stay'!D413/1000</f>
        <v>11.434894369025624</v>
      </c>
      <c r="O1020" s="92">
        <f>'Seasonality&amp; Avg.stay'!E413/1000</f>
        <v>12.085000000000001</v>
      </c>
      <c r="P1020" s="92">
        <f>'Seasonality&amp; Avg.stay'!F413/1000</f>
        <v>11.131</v>
      </c>
      <c r="Q1020" s="92">
        <f>'Seasonality&amp; Avg.stay'!G413/1000</f>
        <v>10.924589509669229</v>
      </c>
      <c r="R1020" s="110">
        <f>Forecasting!R1148</f>
        <v>0</v>
      </c>
      <c r="S1020" s="110">
        <f>Forecasting!S1148</f>
        <v>0</v>
      </c>
      <c r="T1020" s="110">
        <f>Forecasting!T1148</f>
        <v>0</v>
      </c>
      <c r="U1020" s="110">
        <f>Forecasting!U1148</f>
        <v>0</v>
      </c>
      <c r="V1020" s="110">
        <f>Forecasting!V1148</f>
        <v>0</v>
      </c>
      <c r="W1020" s="102">
        <f>+(Q1020/M1020)^(1/4)-1</f>
        <v>-3.3583543753666789E-2</v>
      </c>
      <c r="X1020" s="102">
        <f>+(V1020/Q1020)^(1/5)-1</f>
        <v>-1</v>
      </c>
      <c r="Z1020" s="11"/>
    </row>
    <row r="1021" spans="1:26">
      <c r="A1021" s="48"/>
      <c r="B1021" s="48"/>
      <c r="C1021" s="52" t="s">
        <v>892</v>
      </c>
      <c r="D1021" s="52"/>
      <c r="E1021" s="52"/>
      <c r="F1021" s="52"/>
      <c r="G1021" s="52"/>
      <c r="H1021" s="52"/>
      <c r="I1021" s="52"/>
      <c r="J1021" s="52" t="s">
        <v>58</v>
      </c>
      <c r="K1021" s="49"/>
      <c r="L1021" s="53"/>
      <c r="M1021" s="54">
        <f t="shared" ref="M1021:V1021" si="643">M1020/L1020-1</f>
        <v>4.3992687973323008E-2</v>
      </c>
      <c r="N1021" s="54">
        <f t="shared" si="643"/>
        <v>-8.6971580304400553E-2</v>
      </c>
      <c r="O1021" s="54">
        <f t="shared" si="643"/>
        <v>5.6852788490583395E-2</v>
      </c>
      <c r="P1021" s="54">
        <f t="shared" si="643"/>
        <v>-7.8940835746793558E-2</v>
      </c>
      <c r="Q1021" s="54">
        <f t="shared" si="643"/>
        <v>-1.8543750815809168E-2</v>
      </c>
      <c r="R1021" s="54">
        <f t="shared" si="643"/>
        <v>-1</v>
      </c>
      <c r="S1021" s="54" t="e">
        <f t="shared" si="643"/>
        <v>#DIV/0!</v>
      </c>
      <c r="T1021" s="54" t="e">
        <f t="shared" si="643"/>
        <v>#DIV/0!</v>
      </c>
      <c r="U1021" s="54" t="e">
        <f t="shared" si="643"/>
        <v>#DIV/0!</v>
      </c>
      <c r="V1021" s="54" t="e">
        <f t="shared" si="643"/>
        <v>#DIV/0!</v>
      </c>
      <c r="W1021" s="258"/>
      <c r="X1021" s="258"/>
    </row>
    <row r="1022" spans="1:26" hidden="1">
      <c r="A1022" s="48"/>
      <c r="B1022" s="48"/>
      <c r="C1022" s="52"/>
      <c r="D1022" s="52"/>
      <c r="E1022" s="52"/>
      <c r="F1022" s="52"/>
      <c r="G1022" s="52"/>
      <c r="H1022" s="52"/>
      <c r="I1022" s="52"/>
      <c r="J1022" s="52"/>
      <c r="K1022" s="49"/>
      <c r="L1022" s="53"/>
      <c r="M1022" s="54"/>
      <c r="N1022" s="54"/>
      <c r="O1022" s="54"/>
      <c r="P1022" s="54"/>
      <c r="Q1022" s="54"/>
      <c r="R1022" s="54"/>
      <c r="S1022" s="54"/>
      <c r="T1022" s="54"/>
      <c r="U1022" s="54"/>
      <c r="V1022" s="54"/>
      <c r="W1022" s="258"/>
      <c r="X1022" s="258"/>
    </row>
    <row r="1023" spans="1:26" hidden="1">
      <c r="A1023" s="48"/>
      <c r="B1023" s="48"/>
      <c r="C1023" s="52"/>
      <c r="D1023" s="52"/>
      <c r="E1023" s="52"/>
      <c r="F1023" s="52"/>
      <c r="G1023" s="52"/>
      <c r="H1023" s="52"/>
      <c r="I1023" s="52"/>
      <c r="J1023" s="52"/>
      <c r="K1023" s="49"/>
      <c r="L1023" s="53"/>
      <c r="M1023" s="54"/>
      <c r="N1023" s="54"/>
      <c r="O1023" s="54"/>
      <c r="P1023" s="54"/>
      <c r="Q1023" s="54"/>
      <c r="R1023" s="54"/>
      <c r="S1023" s="54"/>
      <c r="T1023" s="54"/>
      <c r="U1023" s="54"/>
      <c r="V1023" s="54"/>
      <c r="W1023" s="258"/>
      <c r="X1023" s="258"/>
    </row>
    <row r="1024" spans="1:26">
      <c r="A1024" s="55" t="str">
        <f>Home!$B$1</f>
        <v>Poland</v>
      </c>
      <c r="B1024" s="56" t="s">
        <v>94</v>
      </c>
      <c r="C1024" s="55" t="s">
        <v>886</v>
      </c>
      <c r="D1024" s="57"/>
      <c r="E1024" s="57"/>
      <c r="F1024" s="57" t="s">
        <v>751</v>
      </c>
      <c r="G1024" s="57" t="s">
        <v>15</v>
      </c>
      <c r="H1024" s="57" t="s">
        <v>111</v>
      </c>
      <c r="I1024" s="57"/>
      <c r="J1024" s="55" t="s">
        <v>99</v>
      </c>
      <c r="K1024" s="86">
        <f>SUM(K1025,K1026,K1027)</f>
        <v>0</v>
      </c>
      <c r="L1024" s="267">
        <f>L606</f>
        <v>6917.0000000000009</v>
      </c>
      <c r="M1024" s="267">
        <f t="shared" ref="M1024:Q1024" si="644">M606</f>
        <v>7574</v>
      </c>
      <c r="N1024" s="267">
        <f t="shared" si="644"/>
        <v>6318</v>
      </c>
      <c r="O1024" s="267">
        <f t="shared" si="644"/>
        <v>7121.5</v>
      </c>
      <c r="P1024" s="267">
        <f t="shared" si="644"/>
        <v>6326.5999999999995</v>
      </c>
      <c r="Q1024" s="267">
        <f t="shared" si="644"/>
        <v>6195.141275822938</v>
      </c>
      <c r="R1024" s="264">
        <f>Forecasting!R1152</f>
        <v>6270.8569376655214</v>
      </c>
      <c r="S1024" s="264">
        <f>Forecasting!S1152</f>
        <v>6371.8975225233071</v>
      </c>
      <c r="T1024" s="264">
        <f>Forecasting!T1152</f>
        <v>6422.7908983747702</v>
      </c>
      <c r="U1024" s="264">
        <f>Forecasting!U1152</f>
        <v>6503.3045829005732</v>
      </c>
      <c r="V1024" s="264">
        <f>Forecasting!V1152</f>
        <v>6579.1028306528524</v>
      </c>
      <c r="W1024" s="260">
        <f>+(Q1024/M1024)^(1/4)-1</f>
        <v>-4.8997894506850437E-2</v>
      </c>
      <c r="X1024" s="260">
        <f>+(V1024/Q1024)^(1/5)-1</f>
        <v>1.209922420888665E-2</v>
      </c>
    </row>
    <row r="1025" spans="1:28">
      <c r="A1025" s="57"/>
      <c r="B1025" s="57"/>
      <c r="C1025" s="61" t="s">
        <v>892</v>
      </c>
      <c r="D1025" s="61"/>
      <c r="E1025" s="61"/>
      <c r="F1025" s="61"/>
      <c r="G1025" s="61"/>
      <c r="H1025" s="61"/>
      <c r="I1025" s="61"/>
      <c r="J1025" s="61" t="s">
        <v>58</v>
      </c>
      <c r="K1025" s="58"/>
      <c r="L1025" s="59"/>
      <c r="M1025" s="62">
        <f t="shared" ref="M1025:V1025" si="645">M1024/L1024-1</f>
        <v>9.498337429521464E-2</v>
      </c>
      <c r="N1025" s="62">
        <f t="shared" si="645"/>
        <v>-0.16583047266965933</v>
      </c>
      <c r="O1025" s="62">
        <f t="shared" si="645"/>
        <v>0.12717632162076598</v>
      </c>
      <c r="P1025" s="62">
        <f t="shared" si="645"/>
        <v>-0.11161974303166478</v>
      </c>
      <c r="Q1025" s="62">
        <f t="shared" si="645"/>
        <v>-2.077873173221978E-2</v>
      </c>
      <c r="R1025" s="62">
        <f t="shared" si="645"/>
        <v>1.2221781307566015E-2</v>
      </c>
      <c r="S1025" s="62">
        <f t="shared" si="645"/>
        <v>1.6112723645614002E-2</v>
      </c>
      <c r="T1025" s="62">
        <f t="shared" si="645"/>
        <v>7.9871617005085049E-3</v>
      </c>
      <c r="U1025" s="62">
        <f t="shared" si="645"/>
        <v>1.2535622877926311E-2</v>
      </c>
      <c r="V1025" s="62">
        <f t="shared" si="645"/>
        <v>1.1655343339074031E-2</v>
      </c>
      <c r="W1025" s="259"/>
      <c r="X1025" s="259"/>
    </row>
    <row r="1026" spans="1:28">
      <c r="A1026" s="55" t="str">
        <f>Home!$B$1</f>
        <v>Poland</v>
      </c>
      <c r="B1026" s="56" t="s">
        <v>94</v>
      </c>
      <c r="C1026" s="56" t="s">
        <v>886</v>
      </c>
      <c r="D1026" s="55" t="s">
        <v>112</v>
      </c>
      <c r="E1026" s="57"/>
      <c r="F1026" s="57" t="s">
        <v>752</v>
      </c>
      <c r="G1026" s="57" t="s">
        <v>15</v>
      </c>
      <c r="H1026" s="57" t="s">
        <v>111</v>
      </c>
      <c r="I1026" s="57"/>
      <c r="J1026" s="57" t="s">
        <v>99</v>
      </c>
      <c r="K1026" s="58"/>
      <c r="L1026" s="265">
        <f>L1032*L1024</f>
        <v>1798.4200000000003</v>
      </c>
      <c r="M1026" s="265">
        <f t="shared" ref="M1026:Q1026" si="646">M1032*M1024</f>
        <v>1363.32</v>
      </c>
      <c r="N1026" s="265">
        <f t="shared" si="646"/>
        <v>1074.0600000000002</v>
      </c>
      <c r="O1026" s="265">
        <f t="shared" si="646"/>
        <v>1353.085</v>
      </c>
      <c r="P1026" s="265">
        <f t="shared" si="646"/>
        <v>1190.9953908883681</v>
      </c>
      <c r="Q1026" s="265">
        <f t="shared" si="646"/>
        <v>1183.8044947515698</v>
      </c>
      <c r="R1026" s="264">
        <f>Forecasting!R1154</f>
        <v>1200.4992189796444</v>
      </c>
      <c r="S1026" s="264">
        <f>Forecasting!S1154</f>
        <v>1222.6809017225944</v>
      </c>
      <c r="T1026" s="264">
        <f>Forecasting!T1154</f>
        <v>1239.2009811026405</v>
      </c>
      <c r="U1026" s="264">
        <f>Forecasting!U1154</f>
        <v>1259.9466806300964</v>
      </c>
      <c r="V1026" s="264">
        <f>Forecasting!V1154</f>
        <v>1269.8249044184349</v>
      </c>
      <c r="W1026" s="106">
        <f>+(Q1026/M1026)^(1/4)-1</f>
        <v>-3.4681688260488563E-2</v>
      </c>
      <c r="X1026" s="106">
        <f>+(V1026/Q1026)^(1/5)-1</f>
        <v>1.4127994028339863E-2</v>
      </c>
    </row>
    <row r="1027" spans="1:28">
      <c r="A1027" s="57"/>
      <c r="B1027" s="57"/>
      <c r="C1027" s="61" t="s">
        <v>892</v>
      </c>
      <c r="D1027" s="61"/>
      <c r="E1027" s="61"/>
      <c r="F1027" s="61"/>
      <c r="G1027" s="61"/>
      <c r="H1027" s="61"/>
      <c r="I1027" s="61"/>
      <c r="J1027" s="61" t="s">
        <v>58</v>
      </c>
      <c r="K1027" s="58"/>
      <c r="L1027" s="59"/>
      <c r="M1027" s="62">
        <f t="shared" ref="M1027:V1027" si="647">M1026/L1026-1</f>
        <v>-0.24193458702639004</v>
      </c>
      <c r="N1027" s="62">
        <f t="shared" si="647"/>
        <v>-0.21217322418801143</v>
      </c>
      <c r="O1027" s="62">
        <f t="shared" si="647"/>
        <v>0.25978530063497374</v>
      </c>
      <c r="P1027" s="62">
        <f t="shared" si="647"/>
        <v>-0.11979262877914687</v>
      </c>
      <c r="Q1027" s="62">
        <f t="shared" si="647"/>
        <v>-6.0377195342751211E-3</v>
      </c>
      <c r="R1027" s="62">
        <f t="shared" si="647"/>
        <v>1.4102602500743355E-2</v>
      </c>
      <c r="S1027" s="62">
        <f t="shared" si="647"/>
        <v>1.847704887455337E-2</v>
      </c>
      <c r="T1027" s="62">
        <f t="shared" si="647"/>
        <v>1.3511357997635809E-2</v>
      </c>
      <c r="U1027" s="62">
        <f t="shared" si="647"/>
        <v>1.6741190366873493E-2</v>
      </c>
      <c r="V1027" s="62">
        <f t="shared" si="647"/>
        <v>7.8401919225650207E-3</v>
      </c>
      <c r="W1027" s="259"/>
      <c r="X1027" s="259"/>
    </row>
    <row r="1028" spans="1:28">
      <c r="A1028" s="55" t="str">
        <f>Home!$B$1</f>
        <v>Poland</v>
      </c>
      <c r="B1028" s="56" t="s">
        <v>94</v>
      </c>
      <c r="C1028" s="56" t="s">
        <v>886</v>
      </c>
      <c r="D1028" s="55" t="s">
        <v>115</v>
      </c>
      <c r="E1028" s="57"/>
      <c r="F1028" s="57" t="s">
        <v>753</v>
      </c>
      <c r="G1028" s="57" t="s">
        <v>15</v>
      </c>
      <c r="H1028" s="57" t="s">
        <v>111</v>
      </c>
      <c r="I1028" s="57"/>
      <c r="J1028" s="57" t="s">
        <v>99</v>
      </c>
      <c r="K1028" s="58"/>
      <c r="L1028" s="265">
        <f>L1034*L1024</f>
        <v>4634.3900000000003</v>
      </c>
      <c r="M1028" s="265">
        <f t="shared" ref="M1028:Q1028" si="648">M1034*M1024</f>
        <v>5831.9800000000005</v>
      </c>
      <c r="N1028" s="265">
        <f t="shared" si="648"/>
        <v>4675.32</v>
      </c>
      <c r="O1028" s="265">
        <f t="shared" si="648"/>
        <v>5412.34</v>
      </c>
      <c r="P1028" s="265">
        <f t="shared" si="648"/>
        <v>4839.0214345240338</v>
      </c>
      <c r="Q1028" s="265">
        <f t="shared" si="648"/>
        <v>4727.9244847914324</v>
      </c>
      <c r="R1028" s="264">
        <f>Forecasting!R1156</f>
        <v>4784.6048820454635</v>
      </c>
      <c r="S1028" s="264">
        <f>Forecasting!S1156</f>
        <v>4859.8348093481682</v>
      </c>
      <c r="T1028" s="264">
        <f>Forecasting!T1156</f>
        <v>4893.1872176172265</v>
      </c>
      <c r="U1028" s="264">
        <f>Forecasting!U1156</f>
        <v>4950.1207322426417</v>
      </c>
      <c r="V1028" s="264">
        <f>Forecasting!V1156</f>
        <v>5014.546785847725</v>
      </c>
      <c r="W1028" s="106">
        <f>+(Q1028/M1028)^(1/4)-1</f>
        <v>-5.1114901710595406E-2</v>
      </c>
      <c r="X1028" s="106">
        <f>+(V1028/Q1028)^(1/5)-1</f>
        <v>1.1840902472200154E-2</v>
      </c>
    </row>
    <row r="1029" spans="1:28">
      <c r="A1029" s="57"/>
      <c r="B1029" s="57"/>
      <c r="C1029" s="61" t="s">
        <v>892</v>
      </c>
      <c r="D1029" s="61"/>
      <c r="E1029" s="61"/>
      <c r="F1029" s="61"/>
      <c r="G1029" s="61"/>
      <c r="H1029" s="61"/>
      <c r="I1029" s="61"/>
      <c r="J1029" s="61" t="s">
        <v>58</v>
      </c>
      <c r="K1029" s="58"/>
      <c r="L1029" s="59"/>
      <c r="M1029" s="62">
        <f t="shared" ref="M1029:V1029" si="649">M1028/L1028-1</f>
        <v>0.2584137286676349</v>
      </c>
      <c r="N1029" s="62">
        <f t="shared" si="649"/>
        <v>-0.19833058412408833</v>
      </c>
      <c r="O1029" s="62">
        <f t="shared" si="649"/>
        <v>0.15764054652943549</v>
      </c>
      <c r="P1029" s="62">
        <f t="shared" si="649"/>
        <v>-0.10592803953113927</v>
      </c>
      <c r="Q1029" s="62">
        <f t="shared" si="649"/>
        <v>-2.2958557062793594E-2</v>
      </c>
      <c r="R1029" s="62">
        <f t="shared" si="649"/>
        <v>1.1988431168128422E-2</v>
      </c>
      <c r="S1029" s="62">
        <f t="shared" si="649"/>
        <v>1.5723331216964231E-2</v>
      </c>
      <c r="T1029" s="62">
        <f t="shared" si="649"/>
        <v>6.8628687141594202E-3</v>
      </c>
      <c r="U1029" s="62">
        <f t="shared" si="649"/>
        <v>1.1635261863767177E-2</v>
      </c>
      <c r="V1029" s="62">
        <f t="shared" si="649"/>
        <v>1.301504692308697E-2</v>
      </c>
      <c r="W1029" s="259"/>
      <c r="X1029" s="259"/>
    </row>
    <row r="1030" spans="1:28">
      <c r="A1030" s="55" t="str">
        <f>Home!$B$1</f>
        <v>Poland</v>
      </c>
      <c r="B1030" s="56" t="s">
        <v>94</v>
      </c>
      <c r="C1030" s="56" t="s">
        <v>886</v>
      </c>
      <c r="D1030" s="55" t="s">
        <v>117</v>
      </c>
      <c r="E1030" s="55"/>
      <c r="F1030" s="57" t="s">
        <v>754</v>
      </c>
      <c r="G1030" s="57" t="s">
        <v>15</v>
      </c>
      <c r="H1030" s="57" t="s">
        <v>111</v>
      </c>
      <c r="I1030" s="57"/>
      <c r="J1030" s="57" t="s">
        <v>99</v>
      </c>
      <c r="K1030" s="58"/>
      <c r="L1030" s="59">
        <f>L1036*L1024</f>
        <v>484.19000000000051</v>
      </c>
      <c r="M1030" s="59">
        <f t="shared" ref="M1030:Q1030" si="650">M1036*M1024</f>
        <v>378.70000000000033</v>
      </c>
      <c r="N1030" s="59">
        <f t="shared" si="650"/>
        <v>568.61999999999978</v>
      </c>
      <c r="O1030" s="59">
        <f t="shared" si="650"/>
        <v>356.07500000000033</v>
      </c>
      <c r="P1030" s="59">
        <f t="shared" si="650"/>
        <v>296.58317458759774</v>
      </c>
      <c r="Q1030" s="59">
        <f t="shared" si="650"/>
        <v>283.41229627993596</v>
      </c>
      <c r="R1030" s="110">
        <f>Forecasting!R1158</f>
        <v>285.75283664041285</v>
      </c>
      <c r="S1030" s="110">
        <f>Forecasting!S1158</f>
        <v>289.38181145254481</v>
      </c>
      <c r="T1030" s="110">
        <f>Forecasting!T1158</f>
        <v>290.40269965490273</v>
      </c>
      <c r="U1030" s="110">
        <f>Forecasting!U1158</f>
        <v>293.23717002783513</v>
      </c>
      <c r="V1030" s="110">
        <f>Forecasting!V1158</f>
        <v>294.73114038669274</v>
      </c>
      <c r="W1030" s="106">
        <f>+(Q1030/M1030)^(1/4)-1</f>
        <v>-6.9897426696101883E-2</v>
      </c>
      <c r="X1030" s="106">
        <f>+(V1030/Q1030)^(1/5)-1</f>
        <v>7.8629191578536428E-3</v>
      </c>
    </row>
    <row r="1031" spans="1:28">
      <c r="A1031" s="57"/>
      <c r="B1031" s="57"/>
      <c r="C1031" s="61" t="s">
        <v>892</v>
      </c>
      <c r="D1031" s="61"/>
      <c r="E1031" s="61"/>
      <c r="F1031" s="61"/>
      <c r="G1031" s="61"/>
      <c r="H1031" s="61"/>
      <c r="I1031" s="61"/>
      <c r="J1031" s="61" t="s">
        <v>58</v>
      </c>
      <c r="K1031" s="58"/>
      <c r="L1031" s="59"/>
      <c r="M1031" s="62">
        <f t="shared" ref="M1031:V1031" si="651">M1030/L1030-1</f>
        <v>-0.21786901836056105</v>
      </c>
      <c r="N1031" s="62">
        <f t="shared" si="651"/>
        <v>0.5015051491946112</v>
      </c>
      <c r="O1031" s="62">
        <f t="shared" si="651"/>
        <v>-0.37379093243290695</v>
      </c>
      <c r="P1031" s="62">
        <f t="shared" si="651"/>
        <v>-0.16707667039922081</v>
      </c>
      <c r="Q1031" s="62">
        <f t="shared" si="651"/>
        <v>-4.4408717136351528E-2</v>
      </c>
      <c r="R1031" s="62">
        <f t="shared" si="651"/>
        <v>8.258429119691657E-3</v>
      </c>
      <c r="S1031" s="62">
        <f t="shared" si="651"/>
        <v>1.2699698294504014E-2</v>
      </c>
      <c r="T1031" s="62">
        <f t="shared" si="651"/>
        <v>3.5278243550747046E-3</v>
      </c>
      <c r="U1031" s="62">
        <f t="shared" si="651"/>
        <v>9.7604821728609625E-3</v>
      </c>
      <c r="V1031" s="62">
        <f t="shared" si="651"/>
        <v>5.0947509782466316E-3</v>
      </c>
      <c r="W1031" s="259"/>
      <c r="X1031" s="259"/>
    </row>
    <row r="1032" spans="1:28" s="72" customFormat="1" outlineLevel="1">
      <c r="A1032" s="67"/>
      <c r="B1032" s="67"/>
      <c r="C1032" s="68"/>
      <c r="D1032" s="69" t="s">
        <v>112</v>
      </c>
      <c r="E1032" s="68"/>
      <c r="F1032" s="68"/>
      <c r="G1032" s="68"/>
      <c r="H1032" s="68"/>
      <c r="I1032" s="68"/>
      <c r="J1032" s="68"/>
      <c r="K1032" s="74"/>
      <c r="L1032" s="71">
        <f>'Seasonality&amp; Avg.stay'!B464</f>
        <v>0.26</v>
      </c>
      <c r="M1032" s="71">
        <f>'Seasonality&amp; Avg.stay'!C464</f>
        <v>0.18</v>
      </c>
      <c r="N1032" s="71">
        <f>'Seasonality&amp; Avg.stay'!D464</f>
        <v>0.17</v>
      </c>
      <c r="O1032" s="71">
        <f>'Seasonality&amp; Avg.stay'!E464</f>
        <v>0.19</v>
      </c>
      <c r="P1032" s="71">
        <f>'Seasonality&amp; Avg.stay'!F464</f>
        <v>0.18825204547282398</v>
      </c>
      <c r="Q1032" s="71">
        <f>'Seasonality&amp; Avg.stay'!G464</f>
        <v>0.19108595624307501</v>
      </c>
      <c r="R1032" s="193">
        <f>Forecasting!R1160</f>
        <v>0.19144101530508834</v>
      </c>
      <c r="S1032" s="193">
        <f>Forecasting!S1160</f>
        <v>0.19188646669232778</v>
      </c>
      <c r="T1032" s="193">
        <f>Forecasting!T1160</f>
        <v>0.19293808574964028</v>
      </c>
      <c r="U1032" s="193">
        <f>Forecasting!U1160</f>
        <v>0.19373945423730113</v>
      </c>
      <c r="V1032" s="193">
        <f>Forecasting!V1160</f>
        <v>0.19300882462304189</v>
      </c>
      <c r="W1032" s="75"/>
      <c r="X1032" s="75"/>
      <c r="Y1032" s="67"/>
      <c r="Z1032" s="67"/>
      <c r="AA1032" s="67"/>
      <c r="AB1032" s="67"/>
    </row>
    <row r="1033" spans="1:28" s="72" customFormat="1" outlineLevel="1">
      <c r="A1033" s="67"/>
      <c r="B1033" s="67"/>
      <c r="C1033" s="68"/>
      <c r="D1033" s="68"/>
      <c r="E1033" s="68"/>
      <c r="F1033" s="68"/>
      <c r="G1033" s="68"/>
      <c r="H1033" s="68"/>
      <c r="I1033" s="68"/>
      <c r="J1033" s="68"/>
      <c r="K1033" s="74"/>
      <c r="L1033" s="71"/>
      <c r="M1033" s="71"/>
      <c r="N1033" s="71"/>
      <c r="O1033" s="71"/>
      <c r="P1033" s="71"/>
      <c r="Q1033" s="71"/>
      <c r="R1033" s="193"/>
      <c r="S1033" s="193"/>
      <c r="T1033" s="193"/>
      <c r="U1033" s="193"/>
      <c r="V1033" s="193"/>
      <c r="W1033" s="75"/>
      <c r="X1033" s="75"/>
      <c r="Y1033" s="67"/>
      <c r="Z1033" s="67"/>
      <c r="AA1033" s="67"/>
      <c r="AB1033" s="67"/>
    </row>
    <row r="1034" spans="1:28" s="72" customFormat="1" outlineLevel="1">
      <c r="A1034" s="67"/>
      <c r="B1034" s="67"/>
      <c r="C1034" s="68"/>
      <c r="D1034" s="69" t="s">
        <v>115</v>
      </c>
      <c r="E1034" s="68"/>
      <c r="F1034" s="68"/>
      <c r="G1034" s="68"/>
      <c r="H1034" s="68"/>
      <c r="I1034" s="68"/>
      <c r="J1034" s="68"/>
      <c r="K1034" s="74"/>
      <c r="L1034" s="71">
        <f>'Seasonality&amp; Avg.stay'!B463</f>
        <v>0.66999999999999993</v>
      </c>
      <c r="M1034" s="71">
        <f>'Seasonality&amp; Avg.stay'!C463</f>
        <v>0.77</v>
      </c>
      <c r="N1034" s="71">
        <f>'Seasonality&amp; Avg.stay'!D463</f>
        <v>0.74</v>
      </c>
      <c r="O1034" s="71">
        <f>'Seasonality&amp; Avg.stay'!E463</f>
        <v>0.76</v>
      </c>
      <c r="P1034" s="71">
        <f>'Seasonality&amp; Avg.stay'!F463</f>
        <v>0.76486919269813713</v>
      </c>
      <c r="Q1034" s="71">
        <f>'Seasonality&amp; Avg.stay'!G463</f>
        <v>0.76316653233438869</v>
      </c>
      <c r="R1034" s="193">
        <f>Forecasting!R1162</f>
        <v>0.76299059755406395</v>
      </c>
      <c r="S1034" s="193">
        <f>Forecasting!S1162</f>
        <v>0.76269820601628979</v>
      </c>
      <c r="T1034" s="193">
        <f>Forecasting!T1162</f>
        <v>0.76184750446342631</v>
      </c>
      <c r="U1034" s="193">
        <f>Forecasting!U1162</f>
        <v>0.76117005887410127</v>
      </c>
      <c r="V1034" s="193">
        <f>Forecasting!V1162</f>
        <v>0.76219310062830026</v>
      </c>
      <c r="W1034" s="75"/>
      <c r="X1034" s="75"/>
      <c r="Y1034" s="67"/>
      <c r="Z1034" s="67"/>
      <c r="AA1034" s="67"/>
      <c r="AB1034" s="67"/>
    </row>
    <row r="1035" spans="1:28" s="72" customFormat="1" outlineLevel="1">
      <c r="A1035" s="67"/>
      <c r="B1035" s="67"/>
      <c r="C1035" s="68"/>
      <c r="D1035" s="68"/>
      <c r="E1035" s="68"/>
      <c r="F1035" s="68"/>
      <c r="G1035" s="68"/>
      <c r="H1035" s="68"/>
      <c r="I1035" s="68"/>
      <c r="J1035" s="68"/>
      <c r="K1035" s="74"/>
      <c r="L1035" s="70"/>
      <c r="M1035" s="71"/>
      <c r="N1035" s="71"/>
      <c r="O1035" s="71"/>
      <c r="P1035" s="71"/>
      <c r="Q1035" s="71"/>
      <c r="R1035" s="193"/>
      <c r="S1035" s="193"/>
      <c r="T1035" s="193"/>
      <c r="U1035" s="193"/>
      <c r="V1035" s="193"/>
      <c r="W1035" s="75"/>
      <c r="X1035" s="75"/>
      <c r="Y1035" s="67"/>
      <c r="Z1035" s="67"/>
      <c r="AA1035" s="67"/>
      <c r="AB1035" s="67"/>
    </row>
    <row r="1036" spans="1:28" s="72" customFormat="1" outlineLevel="1">
      <c r="A1036" s="67"/>
      <c r="B1036" s="67"/>
      <c r="C1036" s="68"/>
      <c r="D1036" s="69" t="s">
        <v>117</v>
      </c>
      <c r="E1036" s="68"/>
      <c r="F1036" s="68"/>
      <c r="G1036" s="68"/>
      <c r="H1036" s="68"/>
      <c r="I1036" s="68"/>
      <c r="J1036" s="68"/>
      <c r="K1036" s="74"/>
      <c r="L1036" s="71">
        <f>1-SUM(L1032:L1034)</f>
        <v>7.0000000000000062E-2</v>
      </c>
      <c r="M1036" s="71">
        <f t="shared" ref="M1036:Q1036" si="652">1-SUM(M1032:M1034)</f>
        <v>5.0000000000000044E-2</v>
      </c>
      <c r="N1036" s="71">
        <f t="shared" si="652"/>
        <v>8.9999999999999969E-2</v>
      </c>
      <c r="O1036" s="71">
        <f t="shared" si="652"/>
        <v>5.0000000000000044E-2</v>
      </c>
      <c r="P1036" s="71">
        <f t="shared" si="652"/>
        <v>4.687876182903894E-2</v>
      </c>
      <c r="Q1036" s="71">
        <f t="shared" si="652"/>
        <v>4.5747511422536302E-2</v>
      </c>
      <c r="R1036" s="193">
        <f>Forecasting!R1164</f>
        <v>4.5568387140847655E-2</v>
      </c>
      <c r="S1036" s="193">
        <f>Forecasting!S1164</f>
        <v>4.5415327291382424E-2</v>
      </c>
      <c r="T1036" s="193">
        <f>Forecasting!T1164</f>
        <v>4.5214409786933363E-2</v>
      </c>
      <c r="U1036" s="193">
        <f>Forecasting!U1164</f>
        <v>4.5090486888597625E-2</v>
      </c>
      <c r="V1036" s="193">
        <f>Forecasting!V1164</f>
        <v>4.4798074748657823E-2</v>
      </c>
      <c r="W1036" s="75"/>
      <c r="X1036" s="75"/>
      <c r="Y1036" s="67"/>
      <c r="Z1036" s="67"/>
      <c r="AA1036" s="67"/>
      <c r="AB1036" s="67"/>
    </row>
    <row r="1037" spans="1:28">
      <c r="A1037" s="55" t="str">
        <f>Home!$B$1</f>
        <v>Poland</v>
      </c>
      <c r="B1037" s="56" t="s">
        <v>94</v>
      </c>
      <c r="C1037" s="55" t="s">
        <v>976</v>
      </c>
      <c r="D1037" s="55"/>
      <c r="E1037" s="57"/>
      <c r="F1037" s="57"/>
      <c r="G1037" s="57"/>
      <c r="H1037" s="57"/>
      <c r="I1037" s="57"/>
      <c r="J1037" s="55" t="s">
        <v>99</v>
      </c>
      <c r="K1037" s="58"/>
      <c r="L1037" s="265">
        <f t="shared" ref="L1037:U1037" si="653">L1039+L1041</f>
        <v>253682.6176224128</v>
      </c>
      <c r="M1037" s="265">
        <f t="shared" si="653"/>
        <v>258273.84164376973</v>
      </c>
      <c r="N1037" s="265">
        <f t="shared" si="653"/>
        <v>213188.15949334978</v>
      </c>
      <c r="O1037" s="265">
        <f t="shared" si="653"/>
        <v>232269.82198112822</v>
      </c>
      <c r="P1037" s="265">
        <f t="shared" si="653"/>
        <v>197630.55993098539</v>
      </c>
      <c r="Q1037" s="265">
        <f t="shared" si="653"/>
        <v>192558.33931506044</v>
      </c>
      <c r="R1037" s="265">
        <f t="shared" si="653"/>
        <v>197479.7294030503</v>
      </c>
      <c r="S1037" s="265">
        <f t="shared" si="653"/>
        <v>201791.17783071101</v>
      </c>
      <c r="T1037" s="265">
        <f t="shared" si="653"/>
        <v>206835.63936220884</v>
      </c>
      <c r="U1037" s="265">
        <f t="shared" si="653"/>
        <v>212293.28918591619</v>
      </c>
      <c r="V1037" s="265">
        <f t="shared" ref="V1037" si="654">V1039+V1041</f>
        <v>217741.59111601295</v>
      </c>
      <c r="W1037" s="106">
        <f>+(Q1037/M1037)^(1/4)-1</f>
        <v>-7.0775873524173694E-2</v>
      </c>
      <c r="X1037" s="106">
        <f>+(V1037/Q1037)^(1/5)-1</f>
        <v>2.4886593241865818E-2</v>
      </c>
      <c r="Y1037" s="57"/>
      <c r="Z1037" s="57"/>
      <c r="AA1037" s="57"/>
    </row>
    <row r="1038" spans="1:28">
      <c r="A1038" s="55"/>
      <c r="B1038" s="55"/>
      <c r="C1038" s="61" t="s">
        <v>892</v>
      </c>
      <c r="D1038" s="55"/>
      <c r="E1038" s="57"/>
      <c r="F1038" s="57"/>
      <c r="G1038" s="57"/>
      <c r="H1038" s="57"/>
      <c r="I1038" s="57"/>
      <c r="J1038" s="57"/>
      <c r="K1038" s="58"/>
      <c r="L1038" s="59"/>
      <c r="M1038" s="117">
        <f t="shared" ref="M1038:V1038" si="655">M1037/L1037-1</f>
        <v>1.8098299617006486E-2</v>
      </c>
      <c r="N1038" s="117">
        <f t="shared" si="655"/>
        <v>-0.17456542197024127</v>
      </c>
      <c r="O1038" s="117">
        <f t="shared" si="655"/>
        <v>8.9506202094557175E-2</v>
      </c>
      <c r="P1038" s="117">
        <f t="shared" si="655"/>
        <v>-0.14913371765083305</v>
      </c>
      <c r="Q1038" s="117">
        <f t="shared" si="655"/>
        <v>-2.5665163412461167E-2</v>
      </c>
      <c r="R1038" s="117">
        <f t="shared" si="655"/>
        <v>2.5557917177181144E-2</v>
      </c>
      <c r="S1038" s="117">
        <f t="shared" si="655"/>
        <v>2.1832359405664192E-2</v>
      </c>
      <c r="T1038" s="117">
        <f t="shared" si="655"/>
        <v>2.4998424538310582E-2</v>
      </c>
      <c r="U1038" s="117">
        <f t="shared" si="655"/>
        <v>2.6386409230712671E-2</v>
      </c>
      <c r="V1038" s="117">
        <f t="shared" si="655"/>
        <v>2.5664032768013767E-2</v>
      </c>
      <c r="W1038" s="259"/>
      <c r="X1038" s="259"/>
      <c r="Y1038" s="57"/>
      <c r="Z1038" s="57"/>
      <c r="AA1038" s="57"/>
    </row>
    <row r="1039" spans="1:28">
      <c r="A1039" s="55"/>
      <c r="B1039" s="55"/>
      <c r="C1039" s="55"/>
      <c r="D1039" s="55" t="s">
        <v>977</v>
      </c>
      <c r="E1039" s="57"/>
      <c r="F1039" s="57"/>
      <c r="G1039" s="57"/>
      <c r="H1039" s="57"/>
      <c r="I1039" s="57"/>
      <c r="J1039" s="55" t="s">
        <v>99</v>
      </c>
      <c r="K1039" s="58"/>
      <c r="L1039" s="265">
        <f>L111*L117</f>
        <v>79043.432039636667</v>
      </c>
      <c r="M1039" s="265">
        <f t="shared" ref="M1039:P1039" si="656">M111*M117</f>
        <v>89235.634655532369</v>
      </c>
      <c r="N1039" s="265">
        <f t="shared" si="656"/>
        <v>58455.234782608692</v>
      </c>
      <c r="O1039" s="265">
        <f t="shared" si="656"/>
        <v>66987.061493983434</v>
      </c>
      <c r="P1039" s="265">
        <f t="shared" si="656"/>
        <v>58667.585635797441</v>
      </c>
      <c r="Q1039" s="265">
        <f t="shared" ref="Q1039:V1039" si="657">Q111*Q117</f>
        <v>57796.943921808852</v>
      </c>
      <c r="R1039" s="265">
        <f t="shared" si="657"/>
        <v>59160.999158130842</v>
      </c>
      <c r="S1039" s="265">
        <f t="shared" si="657"/>
        <v>60649.511523852168</v>
      </c>
      <c r="T1039" s="265">
        <f t="shared" si="657"/>
        <v>61376.363697727116</v>
      </c>
      <c r="U1039" s="265">
        <f t="shared" si="657"/>
        <v>62620.607496878729</v>
      </c>
      <c r="V1039" s="265">
        <f t="shared" si="657"/>
        <v>64108.549282357963</v>
      </c>
      <c r="W1039" s="106">
        <f>+(Q1039/M1039)^(1/4)-1</f>
        <v>-0.10289838271594498</v>
      </c>
      <c r="X1039" s="106">
        <f>+(V1039/Q1039)^(1/5)-1</f>
        <v>2.0944690314816494E-2</v>
      </c>
      <c r="Y1039" s="57"/>
      <c r="Z1039" s="57"/>
      <c r="AA1039" s="57"/>
    </row>
    <row r="1040" spans="1:28">
      <c r="A1040" s="55"/>
      <c r="B1040" s="55"/>
      <c r="C1040" s="61" t="s">
        <v>892</v>
      </c>
      <c r="D1040" s="55"/>
      <c r="E1040" s="57"/>
      <c r="F1040" s="57"/>
      <c r="G1040" s="57"/>
      <c r="H1040" s="57"/>
      <c r="I1040" s="57"/>
      <c r="J1040" s="57"/>
      <c r="K1040" s="58"/>
      <c r="L1040" s="59"/>
      <c r="M1040" s="117">
        <f t="shared" ref="M1040:V1040" si="658">M1039/L1039-1</f>
        <v>0.12894433291794294</v>
      </c>
      <c r="N1040" s="117">
        <f t="shared" si="658"/>
        <v>-0.34493394922042364</v>
      </c>
      <c r="O1040" s="117">
        <f t="shared" si="658"/>
        <v>0.14595487885908009</v>
      </c>
      <c r="P1040" s="117">
        <f t="shared" si="658"/>
        <v>-0.12419526506522793</v>
      </c>
      <c r="Q1040" s="117">
        <f t="shared" si="658"/>
        <v>-1.4840251299813922E-2</v>
      </c>
      <c r="R1040" s="117">
        <f t="shared" si="658"/>
        <v>2.3600819416462082E-2</v>
      </c>
      <c r="S1040" s="117">
        <f t="shared" si="658"/>
        <v>2.5160365560133569E-2</v>
      </c>
      <c r="T1040" s="117">
        <f t="shared" si="658"/>
        <v>1.1984468722210373E-2</v>
      </c>
      <c r="U1040" s="117">
        <f t="shared" si="658"/>
        <v>2.0272360957703572E-2</v>
      </c>
      <c r="V1040" s="117">
        <f t="shared" si="658"/>
        <v>2.3761216074970282E-2</v>
      </c>
      <c r="W1040" s="259"/>
      <c r="X1040" s="259"/>
      <c r="Y1040" s="57"/>
      <c r="Z1040" s="57"/>
      <c r="AA1040" s="57"/>
    </row>
    <row r="1041" spans="1:27">
      <c r="A1041" s="55"/>
      <c r="B1041" s="55"/>
      <c r="C1041" s="55"/>
      <c r="D1041" s="55" t="s">
        <v>23</v>
      </c>
      <c r="E1041" s="57"/>
      <c r="F1041" s="57"/>
      <c r="G1041" s="57"/>
      <c r="H1041" s="57"/>
      <c r="I1041" s="57"/>
      <c r="J1041" s="55" t="s">
        <v>99</v>
      </c>
      <c r="K1041" s="58"/>
      <c r="L1041" s="265">
        <f>L109*L115</f>
        <v>174639.18558277615</v>
      </c>
      <c r="M1041" s="265">
        <f t="shared" ref="M1041:P1041" si="659">M109*M115</f>
        <v>169038.20698823736</v>
      </c>
      <c r="N1041" s="265">
        <f t="shared" si="659"/>
        <v>154732.92471074109</v>
      </c>
      <c r="O1041" s="265">
        <f t="shared" si="659"/>
        <v>165282.76048714478</v>
      </c>
      <c r="P1041" s="265">
        <f t="shared" si="659"/>
        <v>138962.97429518795</v>
      </c>
      <c r="Q1041" s="265">
        <f t="shared" ref="Q1041:V1041" si="660">Q109*Q115</f>
        <v>134761.39539325159</v>
      </c>
      <c r="R1041" s="265">
        <f t="shared" si="660"/>
        <v>138318.73024491945</v>
      </c>
      <c r="S1041" s="265">
        <f t="shared" si="660"/>
        <v>141141.66630685885</v>
      </c>
      <c r="T1041" s="265">
        <f t="shared" si="660"/>
        <v>145459.27566448171</v>
      </c>
      <c r="U1041" s="265">
        <f t="shared" si="660"/>
        <v>149672.68168903748</v>
      </c>
      <c r="V1041" s="265">
        <f t="shared" si="660"/>
        <v>153633.04183365498</v>
      </c>
      <c r="W1041" s="106">
        <f>+(Q1041/M1041)^(1/4)-1</f>
        <v>-5.5079751594528159E-2</v>
      </c>
      <c r="X1041" s="106">
        <f>+(V1041/Q1041)^(1/5)-1</f>
        <v>2.6558789987276343E-2</v>
      </c>
      <c r="Y1041" s="57"/>
      <c r="Z1041" s="57"/>
      <c r="AA1041" s="57"/>
    </row>
    <row r="1042" spans="1:27">
      <c r="A1042" s="55"/>
      <c r="B1042" s="55"/>
      <c r="C1042" s="55"/>
      <c r="D1042" s="55"/>
      <c r="E1042" s="57"/>
      <c r="F1042" s="57"/>
      <c r="G1042" s="57"/>
      <c r="H1042" s="57"/>
      <c r="I1042" s="57"/>
      <c r="J1042" s="57"/>
      <c r="K1042" s="58"/>
      <c r="L1042" s="59"/>
      <c r="M1042" s="117">
        <f t="shared" ref="M1042:V1042" si="661">M1041/L1041-1</f>
        <v>-3.2071717328777893E-2</v>
      </c>
      <c r="N1042" s="117">
        <f t="shared" si="661"/>
        <v>-8.4627508374433447E-2</v>
      </c>
      <c r="O1042" s="117">
        <f t="shared" si="661"/>
        <v>6.8180936902250355E-2</v>
      </c>
      <c r="P1042" s="117">
        <f t="shared" si="661"/>
        <v>-0.15924096448040581</v>
      </c>
      <c r="Q1042" s="117">
        <f t="shared" si="661"/>
        <v>-3.023524016556578E-2</v>
      </c>
      <c r="R1042" s="117">
        <f t="shared" si="661"/>
        <v>2.6397284187263725E-2</v>
      </c>
      <c r="S1042" s="117">
        <f t="shared" si="661"/>
        <v>2.0408921170262717E-2</v>
      </c>
      <c r="T1042" s="117">
        <f t="shared" si="661"/>
        <v>3.0590607795687008E-2</v>
      </c>
      <c r="U1042" s="117">
        <f t="shared" si="661"/>
        <v>2.8966224431602905E-2</v>
      </c>
      <c r="V1042" s="117">
        <f t="shared" si="661"/>
        <v>2.6460140220147865E-2</v>
      </c>
      <c r="W1042" s="259"/>
      <c r="X1042" s="259"/>
      <c r="Y1042" s="57"/>
      <c r="Z1042" s="57"/>
      <c r="AA1042" s="57"/>
    </row>
    <row r="1043" spans="1:27">
      <c r="E1043" s="57"/>
      <c r="F1043" s="57"/>
      <c r="G1043" s="57"/>
      <c r="H1043" s="57"/>
      <c r="I1043" s="57"/>
      <c r="J1043" s="55"/>
      <c r="K1043" s="58"/>
      <c r="L1043" s="59"/>
      <c r="M1043" s="59"/>
      <c r="N1043" s="59"/>
      <c r="O1043" s="59"/>
      <c r="P1043" s="59"/>
      <c r="Q1043" s="59"/>
      <c r="R1043" s="59"/>
      <c r="S1043" s="59"/>
      <c r="T1043" s="59"/>
      <c r="U1043" s="59"/>
      <c r="V1043" s="59"/>
      <c r="W1043" s="259"/>
      <c r="X1043" s="259"/>
      <c r="Y1043" s="57"/>
      <c r="Z1043" s="57"/>
      <c r="AA1043" s="57"/>
    </row>
    <row r="1044" spans="1:27">
      <c r="W1044" s="263"/>
      <c r="X1044" s="263"/>
    </row>
    <row r="1045" spans="1:27">
      <c r="W1045" s="263"/>
      <c r="X1045" s="263"/>
    </row>
  </sheetData>
  <hyperlinks>
    <hyperlink ref="Y10" location="Sheet1!A1" display="calculations"/>
    <hyperlink ref="Y117" r:id="rId1"/>
    <hyperlink ref="Y180" location="'Data (3)'!A52" display="calculations"/>
    <hyperlink ref="Y88" r:id="rId2"/>
  </hyperlinks>
  <pageMargins left="0.7" right="0.7" top="0.75" bottom="0.75" header="0.3" footer="0.3"/>
  <pageSetup orientation="portrait" r:id="rId3"/>
  <legacyDrawing r:id="rId4"/>
</worksheet>
</file>

<file path=xl/worksheets/sheet7.xml><?xml version="1.0" encoding="utf-8"?>
<worksheet xmlns="http://schemas.openxmlformats.org/spreadsheetml/2006/main" xmlns:r="http://schemas.openxmlformats.org/officeDocument/2006/relationships">
  <dimension ref="A1:AD559"/>
  <sheetViews>
    <sheetView showGridLines="0" topLeftCell="J13" workbookViewId="0">
      <selection activeCell="X540" sqref="X540"/>
    </sheetView>
  </sheetViews>
  <sheetFormatPr defaultRowHeight="15"/>
  <cols>
    <col min="1" max="1" width="9.140625" style="7" customWidth="1"/>
    <col min="2" max="2" width="21.140625" style="7" customWidth="1"/>
    <col min="3" max="3" width="60.85546875" style="7" bestFit="1" customWidth="1"/>
    <col min="4" max="4" width="24" style="7" customWidth="1"/>
    <col min="5" max="5" width="27.28515625" style="7" customWidth="1"/>
    <col min="6" max="6" width="15.85546875" style="7" hidden="1" customWidth="1"/>
    <col min="7" max="9" width="9.140625" style="7" hidden="1" customWidth="1"/>
    <col min="10" max="10" width="9.140625" style="7" customWidth="1"/>
    <col min="11" max="11" width="10.140625" style="8" hidden="1" customWidth="1"/>
    <col min="12" max="12" width="7.42578125" style="9" customWidth="1"/>
    <col min="13" max="13" width="10.140625" style="9" customWidth="1"/>
    <col min="14" max="14" width="10.28515625" style="9" customWidth="1"/>
    <col min="15" max="16" width="11.140625" style="9" customWidth="1"/>
    <col min="17" max="22" width="9.5703125" style="9" customWidth="1"/>
    <col min="23" max="23" width="11" style="14" customWidth="1"/>
    <col min="24" max="24" width="11" style="14" bestFit="1" customWidth="1"/>
    <col min="25" max="26" width="9.140625" style="7"/>
    <col min="27" max="27" width="9.140625" style="15"/>
  </cols>
  <sheetData>
    <row r="1" spans="1:26">
      <c r="A1" s="1" t="str">
        <f>'Secondary cum Calculation'!A1</f>
        <v>Country</v>
      </c>
      <c r="B1" s="1" t="str">
        <f>'Secondary cum Calculation'!B1</f>
        <v>Subject</v>
      </c>
      <c r="C1" s="1" t="str">
        <f>'Secondary cum Calculation'!C1</f>
        <v>Metric</v>
      </c>
      <c r="D1" s="1" t="str">
        <f>'Secondary cum Calculation'!D1</f>
        <v>Metric-1</v>
      </c>
      <c r="E1" s="1" t="str">
        <f>'Secondary cum Calculation'!E1</f>
        <v>Metric-2</v>
      </c>
      <c r="F1" s="1" t="str">
        <f>'Secondary cum Calculation'!F1</f>
        <v>Definitions</v>
      </c>
      <c r="G1" s="2" t="str">
        <f>'Secondary cum Calculation'!G1</f>
        <v>Database</v>
      </c>
      <c r="H1" s="2" t="str">
        <f>'Secondary cum Calculation'!H1</f>
        <v>Status</v>
      </c>
      <c r="I1" s="2" t="str">
        <f>'Secondary cum Calculation'!I1</f>
        <v>Source</v>
      </c>
      <c r="J1" s="1" t="str">
        <f>'Secondary cum Calculation'!J1</f>
        <v>Units</v>
      </c>
      <c r="K1" s="3">
        <f>'Secondary cum Calculation'!K1</f>
        <v>2006</v>
      </c>
      <c r="L1" s="4">
        <f>'Secondary cum Calculation'!L1</f>
        <v>2007</v>
      </c>
      <c r="M1" s="4">
        <f>'Secondary cum Calculation'!M1</f>
        <v>2008</v>
      </c>
      <c r="N1" s="4">
        <f>'Secondary cum Calculation'!N1</f>
        <v>2009</v>
      </c>
      <c r="O1" s="4">
        <f>'Secondary cum Calculation'!O1</f>
        <v>2010</v>
      </c>
      <c r="P1" s="4">
        <f>'Secondary cum Calculation'!P1</f>
        <v>2011</v>
      </c>
      <c r="Q1" s="4">
        <f>'Secondary cum Calculation'!Q1</f>
        <v>2012</v>
      </c>
      <c r="R1" s="4">
        <f>'Secondary cum Calculation'!R1</f>
        <v>2013</v>
      </c>
      <c r="S1" s="4">
        <f>'Secondary cum Calculation'!S1</f>
        <v>2014</v>
      </c>
      <c r="T1" s="4">
        <f>'Secondary cum Calculation'!T1</f>
        <v>2015</v>
      </c>
      <c r="U1" s="4">
        <f>'Secondary cum Calculation'!U1</f>
        <v>2016</v>
      </c>
      <c r="V1" s="4">
        <v>2017</v>
      </c>
      <c r="W1" s="5" t="str">
        <f>'Secondary cum Calculation'!W1</f>
        <v>CAGR 2008-2012</v>
      </c>
      <c r="X1" s="5" t="str">
        <f>'Secondary cum Calculation'!X1</f>
        <v>CAGR 2013-2017</v>
      </c>
      <c r="Y1" s="1"/>
      <c r="Z1" s="1"/>
    </row>
    <row r="2" spans="1:26">
      <c r="A2" s="6" t="str">
        <f>'Secondary cum Calculation'!A2</f>
        <v>Poland</v>
      </c>
      <c r="B2" s="6" t="str">
        <f>'Secondary cum Calculation'!B2</f>
        <v>Tourism Demand Factors</v>
      </c>
      <c r="F2" s="7" t="str">
        <f>'Secondary cum Calculation'!F2</f>
        <v>Tourism demand factors are defined as the factors which influence the time and money spent on tourism by residents of a nation.</v>
      </c>
      <c r="G2" s="7" t="str">
        <f>'Secondary cum Calculation'!G2</f>
        <v>Tourism Demand &amp; Flows Database</v>
      </c>
      <c r="H2" s="7" t="str">
        <f>'Secondary cum Calculation'!H2</f>
        <v>New</v>
      </c>
      <c r="I2" s="7">
        <f>'Secondary cum Calculation'!I2</f>
        <v>0</v>
      </c>
      <c r="L2" s="40">
        <f>'Secondary cum Calculation'!L2</f>
        <v>0</v>
      </c>
      <c r="M2" s="40">
        <f>'Secondary cum Calculation'!M2</f>
        <v>0</v>
      </c>
      <c r="N2" s="40">
        <f>'Secondary cum Calculation'!N2</f>
        <v>0</v>
      </c>
      <c r="O2" s="40">
        <f>'Secondary cum Calculation'!O2</f>
        <v>0</v>
      </c>
      <c r="P2" s="40">
        <f>'Secondary cum Calculation'!P2</f>
        <v>0</v>
      </c>
      <c r="Q2" s="40">
        <f>'Secondary cum Calculation'!Q2</f>
        <v>0</v>
      </c>
      <c r="R2" s="40">
        <f>'Secondary cum Calculation'!R2</f>
        <v>0</v>
      </c>
      <c r="S2" s="40">
        <f>'Secondary cum Calculation'!S2</f>
        <v>0</v>
      </c>
      <c r="T2" s="40">
        <f>'Secondary cum Calculation'!T2</f>
        <v>0</v>
      </c>
      <c r="U2" s="40">
        <f>'Secondary cum Calculation'!U2</f>
        <v>0</v>
      </c>
      <c r="V2" s="40"/>
      <c r="W2" s="10"/>
      <c r="X2" s="10"/>
    </row>
    <row r="3" spans="1:26">
      <c r="A3" s="45"/>
      <c r="B3" s="45"/>
      <c r="C3" s="45"/>
      <c r="D3" s="45"/>
      <c r="E3" s="45"/>
      <c r="F3" s="45"/>
      <c r="G3" s="45"/>
      <c r="H3" s="45"/>
      <c r="I3" s="45"/>
      <c r="J3" s="45"/>
    </row>
    <row r="4" spans="1:26">
      <c r="A4" s="46" t="str">
        <f>'Secondary cum Calculation'!A4</f>
        <v>Poland</v>
      </c>
      <c r="B4" s="47" t="str">
        <f>'Secondary cum Calculation'!B4</f>
        <v>Tourism Demand Factors</v>
      </c>
      <c r="C4" s="46" t="str">
        <f>'Secondary cum Calculation'!C4</f>
        <v>Typical Holiday Entitlement of Employees per Annum by Type</v>
      </c>
      <c r="D4" s="46"/>
      <c r="E4" s="48"/>
      <c r="F4" s="48" t="str">
        <f>'Secondary cum Calculation'!F4</f>
        <v>The number of potential tourist days the average resident of a country will accrue annually through entitled holidays (i.e. paid holidays and public holidays). Unpaid holidays and business trips are not included in this number.</v>
      </c>
      <c r="G4" s="48" t="str">
        <f>'Secondary cum Calculation'!G4</f>
        <v>Tourism Demand &amp; Flows Database</v>
      </c>
      <c r="H4" s="48" t="str">
        <f>'Secondary cum Calculation'!H4</f>
        <v>New</v>
      </c>
      <c r="I4" s="48">
        <f>'Secondary cum Calculation'!I4</f>
        <v>0</v>
      </c>
      <c r="J4" s="48" t="str">
        <f>'Secondary cum Calculation'!J4</f>
        <v>Days</v>
      </c>
      <c r="K4" s="49">
        <f>'Secondary cum Calculation'!K4</f>
        <v>0</v>
      </c>
      <c r="L4" s="50"/>
      <c r="M4" s="51">
        <f>'Final Data-US$'!M4/'Final Data-US$'!L4-1</f>
        <v>0</v>
      </c>
      <c r="N4" s="51">
        <f>'Final Data-US$'!N4/'Final Data-US$'!M4-1</f>
        <v>0</v>
      </c>
      <c r="O4" s="51">
        <f>'Final Data-US$'!O4/'Final Data-US$'!N4-1</f>
        <v>0</v>
      </c>
      <c r="P4" s="51">
        <f>'Final Data-US$'!P4/'Final Data-US$'!O4-1</f>
        <v>2.7777777777777679E-2</v>
      </c>
      <c r="Q4" s="51">
        <f>'Final Data-US$'!Q4/'Final Data-US$'!P4-1</f>
        <v>0</v>
      </c>
      <c r="R4" s="51">
        <f>'Final Data-US$'!R4/'Final Data-US$'!Q4-1</f>
        <v>-1</v>
      </c>
      <c r="S4" s="51" t="e">
        <f>'Final Data-US$'!S4/'Final Data-US$'!R4-1</f>
        <v>#DIV/0!</v>
      </c>
      <c r="T4" s="51" t="e">
        <f>'Final Data-US$'!T4/'Final Data-US$'!S4-1</f>
        <v>#DIV/0!</v>
      </c>
      <c r="U4" s="51" t="e">
        <f>'Final Data-US$'!U4/'Final Data-US$'!T4-1</f>
        <v>#DIV/0!</v>
      </c>
      <c r="V4" s="51" t="e">
        <f>'Final Data-US$'!V4/'Final Data-US$'!U4-1</f>
        <v>#DIV/0!</v>
      </c>
      <c r="W4" s="102">
        <f>'Final Data-US$'!W4</f>
        <v>0</v>
      </c>
      <c r="X4" s="102">
        <f>'Final Data-US$'!X4</f>
        <v>0</v>
      </c>
    </row>
    <row r="5" spans="1:26">
      <c r="A5" s="46" t="str">
        <f>'Secondary cum Calculation'!A6</f>
        <v>Poland</v>
      </c>
      <c r="B5" s="47" t="str">
        <f>'Secondary cum Calculation'!B6</f>
        <v>Tourism Demand Factors</v>
      </c>
      <c r="C5" s="47" t="str">
        <f>'Secondary cum Calculation'!C6</f>
        <v>Typical Holiday Entitlement of Employees per Annum by Type</v>
      </c>
      <c r="D5" s="46" t="str">
        <f>'Secondary cum Calculation'!D6</f>
        <v>Paid Holidays</v>
      </c>
      <c r="E5" s="48"/>
      <c r="F5" s="48" t="str">
        <f>'Secondary cum Calculation'!F6</f>
        <v>The number of potential tourist days the average resident of a country will accrue annually through paid holidays i.e. The number of paid holidays the average resident is entitled to.</v>
      </c>
      <c r="G5" s="48" t="str">
        <f>'Secondary cum Calculation'!G6</f>
        <v>Tourism Demand &amp; Flows Database</v>
      </c>
      <c r="H5" s="48" t="str">
        <f>'Secondary cum Calculation'!H6</f>
        <v>New</v>
      </c>
      <c r="I5" s="48">
        <f>'Secondary cum Calculation'!I6</f>
        <v>0</v>
      </c>
      <c r="J5" s="48" t="str">
        <f>'Secondary cum Calculation'!J6</f>
        <v>Days</v>
      </c>
      <c r="K5" s="49">
        <f>'Secondary cum Calculation'!K6</f>
        <v>0</v>
      </c>
      <c r="L5" s="50"/>
      <c r="M5" s="51">
        <f>'Final Data-US$'!M5/'Final Data-US$'!L5-1</f>
        <v>0</v>
      </c>
      <c r="N5" s="51">
        <f>'Final Data-US$'!N5/'Final Data-US$'!M5-1</f>
        <v>0</v>
      </c>
      <c r="O5" s="51">
        <f>'Final Data-US$'!O5/'Final Data-US$'!N5-1</f>
        <v>0</v>
      </c>
      <c r="P5" s="51">
        <f>'Final Data-US$'!P5/'Final Data-US$'!O5-1</f>
        <v>0</v>
      </c>
      <c r="Q5" s="51">
        <f>'Final Data-US$'!Q5/'Final Data-US$'!P5-1</f>
        <v>0</v>
      </c>
      <c r="R5" s="51">
        <f>'Final Data-US$'!R5/'Final Data-US$'!Q5-1</f>
        <v>-1</v>
      </c>
      <c r="S5" s="51" t="e">
        <f>'Final Data-US$'!S5/'Final Data-US$'!R5-1</f>
        <v>#DIV/0!</v>
      </c>
      <c r="T5" s="51" t="e">
        <f>'Final Data-US$'!T5/'Final Data-US$'!S5-1</f>
        <v>#DIV/0!</v>
      </c>
      <c r="U5" s="51" t="e">
        <f>'Final Data-US$'!U5/'Final Data-US$'!T5-1</f>
        <v>#DIV/0!</v>
      </c>
      <c r="V5" s="51" t="e">
        <f>'Final Data-US$'!V5/'Final Data-US$'!U5-1</f>
        <v>#DIV/0!</v>
      </c>
      <c r="W5" s="102">
        <f>'Final Data-US$'!W5</f>
        <v>0</v>
      </c>
      <c r="X5" s="102">
        <f>'Final Data-US$'!X5</f>
        <v>0</v>
      </c>
    </row>
    <row r="6" spans="1:26">
      <c r="A6" s="46" t="str">
        <f>'Secondary cum Calculation'!A8</f>
        <v>Poland</v>
      </c>
      <c r="B6" s="47" t="str">
        <f>'Secondary cum Calculation'!B8</f>
        <v>Tourism Demand Factors</v>
      </c>
      <c r="C6" s="47" t="str">
        <f>'Secondary cum Calculation'!C8</f>
        <v>Typical Holiday Entitlement of Employees per Annum by Type</v>
      </c>
      <c r="D6" s="46" t="str">
        <f>'Secondary cum Calculation'!D8</f>
        <v>Public Holidays</v>
      </c>
      <c r="E6" s="48"/>
      <c r="F6" s="48" t="str">
        <f>'Secondary cum Calculation'!F8</f>
        <v>The number of potential tourist days the average resident of a country will accrue annually through public holidays i.e. The number of statuatory holidays the average resident is entitled to.</v>
      </c>
      <c r="G6" s="48" t="str">
        <f>'Secondary cum Calculation'!G8</f>
        <v>Tourism Demand &amp; Flows Database</v>
      </c>
      <c r="H6" s="48" t="str">
        <f>'Secondary cum Calculation'!H8</f>
        <v>New</v>
      </c>
      <c r="I6" s="48">
        <f>'Secondary cum Calculation'!I8</f>
        <v>0</v>
      </c>
      <c r="J6" s="48" t="str">
        <f>'Secondary cum Calculation'!J8</f>
        <v>Days</v>
      </c>
      <c r="K6" s="49">
        <f>'Secondary cum Calculation'!K8</f>
        <v>10</v>
      </c>
      <c r="L6" s="50"/>
      <c r="M6" s="51">
        <f>'Final Data-US$'!M6/'Final Data-US$'!L6-1</f>
        <v>0</v>
      </c>
      <c r="N6" s="51">
        <f>'Final Data-US$'!N6/'Final Data-US$'!M6-1</f>
        <v>0</v>
      </c>
      <c r="O6" s="51">
        <f>'Final Data-US$'!O6/'Final Data-US$'!N6-1</f>
        <v>0</v>
      </c>
      <c r="P6" s="51">
        <f>'Final Data-US$'!P6/'Final Data-US$'!O6-1</f>
        <v>0.10000000000000009</v>
      </c>
      <c r="Q6" s="51">
        <f>'Final Data-US$'!Q6/'Final Data-US$'!P6-1</f>
        <v>0</v>
      </c>
      <c r="R6" s="51">
        <f>'Final Data-US$'!R6/'Final Data-US$'!Q6-1</f>
        <v>-1</v>
      </c>
      <c r="S6" s="51" t="e">
        <f>'Final Data-US$'!S6/'Final Data-US$'!R6-1</f>
        <v>#DIV/0!</v>
      </c>
      <c r="T6" s="51" t="e">
        <f>'Final Data-US$'!T6/'Final Data-US$'!S6-1</f>
        <v>#DIV/0!</v>
      </c>
      <c r="U6" s="51" t="e">
        <f>'Final Data-US$'!U6/'Final Data-US$'!T6-1</f>
        <v>#DIV/0!</v>
      </c>
      <c r="V6" s="51" t="e">
        <f>'Final Data-US$'!V6/'Final Data-US$'!U6-1</f>
        <v>#DIV/0!</v>
      </c>
      <c r="W6" s="102">
        <f>'Final Data-US$'!W6</f>
        <v>0</v>
      </c>
      <c r="X6" s="102">
        <f>'Final Data-US$'!X6</f>
        <v>0</v>
      </c>
    </row>
    <row r="7" spans="1:26">
      <c r="A7" s="55" t="str">
        <f>'Secondary cum Calculation'!A10</f>
        <v>Poland</v>
      </c>
      <c r="B7" s="56" t="str">
        <f>'Secondary cum Calculation'!B10</f>
        <v>Tourism Demand Factors</v>
      </c>
      <c r="C7" s="55" t="str">
        <f>'Secondary cum Calculation'!C10</f>
        <v>Total Population by Age &amp; Sex</v>
      </c>
      <c r="D7" s="57"/>
      <c r="E7" s="57"/>
      <c r="F7" s="57">
        <f>'Secondary cum Calculation'!F10</f>
        <v>0</v>
      </c>
      <c r="G7" s="57" t="str">
        <f>'Secondary cum Calculation'!G10</f>
        <v>Tourism Demand &amp; Flows Database</v>
      </c>
      <c r="H7" s="57" t="str">
        <f>'Secondary cum Calculation'!H10</f>
        <v>New</v>
      </c>
      <c r="I7" s="57">
        <f>'Secondary cum Calculation'!I10</f>
        <v>0</v>
      </c>
      <c r="J7" s="57"/>
      <c r="K7" s="58">
        <f>'Secondary cum Calculation'!K10</f>
        <v>0</v>
      </c>
      <c r="L7" s="59"/>
      <c r="M7" s="60" t="e">
        <f>'Final Data-US$'!M7/'Final Data-US$'!L7-1</f>
        <v>#DIV/0!</v>
      </c>
      <c r="N7" s="60" t="e">
        <f>'Final Data-US$'!N7/'Final Data-US$'!M7-1</f>
        <v>#DIV/0!</v>
      </c>
      <c r="O7" s="60" t="e">
        <f>'Final Data-US$'!O7/'Final Data-US$'!N7-1</f>
        <v>#DIV/0!</v>
      </c>
      <c r="P7" s="60" t="e">
        <f>'Final Data-US$'!P7/'Final Data-US$'!O7-1</f>
        <v>#DIV/0!</v>
      </c>
      <c r="Q7" s="60" t="e">
        <f>'Final Data-US$'!Q7/'Final Data-US$'!P7-1</f>
        <v>#DIV/0!</v>
      </c>
      <c r="R7" s="60" t="e">
        <f>'Final Data-US$'!R7/'Final Data-US$'!Q7-1</f>
        <v>#DIV/0!</v>
      </c>
      <c r="S7" s="60" t="e">
        <f>'Final Data-US$'!S7/'Final Data-US$'!R7-1</f>
        <v>#DIV/0!</v>
      </c>
      <c r="T7" s="60" t="e">
        <f>'Final Data-US$'!T7/'Final Data-US$'!S7-1</f>
        <v>#DIV/0!</v>
      </c>
      <c r="U7" s="60" t="e">
        <f>'Final Data-US$'!U7/'Final Data-US$'!T7-1</f>
        <v>#DIV/0!</v>
      </c>
      <c r="V7" s="60" t="e">
        <f>'Final Data-US$'!V7/'Final Data-US$'!U7-1</f>
        <v>#DIV/0!</v>
      </c>
      <c r="W7" s="106">
        <f>'Final Data-US$'!W7</f>
        <v>0</v>
      </c>
      <c r="X7" s="106">
        <f>'Final Data-US$'!X7</f>
        <v>0</v>
      </c>
      <c r="Y7" s="11"/>
    </row>
    <row r="8" spans="1:26">
      <c r="A8" s="55" t="str">
        <f>'Secondary cum Calculation'!A12</f>
        <v>Poland</v>
      </c>
      <c r="B8" s="56" t="str">
        <f>'Secondary cum Calculation'!B12</f>
        <v>Tourism Demand Factors</v>
      </c>
      <c r="C8" s="56" t="str">
        <f>'Secondary cum Calculation'!C12</f>
        <v>Total Population by Age &amp; Sex</v>
      </c>
      <c r="D8" s="55" t="str">
        <f>'Secondary cum Calculation'!D12</f>
        <v>Total by Age</v>
      </c>
      <c r="E8" s="57"/>
      <c r="F8" s="57">
        <f>'Secondary cum Calculation'!F12</f>
        <v>0</v>
      </c>
      <c r="G8" s="57" t="str">
        <f>'Secondary cum Calculation'!G12</f>
        <v>Tourism Demand &amp; Flows Database</v>
      </c>
      <c r="H8" s="57" t="str">
        <f>'Secondary cum Calculation'!H12</f>
        <v>New</v>
      </c>
      <c r="I8" s="57">
        <f>'Secondary cum Calculation'!I12</f>
        <v>0</v>
      </c>
      <c r="J8" s="57" t="str">
        <f>'Secondary cum Calculation'!J12</f>
        <v>Millions</v>
      </c>
      <c r="K8" s="58">
        <f>'Secondary cum Calculation'!K12</f>
        <v>0</v>
      </c>
      <c r="L8" s="59"/>
      <c r="M8" s="60">
        <f>'Final Data-US$'!M8/'Final Data-US$'!L8-1</f>
        <v>-4.5549847408632438E-4</v>
      </c>
      <c r="N8" s="60">
        <f>'Final Data-US$'!N8/'Final Data-US$'!M8-1</f>
        <v>-4.6173191258680468E-4</v>
      </c>
      <c r="O8" s="60">
        <f>'Final Data-US$'!O8/'Final Data-US$'!N8-1</f>
        <v>-4.9970221853490315E-4</v>
      </c>
      <c r="P8" s="60">
        <f>'Final Data-US$'!P8/'Final Data-US$'!O8-1</f>
        <v>-5.7459387215841318E-4</v>
      </c>
      <c r="Q8" s="60">
        <f>'Final Data-US$'!Q8/'Final Data-US$'!P8-1</f>
        <v>-6.8425893331969245E-4</v>
      </c>
      <c r="R8" s="60">
        <f>'Final Data-US$'!R8/'Final Data-US$'!Q8-1</f>
        <v>-8.1933534579636813E-4</v>
      </c>
      <c r="S8" s="60">
        <f>'Final Data-US$'!S8/'Final Data-US$'!R8-1</f>
        <v>-9.7775601165572823E-4</v>
      </c>
      <c r="T8" s="60">
        <f>'Final Data-US$'!T8/'Final Data-US$'!S8-1</f>
        <v>-1.1577133729193667E-3</v>
      </c>
      <c r="U8" s="60">
        <f>'Final Data-US$'!U8/'Final Data-US$'!T8-1</f>
        <v>-1.3636926746555256E-3</v>
      </c>
      <c r="V8" s="60">
        <f>'Final Data-US$'!V8/'Final Data-US$'!U8-1</f>
        <v>-1.5933477880177849E-3</v>
      </c>
      <c r="W8" s="106">
        <f>'Final Data-US$'!W8</f>
        <v>-5.5507534232013267E-4</v>
      </c>
      <c r="X8" s="106">
        <f>'Final Data-US$'!X8</f>
        <v>-1.1824066893574292E-3</v>
      </c>
    </row>
    <row r="9" spans="1:26">
      <c r="A9" s="55" t="str">
        <f>'Secondary cum Calculation'!A14</f>
        <v>Poland</v>
      </c>
      <c r="B9" s="56" t="str">
        <f>'Secondary cum Calculation'!B14</f>
        <v>Tourism Demand Factors</v>
      </c>
      <c r="C9" s="56" t="str">
        <f>'Secondary cum Calculation'!C14</f>
        <v>Total Population by Age &amp; Sex</v>
      </c>
      <c r="D9" s="56" t="str">
        <f>'Secondary cum Calculation'!D14</f>
        <v>Total by Age</v>
      </c>
      <c r="E9" s="55" t="str">
        <f>'Secondary cum Calculation'!E14</f>
        <v>0-14</v>
      </c>
      <c r="F9" s="57">
        <f>'Secondary cum Calculation'!F14</f>
        <v>0</v>
      </c>
      <c r="G9" s="57" t="str">
        <f>'Secondary cum Calculation'!G14</f>
        <v>Tourism Demand &amp; Flows Database</v>
      </c>
      <c r="H9" s="57" t="str">
        <f>'Secondary cum Calculation'!H14</f>
        <v>New</v>
      </c>
      <c r="I9" s="57">
        <f>'Secondary cum Calculation'!I14</f>
        <v>0</v>
      </c>
      <c r="J9" s="57" t="str">
        <f>'Secondary cum Calculation'!J14</f>
        <v>Millions</v>
      </c>
      <c r="K9" s="58">
        <f>'Secondary cum Calculation'!K14</f>
        <v>0</v>
      </c>
      <c r="L9" s="59"/>
      <c r="M9" s="60">
        <f>'Final Data-US$'!M9/'Final Data-US$'!L9-1</f>
        <v>-1.8978135898398252E-2</v>
      </c>
      <c r="N9" s="60">
        <f>'Final Data-US$'!N9/'Final Data-US$'!M9-1</f>
        <v>-1.6341735393272327E-2</v>
      </c>
      <c r="O9" s="60">
        <f>'Final Data-US$'!O9/'Final Data-US$'!N9-1</f>
        <v>-1.1534047373862877E-2</v>
      </c>
      <c r="P9" s="60">
        <f>'Final Data-US$'!P9/'Final Data-US$'!O9-1</f>
        <v>-7.3469241694912313E-3</v>
      </c>
      <c r="Q9" s="60">
        <f>'Final Data-US$'!Q9/'Final Data-US$'!P9-1</f>
        <v>-6.0471436876974316E-3</v>
      </c>
      <c r="R9" s="60">
        <f>'Final Data-US$'!R9/'Final Data-US$'!Q9-1</f>
        <v>-3.8101926342083425E-3</v>
      </c>
      <c r="S9" s="60">
        <f>'Final Data-US$'!S9/'Final Data-US$'!R9-1</f>
        <v>-1.8535773811447775E-3</v>
      </c>
      <c r="T9" s="60">
        <f>'Final Data-US$'!T9/'Final Data-US$'!S9-1</f>
        <v>-1.2246029874305453E-3</v>
      </c>
      <c r="U9" s="60">
        <f>'Final Data-US$'!U9/'Final Data-US$'!T9-1</f>
        <v>-1.0445787170174636E-3</v>
      </c>
      <c r="V9" s="60">
        <f>'Final Data-US$'!V9/'Final Data-US$'!U9-1</f>
        <v>-5.9138205806830157E-6</v>
      </c>
      <c r="W9" s="106">
        <f>'Final Data-US$'!W9</f>
        <v>-1.0325661074755743E-2</v>
      </c>
      <c r="X9" s="106">
        <f>'Final Data-US$'!X9</f>
        <v>-1.5885687317745978E-3</v>
      </c>
    </row>
    <row r="10" spans="1:26">
      <c r="A10" s="55" t="str">
        <f>'Secondary cum Calculation'!A16</f>
        <v>Poland</v>
      </c>
      <c r="B10" s="56" t="str">
        <f>'Secondary cum Calculation'!B16</f>
        <v>Tourism Demand Factors</v>
      </c>
      <c r="C10" s="56" t="str">
        <f>'Secondary cum Calculation'!C16</f>
        <v>Total Population by Age &amp; Sex</v>
      </c>
      <c r="D10" s="56" t="str">
        <f>'Secondary cum Calculation'!D16</f>
        <v>Total by Age</v>
      </c>
      <c r="E10" s="55" t="str">
        <f>'Secondary cum Calculation'!E16</f>
        <v>15-24</v>
      </c>
      <c r="F10" s="57">
        <f>'Secondary cum Calculation'!F16</f>
        <v>0</v>
      </c>
      <c r="G10" s="57" t="str">
        <f>'Secondary cum Calculation'!G16</f>
        <v>Tourism Demand &amp; Flows Database</v>
      </c>
      <c r="H10" s="57" t="str">
        <f>'Secondary cum Calculation'!H16</f>
        <v>New</v>
      </c>
      <c r="I10" s="57">
        <f>'Secondary cum Calculation'!I16</f>
        <v>0</v>
      </c>
      <c r="J10" s="57" t="str">
        <f>'Secondary cum Calculation'!J16</f>
        <v>Millions</v>
      </c>
      <c r="K10" s="58">
        <f>'Secondary cum Calculation'!K16</f>
        <v>0</v>
      </c>
      <c r="L10" s="59"/>
      <c r="M10" s="60">
        <f>'Final Data-US$'!M10/'Final Data-US$'!L10-1</f>
        <v>-3.3833676197563722E-2</v>
      </c>
      <c r="N10" s="60">
        <f>'Final Data-US$'!N10/'Final Data-US$'!M10-1</f>
        <v>-3.7222063897791591E-2</v>
      </c>
      <c r="O10" s="60">
        <f>'Final Data-US$'!O10/'Final Data-US$'!N10-1</f>
        <v>-4.0156966551981865E-2</v>
      </c>
      <c r="P10" s="60">
        <f>'Final Data-US$'!P10/'Final Data-US$'!O10-1</f>
        <v>-4.0437797485357363E-2</v>
      </c>
      <c r="Q10" s="60">
        <f>'Final Data-US$'!Q10/'Final Data-US$'!P10-1</f>
        <v>-3.5877257952710573E-2</v>
      </c>
      <c r="R10" s="60">
        <f>'Final Data-US$'!R10/'Final Data-US$'!Q10-1</f>
        <v>-3.0589619579030281E-2</v>
      </c>
      <c r="S10" s="60">
        <f>'Final Data-US$'!S10/'Final Data-US$'!R10-1</f>
        <v>-3.3203703609656743E-2</v>
      </c>
      <c r="T10" s="60">
        <f>'Final Data-US$'!T10/'Final Data-US$'!S10-1</f>
        <v>-3.6379574313476826E-2</v>
      </c>
      <c r="U10" s="60">
        <f>'Final Data-US$'!U10/'Final Data-US$'!T10-1</f>
        <v>-3.7531782052685814E-2</v>
      </c>
      <c r="V10" s="60">
        <f>'Final Data-US$'!V10/'Final Data-US$'!U10-1</f>
        <v>-3.82611708161813E-2</v>
      </c>
      <c r="W10" s="106">
        <f>'Final Data-US$'!W10</f>
        <v>-3.8425469542404556E-2</v>
      </c>
      <c r="X10" s="106">
        <f>'Final Data-US$'!X10</f>
        <v>-3.5197460804242464E-2</v>
      </c>
    </row>
    <row r="11" spans="1:26">
      <c r="A11" s="55" t="str">
        <f>'Secondary cum Calculation'!A18</f>
        <v>Poland</v>
      </c>
      <c r="B11" s="56" t="str">
        <f>'Secondary cum Calculation'!B18</f>
        <v>Tourism Demand Factors</v>
      </c>
      <c r="C11" s="56" t="str">
        <f>'Secondary cum Calculation'!C18</f>
        <v>Total Population by Age &amp; Sex</v>
      </c>
      <c r="D11" s="56" t="str">
        <f>'Secondary cum Calculation'!D18</f>
        <v>Total by Age</v>
      </c>
      <c r="E11" s="55" t="str">
        <f>'Secondary cum Calculation'!E18</f>
        <v>25-34</v>
      </c>
      <c r="F11" s="57">
        <f>'Secondary cum Calculation'!F18</f>
        <v>0</v>
      </c>
      <c r="G11" s="57" t="str">
        <f>'Secondary cum Calculation'!G18</f>
        <v>Tourism Demand &amp; Flows Database</v>
      </c>
      <c r="H11" s="57" t="str">
        <f>'Secondary cum Calculation'!H18</f>
        <v>New</v>
      </c>
      <c r="I11" s="57">
        <f>'Secondary cum Calculation'!I18</f>
        <v>0</v>
      </c>
      <c r="J11" s="57" t="str">
        <f>'Secondary cum Calculation'!J18</f>
        <v>Millions</v>
      </c>
      <c r="K11" s="58">
        <f>'Secondary cum Calculation'!K18</f>
        <v>0</v>
      </c>
      <c r="L11" s="59"/>
      <c r="M11" s="60">
        <f>'Final Data-US$'!M11/'Final Data-US$'!L11-1</f>
        <v>1.7202910646146208E-2</v>
      </c>
      <c r="N11" s="60">
        <f>'Final Data-US$'!N11/'Final Data-US$'!M11-1</f>
        <v>1.4199670042605028E-2</v>
      </c>
      <c r="O11" s="60">
        <f>'Final Data-US$'!O11/'Final Data-US$'!N11-1</f>
        <v>8.1279902591859798E-3</v>
      </c>
      <c r="P11" s="60">
        <f>'Final Data-US$'!P11/'Final Data-US$'!O11-1</f>
        <v>-1.2640328116964028E-4</v>
      </c>
      <c r="Q11" s="60">
        <f>'Final Data-US$'!Q11/'Final Data-US$'!P11-1</f>
        <v>-6.8957225007584277E-3</v>
      </c>
      <c r="R11" s="60">
        <f>'Final Data-US$'!R11/'Final Data-US$'!Q11-1</f>
        <v>-1.4792603822584516E-2</v>
      </c>
      <c r="S11" s="60">
        <f>'Final Data-US$'!S11/'Final Data-US$'!R11-1</f>
        <v>-1.7890466031618368E-2</v>
      </c>
      <c r="T11" s="60">
        <f>'Final Data-US$'!T11/'Final Data-US$'!S11-1</f>
        <v>-1.9575893962875734E-2</v>
      </c>
      <c r="U11" s="60">
        <f>'Final Data-US$'!U11/'Final Data-US$'!T11-1</f>
        <v>-2.0393442719764399E-2</v>
      </c>
      <c r="V11" s="60">
        <f>'Final Data-US$'!V11/'Final Data-US$'!U11-1</f>
        <v>-2.5102297303973065E-2</v>
      </c>
      <c r="W11" s="106">
        <f>'Final Data-US$'!W11</f>
        <v>3.7944096035811281E-3</v>
      </c>
      <c r="X11" s="106">
        <f>'Final Data-US$'!X11</f>
        <v>-1.9556751156668217E-2</v>
      </c>
    </row>
    <row r="12" spans="1:26">
      <c r="A12" s="55" t="str">
        <f>'Secondary cum Calculation'!A20</f>
        <v>Poland</v>
      </c>
      <c r="B12" s="56" t="str">
        <f>'Secondary cum Calculation'!B20</f>
        <v>Tourism Demand Factors</v>
      </c>
      <c r="C12" s="56" t="str">
        <f>'Secondary cum Calculation'!C20</f>
        <v>Total Population by Age &amp; Sex</v>
      </c>
      <c r="D12" s="56" t="str">
        <f>'Secondary cum Calculation'!D20</f>
        <v>Total by Age</v>
      </c>
      <c r="E12" s="55" t="str">
        <f>'Secondary cum Calculation'!E20</f>
        <v>35-44</v>
      </c>
      <c r="F12" s="57">
        <f>'Secondary cum Calculation'!F20</f>
        <v>0</v>
      </c>
      <c r="G12" s="57" t="str">
        <f>'Secondary cum Calculation'!G20</f>
        <v>Tourism Demand &amp; Flows Database</v>
      </c>
      <c r="H12" s="57" t="str">
        <f>'Secondary cum Calculation'!H20</f>
        <v>New</v>
      </c>
      <c r="I12" s="57">
        <f>'Secondary cum Calculation'!I20</f>
        <v>0</v>
      </c>
      <c r="J12" s="57" t="str">
        <f>'Secondary cum Calculation'!J20</f>
        <v>Millions</v>
      </c>
      <c r="K12" s="58">
        <f>'Secondary cum Calculation'!K20</f>
        <v>0</v>
      </c>
      <c r="L12" s="59"/>
      <c r="M12" s="60">
        <f>'Final Data-US$'!M12/'Final Data-US$'!L12-1</f>
        <v>9.0817100320164101E-3</v>
      </c>
      <c r="N12" s="60">
        <f>'Final Data-US$'!N12/'Final Data-US$'!M12-1</f>
        <v>1.4084487221370567E-2</v>
      </c>
      <c r="O12" s="60">
        <f>'Final Data-US$'!O12/'Final Data-US$'!N12-1</f>
        <v>2.0266512931826464E-2</v>
      </c>
      <c r="P12" s="60">
        <f>'Final Data-US$'!P12/'Final Data-US$'!O12-1</f>
        <v>2.6514594345457665E-2</v>
      </c>
      <c r="Q12" s="60">
        <f>'Final Data-US$'!Q12/'Final Data-US$'!P12-1</f>
        <v>2.7926886655841532E-2</v>
      </c>
      <c r="R12" s="60">
        <f>'Final Data-US$'!R12/'Final Data-US$'!Q12-1</f>
        <v>2.7234273718326651E-2</v>
      </c>
      <c r="S12" s="60">
        <f>'Final Data-US$'!S12/'Final Data-US$'!R12-1</f>
        <v>2.7947079868339664E-2</v>
      </c>
      <c r="T12" s="60">
        <f>'Final Data-US$'!T12/'Final Data-US$'!S12-1</f>
        <v>2.5878458858182185E-2</v>
      </c>
      <c r="U12" s="60">
        <f>'Final Data-US$'!U12/'Final Data-US$'!T12-1</f>
        <v>2.0514971147023386E-2</v>
      </c>
      <c r="V12" s="60">
        <f>'Final Data-US$'!V12/'Final Data-US$'!U12-1</f>
        <v>1.8041355176343421E-2</v>
      </c>
      <c r="W12" s="106">
        <f>'Final Data-US$'!W12</f>
        <v>2.218330017509218E-2</v>
      </c>
      <c r="X12" s="106">
        <f>'Final Data-US$'!X12</f>
        <v>2.3915680520963045E-2</v>
      </c>
    </row>
    <row r="13" spans="1:26">
      <c r="A13" s="55" t="str">
        <f>'Secondary cum Calculation'!A22</f>
        <v>Poland</v>
      </c>
      <c r="B13" s="56" t="str">
        <f>'Secondary cum Calculation'!B22</f>
        <v>Tourism Demand Factors</v>
      </c>
      <c r="C13" s="56" t="str">
        <f>'Secondary cum Calculation'!C22</f>
        <v>Total Population by Age &amp; Sex</v>
      </c>
      <c r="D13" s="56" t="str">
        <f>'Secondary cum Calculation'!D22</f>
        <v>Total by Age</v>
      </c>
      <c r="E13" s="55" t="str">
        <f>'Secondary cum Calculation'!E22</f>
        <v>45-54</v>
      </c>
      <c r="F13" s="57">
        <f>'Secondary cum Calculation'!F22</f>
        <v>0</v>
      </c>
      <c r="G13" s="57" t="str">
        <f>'Secondary cum Calculation'!G22</f>
        <v>Tourism Demand &amp; Flows Database</v>
      </c>
      <c r="H13" s="57" t="str">
        <f>'Secondary cum Calculation'!H22</f>
        <v>New</v>
      </c>
      <c r="I13" s="57">
        <f>'Secondary cum Calculation'!I22</f>
        <v>0</v>
      </c>
      <c r="J13" s="57" t="str">
        <f>'Secondary cum Calculation'!J22</f>
        <v>Millions</v>
      </c>
      <c r="K13" s="58">
        <f>'Secondary cum Calculation'!K22</f>
        <v>0</v>
      </c>
      <c r="L13" s="59"/>
      <c r="M13" s="60">
        <f>'Final Data-US$'!M13/'Final Data-US$'!L13-1</f>
        <v>-2.0777338393207279E-2</v>
      </c>
      <c r="N13" s="60">
        <f>'Final Data-US$'!N13/'Final Data-US$'!M13-1</f>
        <v>-2.3271597505868491E-2</v>
      </c>
      <c r="O13" s="60">
        <f>'Final Data-US$'!O13/'Final Data-US$'!N13-1</f>
        <v>-2.8088318060212836E-2</v>
      </c>
      <c r="P13" s="60">
        <f>'Final Data-US$'!P13/'Final Data-US$'!O13-1</f>
        <v>-3.1852901661013844E-2</v>
      </c>
      <c r="Q13" s="60">
        <f>'Final Data-US$'!Q13/'Final Data-US$'!P13-1</f>
        <v>-3.3693105175503946E-2</v>
      </c>
      <c r="R13" s="60">
        <f>'Final Data-US$'!R13/'Final Data-US$'!Q13-1</f>
        <v>-3.3161415296488639E-2</v>
      </c>
      <c r="S13" s="60">
        <f>'Final Data-US$'!S13/'Final Data-US$'!R13-1</f>
        <v>-2.8623193472029351E-2</v>
      </c>
      <c r="T13" s="60">
        <f>'Final Data-US$'!T13/'Final Data-US$'!S13-1</f>
        <v>-1.9770472425886254E-2</v>
      </c>
      <c r="U13" s="60">
        <f>'Final Data-US$'!U13/'Final Data-US$'!T13-1</f>
        <v>-7.9138325182719349E-3</v>
      </c>
      <c r="V13" s="60">
        <f>'Final Data-US$'!V13/'Final Data-US$'!U13-1</f>
        <v>2.7267955933121257E-3</v>
      </c>
      <c r="W13" s="106">
        <f>'Final Data-US$'!W13</f>
        <v>-2.9234661334152534E-2</v>
      </c>
      <c r="X13" s="106">
        <f>'Final Data-US$'!X13</f>
        <v>-1.7437240244000951E-2</v>
      </c>
    </row>
    <row r="14" spans="1:26">
      <c r="A14" s="55" t="str">
        <f>'Secondary cum Calculation'!A24</f>
        <v>Poland</v>
      </c>
      <c r="B14" s="56" t="str">
        <f>'Secondary cum Calculation'!B24</f>
        <v>Tourism Demand Factors</v>
      </c>
      <c r="C14" s="56" t="str">
        <f>'Secondary cum Calculation'!C24</f>
        <v>Total Population by Age &amp; Sex</v>
      </c>
      <c r="D14" s="56" t="str">
        <f>'Secondary cum Calculation'!D24</f>
        <v>Total by Age</v>
      </c>
      <c r="E14" s="55" t="str">
        <f>'Secondary cum Calculation'!E24</f>
        <v>55-64</v>
      </c>
      <c r="F14" s="57">
        <f>'Secondary cum Calculation'!F24</f>
        <v>0</v>
      </c>
      <c r="G14" s="57" t="str">
        <f>'Secondary cum Calculation'!G24</f>
        <v>Tourism Demand &amp; Flows Database</v>
      </c>
      <c r="H14" s="57" t="str">
        <f>'Secondary cum Calculation'!H24</f>
        <v>New</v>
      </c>
      <c r="I14" s="57">
        <f>'Secondary cum Calculation'!I24</f>
        <v>0</v>
      </c>
      <c r="J14" s="57" t="str">
        <f>'Secondary cum Calculation'!J24</f>
        <v>Millions</v>
      </c>
      <c r="K14" s="58">
        <f>'Secondary cum Calculation'!K24</f>
        <v>0</v>
      </c>
      <c r="L14" s="59"/>
      <c r="M14" s="60">
        <f>'Final Data-US$'!M14/'Final Data-US$'!L14-1</f>
        <v>5.9485621678767364E-2</v>
      </c>
      <c r="N14" s="60">
        <f>'Final Data-US$'!N14/'Final Data-US$'!M14-1</f>
        <v>5.5097640449800256E-2</v>
      </c>
      <c r="O14" s="60">
        <f>'Final Data-US$'!O14/'Final Data-US$'!N14-1</f>
        <v>5.2279475808233666E-2</v>
      </c>
      <c r="P14" s="60">
        <f>'Final Data-US$'!P14/'Final Data-US$'!O14-1</f>
        <v>3.8287772649501006E-2</v>
      </c>
      <c r="Q14" s="60">
        <f>'Final Data-US$'!Q14/'Final Data-US$'!P14-1</f>
        <v>2.4174602594718486E-2</v>
      </c>
      <c r="R14" s="60">
        <f>'Final Data-US$'!R14/'Final Data-US$'!Q14-1</f>
        <v>1.6264798216479415E-2</v>
      </c>
      <c r="S14" s="60">
        <f>'Final Data-US$'!S14/'Final Data-US$'!R14-1</f>
        <v>8.5811177802199712E-3</v>
      </c>
      <c r="T14" s="60">
        <f>'Final Data-US$'!T14/'Final Data-US$'!S14-1</f>
        <v>-9.428201757832877E-5</v>
      </c>
      <c r="U14" s="60">
        <f>'Final Data-US$'!U14/'Final Data-US$'!T14-1</f>
        <v>-9.5576531188450442E-3</v>
      </c>
      <c r="V14" s="60">
        <f>'Final Data-US$'!V14/'Final Data-US$'!U14-1</f>
        <v>-1.6286329594864091E-2</v>
      </c>
      <c r="W14" s="106">
        <f>'Final Data-US$'!W14</f>
        <v>4.2386728335831458E-2</v>
      </c>
      <c r="X14" s="106">
        <f>'Final Data-US$'!X14</f>
        <v>-2.8793135562743544E-4</v>
      </c>
    </row>
    <row r="15" spans="1:26">
      <c r="A15" s="55" t="str">
        <f>'Secondary cum Calculation'!A26</f>
        <v>Poland</v>
      </c>
      <c r="B15" s="56" t="str">
        <f>'Secondary cum Calculation'!B26</f>
        <v>Tourism Demand Factors</v>
      </c>
      <c r="C15" s="56" t="str">
        <f>'Secondary cum Calculation'!C26</f>
        <v>Total Population by Age &amp; Sex</v>
      </c>
      <c r="D15" s="56" t="str">
        <f>'Secondary cum Calculation'!D26</f>
        <v>Total by Age</v>
      </c>
      <c r="E15" s="55" t="str">
        <f>'Secondary cum Calculation'!E26</f>
        <v>65+</v>
      </c>
      <c r="F15" s="57">
        <f>'Secondary cum Calculation'!F26</f>
        <v>0</v>
      </c>
      <c r="G15" s="57" t="str">
        <f>'Secondary cum Calculation'!G26</f>
        <v>Tourism Demand &amp; Flows Database</v>
      </c>
      <c r="H15" s="57" t="str">
        <f>'Secondary cum Calculation'!H26</f>
        <v>New</v>
      </c>
      <c r="I15" s="57">
        <f>'Secondary cum Calculation'!I26</f>
        <v>0</v>
      </c>
      <c r="J15" s="57" t="str">
        <f>'Secondary cum Calculation'!J26</f>
        <v>Millions</v>
      </c>
      <c r="K15" s="58">
        <f>'Secondary cum Calculation'!K26</f>
        <v>0</v>
      </c>
      <c r="L15" s="59"/>
      <c r="M15" s="60">
        <f>'Final Data-US$'!M15/'Final Data-US$'!L15-1</f>
        <v>1.1963281225992883E-3</v>
      </c>
      <c r="N15" s="60">
        <f>'Final Data-US$'!N15/'Final Data-US$'!M15-1</f>
        <v>1.8649043838268042E-3</v>
      </c>
      <c r="O15" s="60">
        <f>'Final Data-US$'!O15/'Final Data-US$'!N15-1</f>
        <v>3.2142681941016438E-3</v>
      </c>
      <c r="P15" s="60">
        <f>'Final Data-US$'!P15/'Final Data-US$'!O15-1</f>
        <v>1.4627667285027623E-2</v>
      </c>
      <c r="Q15" s="60">
        <f>'Final Data-US$'!Q15/'Final Data-US$'!P15-1</f>
        <v>2.6144968660326118E-2</v>
      </c>
      <c r="R15" s="60">
        <f>'Final Data-US$'!R15/'Final Data-US$'!Q15-1</f>
        <v>3.1293752573407607E-2</v>
      </c>
      <c r="S15" s="60">
        <f>'Final Data-US$'!S15/'Final Data-US$'!R15-1</f>
        <v>3.2852359866076375E-2</v>
      </c>
      <c r="T15" s="60">
        <f>'Final Data-US$'!T15/'Final Data-US$'!S15-1</f>
        <v>3.4622897404419817E-2</v>
      </c>
      <c r="U15" s="60">
        <f>'Final Data-US$'!U15/'Final Data-US$'!T15-1</f>
        <v>3.6051788145041952E-2</v>
      </c>
      <c r="V15" s="60">
        <f>'Final Data-US$'!V15/'Final Data-US$'!U15-1</f>
        <v>3.5891486921184157E-2</v>
      </c>
      <c r="W15" s="106">
        <f>'Final Data-US$'!W15</f>
        <v>1.1415421217183086E-2</v>
      </c>
      <c r="X15" s="106">
        <f>'Final Data-US$'!X15</f>
        <v>3.4140839869183592E-2</v>
      </c>
    </row>
    <row r="16" spans="1:26">
      <c r="A16" s="55" t="str">
        <f>'Secondary cum Calculation'!A41</f>
        <v>Poland</v>
      </c>
      <c r="B16" s="56" t="str">
        <f>'Secondary cum Calculation'!B41</f>
        <v>Tourism Demand Factors</v>
      </c>
      <c r="C16" s="56" t="str">
        <f>'Secondary cum Calculation'!C41</f>
        <v>Total Population by Age &amp; Sex</v>
      </c>
      <c r="D16" s="55" t="str">
        <f>'Secondary cum Calculation'!D41</f>
        <v>Males by Age</v>
      </c>
      <c r="E16" s="57"/>
      <c r="F16" s="57">
        <f>'Secondary cum Calculation'!F41</f>
        <v>0</v>
      </c>
      <c r="G16" s="57" t="str">
        <f>'Secondary cum Calculation'!G41</f>
        <v>Tourism Demand &amp; Flows Database</v>
      </c>
      <c r="H16" s="57" t="str">
        <f>'Secondary cum Calculation'!H41</f>
        <v>New</v>
      </c>
      <c r="I16" s="57">
        <f>'Secondary cum Calculation'!I41</f>
        <v>0</v>
      </c>
      <c r="J16" s="57" t="str">
        <f>'Secondary cum Calculation'!J41</f>
        <v>Millions</v>
      </c>
      <c r="K16" s="58">
        <f>'Secondary cum Calculation'!K41</f>
        <v>864.43194319999998</v>
      </c>
      <c r="L16" s="59"/>
      <c r="M16" s="60">
        <f>'Final Data-US$'!M16/'Final Data-US$'!L16-1</f>
        <v>-7.9051810959607227E-4</v>
      </c>
      <c r="N16" s="60">
        <f>'Final Data-US$'!N16/'Final Data-US$'!M16-1</f>
        <v>-7.8181829777446143E-4</v>
      </c>
      <c r="O16" s="60">
        <f>'Final Data-US$'!O16/'Final Data-US$'!N16-1</f>
        <v>-8.0694129345193488E-4</v>
      </c>
      <c r="P16" s="60">
        <f>'Final Data-US$'!P16/'Final Data-US$'!O16-1</f>
        <v>-8.6943060105859615E-4</v>
      </c>
      <c r="Q16" s="60">
        <f>'Final Data-US$'!Q16/'Final Data-US$'!P16-1</f>
        <v>-9.6753724244735828E-4</v>
      </c>
      <c r="R16" s="60">
        <f>'Final Data-US$'!R16/'Final Data-US$'!Q16-1</f>
        <v>-1.0940441278806112E-3</v>
      </c>
      <c r="S16" s="60">
        <f>'Final Data-US$'!S16/'Final Data-US$'!R16-1</f>
        <v>-1.2471141138754582E-3</v>
      </c>
      <c r="T16" s="60">
        <f>'Final Data-US$'!T16/'Final Data-US$'!S16-1</f>
        <v>-1.4253665657614212E-3</v>
      </c>
      <c r="U16" s="60">
        <f>'Final Data-US$'!U16/'Final Data-US$'!T16-1</f>
        <v>-1.6313926982787219E-3</v>
      </c>
      <c r="V16" s="60">
        <f>'Final Data-US$'!V16/'Final Data-US$'!U16-1</f>
        <v>-1.8629304894163257E-3</v>
      </c>
      <c r="W16" s="106">
        <f>'Final Data-US$'!W16</f>
        <v>-8.5643442718685847E-4</v>
      </c>
      <c r="X16" s="106">
        <f>'Final Data-US$'!X16</f>
        <v>-1.4522068410375288E-3</v>
      </c>
    </row>
    <row r="17" spans="1:30">
      <c r="A17" s="55" t="str">
        <f>'Secondary cum Calculation'!A43</f>
        <v>Poland</v>
      </c>
      <c r="B17" s="56" t="str">
        <f>'Secondary cum Calculation'!B43</f>
        <v>Tourism Demand Factors</v>
      </c>
      <c r="C17" s="56" t="str">
        <f>'Secondary cum Calculation'!C43</f>
        <v>Total Population by Age &amp; Sex</v>
      </c>
      <c r="D17" s="56" t="str">
        <f>'Secondary cum Calculation'!D43</f>
        <v>Males by Age</v>
      </c>
      <c r="E17" s="55" t="str">
        <f>'Secondary cum Calculation'!E43</f>
        <v>0-14</v>
      </c>
      <c r="F17" s="57">
        <f>'Secondary cum Calculation'!F43</f>
        <v>0</v>
      </c>
      <c r="G17" s="57" t="str">
        <f>'Secondary cum Calculation'!G43</f>
        <v>Tourism Demand &amp; Flows Database</v>
      </c>
      <c r="H17" s="57" t="str">
        <f>'Secondary cum Calculation'!H43</f>
        <v>New</v>
      </c>
      <c r="I17" s="57">
        <f>'Secondary cum Calculation'!I43</f>
        <v>0</v>
      </c>
      <c r="J17" s="57" t="str">
        <f>'Secondary cum Calculation'!J43</f>
        <v>Millions</v>
      </c>
      <c r="K17" s="58">
        <f>'Secondary cum Calculation'!K43</f>
        <v>0</v>
      </c>
      <c r="L17" s="59"/>
      <c r="M17" s="60">
        <f>'Final Data-US$'!M17/'Final Data-US$'!L17-1</f>
        <v>-1.8655296985266911E-2</v>
      </c>
      <c r="N17" s="60">
        <f>'Final Data-US$'!N17/'Final Data-US$'!M17-1</f>
        <v>-1.596822418306143E-2</v>
      </c>
      <c r="O17" s="60">
        <f>'Final Data-US$'!O17/'Final Data-US$'!N17-1</f>
        <v>-1.1218568665377293E-2</v>
      </c>
      <c r="P17" s="60">
        <f>'Final Data-US$'!P17/'Final Data-US$'!O17-1</f>
        <v>-7.3021681381516546E-3</v>
      </c>
      <c r="Q17" s="60">
        <f>'Final Data-US$'!Q17/'Final Data-US$'!P17-1</f>
        <v>-6.0553395429512324E-3</v>
      </c>
      <c r="R17" s="60">
        <f>'Final Data-US$'!R17/'Final Data-US$'!Q17-1</f>
        <v>-3.8358613627886839E-3</v>
      </c>
      <c r="S17" s="60">
        <f>'Final Data-US$'!S17/'Final Data-US$'!R17-1</f>
        <v>-1.853480959395859E-3</v>
      </c>
      <c r="T17" s="60">
        <f>'Final Data-US$'!T17/'Final Data-US$'!S17-1</f>
        <v>-1.1897377987556412E-3</v>
      </c>
      <c r="U17" s="60">
        <f>'Final Data-US$'!U17/'Final Data-US$'!T17-1</f>
        <v>-1.0505276656356255E-3</v>
      </c>
      <c r="V17" s="60">
        <f>'Final Data-US$'!V17/'Final Data-US$'!U17-1</f>
        <v>-6.9690684856293927E-7</v>
      </c>
      <c r="W17" s="106">
        <f>'Final Data-US$'!W17</f>
        <v>-1.0143644744617264E-2</v>
      </c>
      <c r="X17" s="106">
        <f>'Final Data-US$'!X17</f>
        <v>-1.5868717433763502E-3</v>
      </c>
    </row>
    <row r="18" spans="1:30">
      <c r="A18" s="55" t="str">
        <f>'Secondary cum Calculation'!A45</f>
        <v>Poland</v>
      </c>
      <c r="B18" s="56" t="str">
        <f>'Secondary cum Calculation'!B45</f>
        <v>Tourism Demand Factors</v>
      </c>
      <c r="C18" s="56" t="str">
        <f>'Secondary cum Calculation'!C45</f>
        <v>Total Population by Age &amp; Sex</v>
      </c>
      <c r="D18" s="56" t="str">
        <f>'Secondary cum Calculation'!D45</f>
        <v>Males by Age</v>
      </c>
      <c r="E18" s="55" t="str">
        <f>'Secondary cum Calculation'!E45</f>
        <v>15-24</v>
      </c>
      <c r="F18" s="57">
        <f>'Secondary cum Calculation'!F45</f>
        <v>0</v>
      </c>
      <c r="G18" s="57" t="str">
        <f>'Secondary cum Calculation'!G45</f>
        <v>Tourism Demand &amp; Flows Database</v>
      </c>
      <c r="H18" s="57" t="str">
        <f>'Secondary cum Calculation'!H45</f>
        <v>New</v>
      </c>
      <c r="I18" s="57">
        <f>'Secondary cum Calculation'!I45</f>
        <v>0</v>
      </c>
      <c r="J18" s="57" t="str">
        <f>'Secondary cum Calculation'!J45</f>
        <v>Millions</v>
      </c>
      <c r="K18" s="58">
        <f>'Secondary cum Calculation'!K45</f>
        <v>0</v>
      </c>
      <c r="L18" s="59"/>
      <c r="M18" s="60">
        <f>'Final Data-US$'!M18/'Final Data-US$'!L18-1</f>
        <v>-3.3615596023117922E-2</v>
      </c>
      <c r="N18" s="60">
        <f>'Final Data-US$'!N18/'Final Data-US$'!M18-1</f>
        <v>-3.7095020626711661E-2</v>
      </c>
      <c r="O18" s="60">
        <f>'Final Data-US$'!O18/'Final Data-US$'!N18-1</f>
        <v>-3.9908527905855751E-2</v>
      </c>
      <c r="P18" s="60">
        <f>'Final Data-US$'!P18/'Final Data-US$'!O18-1</f>
        <v>-3.9812133398995253E-2</v>
      </c>
      <c r="Q18" s="60">
        <f>'Final Data-US$'!Q18/'Final Data-US$'!P18-1</f>
        <v>-3.5309421535825725E-2</v>
      </c>
      <c r="R18" s="60">
        <f>'Final Data-US$'!R18/'Final Data-US$'!Q18-1</f>
        <v>-2.9769912059619541E-2</v>
      </c>
      <c r="S18" s="60">
        <f>'Final Data-US$'!S18/'Final Data-US$'!R18-1</f>
        <v>-3.2711915130322899E-2</v>
      </c>
      <c r="T18" s="60">
        <f>'Final Data-US$'!T18/'Final Data-US$'!S18-1</f>
        <v>-3.6414559824684889E-2</v>
      </c>
      <c r="U18" s="60">
        <f>'Final Data-US$'!U18/'Final Data-US$'!T18-1</f>
        <v>-3.7395342714670043E-2</v>
      </c>
      <c r="V18" s="60">
        <f>'Final Data-US$'!V18/'Final Data-US$'!U18-1</f>
        <v>-3.8004490520013201E-2</v>
      </c>
      <c r="W18" s="106">
        <f>'Final Data-US$'!W18</f>
        <v>-3.8033221691033958E-2</v>
      </c>
      <c r="X18" s="106">
        <f>'Final Data-US$'!X18</f>
        <v>-3.4864341076700334E-2</v>
      </c>
      <c r="AB18" s="15"/>
      <c r="AC18" s="15"/>
      <c r="AD18" s="15"/>
    </row>
    <row r="19" spans="1:30">
      <c r="A19" s="55" t="str">
        <f>'Secondary cum Calculation'!A47</f>
        <v>Poland</v>
      </c>
      <c r="B19" s="56" t="str">
        <f>'Secondary cum Calculation'!B47</f>
        <v>Tourism Demand Factors</v>
      </c>
      <c r="C19" s="56" t="str">
        <f>'Secondary cum Calculation'!C47</f>
        <v>Total Population by Age &amp; Sex</v>
      </c>
      <c r="D19" s="56" t="str">
        <f>'Secondary cum Calculation'!D47</f>
        <v>Males by Age</v>
      </c>
      <c r="E19" s="55" t="str">
        <f>'Secondary cum Calculation'!E47</f>
        <v>25-34</v>
      </c>
      <c r="F19" s="57">
        <f>'Secondary cum Calculation'!F47</f>
        <v>0</v>
      </c>
      <c r="G19" s="57" t="str">
        <f>'Secondary cum Calculation'!G47</f>
        <v>Tourism Demand &amp; Flows Database</v>
      </c>
      <c r="H19" s="57" t="str">
        <f>'Secondary cum Calculation'!H47</f>
        <v>New</v>
      </c>
      <c r="I19" s="57">
        <f>'Secondary cum Calculation'!I47</f>
        <v>0</v>
      </c>
      <c r="J19" s="57" t="str">
        <f>'Secondary cum Calculation'!J47</f>
        <v>Millions</v>
      </c>
      <c r="K19" s="58">
        <f>'Secondary cum Calculation'!K47</f>
        <v>0</v>
      </c>
      <c r="L19" s="59"/>
      <c r="M19" s="60">
        <f>'Final Data-US$'!M19/'Final Data-US$'!L19-1</f>
        <v>1.6857785124846369E-2</v>
      </c>
      <c r="N19" s="60">
        <f>'Final Data-US$'!N19/'Final Data-US$'!M19-1</f>
        <v>1.3910680460848646E-2</v>
      </c>
      <c r="O19" s="60">
        <f>'Final Data-US$'!O19/'Final Data-US$'!N19-1</f>
        <v>7.838102462152774E-3</v>
      </c>
      <c r="P19" s="60">
        <f>'Final Data-US$'!P19/'Final Data-US$'!O19-1</f>
        <v>-3.789044996053148E-4</v>
      </c>
      <c r="Q19" s="60">
        <f>'Final Data-US$'!Q19/'Final Data-US$'!P19-1</f>
        <v>-7.1955104601119091E-3</v>
      </c>
      <c r="R19" s="60">
        <f>'Final Data-US$'!R19/'Final Data-US$'!Q19-1</f>
        <v>-1.5214682318944406E-2</v>
      </c>
      <c r="S19" s="60">
        <f>'Final Data-US$'!S19/'Final Data-US$'!R19-1</f>
        <v>-1.8054749375962409E-2</v>
      </c>
      <c r="T19" s="60">
        <f>'Final Data-US$'!T19/'Final Data-US$'!S19-1</f>
        <v>-1.9144915700812892E-2</v>
      </c>
      <c r="U19" s="60">
        <f>'Final Data-US$'!U19/'Final Data-US$'!T19-1</f>
        <v>-1.9957072233027562E-2</v>
      </c>
      <c r="V19" s="60">
        <f>'Final Data-US$'!V19/'Final Data-US$'!U19-1</f>
        <v>-2.4937292468718897E-2</v>
      </c>
      <c r="W19" s="106">
        <f>'Final Data-US$'!W19</f>
        <v>3.5116162694968089E-3</v>
      </c>
      <c r="X19" s="106">
        <f>'Final Data-US$'!X19</f>
        <v>-1.9466882732450896E-2</v>
      </c>
      <c r="AB19" s="15"/>
      <c r="AC19" s="15"/>
      <c r="AD19" s="15"/>
    </row>
    <row r="20" spans="1:30">
      <c r="A20" s="55" t="str">
        <f>'Secondary cum Calculation'!A49</f>
        <v>Poland</v>
      </c>
      <c r="B20" s="56" t="str">
        <f>'Secondary cum Calculation'!B49</f>
        <v>Tourism Demand Factors</v>
      </c>
      <c r="C20" s="56" t="str">
        <f>'Secondary cum Calculation'!C49</f>
        <v>Total Population by Age &amp; Sex</v>
      </c>
      <c r="D20" s="56" t="str">
        <f>'Secondary cum Calculation'!D49</f>
        <v>Males by Age</v>
      </c>
      <c r="E20" s="55" t="str">
        <f>'Secondary cum Calculation'!E49</f>
        <v>35-44</v>
      </c>
      <c r="F20" s="57">
        <f>'Secondary cum Calculation'!F49</f>
        <v>0</v>
      </c>
      <c r="G20" s="57" t="str">
        <f>'Secondary cum Calculation'!G49</f>
        <v>Tourism Demand &amp; Flows Database</v>
      </c>
      <c r="H20" s="57" t="str">
        <f>'Secondary cum Calculation'!H49</f>
        <v>New</v>
      </c>
      <c r="I20" s="57">
        <f>'Secondary cum Calculation'!I49</f>
        <v>0</v>
      </c>
      <c r="J20" s="57" t="str">
        <f>'Secondary cum Calculation'!J49</f>
        <v>Millions</v>
      </c>
      <c r="K20" s="58">
        <f>'Secondary cum Calculation'!K49</f>
        <v>0</v>
      </c>
      <c r="L20" s="59"/>
      <c r="M20" s="60">
        <f>'Final Data-US$'!M20/'Final Data-US$'!L20-1</f>
        <v>9.5454069622633586E-3</v>
      </c>
      <c r="N20" s="60">
        <f>'Final Data-US$'!N20/'Final Data-US$'!M20-1</f>
        <v>1.4439182531862604E-2</v>
      </c>
      <c r="O20" s="60">
        <f>'Final Data-US$'!O20/'Final Data-US$'!N20-1</f>
        <v>2.0461473871536739E-2</v>
      </c>
      <c r="P20" s="60">
        <f>'Final Data-US$'!P20/'Final Data-US$'!O20-1</f>
        <v>2.643698452965304E-2</v>
      </c>
      <c r="Q20" s="60">
        <f>'Final Data-US$'!Q20/'Final Data-US$'!P20-1</f>
        <v>2.7608370115703273E-2</v>
      </c>
      <c r="R20" s="60">
        <f>'Final Data-US$'!R20/'Final Data-US$'!Q20-1</f>
        <v>2.6502772204745062E-2</v>
      </c>
      <c r="S20" s="60">
        <f>'Final Data-US$'!S20/'Final Data-US$'!R20-1</f>
        <v>2.7119023760515448E-2</v>
      </c>
      <c r="T20" s="60">
        <f>'Final Data-US$'!T20/'Final Data-US$'!S20-1</f>
        <v>2.5175475316466356E-2</v>
      </c>
      <c r="U20" s="60">
        <f>'Final Data-US$'!U20/'Final Data-US$'!T20-1</f>
        <v>2.0061589173016481E-2</v>
      </c>
      <c r="V20" s="60">
        <f>'Final Data-US$'!V20/'Final Data-US$'!U20-1</f>
        <v>1.777907286796343E-2</v>
      </c>
      <c r="W20" s="106">
        <f>'Final Data-US$'!W20</f>
        <v>2.2222976670352557E-2</v>
      </c>
      <c r="X20" s="106">
        <f>'Final Data-US$'!X20</f>
        <v>2.3320805046035842E-2</v>
      </c>
      <c r="AB20" s="15"/>
      <c r="AC20" s="15"/>
      <c r="AD20" s="15"/>
    </row>
    <row r="21" spans="1:30">
      <c r="A21" s="55" t="str">
        <f>'Secondary cum Calculation'!A51</f>
        <v>Poland</v>
      </c>
      <c r="B21" s="56" t="str">
        <f>'Secondary cum Calculation'!B51</f>
        <v>Tourism Demand Factors</v>
      </c>
      <c r="C21" s="56" t="str">
        <f>'Secondary cum Calculation'!C51</f>
        <v>Total Population by Age &amp; Sex</v>
      </c>
      <c r="D21" s="56" t="str">
        <f>'Secondary cum Calculation'!D51</f>
        <v>Males by Age</v>
      </c>
      <c r="E21" s="55" t="str">
        <f>'Secondary cum Calculation'!E51</f>
        <v>45-54</v>
      </c>
      <c r="F21" s="57">
        <f>'Secondary cum Calculation'!F51</f>
        <v>0</v>
      </c>
      <c r="G21" s="57" t="str">
        <f>'Secondary cum Calculation'!G51</f>
        <v>Tourism Demand &amp; Flows Database</v>
      </c>
      <c r="H21" s="57" t="str">
        <f>'Secondary cum Calculation'!H51</f>
        <v>New</v>
      </c>
      <c r="I21" s="57">
        <f>'Secondary cum Calculation'!I51</f>
        <v>0</v>
      </c>
      <c r="J21" s="57" t="str">
        <f>'Secondary cum Calculation'!J51</f>
        <v>Millions</v>
      </c>
      <c r="K21" s="58">
        <f>'Secondary cum Calculation'!K51</f>
        <v>0</v>
      </c>
      <c r="L21" s="59"/>
      <c r="M21" s="60">
        <f>'Final Data-US$'!M21/'Final Data-US$'!L21-1</f>
        <v>-1.9978620437632211E-2</v>
      </c>
      <c r="N21" s="60">
        <f>'Final Data-US$'!N21/'Final Data-US$'!M21-1</f>
        <v>-2.2349985990747001E-2</v>
      </c>
      <c r="O21" s="60">
        <f>'Final Data-US$'!O21/'Final Data-US$'!N21-1</f>
        <v>-2.7238202921653132E-2</v>
      </c>
      <c r="P21" s="60">
        <f>'Final Data-US$'!P21/'Final Data-US$'!O21-1</f>
        <v>-3.0837483840139734E-2</v>
      </c>
      <c r="Q21" s="60">
        <f>'Final Data-US$'!Q21/'Final Data-US$'!P21-1</f>
        <v>-3.2300765002198695E-2</v>
      </c>
      <c r="R21" s="60">
        <f>'Final Data-US$'!R21/'Final Data-US$'!Q21-1</f>
        <v>-3.1374553166583219E-2</v>
      </c>
      <c r="S21" s="60">
        <f>'Final Data-US$'!S21/'Final Data-US$'!R21-1</f>
        <v>-2.6581431399068878E-2</v>
      </c>
      <c r="T21" s="60">
        <f>'Final Data-US$'!T21/'Final Data-US$'!S21-1</f>
        <v>-1.7887444933099128E-2</v>
      </c>
      <c r="U21" s="60">
        <f>'Final Data-US$'!U21/'Final Data-US$'!T21-1</f>
        <v>-6.5619284103399789E-3</v>
      </c>
      <c r="V21" s="60">
        <f>'Final Data-US$'!V21/'Final Data-US$'!U21-1</f>
        <v>3.8407582471393642E-3</v>
      </c>
      <c r="W21" s="106">
        <f>'Final Data-US$'!W21</f>
        <v>-2.8189178200076381E-2</v>
      </c>
      <c r="X21" s="106">
        <f>'Final Data-US$'!X21</f>
        <v>-1.5797468777666746E-2</v>
      </c>
      <c r="AB21" s="15"/>
      <c r="AC21" s="15"/>
      <c r="AD21" s="15"/>
    </row>
    <row r="22" spans="1:30">
      <c r="A22" s="55" t="str">
        <f>'Secondary cum Calculation'!A53</f>
        <v>Poland</v>
      </c>
      <c r="B22" s="56" t="str">
        <f>'Secondary cum Calculation'!B53</f>
        <v>Tourism Demand Factors</v>
      </c>
      <c r="C22" s="56" t="str">
        <f>'Secondary cum Calculation'!C53</f>
        <v>Total Population by Age &amp; Sex</v>
      </c>
      <c r="D22" s="56" t="str">
        <f>'Secondary cum Calculation'!D53</f>
        <v>Males by Age</v>
      </c>
      <c r="E22" s="55" t="str">
        <f>'Secondary cum Calculation'!E53</f>
        <v>55-64</v>
      </c>
      <c r="F22" s="57">
        <f>'Secondary cum Calculation'!F53</f>
        <v>0</v>
      </c>
      <c r="G22" s="57" t="str">
        <f>'Secondary cum Calculation'!G53</f>
        <v>Tourism Demand &amp; Flows Database</v>
      </c>
      <c r="H22" s="57" t="str">
        <f>'Secondary cum Calculation'!H53</f>
        <v>New</v>
      </c>
      <c r="I22" s="57">
        <f>'Secondary cum Calculation'!I53</f>
        <v>0</v>
      </c>
      <c r="J22" s="57" t="str">
        <f>'Secondary cum Calculation'!J53</f>
        <v>Millions</v>
      </c>
      <c r="K22" s="58">
        <f>'Secondary cum Calculation'!K53</f>
        <v>0</v>
      </c>
      <c r="L22" s="59"/>
      <c r="M22" s="60">
        <f>'Final Data-US$'!M22/'Final Data-US$'!L22-1</f>
        <v>6.0779003219093797E-2</v>
      </c>
      <c r="N22" s="60">
        <f>'Final Data-US$'!N22/'Final Data-US$'!M22-1</f>
        <v>5.6146085103202514E-2</v>
      </c>
      <c r="O22" s="60">
        <f>'Final Data-US$'!O22/'Final Data-US$'!N22-1</f>
        <v>5.3446969614740825E-2</v>
      </c>
      <c r="P22" s="60">
        <f>'Final Data-US$'!P22/'Final Data-US$'!O22-1</f>
        <v>3.9487593952580058E-2</v>
      </c>
      <c r="Q22" s="60">
        <f>'Final Data-US$'!Q22/'Final Data-US$'!P22-1</f>
        <v>2.5493147165454477E-2</v>
      </c>
      <c r="R22" s="60">
        <f>'Final Data-US$'!R22/'Final Data-US$'!Q22-1</f>
        <v>1.7627140662200613E-2</v>
      </c>
      <c r="S22" s="60">
        <f>'Final Data-US$'!S22/'Final Data-US$'!R22-1</f>
        <v>9.8964384523443361E-3</v>
      </c>
      <c r="T22" s="60">
        <f>'Final Data-US$'!T22/'Final Data-US$'!S22-1</f>
        <v>9.5218174143529843E-4</v>
      </c>
      <c r="U22" s="60">
        <f>'Final Data-US$'!U22/'Final Data-US$'!T22-1</f>
        <v>-8.2476489652665297E-3</v>
      </c>
      <c r="V22" s="60">
        <f>'Final Data-US$'!V22/'Final Data-US$'!U22-1</f>
        <v>-1.4731914625915277E-2</v>
      </c>
      <c r="W22" s="106">
        <f>'Final Data-US$'!W22</f>
        <v>4.3571442826823903E-2</v>
      </c>
      <c r="X22" s="106">
        <f>'Final Data-US$'!X22</f>
        <v>1.0304799126532593E-3</v>
      </c>
      <c r="AB22" s="15"/>
      <c r="AC22" s="15"/>
      <c r="AD22" s="15"/>
    </row>
    <row r="23" spans="1:30">
      <c r="A23" s="55" t="str">
        <f>'Secondary cum Calculation'!A55</f>
        <v>Poland</v>
      </c>
      <c r="B23" s="56" t="str">
        <f>'Secondary cum Calculation'!B55</f>
        <v>Tourism Demand Factors</v>
      </c>
      <c r="C23" s="56" t="str">
        <f>'Secondary cum Calculation'!C55</f>
        <v>Total Population by Age &amp; Sex</v>
      </c>
      <c r="D23" s="56" t="str">
        <f>'Secondary cum Calculation'!D55</f>
        <v>Males by Age</v>
      </c>
      <c r="E23" s="55" t="str">
        <f>'Secondary cum Calculation'!E55</f>
        <v>65+</v>
      </c>
      <c r="F23" s="57">
        <f>'Secondary cum Calculation'!F55</f>
        <v>0</v>
      </c>
      <c r="G23" s="57" t="str">
        <f>'Secondary cum Calculation'!G55</f>
        <v>Tourism Demand &amp; Flows Database</v>
      </c>
      <c r="H23" s="57" t="str">
        <f>'Secondary cum Calculation'!H55</f>
        <v>New</v>
      </c>
      <c r="I23" s="57">
        <f>'Secondary cum Calculation'!I55</f>
        <v>0</v>
      </c>
      <c r="J23" s="57" t="str">
        <f>'Secondary cum Calculation'!J55</f>
        <v>Millions</v>
      </c>
      <c r="K23" s="58">
        <f>'Secondary cum Calculation'!K55</f>
        <v>0</v>
      </c>
      <c r="L23" s="59"/>
      <c r="M23" s="60">
        <f>'Final Data-US$'!M23/'Final Data-US$'!L23-1</f>
        <v>2.4434581244792142E-5</v>
      </c>
      <c r="N23" s="60">
        <f>'Final Data-US$'!N23/'Final Data-US$'!M23-1</f>
        <v>9.8194074046165092E-4</v>
      </c>
      <c r="O23" s="60">
        <f>'Final Data-US$'!O23/'Final Data-US$'!N23-1</f>
        <v>2.7242593848879615E-3</v>
      </c>
      <c r="P23" s="60">
        <f>'Final Data-US$'!P23/'Final Data-US$'!O23-1</f>
        <v>1.662826617600599E-2</v>
      </c>
      <c r="Q23" s="60">
        <f>'Final Data-US$'!Q23/'Final Data-US$'!P23-1</f>
        <v>3.0688184380534445E-2</v>
      </c>
      <c r="R23" s="60">
        <f>'Final Data-US$'!R23/'Final Data-US$'!Q23-1</f>
        <v>3.6872006993000195E-2</v>
      </c>
      <c r="S23" s="60">
        <f>'Final Data-US$'!S23/'Final Data-US$'!R23-1</f>
        <v>3.84283597682058E-2</v>
      </c>
      <c r="T23" s="60">
        <f>'Final Data-US$'!T23/'Final Data-US$'!S23-1</f>
        <v>4.0418615920657208E-2</v>
      </c>
      <c r="U23" s="60">
        <f>'Final Data-US$'!U23/'Final Data-US$'!T23-1</f>
        <v>4.1655955131232325E-2</v>
      </c>
      <c r="V23" s="60">
        <f>'Final Data-US$'!V23/'Final Data-US$'!U23-1</f>
        <v>4.1160647809216133E-2</v>
      </c>
      <c r="W23" s="106">
        <f>'Final Data-US$'!W23</f>
        <v>1.2684844657278704E-2</v>
      </c>
      <c r="X23" s="106">
        <f>'Final Data-US$'!X23</f>
        <v>3.9705568702232075E-2</v>
      </c>
      <c r="AB23" s="15"/>
      <c r="AC23" s="15"/>
      <c r="AD23" s="15"/>
    </row>
    <row r="24" spans="1:30">
      <c r="A24" s="55" t="str">
        <f>'Secondary cum Calculation'!A70</f>
        <v>Poland</v>
      </c>
      <c r="B24" s="56" t="str">
        <f>'Secondary cum Calculation'!B70</f>
        <v>Tourism Demand Factors</v>
      </c>
      <c r="C24" s="56" t="str">
        <f>'Secondary cum Calculation'!C70</f>
        <v>Total Population by Age &amp; Sex</v>
      </c>
      <c r="D24" s="55" t="str">
        <f>'Secondary cum Calculation'!D70</f>
        <v>Females by Age</v>
      </c>
      <c r="E24" s="57"/>
      <c r="F24" s="57">
        <f>'Secondary cum Calculation'!F70</f>
        <v>0</v>
      </c>
      <c r="G24" s="57" t="str">
        <f>'Secondary cum Calculation'!G70</f>
        <v>Tourism Demand &amp; Flows Database</v>
      </c>
      <c r="H24" s="57" t="str">
        <f>'Secondary cum Calculation'!H70</f>
        <v>New</v>
      </c>
      <c r="I24" s="57">
        <f>'Secondary cum Calculation'!I70</f>
        <v>0</v>
      </c>
      <c r="J24" s="57" t="str">
        <f>'Secondary cum Calculation'!J70</f>
        <v>Millions</v>
      </c>
      <c r="K24" s="58">
        <f>'Secondary cum Calculation'!K70</f>
        <v>692.84047680000003</v>
      </c>
      <c r="L24" s="59"/>
      <c r="M24" s="60">
        <f>'Final Data-US$'!M24/'Final Data-US$'!L24-1</f>
        <v>-1.4024099076337393E-4</v>
      </c>
      <c r="N24" s="60">
        <f>'Final Data-US$'!N24/'Final Data-US$'!M24-1</f>
        <v>-1.6072269066225164E-4</v>
      </c>
      <c r="O24" s="60">
        <f>'Final Data-US$'!O24/'Final Data-US$'!N24-1</f>
        <v>-2.1095408711568897E-4</v>
      </c>
      <c r="P24" s="60">
        <f>'Final Data-US$'!P24/'Final Data-US$'!O24-1</f>
        <v>-2.9766683951581996E-4</v>
      </c>
      <c r="Q24" s="60">
        <f>'Final Data-US$'!Q24/'Final Data-US$'!P24-1</f>
        <v>-4.1834038544086294E-4</v>
      </c>
      <c r="R24" s="60">
        <f>'Final Data-US$'!R24/'Final Data-US$'!Q24-1</f>
        <v>-5.6160285319084569E-4</v>
      </c>
      <c r="S24" s="60">
        <f>'Final Data-US$'!S24/'Final Data-US$'!R24-1</f>
        <v>-7.2517817095041348E-4</v>
      </c>
      <c r="T24" s="60">
        <f>'Final Data-US$'!T24/'Final Data-US$'!S24-1</f>
        <v>-9.0686532057315805E-4</v>
      </c>
      <c r="U24" s="60">
        <f>'Final Data-US$'!U24/'Final Data-US$'!T24-1</f>
        <v>-1.1129309377558849E-3</v>
      </c>
      <c r="V24" s="60">
        <f>'Final Data-US$'!V24/'Final Data-US$'!U24-1</f>
        <v>-1.3409535673186701E-3</v>
      </c>
      <c r="W24" s="106">
        <f>'Final Data-US$'!W24</f>
        <v>-2.7192577505064097E-4</v>
      </c>
      <c r="X24" s="106">
        <f>'Final Data-US$'!X24</f>
        <v>-9.2954426143221358E-4</v>
      </c>
      <c r="AB24" s="15"/>
      <c r="AC24" s="15"/>
      <c r="AD24" s="15"/>
    </row>
    <row r="25" spans="1:30">
      <c r="A25" s="55" t="str">
        <f>'Secondary cum Calculation'!A72</f>
        <v>Poland</v>
      </c>
      <c r="B25" s="56" t="str">
        <f>'Secondary cum Calculation'!B72</f>
        <v>Tourism Demand Factors</v>
      </c>
      <c r="C25" s="56" t="str">
        <f>'Secondary cum Calculation'!C72</f>
        <v>Total Population by Age &amp; Sex</v>
      </c>
      <c r="D25" s="56" t="str">
        <f>'Secondary cum Calculation'!D72</f>
        <v>Females by Age</v>
      </c>
      <c r="E25" s="55" t="str">
        <f>'Secondary cum Calculation'!E72</f>
        <v>0-14</v>
      </c>
      <c r="F25" s="57">
        <f>'Secondary cum Calculation'!F72</f>
        <v>0</v>
      </c>
      <c r="G25" s="57" t="str">
        <f>'Secondary cum Calculation'!G72</f>
        <v>Tourism Demand &amp; Flows Database</v>
      </c>
      <c r="H25" s="57" t="str">
        <f>'Secondary cum Calculation'!H72</f>
        <v>New</v>
      </c>
      <c r="I25" s="57">
        <f>'Secondary cum Calculation'!I72</f>
        <v>0</v>
      </c>
      <c r="J25" s="57" t="str">
        <f>'Secondary cum Calculation'!J72</f>
        <v>Millions</v>
      </c>
      <c r="K25" s="58">
        <f>'Secondary cum Calculation'!K72</f>
        <v>0</v>
      </c>
      <c r="L25" s="59"/>
      <c r="M25" s="60">
        <f>'Final Data-US$'!M25/'Final Data-US$'!L25-1</f>
        <v>-1.9319223115623951E-2</v>
      </c>
      <c r="N25" s="60">
        <f>'Final Data-US$'!N25/'Final Data-US$'!M25-1</f>
        <v>-1.6736626295580703E-2</v>
      </c>
      <c r="O25" s="60">
        <f>'Final Data-US$'!O25/'Final Data-US$'!N25-1</f>
        <v>-1.1867844660665261E-2</v>
      </c>
      <c r="P25" s="60">
        <f>'Final Data-US$'!P25/'Final Data-US$'!O25-1</f>
        <v>-7.3943101189913873E-3</v>
      </c>
      <c r="Q25" s="60">
        <f>'Final Data-US$'!Q25/'Final Data-US$'!P25-1</f>
        <v>-6.0384654286302908E-3</v>
      </c>
      <c r="R25" s="60">
        <f>'Final Data-US$'!R25/'Final Data-US$'!Q25-1</f>
        <v>-3.7830135189199643E-3</v>
      </c>
      <c r="S25" s="60">
        <f>'Final Data-US$'!S25/'Final Data-US$'!R25-1</f>
        <v>-1.8536794710787285E-3</v>
      </c>
      <c r="T25" s="60">
        <f>'Final Data-US$'!T25/'Final Data-US$'!S25-1</f>
        <v>-1.2615177453618731E-3</v>
      </c>
      <c r="U25" s="60">
        <f>'Final Data-US$'!U25/'Final Data-US$'!T25-1</f>
        <v>-1.0382796035002251E-3</v>
      </c>
      <c r="V25" s="60">
        <f>'Final Data-US$'!V25/'Final Data-US$'!U25-1</f>
        <v>-1.1437742706066345E-5</v>
      </c>
      <c r="W25" s="106">
        <f>'Final Data-US$'!W25</f>
        <v>-1.0518205252899038E-2</v>
      </c>
      <c r="X25" s="106">
        <f>'Final Data-US$'!X25</f>
        <v>-1.590365586105702E-3</v>
      </c>
    </row>
    <row r="26" spans="1:30">
      <c r="A26" s="55" t="str">
        <f>'Secondary cum Calculation'!A74</f>
        <v>Poland</v>
      </c>
      <c r="B26" s="56" t="str">
        <f>'Secondary cum Calculation'!B74</f>
        <v>Tourism Demand Factors</v>
      </c>
      <c r="C26" s="56" t="str">
        <f>'Secondary cum Calculation'!C74</f>
        <v>Total Population by Age &amp; Sex</v>
      </c>
      <c r="D26" s="56" t="str">
        <f>'Secondary cum Calculation'!D74</f>
        <v>Females by Age</v>
      </c>
      <c r="E26" s="55" t="str">
        <f>'Secondary cum Calculation'!E74</f>
        <v>15-24</v>
      </c>
      <c r="F26" s="57">
        <f>'Secondary cum Calculation'!F74</f>
        <v>0</v>
      </c>
      <c r="G26" s="57" t="str">
        <f>'Secondary cum Calculation'!G74</f>
        <v>Tourism Demand &amp; Flows Database</v>
      </c>
      <c r="H26" s="57" t="str">
        <f>'Secondary cum Calculation'!H74</f>
        <v>New</v>
      </c>
      <c r="I26" s="57">
        <f>'Secondary cum Calculation'!I74</f>
        <v>0</v>
      </c>
      <c r="J26" s="57" t="str">
        <f>'Secondary cum Calculation'!J74</f>
        <v>Millions</v>
      </c>
      <c r="K26" s="58">
        <f>'Secondary cum Calculation'!K74</f>
        <v>0</v>
      </c>
      <c r="L26" s="59"/>
      <c r="M26" s="60">
        <f>'Final Data-US$'!M26/'Final Data-US$'!L26-1</f>
        <v>-3.4059869788853225E-2</v>
      </c>
      <c r="N26" s="60">
        <f>'Final Data-US$'!N26/'Final Data-US$'!M26-1</f>
        <v>-3.7353894270697019E-2</v>
      </c>
      <c r="O26" s="60">
        <f>'Final Data-US$'!O26/'Final Data-US$'!N26-1</f>
        <v>-4.0414835911363411E-2</v>
      </c>
      <c r="P26" s="60">
        <f>'Final Data-US$'!P26/'Final Data-US$'!O26-1</f>
        <v>-4.1087554387584269E-2</v>
      </c>
      <c r="Q26" s="60">
        <f>'Final Data-US$'!Q26/'Final Data-US$'!P26-1</f>
        <v>-3.646774472699732E-2</v>
      </c>
      <c r="R26" s="60">
        <f>'Final Data-US$'!R26/'Final Data-US$'!Q26-1</f>
        <v>-3.1443049041207982E-2</v>
      </c>
      <c r="S26" s="60">
        <f>'Final Data-US$'!S26/'Final Data-US$'!R26-1</f>
        <v>-3.3716608263279491E-2</v>
      </c>
      <c r="T26" s="60">
        <f>'Final Data-US$'!T26/'Final Data-US$'!S26-1</f>
        <v>-3.6343048673334599E-2</v>
      </c>
      <c r="U26" s="60">
        <f>'Final Data-US$'!U26/'Final Data-US$'!T26-1</f>
        <v>-3.7674217139981203E-2</v>
      </c>
      <c r="V26" s="60">
        <f>'Final Data-US$'!V26/'Final Data-US$'!U26-1</f>
        <v>-3.8529208434985307E-2</v>
      </c>
      <c r="W26" s="106">
        <f>'Final Data-US$'!W26</f>
        <v>-3.883300576916271E-2</v>
      </c>
      <c r="X26" s="106">
        <f>'Final Data-US$'!X26</f>
        <v>-3.5544774287074699E-2</v>
      </c>
    </row>
    <row r="27" spans="1:30">
      <c r="A27" s="55" t="str">
        <f>'Secondary cum Calculation'!A76</f>
        <v>Poland</v>
      </c>
      <c r="B27" s="56" t="str">
        <f>'Secondary cum Calculation'!B76</f>
        <v>Tourism Demand Factors</v>
      </c>
      <c r="C27" s="56" t="str">
        <f>'Secondary cum Calculation'!C76</f>
        <v>Total Population by Age &amp; Sex</v>
      </c>
      <c r="D27" s="56" t="str">
        <f>'Secondary cum Calculation'!D76</f>
        <v>Females by Age</v>
      </c>
      <c r="E27" s="55" t="str">
        <f>'Secondary cum Calculation'!E76</f>
        <v>25-34</v>
      </c>
      <c r="F27" s="57">
        <f>'Secondary cum Calculation'!F76</f>
        <v>0</v>
      </c>
      <c r="G27" s="57" t="str">
        <f>'Secondary cum Calculation'!G76</f>
        <v>Tourism Demand &amp; Flows Database</v>
      </c>
      <c r="H27" s="57" t="str">
        <f>'Secondary cum Calculation'!H76</f>
        <v>New</v>
      </c>
      <c r="I27" s="57">
        <f>'Secondary cum Calculation'!I76</f>
        <v>0</v>
      </c>
      <c r="J27" s="57" t="str">
        <f>'Secondary cum Calculation'!J76</f>
        <v>Millions</v>
      </c>
      <c r="K27" s="58">
        <f>'Secondary cum Calculation'!K76</f>
        <v>0</v>
      </c>
      <c r="L27" s="59"/>
      <c r="M27" s="60">
        <f>'Final Data-US$'!M27/'Final Data-US$'!L27-1</f>
        <v>1.7558392036393755E-2</v>
      </c>
      <c r="N27" s="60">
        <f>'Final Data-US$'!N27/'Final Data-US$'!M27-1</f>
        <v>1.449712612813947E-2</v>
      </c>
      <c r="O27" s="60">
        <f>'Final Data-US$'!O27/'Final Data-US$'!N27-1</f>
        <v>8.4261983914311056E-3</v>
      </c>
      <c r="P27" s="60">
        <f>'Final Data-US$'!P27/'Final Data-US$'!O27-1</f>
        <v>1.3319372541609198E-4</v>
      </c>
      <c r="Q27" s="60">
        <f>'Final Data-US$'!Q27/'Final Data-US$'!P27-1</f>
        <v>-6.5876677155711771E-3</v>
      </c>
      <c r="R27" s="60">
        <f>'Final Data-US$'!R27/'Final Data-US$'!Q27-1</f>
        <v>-1.4359151648627555E-2</v>
      </c>
      <c r="S27" s="60">
        <f>'Final Data-US$'!S27/'Final Data-US$'!R27-1</f>
        <v>-1.7721902211429441E-2</v>
      </c>
      <c r="T27" s="60">
        <f>'Final Data-US$'!T27/'Final Data-US$'!S27-1</f>
        <v>-2.0017951712824722E-2</v>
      </c>
      <c r="U27" s="60">
        <f>'Final Data-US$'!U27/'Final Data-US$'!T27-1</f>
        <v>-2.0841430059413524E-2</v>
      </c>
      <c r="V27" s="60">
        <f>'Final Data-US$'!V27/'Final Data-US$'!U27-1</f>
        <v>-2.5271847818189141E-2</v>
      </c>
      <c r="W27" s="106">
        <f>'Final Data-US$'!W27</f>
        <v>4.0852385108081091E-3</v>
      </c>
      <c r="X27" s="106">
        <f>'Final Data-US$'!X27</f>
        <v>-1.964907555641493E-2</v>
      </c>
    </row>
    <row r="28" spans="1:30">
      <c r="A28" s="55" t="str">
        <f>'Secondary cum Calculation'!A78</f>
        <v>Poland</v>
      </c>
      <c r="B28" s="56" t="str">
        <f>'Secondary cum Calculation'!B78</f>
        <v>Tourism Demand Factors</v>
      </c>
      <c r="C28" s="56" t="str">
        <f>'Secondary cum Calculation'!C78</f>
        <v>Total Population by Age &amp; Sex</v>
      </c>
      <c r="D28" s="56" t="str">
        <f>'Secondary cum Calculation'!D78</f>
        <v>Females by Age</v>
      </c>
      <c r="E28" s="55" t="str">
        <f>'Secondary cum Calculation'!E78</f>
        <v>35-44</v>
      </c>
      <c r="F28" s="57">
        <f>'Secondary cum Calculation'!F78</f>
        <v>0</v>
      </c>
      <c r="G28" s="57" t="str">
        <f>'Secondary cum Calculation'!G78</f>
        <v>Tourism Demand &amp; Flows Database</v>
      </c>
      <c r="H28" s="57" t="str">
        <f>'Secondary cum Calculation'!H78</f>
        <v>New</v>
      </c>
      <c r="I28" s="57">
        <f>'Secondary cum Calculation'!I78</f>
        <v>0</v>
      </c>
      <c r="J28" s="57" t="str">
        <f>'Secondary cum Calculation'!J78</f>
        <v>Millions</v>
      </c>
      <c r="K28" s="58">
        <f>'Secondary cum Calculation'!K78</f>
        <v>0</v>
      </c>
      <c r="L28" s="59"/>
      <c r="M28" s="60">
        <f>'Final Data-US$'!M28/'Final Data-US$'!L28-1</f>
        <v>8.6071399690574868E-3</v>
      </c>
      <c r="N28" s="60">
        <f>'Final Data-US$'!N28/'Final Data-US$'!M28-1</f>
        <v>1.3721137038401165E-2</v>
      </c>
      <c r="O28" s="60">
        <f>'Final Data-US$'!O28/'Final Data-US$'!N28-1</f>
        <v>2.0066653310845117E-2</v>
      </c>
      <c r="P28" s="60">
        <f>'Final Data-US$'!P28/'Final Data-US$'!O28-1</f>
        <v>2.6594185016339367E-2</v>
      </c>
      <c r="Q28" s="60">
        <f>'Final Data-US$'!Q28/'Final Data-US$'!P28-1</f>
        <v>2.825348275596351E-2</v>
      </c>
      <c r="R28" s="60">
        <f>'Final Data-US$'!R28/'Final Data-US$'!Q28-1</f>
        <v>2.7983860082936518E-2</v>
      </c>
      <c r="S28" s="60">
        <f>'Final Data-US$'!S28/'Final Data-US$'!R28-1</f>
        <v>2.8794385404954381E-2</v>
      </c>
      <c r="T28" s="60">
        <f>'Final Data-US$'!T28/'Final Data-US$'!S28-1</f>
        <v>2.6596612925345431E-2</v>
      </c>
      <c r="U28" s="60">
        <f>'Final Data-US$'!U28/'Final Data-US$'!T28-1</f>
        <v>2.0977496024973119E-2</v>
      </c>
      <c r="V28" s="60">
        <f>'Final Data-US$'!V28/'Final Data-US$'!U28-1</f>
        <v>1.830868663629337E-2</v>
      </c>
      <c r="W28" s="106">
        <f>'Final Data-US$'!W28</f>
        <v>2.2142650747786652E-2</v>
      </c>
      <c r="X28" s="106">
        <f>'Final Data-US$'!X28</f>
        <v>2.4523832303271931E-2</v>
      </c>
    </row>
    <row r="29" spans="1:30">
      <c r="A29" s="55" t="str">
        <f>'Secondary cum Calculation'!A80</f>
        <v>Poland</v>
      </c>
      <c r="B29" s="56" t="str">
        <f>'Secondary cum Calculation'!B80</f>
        <v>Tourism Demand Factors</v>
      </c>
      <c r="C29" s="56" t="str">
        <f>'Secondary cum Calculation'!C80</f>
        <v>Total Population by Age &amp; Sex</v>
      </c>
      <c r="D29" s="56" t="str">
        <f>'Secondary cum Calculation'!D80</f>
        <v>Females by Age</v>
      </c>
      <c r="E29" s="55" t="str">
        <f>'Secondary cum Calculation'!E80</f>
        <v>45-54</v>
      </c>
      <c r="F29" s="57">
        <f>'Secondary cum Calculation'!F80</f>
        <v>0</v>
      </c>
      <c r="G29" s="57" t="str">
        <f>'Secondary cum Calculation'!G80</f>
        <v>Tourism Demand &amp; Flows Database</v>
      </c>
      <c r="H29" s="57" t="str">
        <f>'Secondary cum Calculation'!H80</f>
        <v>New</v>
      </c>
      <c r="I29" s="57">
        <f>'Secondary cum Calculation'!I80</f>
        <v>0</v>
      </c>
      <c r="J29" s="57" t="str">
        <f>'Secondary cum Calculation'!J80</f>
        <v>Millions</v>
      </c>
      <c r="K29" s="58">
        <f>'Secondary cum Calculation'!K80</f>
        <v>0</v>
      </c>
      <c r="L29" s="59"/>
      <c r="M29" s="60">
        <f>'Final Data-US$'!M29/'Final Data-US$'!L29-1</f>
        <v>-2.1550195720099641E-2</v>
      </c>
      <c r="N29" s="60">
        <f>'Final Data-US$'!N29/'Final Data-US$'!M29-1</f>
        <v>-2.4164801738992936E-2</v>
      </c>
      <c r="O29" s="60">
        <f>'Final Data-US$'!O29/'Final Data-US$'!N29-1</f>
        <v>-2.8913761959430961E-2</v>
      </c>
      <c r="P29" s="60">
        <f>'Final Data-US$'!P29/'Final Data-US$'!O29-1</f>
        <v>-3.2840552188609928E-2</v>
      </c>
      <c r="Q29" s="60">
        <f>'Final Data-US$'!Q29/'Final Data-US$'!P29-1</f>
        <v>-3.5050175654406046E-2</v>
      </c>
      <c r="R29" s="60">
        <f>'Final Data-US$'!R29/'Final Data-US$'!Q29-1</f>
        <v>-3.4907976303592658E-2</v>
      </c>
      <c r="S29" s="60">
        <f>'Final Data-US$'!S29/'Final Data-US$'!R29-1</f>
        <v>-3.0626212134222786E-2</v>
      </c>
      <c r="T29" s="60">
        <f>'Final Data-US$'!T29/'Final Data-US$'!S29-1</f>
        <v>-2.1625476546308309E-2</v>
      </c>
      <c r="U29" s="60">
        <f>'Final Data-US$'!U29/'Final Data-US$'!T29-1</f>
        <v>-9.2507057673901771E-3</v>
      </c>
      <c r="V29" s="60">
        <f>'Final Data-US$'!V29/'Final Data-US$'!U29-1</f>
        <v>1.6222287452025697E-3</v>
      </c>
      <c r="W29" s="106">
        <f>'Final Data-US$'!W29</f>
        <v>-3.0251152517472346E-2</v>
      </c>
      <c r="X29" s="106">
        <f>'Final Data-US$'!X29</f>
        <v>-1.9050676777237818E-2</v>
      </c>
    </row>
    <row r="30" spans="1:30">
      <c r="A30" s="55" t="str">
        <f>'Secondary cum Calculation'!A82</f>
        <v>Poland</v>
      </c>
      <c r="B30" s="56" t="str">
        <f>'Secondary cum Calculation'!B82</f>
        <v>Tourism Demand Factors</v>
      </c>
      <c r="C30" s="56" t="str">
        <f>'Secondary cum Calculation'!C82</f>
        <v>Total Population by Age &amp; Sex</v>
      </c>
      <c r="D30" s="56" t="str">
        <f>'Secondary cum Calculation'!D82</f>
        <v>Females by Age</v>
      </c>
      <c r="E30" s="55" t="str">
        <f>'Secondary cum Calculation'!E82</f>
        <v>55-64</v>
      </c>
      <c r="F30" s="57">
        <f>'Secondary cum Calculation'!F82</f>
        <v>0</v>
      </c>
      <c r="G30" s="57" t="str">
        <f>'Secondary cum Calculation'!G82</f>
        <v>Tourism Demand &amp; Flows Database</v>
      </c>
      <c r="H30" s="57" t="str">
        <f>'Secondary cum Calculation'!H82</f>
        <v>New</v>
      </c>
      <c r="I30" s="57">
        <f>'Secondary cum Calculation'!I82</f>
        <v>0</v>
      </c>
      <c r="J30" s="57" t="str">
        <f>'Secondary cum Calculation'!J82</f>
        <v>Millions</v>
      </c>
      <c r="K30" s="58">
        <f>'Secondary cum Calculation'!K82</f>
        <v>0</v>
      </c>
      <c r="L30" s="59"/>
      <c r="M30" s="60">
        <f>'Final Data-US$'!M30/'Final Data-US$'!L30-1</f>
        <v>5.834778623484671E-2</v>
      </c>
      <c r="N30" s="60">
        <f>'Final Data-US$'!N30/'Final Data-US$'!M30-1</f>
        <v>5.4173166201288092E-2</v>
      </c>
      <c r="O30" s="60">
        <f>'Final Data-US$'!O30/'Final Data-US$'!N30-1</f>
        <v>5.1248102398016471E-2</v>
      </c>
      <c r="P30" s="60">
        <f>'Final Data-US$'!P30/'Final Data-US$'!O30-1</f>
        <v>3.7225623838409438E-2</v>
      </c>
      <c r="Q30" s="60">
        <f>'Final Data-US$'!Q30/'Final Data-US$'!P30-1</f>
        <v>2.3004807793775672E-2</v>
      </c>
      <c r="R30" s="60">
        <f>'Final Data-US$'!R30/'Final Data-US$'!Q30-1</f>
        <v>1.5053206633189875E-2</v>
      </c>
      <c r="S30" s="60">
        <f>'Final Data-US$'!S30/'Final Data-US$'!R30-1</f>
        <v>7.4083784797276397E-3</v>
      </c>
      <c r="T30" s="60">
        <f>'Final Data-US$'!T30/'Final Data-US$'!S30-1</f>
        <v>-1.0296129737961124E-3</v>
      </c>
      <c r="U30" s="60">
        <f>'Final Data-US$'!U30/'Final Data-US$'!T30-1</f>
        <v>-1.0730859737766996E-2</v>
      </c>
      <c r="V30" s="60">
        <f>'Final Data-US$'!V30/'Final Data-US$'!U30-1</f>
        <v>-1.7681918726529022E-2</v>
      </c>
      <c r="W30" s="106">
        <f>'Final Data-US$'!W30</f>
        <v>4.1338735462757015E-2</v>
      </c>
      <c r="X30" s="106">
        <f>'Final Data-US$'!X30</f>
        <v>-1.466324444583611E-3</v>
      </c>
    </row>
    <row r="31" spans="1:30">
      <c r="A31" s="55" t="str">
        <f>'Secondary cum Calculation'!A84</f>
        <v>Poland</v>
      </c>
      <c r="B31" s="56" t="str">
        <f>'Secondary cum Calculation'!B84</f>
        <v>Tourism Demand Factors</v>
      </c>
      <c r="C31" s="56" t="str">
        <f>'Secondary cum Calculation'!C84</f>
        <v>Total Population by Age &amp; Sex</v>
      </c>
      <c r="D31" s="56" t="str">
        <f>'Secondary cum Calculation'!D84</f>
        <v>Females by Age</v>
      </c>
      <c r="E31" s="55" t="str">
        <f>'Secondary cum Calculation'!E84</f>
        <v>65+</v>
      </c>
      <c r="F31" s="57">
        <f>'Secondary cum Calculation'!F84</f>
        <v>0</v>
      </c>
      <c r="G31" s="57" t="str">
        <f>'Secondary cum Calculation'!G84</f>
        <v>Tourism Demand &amp; Flows Database</v>
      </c>
      <c r="H31" s="57" t="str">
        <f>'Secondary cum Calculation'!H84</f>
        <v>New</v>
      </c>
      <c r="I31" s="57">
        <f>'Secondary cum Calculation'!I84</f>
        <v>0</v>
      </c>
      <c r="J31" s="57" t="str">
        <f>'Secondary cum Calculation'!J84</f>
        <v>Millions</v>
      </c>
      <c r="K31" s="58">
        <f>'Secondary cum Calculation'!K84</f>
        <v>0</v>
      </c>
      <c r="L31" s="59"/>
      <c r="M31" s="60">
        <f>'Final Data-US$'!M31/'Final Data-US$'!L31-1</f>
        <v>1.9209118146306103E-3</v>
      </c>
      <c r="N31" s="60">
        <f>'Final Data-US$'!N31/'Final Data-US$'!M31-1</f>
        <v>2.4098088739774592E-3</v>
      </c>
      <c r="O31" s="60">
        <f>'Final Data-US$'!O31/'Final Data-US$'!N31-1</f>
        <v>3.5162372125077113E-3</v>
      </c>
      <c r="P31" s="60">
        <f>'Final Data-US$'!P31/'Final Data-US$'!O31-1</f>
        <v>1.3395766756575611E-2</v>
      </c>
      <c r="Q31" s="60">
        <f>'Final Data-US$'!Q31/'Final Data-US$'!P31-1</f>
        <v>2.3338487888848958E-2</v>
      </c>
      <c r="R31" s="60">
        <f>'Final Data-US$'!R31/'Final Data-US$'!Q31-1</f>
        <v>2.7823148917717644E-2</v>
      </c>
      <c r="S31" s="60">
        <f>'Final Data-US$'!S31/'Final Data-US$'!R31-1</f>
        <v>2.9352616377696483E-2</v>
      </c>
      <c r="T31" s="60">
        <f>'Final Data-US$'!T31/'Final Data-US$'!S31-1</f>
        <v>3.0953175881974326E-2</v>
      </c>
      <c r="U31" s="60">
        <f>'Final Data-US$'!U31/'Final Data-US$'!T31-1</f>
        <v>3.2470773763641159E-2</v>
      </c>
      <c r="V31" s="60">
        <f>'Final Data-US$'!V31/'Final Data-US$'!U31-1</f>
        <v>3.24945851271492E-2</v>
      </c>
      <c r="W31" s="106">
        <f>'Final Data-US$'!W31</f>
        <v>1.0629628919172296E-2</v>
      </c>
      <c r="X31" s="106">
        <f>'Final Data-US$'!X31</f>
        <v>3.061726037815693E-2</v>
      </c>
    </row>
    <row r="32" spans="1:30">
      <c r="A32" s="46" t="str">
        <f>'Secondary cum Calculation'!A86</f>
        <v>Poland</v>
      </c>
      <c r="B32" s="47" t="str">
        <f>'Secondary cum Calculation'!B86</f>
        <v>Tourism Demand Factors</v>
      </c>
      <c r="C32" s="46" t="str">
        <f>'Secondary cum Calculation'!C86</f>
        <v>Number of Households by Income Group</v>
      </c>
      <c r="D32" s="48"/>
      <c r="E32" s="48"/>
      <c r="F32" s="48">
        <f>'Secondary cum Calculation'!F86</f>
        <v>0</v>
      </c>
      <c r="G32" s="48" t="str">
        <f>'Secondary cum Calculation'!G86</f>
        <v>Tourism Demand &amp; Flows Database</v>
      </c>
      <c r="H32" s="48" t="str">
        <f>'Secondary cum Calculation'!H86</f>
        <v>New</v>
      </c>
      <c r="I32" s="48">
        <f>'Secondary cum Calculation'!I86</f>
        <v>0</v>
      </c>
      <c r="J32" s="48" t="str">
        <f>'Secondary cum Calculation'!J86</f>
        <v>Actual</v>
      </c>
      <c r="K32" s="49">
        <f>'Secondary cum Calculation'!K86</f>
        <v>0</v>
      </c>
      <c r="L32" s="65"/>
      <c r="M32" s="51">
        <f>'Final Data-US$'!M32/'Final Data-US$'!L32-1</f>
        <v>6.2189293007213209E-3</v>
      </c>
      <c r="N32" s="51">
        <f>'Final Data-US$'!N32/'Final Data-US$'!M32-1</f>
        <v>6.2189293007213209E-3</v>
      </c>
      <c r="O32" s="51">
        <f>'Final Data-US$'!O32/'Final Data-US$'!N32-1</f>
        <v>6.2189293007213209E-3</v>
      </c>
      <c r="P32" s="51">
        <f>'Final Data-US$'!P32/'Final Data-US$'!O32-1</f>
        <v>6.2189293007213209E-3</v>
      </c>
      <c r="Q32" s="51">
        <f>'Final Data-US$'!Q32/'Final Data-US$'!P32-1</f>
        <v>6.2189293007215429E-3</v>
      </c>
      <c r="R32" s="51">
        <f>'Final Data-US$'!R32/'Final Data-US$'!Q32-1</f>
        <v>6.2189293007213209E-3</v>
      </c>
      <c r="S32" s="51">
        <f>'Final Data-US$'!S32/'Final Data-US$'!R32-1</f>
        <v>6.2189293007213209E-3</v>
      </c>
      <c r="T32" s="51">
        <f>'Final Data-US$'!T32/'Final Data-US$'!S32-1</f>
        <v>6.2189293007210988E-3</v>
      </c>
      <c r="U32" s="51">
        <f>'Final Data-US$'!U32/'Final Data-US$'!T32-1</f>
        <v>6.2189293007213209E-3</v>
      </c>
      <c r="V32" s="51">
        <f>'Final Data-US$'!V32/'Final Data-US$'!U32-1</f>
        <v>6.2189293007213209E-3</v>
      </c>
      <c r="W32" s="102">
        <f>'Final Data-US$'!W32</f>
        <v>6.2189293007213209E-3</v>
      </c>
      <c r="X32" s="102">
        <f>'Final Data-US$'!X32</f>
        <v>6.2189293007213209E-3</v>
      </c>
    </row>
    <row r="33" spans="1:25">
      <c r="A33" s="46" t="e">
        <f>'Secondary cum Calculation'!#REF!</f>
        <v>#REF!</v>
      </c>
      <c r="B33" s="47" t="e">
        <f>'Secondary cum Calculation'!#REF!</f>
        <v>#REF!</v>
      </c>
      <c r="C33" s="47" t="e">
        <f>'Secondary cum Calculation'!#REF!</f>
        <v>#REF!</v>
      </c>
      <c r="D33" s="46" t="e">
        <f>'Secondary cum Calculation'!#REF!</f>
        <v>#REF!</v>
      </c>
      <c r="E33" s="48"/>
      <c r="F33" s="48" t="e">
        <f>'Secondary cum Calculation'!#REF!</f>
        <v>#REF!</v>
      </c>
      <c r="G33" s="48" t="e">
        <f>'Secondary cum Calculation'!#REF!</f>
        <v>#REF!</v>
      </c>
      <c r="H33" s="48" t="e">
        <f>'Secondary cum Calculation'!#REF!</f>
        <v>#REF!</v>
      </c>
      <c r="I33" s="48" t="e">
        <f>'Secondary cum Calculation'!#REF!</f>
        <v>#REF!</v>
      </c>
      <c r="J33" s="48" t="e">
        <f>'Secondary cum Calculation'!#REF!</f>
        <v>#REF!</v>
      </c>
      <c r="K33" s="49" t="e">
        <f>'Secondary cum Calculation'!#REF!</f>
        <v>#REF!</v>
      </c>
      <c r="L33" s="65"/>
      <c r="M33" s="51" t="e">
        <f>'Final Data-US$'!#REF!/'Final Data-US$'!#REF!-1</f>
        <v>#REF!</v>
      </c>
      <c r="N33" s="51" t="e">
        <f>'Final Data-US$'!#REF!/'Final Data-US$'!#REF!-1</f>
        <v>#REF!</v>
      </c>
      <c r="O33" s="51" t="e">
        <f>'Final Data-US$'!#REF!/'Final Data-US$'!#REF!-1</f>
        <v>#REF!</v>
      </c>
      <c r="P33" s="51" t="e">
        <f>'Final Data-US$'!#REF!/'Final Data-US$'!#REF!-1</f>
        <v>#REF!</v>
      </c>
      <c r="Q33" s="51" t="e">
        <f>'Final Data-US$'!#REF!/'Final Data-US$'!#REF!-1</f>
        <v>#REF!</v>
      </c>
      <c r="R33" s="51" t="e">
        <f>'Final Data-US$'!#REF!/'Final Data-US$'!#REF!-1</f>
        <v>#REF!</v>
      </c>
      <c r="S33" s="51" t="e">
        <f>'Final Data-US$'!#REF!/'Final Data-US$'!#REF!-1</f>
        <v>#REF!</v>
      </c>
      <c r="T33" s="51" t="e">
        <f>'Final Data-US$'!#REF!/'Final Data-US$'!#REF!-1</f>
        <v>#REF!</v>
      </c>
      <c r="U33" s="51" t="e">
        <f>'Final Data-US$'!#REF!/'Final Data-US$'!#REF!-1</f>
        <v>#REF!</v>
      </c>
      <c r="V33" s="51" t="e">
        <f>'Final Data-US$'!#REF!/'Final Data-US$'!#REF!-1</f>
        <v>#REF!</v>
      </c>
      <c r="W33" s="102" t="e">
        <f>'Final Data-US$'!#REF!</f>
        <v>#REF!</v>
      </c>
      <c r="X33" s="102" t="e">
        <f>'Final Data-US$'!#REF!</f>
        <v>#REF!</v>
      </c>
    </row>
    <row r="34" spans="1:25">
      <c r="A34" s="46" t="e">
        <f>'Secondary cum Calculation'!#REF!</f>
        <v>#REF!</v>
      </c>
      <c r="B34" s="47" t="e">
        <f>'Secondary cum Calculation'!#REF!</f>
        <v>#REF!</v>
      </c>
      <c r="C34" s="47" t="e">
        <f>'Secondary cum Calculation'!#REF!</f>
        <v>#REF!</v>
      </c>
      <c r="D34" s="46" t="e">
        <f>'Secondary cum Calculation'!#REF!</f>
        <v>#REF!</v>
      </c>
      <c r="E34" s="48"/>
      <c r="F34" s="48" t="e">
        <f>'Secondary cum Calculation'!#REF!</f>
        <v>#REF!</v>
      </c>
      <c r="G34" s="48" t="e">
        <f>'Secondary cum Calculation'!#REF!</f>
        <v>#REF!</v>
      </c>
      <c r="H34" s="48" t="e">
        <f>'Secondary cum Calculation'!#REF!</f>
        <v>#REF!</v>
      </c>
      <c r="I34" s="48" t="e">
        <f>'Secondary cum Calculation'!#REF!</f>
        <v>#REF!</v>
      </c>
      <c r="J34" s="48" t="e">
        <f>'Secondary cum Calculation'!#REF!</f>
        <v>#REF!</v>
      </c>
      <c r="K34" s="49" t="e">
        <f>'Secondary cum Calculation'!#REF!</f>
        <v>#REF!</v>
      </c>
      <c r="L34" s="65"/>
      <c r="M34" s="51" t="e">
        <f>'Final Data-US$'!#REF!/'Final Data-US$'!#REF!-1</f>
        <v>#REF!</v>
      </c>
      <c r="N34" s="51" t="e">
        <f>'Final Data-US$'!#REF!/'Final Data-US$'!#REF!-1</f>
        <v>#REF!</v>
      </c>
      <c r="O34" s="51" t="e">
        <f>'Final Data-US$'!#REF!/'Final Data-US$'!#REF!-1</f>
        <v>#REF!</v>
      </c>
      <c r="P34" s="51" t="e">
        <f>'Final Data-US$'!#REF!/'Final Data-US$'!#REF!-1</f>
        <v>#REF!</v>
      </c>
      <c r="Q34" s="51" t="e">
        <f>'Final Data-US$'!#REF!/'Final Data-US$'!#REF!-1</f>
        <v>#REF!</v>
      </c>
      <c r="R34" s="51" t="e">
        <f>'Final Data-US$'!#REF!/'Final Data-US$'!#REF!-1</f>
        <v>#REF!</v>
      </c>
      <c r="S34" s="51" t="e">
        <f>'Final Data-US$'!#REF!/'Final Data-US$'!#REF!-1</f>
        <v>#REF!</v>
      </c>
      <c r="T34" s="51" t="e">
        <f>'Final Data-US$'!#REF!/'Final Data-US$'!#REF!-1</f>
        <v>#REF!</v>
      </c>
      <c r="U34" s="51" t="e">
        <f>'Final Data-US$'!#REF!/'Final Data-US$'!#REF!-1</f>
        <v>#REF!</v>
      </c>
      <c r="V34" s="51" t="e">
        <f>'Final Data-US$'!#REF!/'Final Data-US$'!#REF!-1</f>
        <v>#REF!</v>
      </c>
      <c r="W34" s="102" t="e">
        <f>'Final Data-US$'!#REF!</f>
        <v>#REF!</v>
      </c>
      <c r="X34" s="102" t="e">
        <f>'Final Data-US$'!#REF!</f>
        <v>#REF!</v>
      </c>
    </row>
    <row r="35" spans="1:25">
      <c r="A35" s="46" t="e">
        <f>'Secondary cum Calculation'!#REF!</f>
        <v>#REF!</v>
      </c>
      <c r="B35" s="47" t="e">
        <f>'Secondary cum Calculation'!#REF!</f>
        <v>#REF!</v>
      </c>
      <c r="C35" s="47" t="e">
        <f>'Secondary cum Calculation'!#REF!</f>
        <v>#REF!</v>
      </c>
      <c r="D35" s="46" t="e">
        <f>'Secondary cum Calculation'!#REF!</f>
        <v>#REF!</v>
      </c>
      <c r="E35" s="48"/>
      <c r="F35" s="48" t="e">
        <f>'Secondary cum Calculation'!#REF!</f>
        <v>#REF!</v>
      </c>
      <c r="G35" s="48" t="e">
        <f>'Secondary cum Calculation'!#REF!</f>
        <v>#REF!</v>
      </c>
      <c r="H35" s="48" t="e">
        <f>'Secondary cum Calculation'!#REF!</f>
        <v>#REF!</v>
      </c>
      <c r="I35" s="48" t="e">
        <f>'Secondary cum Calculation'!#REF!</f>
        <v>#REF!</v>
      </c>
      <c r="J35" s="48" t="e">
        <f>'Secondary cum Calculation'!#REF!</f>
        <v>#REF!</v>
      </c>
      <c r="K35" s="49" t="e">
        <f>'Secondary cum Calculation'!#REF!</f>
        <v>#REF!</v>
      </c>
      <c r="L35" s="65"/>
      <c r="M35" s="51" t="e">
        <f>'Final Data-US$'!#REF!/'Final Data-US$'!#REF!-1</f>
        <v>#REF!</v>
      </c>
      <c r="N35" s="51" t="e">
        <f>'Final Data-US$'!#REF!/'Final Data-US$'!#REF!-1</f>
        <v>#REF!</v>
      </c>
      <c r="O35" s="51" t="e">
        <f>'Final Data-US$'!#REF!/'Final Data-US$'!#REF!-1</f>
        <v>#REF!</v>
      </c>
      <c r="P35" s="51" t="e">
        <f>'Final Data-US$'!#REF!/'Final Data-US$'!#REF!-1</f>
        <v>#REF!</v>
      </c>
      <c r="Q35" s="51" t="e">
        <f>'Final Data-US$'!#REF!/'Final Data-US$'!#REF!-1</f>
        <v>#REF!</v>
      </c>
      <c r="R35" s="51" t="e">
        <f>'Final Data-US$'!#REF!/'Final Data-US$'!#REF!-1</f>
        <v>#REF!</v>
      </c>
      <c r="S35" s="51" t="e">
        <f>'Final Data-US$'!#REF!/'Final Data-US$'!#REF!-1</f>
        <v>#REF!</v>
      </c>
      <c r="T35" s="51" t="e">
        <f>'Final Data-US$'!#REF!/'Final Data-US$'!#REF!-1</f>
        <v>#REF!</v>
      </c>
      <c r="U35" s="51" t="e">
        <f>'Final Data-US$'!#REF!/'Final Data-US$'!#REF!-1</f>
        <v>#REF!</v>
      </c>
      <c r="V35" s="51" t="e">
        <f>'Final Data-US$'!#REF!/'Final Data-US$'!#REF!-1</f>
        <v>#REF!</v>
      </c>
      <c r="W35" s="102" t="e">
        <f>'Final Data-US$'!#REF!</f>
        <v>#REF!</v>
      </c>
      <c r="X35" s="102" t="e">
        <f>'Final Data-US$'!#REF!</f>
        <v>#REF!</v>
      </c>
    </row>
    <row r="36" spans="1:25">
      <c r="A36" s="46" t="e">
        <f>'Secondary cum Calculation'!#REF!</f>
        <v>#REF!</v>
      </c>
      <c r="B36" s="47" t="e">
        <f>'Secondary cum Calculation'!#REF!</f>
        <v>#REF!</v>
      </c>
      <c r="C36" s="47" t="e">
        <f>'Secondary cum Calculation'!#REF!</f>
        <v>#REF!</v>
      </c>
      <c r="D36" s="46" t="e">
        <f>'Secondary cum Calculation'!#REF!</f>
        <v>#REF!</v>
      </c>
      <c r="E36" s="48"/>
      <c r="F36" s="48" t="e">
        <f>'Secondary cum Calculation'!#REF!</f>
        <v>#REF!</v>
      </c>
      <c r="G36" s="48" t="e">
        <f>'Secondary cum Calculation'!#REF!</f>
        <v>#REF!</v>
      </c>
      <c r="H36" s="48" t="e">
        <f>'Secondary cum Calculation'!#REF!</f>
        <v>#REF!</v>
      </c>
      <c r="I36" s="48" t="e">
        <f>'Secondary cum Calculation'!#REF!</f>
        <v>#REF!</v>
      </c>
      <c r="J36" s="48" t="e">
        <f>'Secondary cum Calculation'!#REF!</f>
        <v>#REF!</v>
      </c>
      <c r="K36" s="49" t="e">
        <f>'Secondary cum Calculation'!#REF!</f>
        <v>#REF!</v>
      </c>
      <c r="L36" s="65"/>
      <c r="M36" s="51" t="e">
        <f>'Final Data-US$'!#REF!/'Final Data-US$'!#REF!-1</f>
        <v>#REF!</v>
      </c>
      <c r="N36" s="51" t="e">
        <f>'Final Data-US$'!#REF!/'Final Data-US$'!#REF!-1</f>
        <v>#REF!</v>
      </c>
      <c r="O36" s="51" t="e">
        <f>'Final Data-US$'!#REF!/'Final Data-US$'!#REF!-1</f>
        <v>#REF!</v>
      </c>
      <c r="P36" s="51" t="e">
        <f>'Final Data-US$'!#REF!/'Final Data-US$'!#REF!-1</f>
        <v>#REF!</v>
      </c>
      <c r="Q36" s="51" t="e">
        <f>'Final Data-US$'!#REF!/'Final Data-US$'!#REF!-1</f>
        <v>#REF!</v>
      </c>
      <c r="R36" s="51" t="e">
        <f>'Final Data-US$'!#REF!/'Final Data-US$'!#REF!-1</f>
        <v>#REF!</v>
      </c>
      <c r="S36" s="51" t="e">
        <f>'Final Data-US$'!#REF!/'Final Data-US$'!#REF!-1</f>
        <v>#REF!</v>
      </c>
      <c r="T36" s="51" t="e">
        <f>'Final Data-US$'!#REF!/'Final Data-US$'!#REF!-1</f>
        <v>#REF!</v>
      </c>
      <c r="U36" s="51" t="e">
        <f>'Final Data-US$'!#REF!/'Final Data-US$'!#REF!-1</f>
        <v>#REF!</v>
      </c>
      <c r="V36" s="51" t="e">
        <f>'Final Data-US$'!#REF!/'Final Data-US$'!#REF!-1</f>
        <v>#REF!</v>
      </c>
      <c r="W36" s="102" t="e">
        <f>'Final Data-US$'!#REF!</f>
        <v>#REF!</v>
      </c>
      <c r="X36" s="102" t="e">
        <f>'Final Data-US$'!#REF!</f>
        <v>#REF!</v>
      </c>
    </row>
    <row r="37" spans="1:25">
      <c r="A37" s="46" t="e">
        <f>'Secondary cum Calculation'!#REF!</f>
        <v>#REF!</v>
      </c>
      <c r="B37" s="47" t="e">
        <f>'Secondary cum Calculation'!#REF!</f>
        <v>#REF!</v>
      </c>
      <c r="C37" s="47" t="e">
        <f>'Secondary cum Calculation'!#REF!</f>
        <v>#REF!</v>
      </c>
      <c r="D37" s="46" t="e">
        <f>'Secondary cum Calculation'!#REF!</f>
        <v>#REF!</v>
      </c>
      <c r="E37" s="48"/>
      <c r="F37" s="48" t="e">
        <f>'Secondary cum Calculation'!#REF!</f>
        <v>#REF!</v>
      </c>
      <c r="G37" s="48" t="e">
        <f>'Secondary cum Calculation'!#REF!</f>
        <v>#REF!</v>
      </c>
      <c r="H37" s="48" t="e">
        <f>'Secondary cum Calculation'!#REF!</f>
        <v>#REF!</v>
      </c>
      <c r="I37" s="48" t="e">
        <f>'Secondary cum Calculation'!#REF!</f>
        <v>#REF!</v>
      </c>
      <c r="J37" s="48" t="e">
        <f>'Secondary cum Calculation'!#REF!</f>
        <v>#REF!</v>
      </c>
      <c r="K37" s="49" t="e">
        <f>'Secondary cum Calculation'!#REF!</f>
        <v>#REF!</v>
      </c>
      <c r="L37" s="65"/>
      <c r="M37" s="51" t="e">
        <f>'Final Data-US$'!#REF!/'Final Data-US$'!#REF!-1</f>
        <v>#REF!</v>
      </c>
      <c r="N37" s="51" t="e">
        <f>'Final Data-US$'!#REF!/'Final Data-US$'!#REF!-1</f>
        <v>#REF!</v>
      </c>
      <c r="O37" s="51" t="e">
        <f>'Final Data-US$'!#REF!/'Final Data-US$'!#REF!-1</f>
        <v>#REF!</v>
      </c>
      <c r="P37" s="51" t="e">
        <f>'Final Data-US$'!#REF!/'Final Data-US$'!#REF!-1</f>
        <v>#REF!</v>
      </c>
      <c r="Q37" s="51" t="e">
        <f>'Final Data-US$'!#REF!/'Final Data-US$'!#REF!-1</f>
        <v>#REF!</v>
      </c>
      <c r="R37" s="51" t="e">
        <f>'Final Data-US$'!#REF!/'Final Data-US$'!#REF!-1</f>
        <v>#REF!</v>
      </c>
      <c r="S37" s="51" t="e">
        <f>'Final Data-US$'!#REF!/'Final Data-US$'!#REF!-1</f>
        <v>#REF!</v>
      </c>
      <c r="T37" s="51" t="e">
        <f>'Final Data-US$'!#REF!/'Final Data-US$'!#REF!-1</f>
        <v>#REF!</v>
      </c>
      <c r="U37" s="51" t="e">
        <f>'Final Data-US$'!#REF!/'Final Data-US$'!#REF!-1</f>
        <v>#REF!</v>
      </c>
      <c r="V37" s="51" t="e">
        <f>'Final Data-US$'!#REF!/'Final Data-US$'!#REF!-1</f>
        <v>#REF!</v>
      </c>
      <c r="W37" s="102" t="e">
        <f>'Final Data-US$'!#REF!</f>
        <v>#REF!</v>
      </c>
      <c r="X37" s="102" t="e">
        <f>'Final Data-US$'!#REF!</f>
        <v>#REF!</v>
      </c>
    </row>
    <row r="38" spans="1:25">
      <c r="A38" s="46" t="e">
        <f>'Secondary cum Calculation'!#REF!</f>
        <v>#REF!</v>
      </c>
      <c r="B38" s="47" t="e">
        <f>'Secondary cum Calculation'!#REF!</f>
        <v>#REF!</v>
      </c>
      <c r="C38" s="47" t="e">
        <f>'Secondary cum Calculation'!#REF!</f>
        <v>#REF!</v>
      </c>
      <c r="D38" s="46" t="e">
        <f>'Secondary cum Calculation'!#REF!</f>
        <v>#REF!</v>
      </c>
      <c r="E38" s="48"/>
      <c r="F38" s="48" t="e">
        <f>'Secondary cum Calculation'!#REF!</f>
        <v>#REF!</v>
      </c>
      <c r="G38" s="48" t="e">
        <f>'Secondary cum Calculation'!#REF!</f>
        <v>#REF!</v>
      </c>
      <c r="H38" s="48" t="e">
        <f>'Secondary cum Calculation'!#REF!</f>
        <v>#REF!</v>
      </c>
      <c r="I38" s="48" t="e">
        <f>'Secondary cum Calculation'!#REF!</f>
        <v>#REF!</v>
      </c>
      <c r="J38" s="48" t="e">
        <f>'Secondary cum Calculation'!#REF!</f>
        <v>#REF!</v>
      </c>
      <c r="K38" s="49" t="e">
        <f>'Secondary cum Calculation'!#REF!</f>
        <v>#REF!</v>
      </c>
      <c r="L38" s="65"/>
      <c r="M38" s="51" t="e">
        <f>'Final Data-US$'!#REF!/'Final Data-US$'!#REF!-1</f>
        <v>#REF!</v>
      </c>
      <c r="N38" s="51" t="e">
        <f>'Final Data-US$'!#REF!/'Final Data-US$'!#REF!-1</f>
        <v>#REF!</v>
      </c>
      <c r="O38" s="51" t="e">
        <f>'Final Data-US$'!#REF!/'Final Data-US$'!#REF!-1</f>
        <v>#REF!</v>
      </c>
      <c r="P38" s="51" t="e">
        <f>'Final Data-US$'!#REF!/'Final Data-US$'!#REF!-1</f>
        <v>#REF!</v>
      </c>
      <c r="Q38" s="51" t="e">
        <f>'Final Data-US$'!#REF!/'Final Data-US$'!#REF!-1</f>
        <v>#REF!</v>
      </c>
      <c r="R38" s="51" t="e">
        <f>'Final Data-US$'!#REF!/'Final Data-US$'!#REF!-1</f>
        <v>#REF!</v>
      </c>
      <c r="S38" s="51" t="e">
        <f>'Final Data-US$'!#REF!/'Final Data-US$'!#REF!-1</f>
        <v>#REF!</v>
      </c>
      <c r="T38" s="51" t="e">
        <f>'Final Data-US$'!#REF!/'Final Data-US$'!#REF!-1</f>
        <v>#REF!</v>
      </c>
      <c r="U38" s="51" t="e">
        <f>'Final Data-US$'!#REF!/'Final Data-US$'!#REF!-1</f>
        <v>#REF!</v>
      </c>
      <c r="V38" s="51" t="e">
        <f>'Final Data-US$'!#REF!/'Final Data-US$'!#REF!-1</f>
        <v>#REF!</v>
      </c>
      <c r="W38" s="102" t="e">
        <f>'Final Data-US$'!#REF!</f>
        <v>#REF!</v>
      </c>
      <c r="X38" s="102" t="e">
        <f>'Final Data-US$'!#REF!</f>
        <v>#REF!</v>
      </c>
    </row>
    <row r="39" spans="1:25">
      <c r="A39" s="46" t="e">
        <f>'Secondary cum Calculation'!#REF!</f>
        <v>#REF!</v>
      </c>
      <c r="B39" s="47" t="e">
        <f>'Secondary cum Calculation'!#REF!</f>
        <v>#REF!</v>
      </c>
      <c r="C39" s="47" t="e">
        <f>'Secondary cum Calculation'!#REF!</f>
        <v>#REF!</v>
      </c>
      <c r="D39" s="46" t="e">
        <f>'Secondary cum Calculation'!#REF!</f>
        <v>#REF!</v>
      </c>
      <c r="E39" s="48"/>
      <c r="F39" s="48" t="e">
        <f>'Secondary cum Calculation'!#REF!</f>
        <v>#REF!</v>
      </c>
      <c r="G39" s="48" t="e">
        <f>'Secondary cum Calculation'!#REF!</f>
        <v>#REF!</v>
      </c>
      <c r="H39" s="48" t="e">
        <f>'Secondary cum Calculation'!#REF!</f>
        <v>#REF!</v>
      </c>
      <c r="I39" s="48" t="e">
        <f>'Secondary cum Calculation'!#REF!</f>
        <v>#REF!</v>
      </c>
      <c r="J39" s="48" t="e">
        <f>'Secondary cum Calculation'!#REF!</f>
        <v>#REF!</v>
      </c>
      <c r="K39" s="49" t="e">
        <f>'Secondary cum Calculation'!#REF!</f>
        <v>#REF!</v>
      </c>
      <c r="L39" s="65"/>
      <c r="M39" s="51" t="e">
        <f>'Final Data-US$'!#REF!/'Final Data-US$'!#REF!-1</f>
        <v>#REF!</v>
      </c>
      <c r="N39" s="51" t="e">
        <f>'Final Data-US$'!#REF!/'Final Data-US$'!#REF!-1</f>
        <v>#REF!</v>
      </c>
      <c r="O39" s="51" t="e">
        <f>'Final Data-US$'!#REF!/'Final Data-US$'!#REF!-1</f>
        <v>#REF!</v>
      </c>
      <c r="P39" s="51" t="e">
        <f>'Final Data-US$'!#REF!/'Final Data-US$'!#REF!-1</f>
        <v>#REF!</v>
      </c>
      <c r="Q39" s="51" t="e">
        <f>'Final Data-US$'!#REF!/'Final Data-US$'!#REF!-1</f>
        <v>#REF!</v>
      </c>
      <c r="R39" s="51" t="e">
        <f>'Final Data-US$'!#REF!/'Final Data-US$'!#REF!-1</f>
        <v>#REF!</v>
      </c>
      <c r="S39" s="51" t="e">
        <f>'Final Data-US$'!#REF!/'Final Data-US$'!#REF!-1</f>
        <v>#REF!</v>
      </c>
      <c r="T39" s="51" t="e">
        <f>'Final Data-US$'!#REF!/'Final Data-US$'!#REF!-1</f>
        <v>#REF!</v>
      </c>
      <c r="U39" s="51" t="e">
        <f>'Final Data-US$'!#REF!/'Final Data-US$'!#REF!-1</f>
        <v>#REF!</v>
      </c>
      <c r="V39" s="51" t="e">
        <f>'Final Data-US$'!#REF!/'Final Data-US$'!#REF!-1</f>
        <v>#REF!</v>
      </c>
      <c r="W39" s="102" t="e">
        <f>'Final Data-US$'!#REF!</f>
        <v>#REF!</v>
      </c>
      <c r="X39" s="102" t="e">
        <f>'Final Data-US$'!#REF!</f>
        <v>#REF!</v>
      </c>
    </row>
    <row r="40" spans="1:25">
      <c r="A40" s="46" t="e">
        <f>'Secondary cum Calculation'!#REF!</f>
        <v>#REF!</v>
      </c>
      <c r="B40" s="47" t="e">
        <f>'Secondary cum Calculation'!#REF!</f>
        <v>#REF!</v>
      </c>
      <c r="C40" s="47" t="e">
        <f>'Secondary cum Calculation'!#REF!</f>
        <v>#REF!</v>
      </c>
      <c r="D40" s="46" t="e">
        <f>'Secondary cum Calculation'!#REF!</f>
        <v>#REF!</v>
      </c>
      <c r="E40" s="48"/>
      <c r="F40" s="48" t="e">
        <f>'Secondary cum Calculation'!#REF!</f>
        <v>#REF!</v>
      </c>
      <c r="G40" s="48" t="e">
        <f>'Secondary cum Calculation'!#REF!</f>
        <v>#REF!</v>
      </c>
      <c r="H40" s="48" t="e">
        <f>'Secondary cum Calculation'!#REF!</f>
        <v>#REF!</v>
      </c>
      <c r="I40" s="48" t="e">
        <f>'Secondary cum Calculation'!#REF!</f>
        <v>#REF!</v>
      </c>
      <c r="J40" s="48" t="e">
        <f>'Secondary cum Calculation'!#REF!</f>
        <v>#REF!</v>
      </c>
      <c r="K40" s="49" t="e">
        <f>'Secondary cum Calculation'!#REF!</f>
        <v>#REF!</v>
      </c>
      <c r="L40" s="65"/>
      <c r="M40" s="51" t="e">
        <f>'Final Data-US$'!#REF!/'Final Data-US$'!#REF!-1</f>
        <v>#REF!</v>
      </c>
      <c r="N40" s="51" t="e">
        <f>'Final Data-US$'!#REF!/'Final Data-US$'!#REF!-1</f>
        <v>#REF!</v>
      </c>
      <c r="O40" s="51" t="e">
        <f>'Final Data-US$'!#REF!/'Final Data-US$'!#REF!-1</f>
        <v>#REF!</v>
      </c>
      <c r="P40" s="51" t="e">
        <f>'Final Data-US$'!#REF!/'Final Data-US$'!#REF!-1</f>
        <v>#REF!</v>
      </c>
      <c r="Q40" s="51" t="e">
        <f>'Final Data-US$'!#REF!/'Final Data-US$'!#REF!-1</f>
        <v>#REF!</v>
      </c>
      <c r="R40" s="51" t="e">
        <f>'Final Data-US$'!#REF!/'Final Data-US$'!#REF!-1</f>
        <v>#REF!</v>
      </c>
      <c r="S40" s="51" t="e">
        <f>'Final Data-US$'!#REF!/'Final Data-US$'!#REF!-1</f>
        <v>#REF!</v>
      </c>
      <c r="T40" s="51" t="e">
        <f>'Final Data-US$'!#REF!/'Final Data-US$'!#REF!-1</f>
        <v>#REF!</v>
      </c>
      <c r="U40" s="51" t="e">
        <f>'Final Data-US$'!#REF!/'Final Data-US$'!#REF!-1</f>
        <v>#REF!</v>
      </c>
      <c r="V40" s="51" t="e">
        <f>'Final Data-US$'!#REF!/'Final Data-US$'!#REF!-1</f>
        <v>#REF!</v>
      </c>
      <c r="W40" s="102" t="e">
        <f>'Final Data-US$'!#REF!</f>
        <v>#REF!</v>
      </c>
      <c r="X40" s="102" t="e">
        <f>'Final Data-US$'!#REF!</f>
        <v>#REF!</v>
      </c>
    </row>
    <row r="41" spans="1:25">
      <c r="A41" s="46" t="e">
        <f>'Secondary cum Calculation'!#REF!</f>
        <v>#REF!</v>
      </c>
      <c r="B41" s="47" t="e">
        <f>'Secondary cum Calculation'!#REF!</f>
        <v>#REF!</v>
      </c>
      <c r="C41" s="47" t="e">
        <f>'Secondary cum Calculation'!#REF!</f>
        <v>#REF!</v>
      </c>
      <c r="D41" s="46" t="e">
        <f>'Secondary cum Calculation'!#REF!</f>
        <v>#REF!</v>
      </c>
      <c r="E41" s="48"/>
      <c r="F41" s="48" t="e">
        <f>'Secondary cum Calculation'!#REF!</f>
        <v>#REF!</v>
      </c>
      <c r="G41" s="48" t="e">
        <f>'Secondary cum Calculation'!#REF!</f>
        <v>#REF!</v>
      </c>
      <c r="H41" s="48" t="e">
        <f>'Secondary cum Calculation'!#REF!</f>
        <v>#REF!</v>
      </c>
      <c r="I41" s="48" t="e">
        <f>'Secondary cum Calculation'!#REF!</f>
        <v>#REF!</v>
      </c>
      <c r="J41" s="48" t="e">
        <f>'Secondary cum Calculation'!#REF!</f>
        <v>#REF!</v>
      </c>
      <c r="K41" s="49" t="e">
        <f>'Secondary cum Calculation'!#REF!</f>
        <v>#REF!</v>
      </c>
      <c r="L41" s="65"/>
      <c r="M41" s="51" t="e">
        <f>'Final Data-US$'!#REF!/'Final Data-US$'!#REF!-1</f>
        <v>#REF!</v>
      </c>
      <c r="N41" s="51" t="e">
        <f>'Final Data-US$'!#REF!/'Final Data-US$'!#REF!-1</f>
        <v>#REF!</v>
      </c>
      <c r="O41" s="51" t="e">
        <f>'Final Data-US$'!#REF!/'Final Data-US$'!#REF!-1</f>
        <v>#REF!</v>
      </c>
      <c r="P41" s="51" t="e">
        <f>'Final Data-US$'!#REF!/'Final Data-US$'!#REF!-1</f>
        <v>#REF!</v>
      </c>
      <c r="Q41" s="51" t="e">
        <f>'Final Data-US$'!#REF!/'Final Data-US$'!#REF!-1</f>
        <v>#REF!</v>
      </c>
      <c r="R41" s="51" t="e">
        <f>'Final Data-US$'!#REF!/'Final Data-US$'!#REF!-1</f>
        <v>#REF!</v>
      </c>
      <c r="S41" s="51" t="e">
        <f>'Final Data-US$'!#REF!/'Final Data-US$'!#REF!-1</f>
        <v>#REF!</v>
      </c>
      <c r="T41" s="51" t="e">
        <f>'Final Data-US$'!#REF!/'Final Data-US$'!#REF!-1</f>
        <v>#REF!</v>
      </c>
      <c r="U41" s="51" t="e">
        <f>'Final Data-US$'!#REF!/'Final Data-US$'!#REF!-1</f>
        <v>#REF!</v>
      </c>
      <c r="V41" s="51" t="e">
        <f>'Final Data-US$'!#REF!/'Final Data-US$'!#REF!-1</f>
        <v>#REF!</v>
      </c>
      <c r="W41" s="102" t="e">
        <f>'Final Data-US$'!#REF!</f>
        <v>#REF!</v>
      </c>
      <c r="X41" s="102" t="e">
        <f>'Final Data-US$'!#REF!</f>
        <v>#REF!</v>
      </c>
    </row>
    <row r="42" spans="1:25">
      <c r="A42" s="46" t="e">
        <f>'Secondary cum Calculation'!#REF!</f>
        <v>#REF!</v>
      </c>
      <c r="B42" s="47" t="e">
        <f>'Secondary cum Calculation'!#REF!</f>
        <v>#REF!</v>
      </c>
      <c r="C42" s="47" t="e">
        <f>'Secondary cum Calculation'!#REF!</f>
        <v>#REF!</v>
      </c>
      <c r="D42" s="46" t="e">
        <f>'Secondary cum Calculation'!#REF!</f>
        <v>#REF!</v>
      </c>
      <c r="E42" s="48"/>
      <c r="F42" s="48" t="e">
        <f>'Secondary cum Calculation'!#REF!</f>
        <v>#REF!</v>
      </c>
      <c r="G42" s="48" t="e">
        <f>'Secondary cum Calculation'!#REF!</f>
        <v>#REF!</v>
      </c>
      <c r="H42" s="48" t="e">
        <f>'Secondary cum Calculation'!#REF!</f>
        <v>#REF!</v>
      </c>
      <c r="I42" s="48" t="e">
        <f>'Secondary cum Calculation'!#REF!</f>
        <v>#REF!</v>
      </c>
      <c r="J42" s="48" t="e">
        <f>'Secondary cum Calculation'!#REF!</f>
        <v>#REF!</v>
      </c>
      <c r="K42" s="49" t="e">
        <f>'Secondary cum Calculation'!#REF!</f>
        <v>#REF!</v>
      </c>
      <c r="L42" s="65"/>
      <c r="M42" s="51" t="e">
        <f>'Final Data-US$'!#REF!/'Final Data-US$'!#REF!-1</f>
        <v>#REF!</v>
      </c>
      <c r="N42" s="51" t="e">
        <f>'Final Data-US$'!#REF!/'Final Data-US$'!#REF!-1</f>
        <v>#REF!</v>
      </c>
      <c r="O42" s="51" t="e">
        <f>'Final Data-US$'!#REF!/'Final Data-US$'!#REF!-1</f>
        <v>#REF!</v>
      </c>
      <c r="P42" s="51" t="e">
        <f>'Final Data-US$'!#REF!/'Final Data-US$'!#REF!-1</f>
        <v>#REF!</v>
      </c>
      <c r="Q42" s="51" t="e">
        <f>'Final Data-US$'!#REF!/'Final Data-US$'!#REF!-1</f>
        <v>#REF!</v>
      </c>
      <c r="R42" s="51" t="e">
        <f>'Final Data-US$'!#REF!/'Final Data-US$'!#REF!-1</f>
        <v>#REF!</v>
      </c>
      <c r="S42" s="51" t="e">
        <f>'Final Data-US$'!#REF!/'Final Data-US$'!#REF!-1</f>
        <v>#REF!</v>
      </c>
      <c r="T42" s="51" t="e">
        <f>'Final Data-US$'!#REF!/'Final Data-US$'!#REF!-1</f>
        <v>#REF!</v>
      </c>
      <c r="U42" s="51" t="e">
        <f>'Final Data-US$'!#REF!/'Final Data-US$'!#REF!-1</f>
        <v>#REF!</v>
      </c>
      <c r="V42" s="51" t="e">
        <f>'Final Data-US$'!#REF!/'Final Data-US$'!#REF!-1</f>
        <v>#REF!</v>
      </c>
      <c r="W42" s="102" t="e">
        <f>'Final Data-US$'!#REF!</f>
        <v>#REF!</v>
      </c>
      <c r="X42" s="102" t="e">
        <f>'Final Data-US$'!#REF!</f>
        <v>#REF!</v>
      </c>
    </row>
    <row r="43" spans="1:25">
      <c r="A43" s="46" t="e">
        <f>'Secondary cum Calculation'!#REF!</f>
        <v>#REF!</v>
      </c>
      <c r="B43" s="47" t="e">
        <f>'Secondary cum Calculation'!#REF!</f>
        <v>#REF!</v>
      </c>
      <c r="C43" s="47" t="e">
        <f>'Secondary cum Calculation'!#REF!</f>
        <v>#REF!</v>
      </c>
      <c r="D43" s="46" t="e">
        <f>'Secondary cum Calculation'!#REF!</f>
        <v>#REF!</v>
      </c>
      <c r="E43" s="48"/>
      <c r="F43" s="48" t="e">
        <f>'Secondary cum Calculation'!#REF!</f>
        <v>#REF!</v>
      </c>
      <c r="G43" s="48" t="e">
        <f>'Secondary cum Calculation'!#REF!</f>
        <v>#REF!</v>
      </c>
      <c r="H43" s="48" t="e">
        <f>'Secondary cum Calculation'!#REF!</f>
        <v>#REF!</v>
      </c>
      <c r="I43" s="48" t="e">
        <f>'Secondary cum Calculation'!#REF!</f>
        <v>#REF!</v>
      </c>
      <c r="J43" s="48" t="e">
        <f>'Secondary cum Calculation'!#REF!</f>
        <v>#REF!</v>
      </c>
      <c r="K43" s="49" t="e">
        <f>'Secondary cum Calculation'!#REF!</f>
        <v>#REF!</v>
      </c>
      <c r="L43" s="65"/>
      <c r="M43" s="51" t="e">
        <f>'Final Data-US$'!#REF!/'Final Data-US$'!#REF!-1</f>
        <v>#REF!</v>
      </c>
      <c r="N43" s="51" t="e">
        <f>'Final Data-US$'!#REF!/'Final Data-US$'!#REF!-1</f>
        <v>#REF!</v>
      </c>
      <c r="O43" s="51" t="e">
        <f>'Final Data-US$'!#REF!/'Final Data-US$'!#REF!-1</f>
        <v>#REF!</v>
      </c>
      <c r="P43" s="51" t="e">
        <f>'Final Data-US$'!#REF!/'Final Data-US$'!#REF!-1</f>
        <v>#REF!</v>
      </c>
      <c r="Q43" s="51" t="e">
        <f>'Final Data-US$'!#REF!/'Final Data-US$'!#REF!-1</f>
        <v>#REF!</v>
      </c>
      <c r="R43" s="51" t="e">
        <f>'Final Data-US$'!#REF!/'Final Data-US$'!#REF!-1</f>
        <v>#REF!</v>
      </c>
      <c r="S43" s="51" t="e">
        <f>'Final Data-US$'!#REF!/'Final Data-US$'!#REF!-1</f>
        <v>#REF!</v>
      </c>
      <c r="T43" s="51" t="e">
        <f>'Final Data-US$'!#REF!/'Final Data-US$'!#REF!-1</f>
        <v>#REF!</v>
      </c>
      <c r="U43" s="51" t="e">
        <f>'Final Data-US$'!#REF!/'Final Data-US$'!#REF!-1</f>
        <v>#REF!</v>
      </c>
      <c r="V43" s="51" t="e">
        <f>'Final Data-US$'!#REF!/'Final Data-US$'!#REF!-1</f>
        <v>#REF!</v>
      </c>
      <c r="W43" s="102" t="e">
        <f>'Final Data-US$'!#REF!</f>
        <v>#REF!</v>
      </c>
      <c r="X43" s="102" t="e">
        <f>'Final Data-US$'!#REF!</f>
        <v>#REF!</v>
      </c>
    </row>
    <row r="44" spans="1:25">
      <c r="A44" s="46" t="e">
        <f>'Secondary cum Calculation'!#REF!</f>
        <v>#REF!</v>
      </c>
      <c r="B44" s="47" t="e">
        <f>'Secondary cum Calculation'!#REF!</f>
        <v>#REF!</v>
      </c>
      <c r="C44" s="47" t="e">
        <f>'Secondary cum Calculation'!#REF!</f>
        <v>#REF!</v>
      </c>
      <c r="D44" s="46" t="e">
        <f>'Secondary cum Calculation'!#REF!</f>
        <v>#REF!</v>
      </c>
      <c r="E44" s="48"/>
      <c r="F44" s="48" t="e">
        <f>'Secondary cum Calculation'!#REF!</f>
        <v>#REF!</v>
      </c>
      <c r="G44" s="48" t="e">
        <f>'Secondary cum Calculation'!#REF!</f>
        <v>#REF!</v>
      </c>
      <c r="H44" s="48" t="e">
        <f>'Secondary cum Calculation'!#REF!</f>
        <v>#REF!</v>
      </c>
      <c r="I44" s="48" t="e">
        <f>'Secondary cum Calculation'!#REF!</f>
        <v>#REF!</v>
      </c>
      <c r="J44" s="48" t="e">
        <f>'Secondary cum Calculation'!#REF!</f>
        <v>#REF!</v>
      </c>
      <c r="K44" s="49" t="e">
        <f>'Secondary cum Calculation'!#REF!</f>
        <v>#REF!</v>
      </c>
      <c r="L44" s="65"/>
      <c r="M44" s="51" t="e">
        <f>'Final Data-US$'!#REF!/'Final Data-US$'!#REF!-1</f>
        <v>#REF!</v>
      </c>
      <c r="N44" s="51" t="e">
        <f>'Final Data-US$'!#REF!/'Final Data-US$'!#REF!-1</f>
        <v>#REF!</v>
      </c>
      <c r="O44" s="51" t="e">
        <f>'Final Data-US$'!#REF!/'Final Data-US$'!#REF!-1</f>
        <v>#REF!</v>
      </c>
      <c r="P44" s="51" t="e">
        <f>'Final Data-US$'!#REF!/'Final Data-US$'!#REF!-1</f>
        <v>#REF!</v>
      </c>
      <c r="Q44" s="51" t="e">
        <f>'Final Data-US$'!#REF!/'Final Data-US$'!#REF!-1</f>
        <v>#REF!</v>
      </c>
      <c r="R44" s="51" t="e">
        <f>'Final Data-US$'!#REF!/'Final Data-US$'!#REF!-1</f>
        <v>#REF!</v>
      </c>
      <c r="S44" s="51" t="e">
        <f>'Final Data-US$'!#REF!/'Final Data-US$'!#REF!-1</f>
        <v>#REF!</v>
      </c>
      <c r="T44" s="51" t="e">
        <f>'Final Data-US$'!#REF!/'Final Data-US$'!#REF!-1</f>
        <v>#REF!</v>
      </c>
      <c r="U44" s="51" t="e">
        <f>'Final Data-US$'!#REF!/'Final Data-US$'!#REF!-1</f>
        <v>#REF!</v>
      </c>
      <c r="V44" s="51" t="e">
        <f>'Final Data-US$'!#REF!/'Final Data-US$'!#REF!-1</f>
        <v>#REF!</v>
      </c>
      <c r="W44" s="102" t="e">
        <f>'Final Data-US$'!#REF!</f>
        <v>#REF!</v>
      </c>
      <c r="X44" s="102" t="e">
        <f>'Final Data-US$'!#REF!</f>
        <v>#REF!</v>
      </c>
    </row>
    <row r="45" spans="1:25">
      <c r="A45" s="55" t="str">
        <f>'Secondary cum Calculation'!A88</f>
        <v>Poland</v>
      </c>
      <c r="B45" s="56" t="str">
        <f>'Secondary cum Calculation'!B88</f>
        <v>Tourism Demand Factors</v>
      </c>
      <c r="C45" s="55" t="str">
        <f>'Secondary cum Calculation'!C88</f>
        <v>Mean Household Income</v>
      </c>
      <c r="D45" s="55"/>
      <c r="E45" s="57"/>
      <c r="F45" s="57">
        <f>'Secondary cum Calculation'!F88</f>
        <v>0</v>
      </c>
      <c r="G45" s="57">
        <f>'Secondary cum Calculation'!G88</f>
        <v>0</v>
      </c>
      <c r="H45" s="57">
        <f>'Secondary cum Calculation'!H88</f>
        <v>0</v>
      </c>
      <c r="I45" s="57">
        <f>'Secondary cum Calculation'!I88</f>
        <v>0</v>
      </c>
      <c r="J45" s="57" t="str">
        <f>'Secondary cum Calculation'!J88</f>
        <v>USD</v>
      </c>
      <c r="K45" s="58">
        <f>'Secondary cum Calculation'!K88</f>
        <v>0</v>
      </c>
      <c r="L45" s="64"/>
      <c r="M45" s="60">
        <f>'Final Data-US$'!M33/'Final Data-US$'!L33-1</f>
        <v>0.221473446616405</v>
      </c>
      <c r="N45" s="60">
        <f>'Final Data-US$'!N33/'Final Data-US$'!M33-1</f>
        <v>-0.19719469712669324</v>
      </c>
      <c r="O45" s="60">
        <f>'Final Data-US$'!O33/'Final Data-US$'!N33-1</f>
        <v>0.10384734290325448</v>
      </c>
      <c r="P45" s="60">
        <f>'Final Data-US$'!P33/'Final Data-US$'!O33-1</f>
        <v>3.1385789798240804E-2</v>
      </c>
      <c r="Q45" s="60">
        <f>'Final Data-US$'!Q33/'Final Data-US$'!P33-1</f>
        <v>7.6100800674053115E-2</v>
      </c>
      <c r="R45" s="60">
        <f>'Final Data-US$'!R33/'Final Data-US$'!Q33-1</f>
        <v>5.3230975068969011E-2</v>
      </c>
      <c r="S45" s="60">
        <f>'Final Data-US$'!S33/'Final Data-US$'!R33-1</f>
        <v>4.8418922629723582E-2</v>
      </c>
      <c r="T45" s="60">
        <f>'Final Data-US$'!T33/'Final Data-US$'!S33-1</f>
        <v>3.3357346140854061E-2</v>
      </c>
      <c r="U45" s="60">
        <f>'Final Data-US$'!U33/'Final Data-US$'!T33-1</f>
        <v>5.2665743049232994E-2</v>
      </c>
      <c r="V45" s="60">
        <f>'Final Data-US$'!V33/'Final Data-US$'!U33-1</f>
        <v>4.6887161195456883E-2</v>
      </c>
      <c r="W45" s="106">
        <f>'Final Data-US$'!W33</f>
        <v>-4.1398897921434141E-3</v>
      </c>
      <c r="X45" s="106">
        <f>'Final Data-US$'!X33</f>
        <v>4.6887161195456661E-2</v>
      </c>
      <c r="Y45" s="16"/>
    </row>
    <row r="46" spans="1:25">
      <c r="A46" s="46" t="str">
        <f>'Secondary cum Calculation'!A90</f>
        <v>Poland</v>
      </c>
      <c r="B46" s="47" t="str">
        <f>'Secondary cum Calculation'!B90</f>
        <v>Tourism Demand Factors</v>
      </c>
      <c r="C46" s="46" t="str">
        <f>'Secondary cum Calculation'!C90</f>
        <v>Number of Holiday Trips by Season</v>
      </c>
      <c r="D46" s="48"/>
      <c r="E46" s="48"/>
      <c r="F46" s="48" t="str">
        <f>'Secondary cum Calculation'!F90</f>
        <v>The number of individuals who have opted to engage in tourism activities on a paid, public or unpaid holiday, segmented by the season/quarter of the year in which those activities take place. Individuals will be counted once per tourism trip, so may be counted several times over the course of a year.</v>
      </c>
      <c r="G46" s="48" t="str">
        <f>'Secondary cum Calculation'!G90</f>
        <v>Tourism Demand &amp; Flows Database</v>
      </c>
      <c r="H46" s="48" t="str">
        <f>'Secondary cum Calculation'!H90</f>
        <v>New</v>
      </c>
      <c r="I46" s="48">
        <f>'Secondary cum Calculation'!I90</f>
        <v>0</v>
      </c>
      <c r="J46" s="48" t="str">
        <f>'Secondary cum Calculation'!J90</f>
        <v>Thousand</v>
      </c>
      <c r="K46" s="49">
        <f>'Secondary cum Calculation'!K90</f>
        <v>0</v>
      </c>
      <c r="L46" s="63"/>
      <c r="M46" s="51">
        <f>'Final Data-US$'!M34/'Final Data-US$'!L34-1</f>
        <v>1.5711313580601294E-2</v>
      </c>
      <c r="N46" s="51">
        <f>'Final Data-US$'!N34/'Final Data-US$'!M34-1</f>
        <v>-0.12610067335311026</v>
      </c>
      <c r="O46" s="51">
        <f>'Final Data-US$'!O34/'Final Data-US$'!N34-1</f>
        <v>0.10516461016218548</v>
      </c>
      <c r="P46" s="51">
        <f>'Final Data-US$'!P34/'Final Data-US$'!O34-1</f>
        <v>-0.1242007240105798</v>
      </c>
      <c r="Q46" s="51">
        <f>'Final Data-US$'!Q34/'Final Data-US$'!P34-1</f>
        <v>-3.164185288652055E-2</v>
      </c>
      <c r="R46" s="51">
        <f>'Final Data-US$'!R34/'Final Data-US$'!Q34-1</f>
        <v>1.7108723697627282E-2</v>
      </c>
      <c r="S46" s="51">
        <f>'Final Data-US$'!S34/'Final Data-US$'!R34-1</f>
        <v>1.4758658704000061E-2</v>
      </c>
      <c r="T46" s="51">
        <f>'Final Data-US$'!T34/'Final Data-US$'!S34-1</f>
        <v>1.8252218384358754E-2</v>
      </c>
      <c r="U46" s="51">
        <f>'Final Data-US$'!U34/'Final Data-US$'!T34-1</f>
        <v>2.0244352929359666E-2</v>
      </c>
      <c r="V46" s="51">
        <f>'Final Data-US$'!V34/'Final Data-US$'!U34-1</f>
        <v>2.1632814692678082E-2</v>
      </c>
      <c r="W46" s="102">
        <f>'Final Data-US$'!W34</f>
        <v>-4.8667701433475097E-2</v>
      </c>
      <c r="X46" s="102">
        <f>'Final Data-US$'!X34</f>
        <v>1.8396524910340384E-2</v>
      </c>
    </row>
    <row r="47" spans="1:25">
      <c r="A47" s="46" t="str">
        <f>'Secondary cum Calculation'!A92</f>
        <v>Poland</v>
      </c>
      <c r="B47" s="47" t="str">
        <f>'Secondary cum Calculation'!B92</f>
        <v>Tourism Demand Factors</v>
      </c>
      <c r="C47" s="47" t="str">
        <f>'Secondary cum Calculation'!C92</f>
        <v>Number of Holiday Takers by Season</v>
      </c>
      <c r="D47" s="46" t="str">
        <f>'Secondary cum Calculation'!D92</f>
        <v>January - March</v>
      </c>
      <c r="E47" s="48"/>
      <c r="F47" s="48" t="str">
        <f>'Secondary cum Calculation'!F92</f>
        <v>The number of individuals who have opted to engage in tourism activities on a paid, public or unpaid holiday occurring between January and March. Individuals will be counted once per tourism trip, so may be counted several times over the course of the period.</v>
      </c>
      <c r="G47" s="48" t="str">
        <f>'Secondary cum Calculation'!G92</f>
        <v>Tourism Demand &amp; Flows Database</v>
      </c>
      <c r="H47" s="48" t="str">
        <f>'Secondary cum Calculation'!H92</f>
        <v>New</v>
      </c>
      <c r="I47" s="48">
        <f>'Secondary cum Calculation'!I92</f>
        <v>0</v>
      </c>
      <c r="J47" s="48" t="str">
        <f>'Secondary cum Calculation'!J92</f>
        <v>Thousand</v>
      </c>
      <c r="K47" s="49">
        <f>'Secondary cum Calculation'!K92</f>
        <v>344.11245787213153</v>
      </c>
      <c r="L47" s="63"/>
      <c r="M47" s="51">
        <f>'Final Data-US$'!M35/'Final Data-US$'!L35-1</f>
        <v>0.1128946591930946</v>
      </c>
      <c r="N47" s="51">
        <f>'Final Data-US$'!N35/'Final Data-US$'!M35-1</f>
        <v>-0.20384087119200012</v>
      </c>
      <c r="O47" s="51">
        <f>'Final Data-US$'!O35/'Final Data-US$'!N35-1</f>
        <v>-1.4486549324534748E-2</v>
      </c>
      <c r="P47" s="51">
        <f>'Final Data-US$'!P35/'Final Data-US$'!O35-1</f>
        <v>6.4209063728124294E-2</v>
      </c>
      <c r="Q47" s="51">
        <f>'Final Data-US$'!Q35/'Final Data-US$'!P35-1</f>
        <v>-3.0232671096853014E-2</v>
      </c>
      <c r="R47" s="51">
        <f>'Final Data-US$'!R35/'Final Data-US$'!Q35-1</f>
        <v>9.1307792422015144E-3</v>
      </c>
      <c r="S47" s="51">
        <f>'Final Data-US$'!S35/'Final Data-US$'!R35-1</f>
        <v>1.2992509174756028E-2</v>
      </c>
      <c r="T47" s="51">
        <f>'Final Data-US$'!T35/'Final Data-US$'!S35-1</f>
        <v>1.3557363190605631E-2</v>
      </c>
      <c r="U47" s="51">
        <f>'Final Data-US$'!U35/'Final Data-US$'!T35-1</f>
        <v>1.6988897043907381E-2</v>
      </c>
      <c r="V47" s="51">
        <f>'Final Data-US$'!V35/'Final Data-US$'!U35-1</f>
        <v>1.7189724498056114E-2</v>
      </c>
      <c r="W47" s="102">
        <f>'Final Data-US$'!W35</f>
        <v>-5.1386645416916732E-2</v>
      </c>
      <c r="X47" s="102">
        <f>'Final Data-US$'!X35</f>
        <v>1.3967509368756348E-2</v>
      </c>
    </row>
    <row r="48" spans="1:25">
      <c r="A48" s="46" t="str">
        <f>'Secondary cum Calculation'!A94</f>
        <v>Poland</v>
      </c>
      <c r="B48" s="47" t="str">
        <f>'Secondary cum Calculation'!B94</f>
        <v>Tourism Demand Factors</v>
      </c>
      <c r="C48" s="47" t="str">
        <f>'Secondary cum Calculation'!C94</f>
        <v>Number of Holiday Takers by Season</v>
      </c>
      <c r="D48" s="46" t="str">
        <f>'Secondary cum Calculation'!D94</f>
        <v>April - June</v>
      </c>
      <c r="E48" s="48"/>
      <c r="F48" s="48" t="str">
        <f>'Secondary cum Calculation'!F94</f>
        <v>The number of individuals who have opted to engage in tourism activities on a paid, public or unpaid holiday occurring between April and June. Individuals will be counted once per tourism trip, so may be counted several times over the course of the period.</v>
      </c>
      <c r="G48" s="48" t="str">
        <f>'Secondary cum Calculation'!G94</f>
        <v>Tourism Demand &amp; Flows Database</v>
      </c>
      <c r="H48" s="48" t="str">
        <f>'Secondary cum Calculation'!H94</f>
        <v>New</v>
      </c>
      <c r="I48" s="48">
        <f>'Secondary cum Calculation'!I94</f>
        <v>0</v>
      </c>
      <c r="J48" s="48" t="str">
        <f>'Secondary cum Calculation'!J94</f>
        <v>Thousand</v>
      </c>
      <c r="K48" s="49">
        <f>'Secondary cum Calculation'!K94</f>
        <v>431.14946599168542</v>
      </c>
      <c r="L48" s="63"/>
      <c r="M48" s="51">
        <f>'Final Data-US$'!M36/'Final Data-US$'!L36-1</f>
        <v>-4.97788496404028E-3</v>
      </c>
      <c r="N48" s="51">
        <f>'Final Data-US$'!N36/'Final Data-US$'!M36-1</f>
        <v>-9.8401297114991126E-2</v>
      </c>
      <c r="O48" s="51">
        <f>'Final Data-US$'!O36/'Final Data-US$'!N36-1</f>
        <v>-6.8364840512366021E-3</v>
      </c>
      <c r="P48" s="51">
        <f>'Final Data-US$'!P36/'Final Data-US$'!O36-1</f>
        <v>-6.2673777295716548E-2</v>
      </c>
      <c r="Q48" s="51">
        <f>'Final Data-US$'!Q36/'Final Data-US$'!P36-1</f>
        <v>-3.300892389111576E-2</v>
      </c>
      <c r="R48" s="51">
        <f>'Final Data-US$'!R36/'Final Data-US$'!Q36-1</f>
        <v>1.7574442492494846E-2</v>
      </c>
      <c r="S48" s="51">
        <f>'Final Data-US$'!S36/'Final Data-US$'!R36-1</f>
        <v>1.2743537142603012E-2</v>
      </c>
      <c r="T48" s="51">
        <f>'Final Data-US$'!T36/'Final Data-US$'!S36-1</f>
        <v>2.1586073421198781E-2</v>
      </c>
      <c r="U48" s="51">
        <f>'Final Data-US$'!U36/'Final Data-US$'!T36-1</f>
        <v>2.0260983641403829E-2</v>
      </c>
      <c r="V48" s="51">
        <f>'Final Data-US$'!V36/'Final Data-US$'!U36-1</f>
        <v>2.2081164695004318E-2</v>
      </c>
      <c r="W48" s="102">
        <f>'Final Data-US$'!W36</f>
        <v>-5.084570522640397E-2</v>
      </c>
      <c r="X48" s="102">
        <f>'Final Data-US$'!X36</f>
        <v>1.8843454646490398E-2</v>
      </c>
    </row>
    <row r="49" spans="1:24">
      <c r="A49" s="46" t="str">
        <f>'Secondary cum Calculation'!A96</f>
        <v>Poland</v>
      </c>
      <c r="B49" s="47" t="str">
        <f>'Secondary cum Calculation'!B96</f>
        <v>Tourism Demand Factors</v>
      </c>
      <c r="C49" s="47" t="str">
        <f>'Secondary cum Calculation'!C96</f>
        <v>Number of Holiday Takers by Season</v>
      </c>
      <c r="D49" s="46" t="str">
        <f>'Secondary cum Calculation'!D96</f>
        <v>July - September</v>
      </c>
      <c r="E49" s="48"/>
      <c r="F49" s="48" t="str">
        <f>'Secondary cum Calculation'!F96</f>
        <v>The number of individuals who have opted to engage in tourism activities on a paid, public or unpaid holiday occurring between July and September. Individuals will be counted once per tourism trip, so may be counted several times over the course of the period.</v>
      </c>
      <c r="G49" s="48" t="str">
        <f>'Secondary cum Calculation'!G96</f>
        <v>Tourism Demand &amp; Flows Database</v>
      </c>
      <c r="H49" s="48" t="str">
        <f>'Secondary cum Calculation'!H96</f>
        <v>New</v>
      </c>
      <c r="I49" s="48">
        <f>'Secondary cum Calculation'!I96</f>
        <v>0</v>
      </c>
      <c r="J49" s="48" t="str">
        <f>'Secondary cum Calculation'!J96</f>
        <v>Thousand</v>
      </c>
      <c r="K49" s="49">
        <f>'Secondary cum Calculation'!K96</f>
        <v>420.50674294822005</v>
      </c>
      <c r="L49" s="63"/>
      <c r="M49" s="51">
        <f>'Final Data-US$'!M37/'Final Data-US$'!L37-1</f>
        <v>3.4600607648726633E-2</v>
      </c>
      <c r="N49" s="51">
        <f>'Final Data-US$'!N37/'Final Data-US$'!M37-1</f>
        <v>-0.10346455153188494</v>
      </c>
      <c r="O49" s="51">
        <f>'Final Data-US$'!O37/'Final Data-US$'!N37-1</f>
        <v>0.17423405155814931</v>
      </c>
      <c r="P49" s="51">
        <f>'Final Data-US$'!P37/'Final Data-US$'!O37-1</f>
        <v>-0.22755881470496364</v>
      </c>
      <c r="Q49" s="51">
        <f>'Final Data-US$'!Q37/'Final Data-US$'!P37-1</f>
        <v>-3.6702859593583659E-2</v>
      </c>
      <c r="R49" s="51">
        <f>'Final Data-US$'!R37/'Final Data-US$'!Q37-1</f>
        <v>6.8300574307136319E-3</v>
      </c>
      <c r="S49" s="51">
        <f>'Final Data-US$'!S37/'Final Data-US$'!R37-1</f>
        <v>1.0489656064443853E-2</v>
      </c>
      <c r="T49" s="51">
        <f>'Final Data-US$'!T37/'Final Data-US$'!S37-1</f>
        <v>1.1412553003941284E-2</v>
      </c>
      <c r="U49" s="51">
        <f>'Final Data-US$'!U37/'Final Data-US$'!T37-1</f>
        <v>1.3544877912906816E-2</v>
      </c>
      <c r="V49" s="51">
        <f>'Final Data-US$'!V37/'Final Data-US$'!U37-1</f>
        <v>1.4582222567583791E-2</v>
      </c>
      <c r="W49" s="102">
        <f>'Final Data-US$'!W37</f>
        <v>-5.9222423888902975E-2</v>
      </c>
      <c r="X49" s="102">
        <f>'Final Data-US$'!X37</f>
        <v>1.1368267384258335E-2</v>
      </c>
    </row>
    <row r="50" spans="1:24">
      <c r="A50" s="46" t="str">
        <f>'Secondary cum Calculation'!A98</f>
        <v>Poland</v>
      </c>
      <c r="B50" s="47" t="str">
        <f>'Secondary cum Calculation'!B98</f>
        <v>Tourism Demand Factors</v>
      </c>
      <c r="C50" s="47" t="str">
        <f>'Secondary cum Calculation'!C98</f>
        <v>Number of Holiday Takers by Season</v>
      </c>
      <c r="D50" s="46" t="str">
        <f>'Secondary cum Calculation'!D98</f>
        <v>October - December</v>
      </c>
      <c r="E50" s="48"/>
      <c r="F50" s="48" t="str">
        <f>'Secondary cum Calculation'!F98</f>
        <v>The number of individuals who have opted to engage in tourism activities on a paid, public or unpaid holiday occurring between October and December. Individuals will be counted once per tourism trip, so may be counted several times over the course of the period.</v>
      </c>
      <c r="G50" s="48" t="str">
        <f>'Secondary cum Calculation'!G98</f>
        <v>Tourism Demand &amp; Flows Database</v>
      </c>
      <c r="H50" s="48" t="str">
        <f>'Secondary cum Calculation'!H98</f>
        <v>New</v>
      </c>
      <c r="I50" s="48">
        <f>'Secondary cum Calculation'!I98</f>
        <v>0</v>
      </c>
      <c r="J50" s="48" t="str">
        <f>'Secondary cum Calculation'!J98</f>
        <v>Thousand</v>
      </c>
      <c r="K50" s="49">
        <f>'Secondary cum Calculation'!K98</f>
        <v>361.5037531879629</v>
      </c>
      <c r="L50" s="63"/>
      <c r="M50" s="51">
        <f>'Final Data-US$'!M38/'Final Data-US$'!L38-1</f>
        <v>-8.4612857084023219E-2</v>
      </c>
      <c r="N50" s="51">
        <f>'Final Data-US$'!N38/'Final Data-US$'!M38-1</f>
        <v>-0.12576007749821272</v>
      </c>
      <c r="O50" s="51">
        <f>'Final Data-US$'!O38/'Final Data-US$'!N38-1</f>
        <v>0.22545481799351741</v>
      </c>
      <c r="P50" s="51">
        <f>'Final Data-US$'!P38/'Final Data-US$'!O38-1</f>
        <v>-0.1244303393017957</v>
      </c>
      <c r="Q50" s="51">
        <f>'Final Data-US$'!Q38/'Final Data-US$'!P38-1</f>
        <v>-2.1823261446207165E-2</v>
      </c>
      <c r="R50" s="51">
        <f>'Final Data-US$'!R38/'Final Data-US$'!Q38-1</f>
        <v>4.3589942433592821E-2</v>
      </c>
      <c r="S50" s="51">
        <f>'Final Data-US$'!S38/'Final Data-US$'!R38-1</f>
        <v>2.6436168121862558E-2</v>
      </c>
      <c r="T50" s="51">
        <f>'Final Data-US$'!T38/'Final Data-US$'!S38-1</f>
        <v>3.1008594062414296E-2</v>
      </c>
      <c r="U50" s="51">
        <f>'Final Data-US$'!U38/'Final Data-US$'!T38-1</f>
        <v>3.4878467061930207E-2</v>
      </c>
      <c r="V50" s="51">
        <f>'Final Data-US$'!V38/'Final Data-US$'!U38-1</f>
        <v>3.7172850829393589E-2</v>
      </c>
      <c r="W50" s="102">
        <f>'Final Data-US$'!W38</f>
        <v>-2.1278804923141714E-2</v>
      </c>
      <c r="X50" s="102">
        <f>'Final Data-US$'!X38</f>
        <v>3.460106599218582E-2</v>
      </c>
    </row>
    <row r="51" spans="1:24">
      <c r="A51" s="55" t="str">
        <f>'Secondary cum Calculation'!A107</f>
        <v>Poland</v>
      </c>
      <c r="B51" s="56" t="str">
        <f>'Secondary cum Calculation'!B107</f>
        <v>Tourism Demand Factors</v>
      </c>
      <c r="C51" s="55" t="str">
        <f>'Secondary cum Calculation'!C107</f>
        <v>Number of Return Trips by Residents by Type</v>
      </c>
      <c r="D51" s="57"/>
      <c r="E51" s="57"/>
      <c r="F51" s="7" t="str">
        <f>'Secondary cum Calculation'!F107</f>
        <v>The number of trips undertaken by the residents of a country, segmented by the destination and length of the trip.</v>
      </c>
      <c r="G51" s="7" t="str">
        <f>'Secondary cum Calculation'!G107</f>
        <v>Tourism Demand &amp; Flows Database</v>
      </c>
      <c r="H51" s="7" t="str">
        <f>'Secondary cum Calculation'!H107</f>
        <v>New</v>
      </c>
      <c r="I51" s="7">
        <f>'Secondary cum Calculation'!I107</f>
        <v>0</v>
      </c>
      <c r="J51" s="57" t="str">
        <f>'Secondary cum Calculation'!J107</f>
        <v>Thousand</v>
      </c>
      <c r="K51" s="8">
        <f>'Secondary cum Calculation'!K107</f>
        <v>0</v>
      </c>
      <c r="L51" s="59"/>
      <c r="M51" s="60">
        <f>'Final Data-US$'!M39/'Final Data-US$'!L39-1</f>
        <v>1.5711313580601294E-2</v>
      </c>
      <c r="N51" s="60">
        <f>'Final Data-US$'!N39/'Final Data-US$'!M39-1</f>
        <v>-0.12610067335311026</v>
      </c>
      <c r="O51" s="60">
        <f>'Final Data-US$'!O39/'Final Data-US$'!N39-1</f>
        <v>0.10516461016218548</v>
      </c>
      <c r="P51" s="60">
        <f>'Final Data-US$'!P39/'Final Data-US$'!O39-1</f>
        <v>-0.1242007240105798</v>
      </c>
      <c r="Q51" s="60">
        <f>'Final Data-US$'!Q39/'Final Data-US$'!P39-1</f>
        <v>-3.164185288652055E-2</v>
      </c>
      <c r="R51" s="60">
        <f>'Final Data-US$'!R39/'Final Data-US$'!Q39-1</f>
        <v>1.7108723697627282E-2</v>
      </c>
      <c r="S51" s="60">
        <f>'Final Data-US$'!S39/'Final Data-US$'!R39-1</f>
        <v>1.4758658704000061E-2</v>
      </c>
      <c r="T51" s="60">
        <f>'Final Data-US$'!T39/'Final Data-US$'!S39-1</f>
        <v>1.8252218384358754E-2</v>
      </c>
      <c r="U51" s="60">
        <f>'Final Data-US$'!U39/'Final Data-US$'!T39-1</f>
        <v>2.0244352929359666E-2</v>
      </c>
      <c r="V51" s="60">
        <f>'Final Data-US$'!V39/'Final Data-US$'!U39-1</f>
        <v>2.1632814692678082E-2</v>
      </c>
      <c r="W51" s="106">
        <f>'Final Data-US$'!W39</f>
        <v>-4.8667701433475097E-2</v>
      </c>
      <c r="X51" s="106">
        <f>'Final Data-US$'!X39</f>
        <v>1.8396524910340384E-2</v>
      </c>
    </row>
    <row r="52" spans="1:24">
      <c r="A52" s="55" t="str">
        <f>'Secondary cum Calculation'!A109</f>
        <v>Poland</v>
      </c>
      <c r="B52" s="56" t="str">
        <f>'Secondary cum Calculation'!B109</f>
        <v>Tourism Demand Factors</v>
      </c>
      <c r="C52" s="56" t="str">
        <f>'Secondary cum Calculation'!C109</f>
        <v>Number of Return Trips by Residents by Length &amp; Type</v>
      </c>
      <c r="D52" s="55" t="str">
        <f>'Secondary cum Calculation'!D109</f>
        <v>Domestic Trips</v>
      </c>
      <c r="E52" s="57"/>
      <c r="F52" s="57" t="str">
        <f>'Secondary cum Calculation'!F109</f>
        <v>The number of domestic trips undertaken by residents of a country.</v>
      </c>
      <c r="G52" s="57" t="str">
        <f>'Secondary cum Calculation'!G109</f>
        <v>Tourism Demand &amp; Flows Database</v>
      </c>
      <c r="H52" s="57" t="str">
        <f>'Secondary cum Calculation'!H109</f>
        <v>New</v>
      </c>
      <c r="I52" s="57">
        <f>'Secondary cum Calculation'!I109</f>
        <v>0</v>
      </c>
      <c r="J52" s="57" t="str">
        <f>'Secondary cum Calculation'!J109</f>
        <v>Thousand</v>
      </c>
      <c r="K52" s="58">
        <f>'Secondary cum Calculation'!K109</f>
        <v>1967.64</v>
      </c>
      <c r="L52" s="59"/>
      <c r="M52" s="60">
        <f>'Final Data-US$'!M40/'Final Data-US$'!L40-1</f>
        <v>0</v>
      </c>
      <c r="N52" s="60">
        <f>'Final Data-US$'!N40/'Final Data-US$'!M40-1</f>
        <v>-0.1174785100286535</v>
      </c>
      <c r="O52" s="60">
        <f>'Final Data-US$'!O40/'Final Data-US$'!N40-1</f>
        <v>0.10064935064935066</v>
      </c>
      <c r="P52" s="60">
        <f>'Final Data-US$'!P40/'Final Data-US$'!O40-1</f>
        <v>-0.12684365781710916</v>
      </c>
      <c r="Q52" s="60">
        <f>'Final Data-US$'!Q40/'Final Data-US$'!P40-1</f>
        <v>-3.3963698234317885E-2</v>
      </c>
      <c r="R52" s="60">
        <f>'Final Data-US$'!R40/'Final Data-US$'!Q40-1</f>
        <v>1.8167497717911374E-2</v>
      </c>
      <c r="S52" s="60">
        <f>'Final Data-US$'!S40/'Final Data-US$'!R40-1</f>
        <v>1.4467008691195105E-2</v>
      </c>
      <c r="T52" s="60">
        <f>'Final Data-US$'!T40/'Final Data-US$'!S40-1</f>
        <v>2.0466780261918505E-2</v>
      </c>
      <c r="U52" s="60">
        <f>'Final Data-US$'!U40/'Final Data-US$'!T40-1</f>
        <v>2.1887080077326093E-2</v>
      </c>
      <c r="V52" s="60">
        <f>'Final Data-US$'!V40/'Final Data-US$'!U40-1</f>
        <v>2.3739552501877981E-2</v>
      </c>
      <c r="W52" s="106">
        <f>'Final Data-US$'!W40</f>
        <v>-4.8596088299126095E-2</v>
      </c>
      <c r="X52" s="106">
        <f>'Final Data-US$'!X40</f>
        <v>1.9740537256371926E-2</v>
      </c>
    </row>
    <row r="53" spans="1:24">
      <c r="A53" s="55" t="str">
        <f>'Secondary cum Calculation'!A111</f>
        <v>Poland</v>
      </c>
      <c r="B53" s="56" t="str">
        <f>'Secondary cum Calculation'!B111</f>
        <v>Tourism Demand Factors</v>
      </c>
      <c r="C53" s="56" t="str">
        <f>'Secondary cum Calculation'!C111</f>
        <v>Number of Return Trips by Residents by Length &amp; Type</v>
      </c>
      <c r="D53" s="55" t="str">
        <f>'Secondary cum Calculation'!D111</f>
        <v>International Trips</v>
      </c>
      <c r="E53" s="57"/>
      <c r="F53" s="7" t="str">
        <f>'Secondary cum Calculation'!F111</f>
        <v>The number of international trips undertaken by residents of a country.</v>
      </c>
      <c r="G53" s="7" t="str">
        <f>'Secondary cum Calculation'!G111</f>
        <v>Tourism Demand &amp; Flows Database</v>
      </c>
      <c r="H53" s="7" t="str">
        <f>'Secondary cum Calculation'!H111</f>
        <v>New</v>
      </c>
      <c r="I53" s="7">
        <f>'Secondary cum Calculation'!I111</f>
        <v>0</v>
      </c>
      <c r="J53" s="57" t="str">
        <f>'Secondary cum Calculation'!J111</f>
        <v>Thousand</v>
      </c>
      <c r="K53" s="8">
        <f>'Secondary cum Calculation'!K111</f>
        <v>65.676000000000002</v>
      </c>
      <c r="L53" s="59"/>
      <c r="M53" s="60">
        <f>'Final Data-US$'!M41/'Final Data-US$'!L41-1</f>
        <v>9.498337429521464E-2</v>
      </c>
      <c r="N53" s="60">
        <f>'Final Data-US$'!N41/'Final Data-US$'!M41-1</f>
        <v>-0.16583047266965933</v>
      </c>
      <c r="O53" s="60">
        <f>'Final Data-US$'!O41/'Final Data-US$'!N41-1</f>
        <v>0.12717632162076598</v>
      </c>
      <c r="P53" s="60">
        <f>'Final Data-US$'!P41/'Final Data-US$'!O41-1</f>
        <v>-0.11161974303166478</v>
      </c>
      <c r="Q53" s="60">
        <f>'Final Data-US$'!Q41/'Final Data-US$'!P41-1</f>
        <v>-2.077873173221978E-2</v>
      </c>
      <c r="R53" s="60">
        <f>'Final Data-US$'!R41/'Final Data-US$'!Q41-1</f>
        <v>1.2221781307566015E-2</v>
      </c>
      <c r="S53" s="60">
        <f>'Final Data-US$'!S41/'Final Data-US$'!R41-1</f>
        <v>1.6112723645614002E-2</v>
      </c>
      <c r="T53" s="60">
        <f>'Final Data-US$'!T41/'Final Data-US$'!S41-1</f>
        <v>7.9871617005085049E-3</v>
      </c>
      <c r="U53" s="60">
        <f>'Final Data-US$'!U41/'Final Data-US$'!T41-1</f>
        <v>1.2535622877926311E-2</v>
      </c>
      <c r="V53" s="60">
        <f>'Final Data-US$'!V41/'Final Data-US$'!U41-1</f>
        <v>1.1655343339074031E-2</v>
      </c>
      <c r="W53" s="106">
        <f>'Final Data-US$'!W41</f>
        <v>-4.8997894506850437E-2</v>
      </c>
      <c r="X53" s="106">
        <f>'Final Data-US$'!X41</f>
        <v>1.209922420888665E-2</v>
      </c>
    </row>
    <row r="54" spans="1:24">
      <c r="A54" s="46" t="str">
        <f>'Secondary cum Calculation'!A113</f>
        <v>Poland</v>
      </c>
      <c r="B54" s="47" t="str">
        <f>'Secondary cum Calculation'!B113</f>
        <v>Tourism Demand Factors</v>
      </c>
      <c r="C54" s="46" t="str">
        <f>'Secondary cum Calculation'!C113</f>
        <v>Average Length of Tourism Trips by Type</v>
      </c>
      <c r="D54" s="46"/>
      <c r="E54" s="48"/>
      <c r="F54" s="48" t="str">
        <f>'Secondary cum Calculation'!F113</f>
        <v>N/A</v>
      </c>
      <c r="G54" s="48">
        <f>'Secondary cum Calculation'!G113</f>
        <v>0</v>
      </c>
      <c r="H54" s="48">
        <f>'Secondary cum Calculation'!H113</f>
        <v>0</v>
      </c>
      <c r="I54" s="48">
        <f>'Secondary cum Calculation'!I113</f>
        <v>0</v>
      </c>
      <c r="J54" s="48"/>
      <c r="K54" s="49">
        <f>'Secondary cum Calculation'!K113</f>
        <v>0</v>
      </c>
      <c r="L54" s="53"/>
      <c r="M54" s="51" t="e">
        <f>'Final Data-US$'!M42/'Final Data-US$'!L42-1</f>
        <v>#DIV/0!</v>
      </c>
      <c r="N54" s="51" t="e">
        <f>'Final Data-US$'!N42/'Final Data-US$'!M42-1</f>
        <v>#DIV/0!</v>
      </c>
      <c r="O54" s="51" t="e">
        <f>'Final Data-US$'!O42/'Final Data-US$'!N42-1</f>
        <v>#DIV/0!</v>
      </c>
      <c r="P54" s="51" t="e">
        <f>'Final Data-US$'!P42/'Final Data-US$'!O42-1</f>
        <v>#DIV/0!</v>
      </c>
      <c r="Q54" s="51" t="e">
        <f>'Final Data-US$'!Q42/'Final Data-US$'!P42-1</f>
        <v>#DIV/0!</v>
      </c>
      <c r="R54" s="51" t="e">
        <f>'Final Data-US$'!R42/'Final Data-US$'!Q42-1</f>
        <v>#DIV/0!</v>
      </c>
      <c r="S54" s="51" t="e">
        <f>'Final Data-US$'!S42/'Final Data-US$'!R42-1</f>
        <v>#DIV/0!</v>
      </c>
      <c r="T54" s="51" t="e">
        <f>'Final Data-US$'!T42/'Final Data-US$'!S42-1</f>
        <v>#DIV/0!</v>
      </c>
      <c r="U54" s="51" t="e">
        <f>'Final Data-US$'!U42/'Final Data-US$'!T42-1</f>
        <v>#DIV/0!</v>
      </c>
      <c r="V54" s="51" t="e">
        <f>'Final Data-US$'!V42/'Final Data-US$'!U42-1</f>
        <v>#DIV/0!</v>
      </c>
      <c r="W54" s="102">
        <f>'Final Data-US$'!W42</f>
        <v>0</v>
      </c>
      <c r="X54" s="102">
        <f>'Final Data-US$'!X42</f>
        <v>0</v>
      </c>
    </row>
    <row r="55" spans="1:24">
      <c r="A55" s="46" t="str">
        <f>'Secondary cum Calculation'!A115</f>
        <v>Poland</v>
      </c>
      <c r="B55" s="47" t="str">
        <f>'Secondary cum Calculation'!B115</f>
        <v>Tourism Demand Factors</v>
      </c>
      <c r="C55" s="47" t="str">
        <f>'Secondary cum Calculation'!C115</f>
        <v>Average Length of Tourism Trips by Type</v>
      </c>
      <c r="D55" s="46" t="str">
        <f>'Secondary cum Calculation'!D115</f>
        <v>Domestic Trips</v>
      </c>
      <c r="E55" s="48"/>
      <c r="F55" s="48" t="str">
        <f>'Secondary cum Calculation'!F115</f>
        <v>The average number of days per typical domestic tourism trip</v>
      </c>
      <c r="G55" s="48">
        <f>'Secondary cum Calculation'!G115</f>
        <v>0</v>
      </c>
      <c r="H55" s="48">
        <f>'Secondary cum Calculation'!H115</f>
        <v>0</v>
      </c>
      <c r="I55" s="48">
        <f>'Secondary cum Calculation'!I115</f>
        <v>0</v>
      </c>
      <c r="J55" s="48" t="str">
        <f>'Secondary cum Calculation'!J115</f>
        <v>Average No. of nights spent</v>
      </c>
      <c r="K55" s="49">
        <f>'Secondary cum Calculation'!K115</f>
        <v>0</v>
      </c>
      <c r="L55" s="53"/>
      <c r="M55" s="51">
        <f>'Final Data-US$'!M43/'Final Data-US$'!L43-1</f>
        <v>-3.2071717328777893E-2</v>
      </c>
      <c r="N55" s="51">
        <f>'Final Data-US$'!N43/'Final Data-US$'!M43-1</f>
        <v>3.7224024601697492E-2</v>
      </c>
      <c r="O55" s="51">
        <f>'Final Data-US$'!O43/'Final Data-US$'!N43-1</f>
        <v>-2.9499325764327122E-2</v>
      </c>
      <c r="P55" s="51">
        <f>'Final Data-US$'!P43/'Final Data-US$'!O43-1</f>
        <v>-3.7103672158302459E-2</v>
      </c>
      <c r="Q55" s="51">
        <f>'Final Data-US$'!Q43/'Final Data-US$'!P43-1</f>
        <v>3.8595424022236369E-3</v>
      </c>
      <c r="R55" s="51">
        <f>'Final Data-US$'!R43/'Final Data-US$'!Q43-1</f>
        <v>8.0829396811410437E-3</v>
      </c>
      <c r="S55" s="51">
        <f>'Final Data-US$'!S43/'Final Data-US$'!R43-1</f>
        <v>5.8571766535153724E-3</v>
      </c>
      <c r="T55" s="51">
        <f>'Final Data-US$'!T43/'Final Data-US$'!S43-1</f>
        <v>9.9207810872297131E-3</v>
      </c>
      <c r="U55" s="51">
        <f>'Final Data-US$'!U43/'Final Data-US$'!T43-1</f>
        <v>6.9275211442549889E-3</v>
      </c>
      <c r="V55" s="51">
        <f>'Final Data-US$'!V43/'Final Data-US$'!U43-1</f>
        <v>2.6574998608006606E-3</v>
      </c>
      <c r="W55" s="102">
        <f>'Final Data-US$'!W43</f>
        <v>-6.8148377525701909E-3</v>
      </c>
      <c r="X55" s="102">
        <f>'Final Data-US$'!X43</f>
        <v>6.6862623204615446E-3</v>
      </c>
    </row>
    <row r="56" spans="1:24">
      <c r="A56" s="46" t="str">
        <f>'Secondary cum Calculation'!A117</f>
        <v>Poland</v>
      </c>
      <c r="B56" s="47" t="str">
        <f>'Secondary cum Calculation'!B117</f>
        <v>Tourism Demand Factors</v>
      </c>
      <c r="C56" s="47" t="str">
        <f>'Secondary cum Calculation'!C117</f>
        <v>Average Length of Tourism Trips by Type</v>
      </c>
      <c r="D56" s="46" t="str">
        <f>'Secondary cum Calculation'!D117</f>
        <v>International Trips</v>
      </c>
      <c r="E56" s="48"/>
      <c r="F56" s="48" t="str">
        <f>'Secondary cum Calculation'!F117</f>
        <v>The average number of days per typical international tourism trip</v>
      </c>
      <c r="G56" s="48">
        <f>'Secondary cum Calculation'!G117</f>
        <v>0</v>
      </c>
      <c r="H56" s="48">
        <f>'Secondary cum Calculation'!H117</f>
        <v>0</v>
      </c>
      <c r="I56" s="48">
        <f>'Secondary cum Calculation'!I117</f>
        <v>0</v>
      </c>
      <c r="J56" s="48" t="str">
        <f>'Secondary cum Calculation'!J117</f>
        <v>Average No. of nights spent</v>
      </c>
      <c r="K56" s="49">
        <f>'Secondary cum Calculation'!K117</f>
        <v>0</v>
      </c>
      <c r="L56" s="53"/>
      <c r="M56" s="51">
        <f>'Final Data-US$'!M44/'Final Data-US$'!L44-1</f>
        <v>3.1015044995169161E-2</v>
      </c>
      <c r="N56" s="51">
        <f>'Final Data-US$'!N44/'Final Data-US$'!M44-1</f>
        <v>-0.21470872608348968</v>
      </c>
      <c r="O56" s="51">
        <f>'Final Data-US$'!O44/'Final Data-US$'!N44-1</f>
        <v>1.6659822317161899E-2</v>
      </c>
      <c r="P56" s="51">
        <f>'Final Data-US$'!P44/'Final Data-US$'!O44-1</f>
        <v>-1.4155562254926757E-2</v>
      </c>
      <c r="Q56" s="51">
        <f>'Final Data-US$'!Q44/'Final Data-US$'!P44-1</f>
        <v>6.0644929035404971E-3</v>
      </c>
      <c r="R56" s="51">
        <f>'Final Data-US$'!R44/'Final Data-US$'!Q44-1</f>
        <v>1.1241645179969062E-2</v>
      </c>
      <c r="S56" s="51">
        <f>'Final Data-US$'!S44/'Final Data-US$'!R44-1</f>
        <v>8.904171460483612E-3</v>
      </c>
      <c r="T56" s="51">
        <f>'Final Data-US$'!T44/'Final Data-US$'!S44-1</f>
        <v>3.9656328707187161E-3</v>
      </c>
      <c r="U56" s="51">
        <f>'Final Data-US$'!U44/'Final Data-US$'!T44-1</f>
        <v>7.6409539624762157E-3</v>
      </c>
      <c r="V56" s="51">
        <f>'Final Data-US$'!V44/'Final Data-US$'!U44-1</f>
        <v>1.1966400232652052E-2</v>
      </c>
      <c r="W56" s="102">
        <f>'Final Data-US$'!W44</f>
        <v>-5.6677569794804983E-2</v>
      </c>
      <c r="X56" s="102">
        <f>'Final Data-US$'!X44</f>
        <v>8.7397222469407509E-3</v>
      </c>
    </row>
    <row r="57" spans="1:24">
      <c r="A57" s="55" t="e">
        <f>'Secondary cum Calculation'!#REF!</f>
        <v>#REF!</v>
      </c>
      <c r="B57" s="56" t="e">
        <f>'Secondary cum Calculation'!#REF!</f>
        <v>#REF!</v>
      </c>
      <c r="C57" s="55" t="e">
        <f>'Secondary cum Calculation'!#REF!</f>
        <v>#REF!</v>
      </c>
      <c r="D57" s="57"/>
      <c r="E57" s="57"/>
      <c r="F57" s="57" t="e">
        <f>'Secondary cum Calculation'!#REF!</f>
        <v>#REF!</v>
      </c>
      <c r="G57" s="57" t="e">
        <f>'Secondary cum Calculation'!#REF!</f>
        <v>#REF!</v>
      </c>
      <c r="H57" s="57" t="e">
        <f>'Secondary cum Calculation'!#REF!</f>
        <v>#REF!</v>
      </c>
      <c r="I57" s="57" t="e">
        <f>'Secondary cum Calculation'!#REF!</f>
        <v>#REF!</v>
      </c>
      <c r="J57" s="57" t="e">
        <f>'Secondary cum Calculation'!#REF!</f>
        <v>#REF!</v>
      </c>
      <c r="K57" s="58" t="e">
        <f>'Secondary cum Calculation'!#REF!</f>
        <v>#REF!</v>
      </c>
      <c r="L57" s="59"/>
      <c r="M57" s="60" t="e">
        <f>'Final Data-US$'!#REF!/'Final Data-US$'!#REF!-1</f>
        <v>#REF!</v>
      </c>
      <c r="N57" s="60" t="e">
        <f>'Final Data-US$'!#REF!/'Final Data-US$'!#REF!-1</f>
        <v>#REF!</v>
      </c>
      <c r="O57" s="60" t="e">
        <f>'Final Data-US$'!#REF!/'Final Data-US$'!#REF!-1</f>
        <v>#REF!</v>
      </c>
      <c r="P57" s="60" t="e">
        <f>'Final Data-US$'!#REF!/'Final Data-US$'!#REF!-1</f>
        <v>#REF!</v>
      </c>
      <c r="Q57" s="60" t="e">
        <f>'Final Data-US$'!#REF!/'Final Data-US$'!#REF!-1</f>
        <v>#REF!</v>
      </c>
      <c r="R57" s="60" t="e">
        <f>'Final Data-US$'!#REF!/'Final Data-US$'!#REF!-1</f>
        <v>#REF!</v>
      </c>
      <c r="S57" s="60" t="e">
        <f>'Final Data-US$'!#REF!/'Final Data-US$'!#REF!-1</f>
        <v>#REF!</v>
      </c>
      <c r="T57" s="60" t="e">
        <f>'Final Data-US$'!#REF!/'Final Data-US$'!#REF!-1</f>
        <v>#REF!</v>
      </c>
      <c r="U57" s="60" t="e">
        <f>'Final Data-US$'!#REF!/'Final Data-US$'!#REF!-1</f>
        <v>#REF!</v>
      </c>
      <c r="V57" s="60" t="e">
        <f>'Final Data-US$'!#REF!/'Final Data-US$'!#REF!-1</f>
        <v>#REF!</v>
      </c>
      <c r="W57" s="106" t="e">
        <f>'Final Data-US$'!#REF!</f>
        <v>#REF!</v>
      </c>
      <c r="X57" s="106" t="e">
        <f>'Final Data-US$'!#REF!</f>
        <v>#REF!</v>
      </c>
    </row>
    <row r="58" spans="1:24">
      <c r="A58" s="55" t="e">
        <f>'Secondary cum Calculation'!#REF!</f>
        <v>#REF!</v>
      </c>
      <c r="B58" s="56" t="e">
        <f>'Secondary cum Calculation'!#REF!</f>
        <v>#REF!</v>
      </c>
      <c r="C58" s="56" t="e">
        <f>'Secondary cum Calculation'!#REF!</f>
        <v>#REF!</v>
      </c>
      <c r="D58" s="55" t="e">
        <f>'Secondary cum Calculation'!#REF!</f>
        <v>#REF!</v>
      </c>
      <c r="E58" s="57"/>
      <c r="F58" s="57" t="e">
        <f>'Secondary cum Calculation'!#REF!</f>
        <v>#REF!</v>
      </c>
      <c r="G58" s="57" t="e">
        <f>'Secondary cum Calculation'!#REF!</f>
        <v>#REF!</v>
      </c>
      <c r="H58" s="57" t="e">
        <f>'Secondary cum Calculation'!#REF!</f>
        <v>#REF!</v>
      </c>
      <c r="I58" s="57" t="e">
        <f>'Secondary cum Calculation'!#REF!</f>
        <v>#REF!</v>
      </c>
      <c r="J58" s="57" t="e">
        <f>'Secondary cum Calculation'!#REF!</f>
        <v>#REF!</v>
      </c>
      <c r="K58" s="58" t="e">
        <f>'Secondary cum Calculation'!#REF!</f>
        <v>#REF!</v>
      </c>
      <c r="L58" s="59"/>
      <c r="M58" s="60" t="e">
        <f>'Final Data-US$'!#REF!/'Final Data-US$'!#REF!-1</f>
        <v>#REF!</v>
      </c>
      <c r="N58" s="60" t="e">
        <f>'Final Data-US$'!#REF!/'Final Data-US$'!#REF!-1</f>
        <v>#REF!</v>
      </c>
      <c r="O58" s="60" t="e">
        <f>'Final Data-US$'!#REF!/'Final Data-US$'!#REF!-1</f>
        <v>#REF!</v>
      </c>
      <c r="P58" s="60" t="e">
        <f>'Final Data-US$'!#REF!/'Final Data-US$'!#REF!-1</f>
        <v>#REF!</v>
      </c>
      <c r="Q58" s="60" t="e">
        <f>'Final Data-US$'!#REF!/'Final Data-US$'!#REF!-1</f>
        <v>#REF!</v>
      </c>
      <c r="R58" s="60" t="e">
        <f>'Final Data-US$'!#REF!/'Final Data-US$'!#REF!-1</f>
        <v>#REF!</v>
      </c>
      <c r="S58" s="60" t="e">
        <f>'Final Data-US$'!#REF!/'Final Data-US$'!#REF!-1</f>
        <v>#REF!</v>
      </c>
      <c r="T58" s="60" t="e">
        <f>'Final Data-US$'!#REF!/'Final Data-US$'!#REF!-1</f>
        <v>#REF!</v>
      </c>
      <c r="U58" s="60" t="e">
        <f>'Final Data-US$'!#REF!/'Final Data-US$'!#REF!-1</f>
        <v>#REF!</v>
      </c>
      <c r="V58" s="60" t="e">
        <f>'Final Data-US$'!#REF!/'Final Data-US$'!#REF!-1</f>
        <v>#REF!</v>
      </c>
      <c r="W58" s="106" t="e">
        <f>'Final Data-US$'!#REF!</f>
        <v>#REF!</v>
      </c>
      <c r="X58" s="106" t="e">
        <f>'Final Data-US$'!#REF!</f>
        <v>#REF!</v>
      </c>
    </row>
    <row r="59" spans="1:24">
      <c r="A59" s="55" t="e">
        <f>'Secondary cum Calculation'!#REF!</f>
        <v>#REF!</v>
      </c>
      <c r="B59" s="56" t="e">
        <f>'Secondary cum Calculation'!#REF!</f>
        <v>#REF!</v>
      </c>
      <c r="C59" s="56" t="e">
        <f>'Secondary cum Calculation'!#REF!</f>
        <v>#REF!</v>
      </c>
      <c r="D59" s="55" t="e">
        <f>'Secondary cum Calculation'!#REF!</f>
        <v>#REF!</v>
      </c>
      <c r="E59" s="57"/>
      <c r="F59" s="57" t="e">
        <f>'Secondary cum Calculation'!#REF!</f>
        <v>#REF!</v>
      </c>
      <c r="G59" s="57" t="e">
        <f>'Secondary cum Calculation'!#REF!</f>
        <v>#REF!</v>
      </c>
      <c r="H59" s="57" t="e">
        <f>'Secondary cum Calculation'!#REF!</f>
        <v>#REF!</v>
      </c>
      <c r="I59" s="57" t="e">
        <f>'Secondary cum Calculation'!#REF!</f>
        <v>#REF!</v>
      </c>
      <c r="J59" s="57" t="e">
        <f>'Secondary cum Calculation'!#REF!</f>
        <v>#REF!</v>
      </c>
      <c r="K59" s="58" t="e">
        <f>'Secondary cum Calculation'!#REF!</f>
        <v>#REF!</v>
      </c>
      <c r="L59" s="59"/>
      <c r="M59" s="60" t="e">
        <f>'Final Data-US$'!#REF!/'Final Data-US$'!#REF!-1</f>
        <v>#REF!</v>
      </c>
      <c r="N59" s="60" t="e">
        <f>'Final Data-US$'!#REF!/'Final Data-US$'!#REF!-1</f>
        <v>#REF!</v>
      </c>
      <c r="O59" s="60" t="e">
        <f>'Final Data-US$'!#REF!/'Final Data-US$'!#REF!-1</f>
        <v>#REF!</v>
      </c>
      <c r="P59" s="60" t="e">
        <f>'Final Data-US$'!#REF!/'Final Data-US$'!#REF!-1</f>
        <v>#REF!</v>
      </c>
      <c r="Q59" s="60" t="e">
        <f>'Final Data-US$'!#REF!/'Final Data-US$'!#REF!-1</f>
        <v>#REF!</v>
      </c>
      <c r="R59" s="60" t="e">
        <f>'Final Data-US$'!#REF!/'Final Data-US$'!#REF!-1</f>
        <v>#REF!</v>
      </c>
      <c r="S59" s="60" t="e">
        <f>'Final Data-US$'!#REF!/'Final Data-US$'!#REF!-1</f>
        <v>#REF!</v>
      </c>
      <c r="T59" s="60" t="e">
        <f>'Final Data-US$'!#REF!/'Final Data-US$'!#REF!-1</f>
        <v>#REF!</v>
      </c>
      <c r="U59" s="60" t="e">
        <f>'Final Data-US$'!#REF!/'Final Data-US$'!#REF!-1</f>
        <v>#REF!</v>
      </c>
      <c r="V59" s="60" t="e">
        <f>'Final Data-US$'!#REF!/'Final Data-US$'!#REF!-1</f>
        <v>#REF!</v>
      </c>
      <c r="W59" s="106" t="e">
        <f>'Final Data-US$'!#REF!</f>
        <v>#REF!</v>
      </c>
      <c r="X59" s="106" t="e">
        <f>'Final Data-US$'!#REF!</f>
        <v>#REF!</v>
      </c>
    </row>
    <row r="60" spans="1:24">
      <c r="A60" s="46" t="e">
        <f>'Secondary cum Calculation'!#REF!</f>
        <v>#REF!</v>
      </c>
      <c r="B60" s="47" t="e">
        <f>'Secondary cum Calculation'!#REF!</f>
        <v>#REF!</v>
      </c>
      <c r="C60" s="46" t="e">
        <f>'Secondary cum Calculation'!#REF!</f>
        <v>#REF!</v>
      </c>
      <c r="D60" s="48"/>
      <c r="E60" s="48"/>
      <c r="F60" s="48" t="e">
        <f>'Secondary cum Calculation'!#REF!</f>
        <v>#REF!</v>
      </c>
      <c r="G60" s="48" t="e">
        <f>'Secondary cum Calculation'!#REF!</f>
        <v>#REF!</v>
      </c>
      <c r="H60" s="48" t="e">
        <f>'Secondary cum Calculation'!#REF!</f>
        <v>#REF!</v>
      </c>
      <c r="I60" s="48" t="e">
        <f>'Secondary cum Calculation'!#REF!</f>
        <v>#REF!</v>
      </c>
      <c r="J60" s="48" t="e">
        <f>'Secondary cum Calculation'!#REF!</f>
        <v>#REF!</v>
      </c>
      <c r="K60" s="49" t="e">
        <f>'Secondary cum Calculation'!#REF!</f>
        <v>#REF!</v>
      </c>
      <c r="L60" s="53"/>
      <c r="M60" s="51" t="e">
        <f>'Final Data-US$'!#REF!/'Final Data-US$'!#REF!-1</f>
        <v>#REF!</v>
      </c>
      <c r="N60" s="51" t="e">
        <f>'Final Data-US$'!#REF!/'Final Data-US$'!#REF!-1</f>
        <v>#REF!</v>
      </c>
      <c r="O60" s="51" t="e">
        <f>'Final Data-US$'!#REF!/'Final Data-US$'!#REF!-1</f>
        <v>#REF!</v>
      </c>
      <c r="P60" s="51" t="e">
        <f>'Final Data-US$'!#REF!/'Final Data-US$'!#REF!-1</f>
        <v>#REF!</v>
      </c>
      <c r="Q60" s="51" t="e">
        <f>'Final Data-US$'!#REF!/'Final Data-US$'!#REF!-1</f>
        <v>#REF!</v>
      </c>
      <c r="R60" s="51" t="e">
        <f>'Final Data-US$'!#REF!/'Final Data-US$'!#REF!-1</f>
        <v>#REF!</v>
      </c>
      <c r="S60" s="51" t="e">
        <f>'Final Data-US$'!#REF!/'Final Data-US$'!#REF!-1</f>
        <v>#REF!</v>
      </c>
      <c r="T60" s="51" t="e">
        <f>'Final Data-US$'!#REF!/'Final Data-US$'!#REF!-1</f>
        <v>#REF!</v>
      </c>
      <c r="U60" s="51" t="e">
        <f>'Final Data-US$'!#REF!/'Final Data-US$'!#REF!-1</f>
        <v>#REF!</v>
      </c>
      <c r="V60" s="51" t="e">
        <f>'Final Data-US$'!#REF!/'Final Data-US$'!#REF!-1</f>
        <v>#REF!</v>
      </c>
      <c r="W60" s="102" t="e">
        <f>'Final Data-US$'!#REF!</f>
        <v>#REF!</v>
      </c>
      <c r="X60" s="102" t="e">
        <f>'Final Data-US$'!#REF!</f>
        <v>#REF!</v>
      </c>
    </row>
    <row r="61" spans="1:24">
      <c r="A61" s="46" t="e">
        <f>'Secondary cum Calculation'!#REF!</f>
        <v>#REF!</v>
      </c>
      <c r="B61" s="47" t="e">
        <f>'Secondary cum Calculation'!#REF!</f>
        <v>#REF!</v>
      </c>
      <c r="C61" s="47" t="e">
        <f>'Secondary cum Calculation'!#REF!</f>
        <v>#REF!</v>
      </c>
      <c r="D61" s="46" t="e">
        <f>'Secondary cum Calculation'!#REF!</f>
        <v>#REF!</v>
      </c>
      <c r="E61" s="48"/>
      <c r="F61" s="48" t="e">
        <f>'Secondary cum Calculation'!#REF!</f>
        <v>#REF!</v>
      </c>
      <c r="G61" s="48" t="e">
        <f>'Secondary cum Calculation'!#REF!</f>
        <v>#REF!</v>
      </c>
      <c r="H61" s="48" t="e">
        <f>'Secondary cum Calculation'!#REF!</f>
        <v>#REF!</v>
      </c>
      <c r="I61" s="48" t="e">
        <f>'Secondary cum Calculation'!#REF!</f>
        <v>#REF!</v>
      </c>
      <c r="J61" s="48" t="e">
        <f>'Secondary cum Calculation'!#REF!</f>
        <v>#REF!</v>
      </c>
      <c r="K61" s="85" t="e">
        <f>'Secondary cum Calculation'!#REF!</f>
        <v>#REF!</v>
      </c>
      <c r="L61" s="51"/>
      <c r="M61" s="51" t="e">
        <f>'Final Data-US$'!#REF!/'Final Data-US$'!#REF!-1</f>
        <v>#REF!</v>
      </c>
      <c r="N61" s="51" t="e">
        <f>'Final Data-US$'!#REF!/'Final Data-US$'!#REF!-1</f>
        <v>#REF!</v>
      </c>
      <c r="O61" s="51" t="e">
        <f>'Final Data-US$'!#REF!/'Final Data-US$'!#REF!-1</f>
        <v>#REF!</v>
      </c>
      <c r="P61" s="51" t="e">
        <f>'Final Data-US$'!#REF!/'Final Data-US$'!#REF!-1</f>
        <v>#REF!</v>
      </c>
      <c r="Q61" s="51" t="e">
        <f>'Final Data-US$'!#REF!/'Final Data-US$'!#REF!-1</f>
        <v>#REF!</v>
      </c>
      <c r="R61" s="51" t="e">
        <f>'Final Data-US$'!#REF!/'Final Data-US$'!#REF!-1</f>
        <v>#REF!</v>
      </c>
      <c r="S61" s="51" t="e">
        <f>'Final Data-US$'!#REF!/'Final Data-US$'!#REF!-1</f>
        <v>#REF!</v>
      </c>
      <c r="T61" s="51" t="e">
        <f>'Final Data-US$'!#REF!/'Final Data-US$'!#REF!-1</f>
        <v>#REF!</v>
      </c>
      <c r="U61" s="51" t="e">
        <f>'Final Data-US$'!#REF!/'Final Data-US$'!#REF!-1</f>
        <v>#REF!</v>
      </c>
      <c r="V61" s="51" t="e">
        <f>'Final Data-US$'!#REF!/'Final Data-US$'!#REF!-1</f>
        <v>#REF!</v>
      </c>
      <c r="W61" s="102" t="e">
        <f>'Final Data-US$'!#REF!</f>
        <v>#REF!</v>
      </c>
      <c r="X61" s="102" t="e">
        <f>'Final Data-US$'!#REF!</f>
        <v>#REF!</v>
      </c>
    </row>
    <row r="62" spans="1:24">
      <c r="A62" s="46" t="e">
        <f>'Secondary cum Calculation'!#REF!</f>
        <v>#REF!</v>
      </c>
      <c r="B62" s="47" t="e">
        <f>'Secondary cum Calculation'!#REF!</f>
        <v>#REF!</v>
      </c>
      <c r="C62" s="47" t="e">
        <f>'Secondary cum Calculation'!#REF!</f>
        <v>#REF!</v>
      </c>
      <c r="D62" s="46" t="e">
        <f>'Secondary cum Calculation'!#REF!</f>
        <v>#REF!</v>
      </c>
      <c r="E62" s="48"/>
      <c r="F62" s="48" t="e">
        <f>'Secondary cum Calculation'!#REF!</f>
        <v>#REF!</v>
      </c>
      <c r="G62" s="48" t="e">
        <f>'Secondary cum Calculation'!#REF!</f>
        <v>#REF!</v>
      </c>
      <c r="H62" s="48" t="e">
        <f>'Secondary cum Calculation'!#REF!</f>
        <v>#REF!</v>
      </c>
      <c r="I62" s="48" t="e">
        <f>'Secondary cum Calculation'!#REF!</f>
        <v>#REF!</v>
      </c>
      <c r="J62" s="48" t="e">
        <f>'Secondary cum Calculation'!#REF!</f>
        <v>#REF!</v>
      </c>
      <c r="K62" s="85" t="e">
        <f>'Secondary cum Calculation'!#REF!</f>
        <v>#REF!</v>
      </c>
      <c r="L62" s="51"/>
      <c r="M62" s="51" t="e">
        <f>'Final Data-US$'!#REF!/'Final Data-US$'!#REF!-1</f>
        <v>#REF!</v>
      </c>
      <c r="N62" s="51" t="e">
        <f>'Final Data-US$'!#REF!/'Final Data-US$'!#REF!-1</f>
        <v>#REF!</v>
      </c>
      <c r="O62" s="51" t="e">
        <f>'Final Data-US$'!#REF!/'Final Data-US$'!#REF!-1</f>
        <v>#REF!</v>
      </c>
      <c r="P62" s="51" t="e">
        <f>'Final Data-US$'!#REF!/'Final Data-US$'!#REF!-1</f>
        <v>#REF!</v>
      </c>
      <c r="Q62" s="51" t="e">
        <f>'Final Data-US$'!#REF!/'Final Data-US$'!#REF!-1</f>
        <v>#REF!</v>
      </c>
      <c r="R62" s="51" t="e">
        <f>'Final Data-US$'!#REF!/'Final Data-US$'!#REF!-1</f>
        <v>#REF!</v>
      </c>
      <c r="S62" s="51" t="e">
        <f>'Final Data-US$'!#REF!/'Final Data-US$'!#REF!-1</f>
        <v>#REF!</v>
      </c>
      <c r="T62" s="51" t="e">
        <f>'Final Data-US$'!#REF!/'Final Data-US$'!#REF!-1</f>
        <v>#REF!</v>
      </c>
      <c r="U62" s="51" t="e">
        <f>'Final Data-US$'!#REF!/'Final Data-US$'!#REF!-1</f>
        <v>#REF!</v>
      </c>
      <c r="V62" s="51" t="e">
        <f>'Final Data-US$'!#REF!/'Final Data-US$'!#REF!-1</f>
        <v>#REF!</v>
      </c>
      <c r="W62" s="102" t="e">
        <f>'Final Data-US$'!#REF!</f>
        <v>#REF!</v>
      </c>
      <c r="X62" s="102" t="e">
        <f>'Final Data-US$'!#REF!</f>
        <v>#REF!</v>
      </c>
    </row>
    <row r="63" spans="1:24">
      <c r="A63" s="55" t="e">
        <f>'Secondary cum Calculation'!#REF!</f>
        <v>#REF!</v>
      </c>
      <c r="B63" s="56" t="e">
        <f>'Secondary cum Calculation'!#REF!</f>
        <v>#REF!</v>
      </c>
      <c r="C63" s="55" t="e">
        <f>'Secondary cum Calculation'!#REF!</f>
        <v>#REF!</v>
      </c>
      <c r="D63" s="57"/>
      <c r="E63" s="57"/>
      <c r="F63" s="57" t="e">
        <f>'Secondary cum Calculation'!#REF!</f>
        <v>#REF!</v>
      </c>
      <c r="G63" s="57" t="e">
        <f>'Secondary cum Calculation'!#REF!</f>
        <v>#REF!</v>
      </c>
      <c r="H63" s="57" t="e">
        <f>'Secondary cum Calculation'!#REF!</f>
        <v>#REF!</v>
      </c>
      <c r="I63" s="57" t="e">
        <f>'Secondary cum Calculation'!#REF!</f>
        <v>#REF!</v>
      </c>
      <c r="J63" s="57" t="e">
        <f>'Secondary cum Calculation'!#REF!</f>
        <v>#REF!</v>
      </c>
      <c r="K63" s="86" t="e">
        <f>'Secondary cum Calculation'!#REF!</f>
        <v>#REF!</v>
      </c>
      <c r="L63" s="80"/>
      <c r="M63" s="81" t="e">
        <f>'Final Data-US$'!#REF!/'Final Data-US$'!#REF!-1</f>
        <v>#REF!</v>
      </c>
      <c r="N63" s="81" t="e">
        <f>'Final Data-US$'!#REF!/'Final Data-US$'!#REF!-1</f>
        <v>#REF!</v>
      </c>
      <c r="O63" s="81" t="e">
        <f>'Final Data-US$'!#REF!/'Final Data-US$'!#REF!-1</f>
        <v>#REF!</v>
      </c>
      <c r="P63" s="81" t="e">
        <f>'Final Data-US$'!#REF!/'Final Data-US$'!#REF!-1</f>
        <v>#REF!</v>
      </c>
      <c r="Q63" s="81" t="e">
        <f>'Final Data-US$'!#REF!/'Final Data-US$'!#REF!-1</f>
        <v>#REF!</v>
      </c>
      <c r="R63" s="81" t="e">
        <f>'Final Data-US$'!#REF!/'Final Data-US$'!#REF!-1</f>
        <v>#REF!</v>
      </c>
      <c r="S63" s="81" t="e">
        <f>'Final Data-US$'!#REF!/'Final Data-US$'!#REF!-1</f>
        <v>#REF!</v>
      </c>
      <c r="T63" s="81" t="e">
        <f>'Final Data-US$'!#REF!/'Final Data-US$'!#REF!-1</f>
        <v>#REF!</v>
      </c>
      <c r="U63" s="81" t="e">
        <f>'Final Data-US$'!#REF!/'Final Data-US$'!#REF!-1</f>
        <v>#REF!</v>
      </c>
      <c r="V63" s="81" t="e">
        <f>'Final Data-US$'!#REF!/'Final Data-US$'!#REF!-1</f>
        <v>#REF!</v>
      </c>
      <c r="W63" s="106" t="e">
        <f>'Final Data-US$'!#REF!</f>
        <v>#REF!</v>
      </c>
      <c r="X63" s="106" t="e">
        <f>'Final Data-US$'!#REF!</f>
        <v>#REF!</v>
      </c>
    </row>
    <row r="64" spans="1:24">
      <c r="A64" s="55" t="e">
        <f>'Secondary cum Calculation'!#REF!</f>
        <v>#REF!</v>
      </c>
      <c r="B64" s="56" t="e">
        <f>'Secondary cum Calculation'!#REF!</f>
        <v>#REF!</v>
      </c>
      <c r="C64" s="56" t="e">
        <f>'Secondary cum Calculation'!#REF!</f>
        <v>#REF!</v>
      </c>
      <c r="D64" s="55" t="e">
        <f>'Secondary cum Calculation'!#REF!</f>
        <v>#REF!</v>
      </c>
      <c r="E64" s="57"/>
      <c r="F64" s="57" t="e">
        <f>'Secondary cum Calculation'!#REF!</f>
        <v>#REF!</v>
      </c>
      <c r="G64" s="57" t="e">
        <f>'Secondary cum Calculation'!#REF!</f>
        <v>#REF!</v>
      </c>
      <c r="H64" s="57" t="e">
        <f>'Secondary cum Calculation'!#REF!</f>
        <v>#REF!</v>
      </c>
      <c r="I64" s="57" t="e">
        <f>'Secondary cum Calculation'!#REF!</f>
        <v>#REF!</v>
      </c>
      <c r="J64" s="57" t="e">
        <f>'Secondary cum Calculation'!#REF!</f>
        <v>#REF!</v>
      </c>
      <c r="K64" s="58" t="e">
        <f>'Secondary cum Calculation'!#REF!</f>
        <v>#REF!</v>
      </c>
      <c r="L64" s="59"/>
      <c r="M64" s="60" t="e">
        <f>'Final Data-US$'!#REF!/'Final Data-US$'!#REF!-1</f>
        <v>#REF!</v>
      </c>
      <c r="N64" s="60" t="e">
        <f>'Final Data-US$'!#REF!/'Final Data-US$'!#REF!-1</f>
        <v>#REF!</v>
      </c>
      <c r="O64" s="60" t="e">
        <f>'Final Data-US$'!#REF!/'Final Data-US$'!#REF!-1</f>
        <v>#REF!</v>
      </c>
      <c r="P64" s="60" t="e">
        <f>'Final Data-US$'!#REF!/'Final Data-US$'!#REF!-1</f>
        <v>#REF!</v>
      </c>
      <c r="Q64" s="60" t="e">
        <f>'Final Data-US$'!#REF!/'Final Data-US$'!#REF!-1</f>
        <v>#REF!</v>
      </c>
      <c r="R64" s="60" t="e">
        <f>'Final Data-US$'!#REF!/'Final Data-US$'!#REF!-1</f>
        <v>#REF!</v>
      </c>
      <c r="S64" s="60" t="e">
        <f>'Final Data-US$'!#REF!/'Final Data-US$'!#REF!-1</f>
        <v>#REF!</v>
      </c>
      <c r="T64" s="60" t="e">
        <f>'Final Data-US$'!#REF!/'Final Data-US$'!#REF!-1</f>
        <v>#REF!</v>
      </c>
      <c r="U64" s="60" t="e">
        <f>'Final Data-US$'!#REF!/'Final Data-US$'!#REF!-1</f>
        <v>#REF!</v>
      </c>
      <c r="V64" s="60" t="e">
        <f>'Final Data-US$'!#REF!/'Final Data-US$'!#REF!-1</f>
        <v>#REF!</v>
      </c>
      <c r="W64" s="106" t="e">
        <f>'Final Data-US$'!#REF!</f>
        <v>#REF!</v>
      </c>
      <c r="X64" s="106" t="e">
        <f>'Final Data-US$'!#REF!</f>
        <v>#REF!</v>
      </c>
    </row>
    <row r="65" spans="1:24">
      <c r="A65" s="55" t="e">
        <f>'Secondary cum Calculation'!#REF!</f>
        <v>#REF!</v>
      </c>
      <c r="B65" s="56" t="e">
        <f>'Secondary cum Calculation'!#REF!</f>
        <v>#REF!</v>
      </c>
      <c r="C65" s="56" t="e">
        <f>'Secondary cum Calculation'!#REF!</f>
        <v>#REF!</v>
      </c>
      <c r="D65" s="55" t="e">
        <f>'Secondary cum Calculation'!#REF!</f>
        <v>#REF!</v>
      </c>
      <c r="E65" s="57"/>
      <c r="F65" s="57" t="e">
        <f>'Secondary cum Calculation'!#REF!</f>
        <v>#REF!</v>
      </c>
      <c r="G65" s="57" t="e">
        <f>'Secondary cum Calculation'!#REF!</f>
        <v>#REF!</v>
      </c>
      <c r="H65" s="57" t="e">
        <f>'Secondary cum Calculation'!#REF!</f>
        <v>#REF!</v>
      </c>
      <c r="I65" s="57" t="e">
        <f>'Secondary cum Calculation'!#REF!</f>
        <v>#REF!</v>
      </c>
      <c r="J65" s="57" t="e">
        <f>'Secondary cum Calculation'!#REF!</f>
        <v>#REF!</v>
      </c>
      <c r="K65" s="58" t="e">
        <f>'Secondary cum Calculation'!#REF!</f>
        <v>#REF!</v>
      </c>
      <c r="L65" s="59"/>
      <c r="M65" s="60" t="e">
        <f>'Final Data-US$'!#REF!/'Final Data-US$'!#REF!-1</f>
        <v>#REF!</v>
      </c>
      <c r="N65" s="60" t="e">
        <f>'Final Data-US$'!#REF!/'Final Data-US$'!#REF!-1</f>
        <v>#REF!</v>
      </c>
      <c r="O65" s="60" t="e">
        <f>'Final Data-US$'!#REF!/'Final Data-US$'!#REF!-1</f>
        <v>#REF!</v>
      </c>
      <c r="P65" s="60" t="e">
        <f>'Final Data-US$'!#REF!/'Final Data-US$'!#REF!-1</f>
        <v>#REF!</v>
      </c>
      <c r="Q65" s="60" t="e">
        <f>'Final Data-US$'!#REF!/'Final Data-US$'!#REF!-1</f>
        <v>#REF!</v>
      </c>
      <c r="R65" s="60" t="e">
        <f>'Final Data-US$'!#REF!/'Final Data-US$'!#REF!-1</f>
        <v>#REF!</v>
      </c>
      <c r="S65" s="60" t="e">
        <f>'Final Data-US$'!#REF!/'Final Data-US$'!#REF!-1</f>
        <v>#REF!</v>
      </c>
      <c r="T65" s="60" t="e">
        <f>'Final Data-US$'!#REF!/'Final Data-US$'!#REF!-1</f>
        <v>#REF!</v>
      </c>
      <c r="U65" s="60" t="e">
        <f>'Final Data-US$'!#REF!/'Final Data-US$'!#REF!-1</f>
        <v>#REF!</v>
      </c>
      <c r="V65" s="60" t="e">
        <f>'Final Data-US$'!#REF!/'Final Data-US$'!#REF!-1</f>
        <v>#REF!</v>
      </c>
      <c r="W65" s="106" t="e">
        <f>'Final Data-US$'!#REF!</f>
        <v>#REF!</v>
      </c>
      <c r="X65" s="106" t="e">
        <f>'Final Data-US$'!#REF!</f>
        <v>#REF!</v>
      </c>
    </row>
    <row r="66" spans="1:24">
      <c r="A66" s="55" t="e">
        <f>'Secondary cum Calculation'!#REF!</f>
        <v>#REF!</v>
      </c>
      <c r="B66" s="56" t="e">
        <f>'Secondary cum Calculation'!#REF!</f>
        <v>#REF!</v>
      </c>
      <c r="C66" s="56" t="e">
        <f>'Secondary cum Calculation'!#REF!</f>
        <v>#REF!</v>
      </c>
      <c r="D66" s="56" t="e">
        <f>'Secondary cum Calculation'!#REF!</f>
        <v>#REF!</v>
      </c>
      <c r="E66" s="55" t="e">
        <f>'Secondary cum Calculation'!#REF!</f>
        <v>#REF!</v>
      </c>
      <c r="F66" s="57" t="e">
        <f>'Secondary cum Calculation'!#REF!</f>
        <v>#REF!</v>
      </c>
      <c r="G66" s="57" t="e">
        <f>'Secondary cum Calculation'!#REF!</f>
        <v>#REF!</v>
      </c>
      <c r="H66" s="57" t="e">
        <f>'Secondary cum Calculation'!#REF!</f>
        <v>#REF!</v>
      </c>
      <c r="I66" s="57" t="e">
        <f>'Secondary cum Calculation'!#REF!</f>
        <v>#REF!</v>
      </c>
      <c r="J66" s="57" t="e">
        <f>'Secondary cum Calculation'!#REF!</f>
        <v>#REF!</v>
      </c>
      <c r="K66" s="58" t="e">
        <f>'Secondary cum Calculation'!#REF!</f>
        <v>#REF!</v>
      </c>
      <c r="L66" s="59"/>
      <c r="M66" s="60" t="e">
        <f>'Final Data-US$'!#REF!/'Final Data-US$'!#REF!-1</f>
        <v>#REF!</v>
      </c>
      <c r="N66" s="60" t="e">
        <f>'Final Data-US$'!#REF!/'Final Data-US$'!#REF!-1</f>
        <v>#REF!</v>
      </c>
      <c r="O66" s="60" t="e">
        <f>'Final Data-US$'!#REF!/'Final Data-US$'!#REF!-1</f>
        <v>#REF!</v>
      </c>
      <c r="P66" s="60" t="e">
        <f>'Final Data-US$'!#REF!/'Final Data-US$'!#REF!-1</f>
        <v>#REF!</v>
      </c>
      <c r="Q66" s="60" t="e">
        <f>'Final Data-US$'!#REF!/'Final Data-US$'!#REF!-1</f>
        <v>#REF!</v>
      </c>
      <c r="R66" s="60" t="e">
        <f>'Final Data-US$'!#REF!/'Final Data-US$'!#REF!-1</f>
        <v>#REF!</v>
      </c>
      <c r="S66" s="60" t="e">
        <f>'Final Data-US$'!#REF!/'Final Data-US$'!#REF!-1</f>
        <v>#REF!</v>
      </c>
      <c r="T66" s="60" t="e">
        <f>'Final Data-US$'!#REF!/'Final Data-US$'!#REF!-1</f>
        <v>#REF!</v>
      </c>
      <c r="U66" s="60" t="e">
        <f>'Final Data-US$'!#REF!/'Final Data-US$'!#REF!-1</f>
        <v>#REF!</v>
      </c>
      <c r="V66" s="60" t="e">
        <f>'Final Data-US$'!#REF!/'Final Data-US$'!#REF!-1</f>
        <v>#REF!</v>
      </c>
      <c r="W66" s="106" t="e">
        <f>'Final Data-US$'!#REF!</f>
        <v>#REF!</v>
      </c>
      <c r="X66" s="106" t="e">
        <f>'Final Data-US$'!#REF!</f>
        <v>#REF!</v>
      </c>
    </row>
    <row r="67" spans="1:24">
      <c r="A67" s="55" t="e">
        <f>'Secondary cum Calculation'!#REF!</f>
        <v>#REF!</v>
      </c>
      <c r="B67" s="56" t="e">
        <f>'Secondary cum Calculation'!#REF!</f>
        <v>#REF!</v>
      </c>
      <c r="C67" s="56" t="e">
        <f>'Secondary cum Calculation'!#REF!</f>
        <v>#REF!</v>
      </c>
      <c r="D67" s="56" t="e">
        <f>'Secondary cum Calculation'!#REF!</f>
        <v>#REF!</v>
      </c>
      <c r="E67" s="55" t="e">
        <f>'Secondary cum Calculation'!#REF!</f>
        <v>#REF!</v>
      </c>
      <c r="F67" s="57" t="e">
        <f>'Secondary cum Calculation'!#REF!</f>
        <v>#REF!</v>
      </c>
      <c r="G67" s="57" t="e">
        <f>'Secondary cum Calculation'!#REF!</f>
        <v>#REF!</v>
      </c>
      <c r="H67" s="57" t="e">
        <f>'Secondary cum Calculation'!#REF!</f>
        <v>#REF!</v>
      </c>
      <c r="I67" s="57" t="e">
        <f>'Secondary cum Calculation'!#REF!</f>
        <v>#REF!</v>
      </c>
      <c r="J67" s="57" t="e">
        <f>'Secondary cum Calculation'!#REF!</f>
        <v>#REF!</v>
      </c>
      <c r="K67" s="58" t="e">
        <f>'Secondary cum Calculation'!#REF!</f>
        <v>#REF!</v>
      </c>
      <c r="L67" s="59"/>
      <c r="M67" s="60" t="e">
        <f>'Final Data-US$'!#REF!/'Final Data-US$'!#REF!-1</f>
        <v>#REF!</v>
      </c>
      <c r="N67" s="60" t="e">
        <f>'Final Data-US$'!#REF!/'Final Data-US$'!#REF!-1</f>
        <v>#REF!</v>
      </c>
      <c r="O67" s="60" t="e">
        <f>'Final Data-US$'!#REF!/'Final Data-US$'!#REF!-1</f>
        <v>#REF!</v>
      </c>
      <c r="P67" s="60" t="e">
        <f>'Final Data-US$'!#REF!/'Final Data-US$'!#REF!-1</f>
        <v>#REF!</v>
      </c>
      <c r="Q67" s="60" t="e">
        <f>'Final Data-US$'!#REF!/'Final Data-US$'!#REF!-1</f>
        <v>#REF!</v>
      </c>
      <c r="R67" s="60" t="e">
        <f>'Final Data-US$'!#REF!/'Final Data-US$'!#REF!-1</f>
        <v>#REF!</v>
      </c>
      <c r="S67" s="60" t="e">
        <f>'Final Data-US$'!#REF!/'Final Data-US$'!#REF!-1</f>
        <v>#REF!</v>
      </c>
      <c r="T67" s="60" t="e">
        <f>'Final Data-US$'!#REF!/'Final Data-US$'!#REF!-1</f>
        <v>#REF!</v>
      </c>
      <c r="U67" s="60" t="e">
        <f>'Final Data-US$'!#REF!/'Final Data-US$'!#REF!-1</f>
        <v>#REF!</v>
      </c>
      <c r="V67" s="60" t="e">
        <f>'Final Data-US$'!#REF!/'Final Data-US$'!#REF!-1</f>
        <v>#REF!</v>
      </c>
      <c r="W67" s="106" t="e">
        <f>'Final Data-US$'!#REF!</f>
        <v>#REF!</v>
      </c>
      <c r="X67" s="106" t="e">
        <f>'Final Data-US$'!#REF!</f>
        <v>#REF!</v>
      </c>
    </row>
    <row r="68" spans="1:24">
      <c r="A68" s="55" t="e">
        <f>'Secondary cum Calculation'!#REF!</f>
        <v>#REF!</v>
      </c>
      <c r="B68" s="56" t="e">
        <f>'Secondary cum Calculation'!#REF!</f>
        <v>#REF!</v>
      </c>
      <c r="C68" s="56" t="e">
        <f>'Secondary cum Calculation'!#REF!</f>
        <v>#REF!</v>
      </c>
      <c r="D68" s="56" t="e">
        <f>'Secondary cum Calculation'!#REF!</f>
        <v>#REF!</v>
      </c>
      <c r="E68" s="55" t="e">
        <f>'Secondary cum Calculation'!#REF!</f>
        <v>#REF!</v>
      </c>
      <c r="F68" s="57" t="e">
        <f>'Secondary cum Calculation'!#REF!</f>
        <v>#REF!</v>
      </c>
      <c r="G68" s="57" t="e">
        <f>'Secondary cum Calculation'!#REF!</f>
        <v>#REF!</v>
      </c>
      <c r="H68" s="57" t="e">
        <f>'Secondary cum Calculation'!#REF!</f>
        <v>#REF!</v>
      </c>
      <c r="I68" s="57" t="e">
        <f>'Secondary cum Calculation'!#REF!</f>
        <v>#REF!</v>
      </c>
      <c r="J68" s="57" t="e">
        <f>'Secondary cum Calculation'!#REF!</f>
        <v>#REF!</v>
      </c>
      <c r="K68" s="58" t="e">
        <f>'Secondary cum Calculation'!#REF!</f>
        <v>#REF!</v>
      </c>
      <c r="L68" s="59"/>
      <c r="M68" s="60" t="e">
        <f>'Final Data-US$'!#REF!/'Final Data-US$'!#REF!-1</f>
        <v>#REF!</v>
      </c>
      <c r="N68" s="60" t="e">
        <f>'Final Data-US$'!#REF!/'Final Data-US$'!#REF!-1</f>
        <v>#REF!</v>
      </c>
      <c r="O68" s="60" t="e">
        <f>'Final Data-US$'!#REF!/'Final Data-US$'!#REF!-1</f>
        <v>#REF!</v>
      </c>
      <c r="P68" s="60" t="e">
        <f>'Final Data-US$'!#REF!/'Final Data-US$'!#REF!-1</f>
        <v>#REF!</v>
      </c>
      <c r="Q68" s="60" t="e">
        <f>'Final Data-US$'!#REF!/'Final Data-US$'!#REF!-1</f>
        <v>#REF!</v>
      </c>
      <c r="R68" s="60" t="e">
        <f>'Final Data-US$'!#REF!/'Final Data-US$'!#REF!-1</f>
        <v>#REF!</v>
      </c>
      <c r="S68" s="60" t="e">
        <f>'Final Data-US$'!#REF!/'Final Data-US$'!#REF!-1</f>
        <v>#REF!</v>
      </c>
      <c r="T68" s="60" t="e">
        <f>'Final Data-US$'!#REF!/'Final Data-US$'!#REF!-1</f>
        <v>#REF!</v>
      </c>
      <c r="U68" s="60" t="e">
        <f>'Final Data-US$'!#REF!/'Final Data-US$'!#REF!-1</f>
        <v>#REF!</v>
      </c>
      <c r="V68" s="60" t="e">
        <f>'Final Data-US$'!#REF!/'Final Data-US$'!#REF!-1</f>
        <v>#REF!</v>
      </c>
      <c r="W68" s="106" t="e">
        <f>'Final Data-US$'!#REF!</f>
        <v>#REF!</v>
      </c>
      <c r="X68" s="106" t="e">
        <f>'Final Data-US$'!#REF!</f>
        <v>#REF!</v>
      </c>
    </row>
    <row r="69" spans="1:24">
      <c r="A69" s="55" t="e">
        <f>'Secondary cum Calculation'!#REF!</f>
        <v>#REF!</v>
      </c>
      <c r="B69" s="56" t="e">
        <f>'Secondary cum Calculation'!#REF!</f>
        <v>#REF!</v>
      </c>
      <c r="C69" s="56" t="e">
        <f>'Secondary cum Calculation'!#REF!</f>
        <v>#REF!</v>
      </c>
      <c r="D69" s="56" t="e">
        <f>'Secondary cum Calculation'!#REF!</f>
        <v>#REF!</v>
      </c>
      <c r="E69" s="55" t="e">
        <f>'Secondary cum Calculation'!#REF!</f>
        <v>#REF!</v>
      </c>
      <c r="F69" s="57" t="e">
        <f>'Secondary cum Calculation'!#REF!</f>
        <v>#REF!</v>
      </c>
      <c r="G69" s="57" t="e">
        <f>'Secondary cum Calculation'!#REF!</f>
        <v>#REF!</v>
      </c>
      <c r="H69" s="57" t="e">
        <f>'Secondary cum Calculation'!#REF!</f>
        <v>#REF!</v>
      </c>
      <c r="I69" s="57" t="e">
        <f>'Secondary cum Calculation'!#REF!</f>
        <v>#REF!</v>
      </c>
      <c r="J69" s="57" t="e">
        <f>'Secondary cum Calculation'!#REF!</f>
        <v>#REF!</v>
      </c>
      <c r="K69" s="58" t="e">
        <f>'Secondary cum Calculation'!#REF!</f>
        <v>#REF!</v>
      </c>
      <c r="L69" s="59"/>
      <c r="M69" s="60" t="e">
        <f>'Final Data-US$'!#REF!/'Final Data-US$'!#REF!-1</f>
        <v>#REF!</v>
      </c>
      <c r="N69" s="60" t="e">
        <f>'Final Data-US$'!#REF!/'Final Data-US$'!#REF!-1</f>
        <v>#REF!</v>
      </c>
      <c r="O69" s="60" t="e">
        <f>'Final Data-US$'!#REF!/'Final Data-US$'!#REF!-1</f>
        <v>#REF!</v>
      </c>
      <c r="P69" s="60" t="e">
        <f>'Final Data-US$'!#REF!/'Final Data-US$'!#REF!-1</f>
        <v>#REF!</v>
      </c>
      <c r="Q69" s="60" t="e">
        <f>'Final Data-US$'!#REF!/'Final Data-US$'!#REF!-1</f>
        <v>#REF!</v>
      </c>
      <c r="R69" s="60" t="e">
        <f>'Final Data-US$'!#REF!/'Final Data-US$'!#REF!-1</f>
        <v>#REF!</v>
      </c>
      <c r="S69" s="60" t="e">
        <f>'Final Data-US$'!#REF!/'Final Data-US$'!#REF!-1</f>
        <v>#REF!</v>
      </c>
      <c r="T69" s="60" t="e">
        <f>'Final Data-US$'!#REF!/'Final Data-US$'!#REF!-1</f>
        <v>#REF!</v>
      </c>
      <c r="U69" s="60" t="e">
        <f>'Final Data-US$'!#REF!/'Final Data-US$'!#REF!-1</f>
        <v>#REF!</v>
      </c>
      <c r="V69" s="60" t="e">
        <f>'Final Data-US$'!#REF!/'Final Data-US$'!#REF!-1</f>
        <v>#REF!</v>
      </c>
      <c r="W69" s="106" t="e">
        <f>'Final Data-US$'!#REF!</f>
        <v>#REF!</v>
      </c>
      <c r="X69" s="106" t="e">
        <f>'Final Data-US$'!#REF!</f>
        <v>#REF!</v>
      </c>
    </row>
    <row r="70" spans="1:24">
      <c r="A70" s="55" t="e">
        <f>'Secondary cum Calculation'!#REF!</f>
        <v>#REF!</v>
      </c>
      <c r="B70" s="56" t="e">
        <f>'Secondary cum Calculation'!#REF!</f>
        <v>#REF!</v>
      </c>
      <c r="C70" s="56" t="e">
        <f>'Secondary cum Calculation'!#REF!</f>
        <v>#REF!</v>
      </c>
      <c r="D70" s="56" t="e">
        <f>'Secondary cum Calculation'!#REF!</f>
        <v>#REF!</v>
      </c>
      <c r="E70" s="55" t="e">
        <f>'Secondary cum Calculation'!#REF!</f>
        <v>#REF!</v>
      </c>
      <c r="F70" s="57" t="e">
        <f>'Secondary cum Calculation'!#REF!</f>
        <v>#REF!</v>
      </c>
      <c r="G70" s="57" t="e">
        <f>'Secondary cum Calculation'!#REF!</f>
        <v>#REF!</v>
      </c>
      <c r="H70" s="57" t="e">
        <f>'Secondary cum Calculation'!#REF!</f>
        <v>#REF!</v>
      </c>
      <c r="I70" s="57" t="e">
        <f>'Secondary cum Calculation'!#REF!</f>
        <v>#REF!</v>
      </c>
      <c r="J70" s="57" t="e">
        <f>'Secondary cum Calculation'!#REF!</f>
        <v>#REF!</v>
      </c>
      <c r="K70" s="58" t="e">
        <f>'Secondary cum Calculation'!#REF!</f>
        <v>#REF!</v>
      </c>
      <c r="L70" s="59"/>
      <c r="M70" s="60" t="e">
        <f>'Final Data-US$'!#REF!/'Final Data-US$'!#REF!-1</f>
        <v>#REF!</v>
      </c>
      <c r="N70" s="60" t="e">
        <f>'Final Data-US$'!#REF!/'Final Data-US$'!#REF!-1</f>
        <v>#REF!</v>
      </c>
      <c r="O70" s="60" t="e">
        <f>'Final Data-US$'!#REF!/'Final Data-US$'!#REF!-1</f>
        <v>#REF!</v>
      </c>
      <c r="P70" s="60" t="e">
        <f>'Final Data-US$'!#REF!/'Final Data-US$'!#REF!-1</f>
        <v>#REF!</v>
      </c>
      <c r="Q70" s="60" t="e">
        <f>'Final Data-US$'!#REF!/'Final Data-US$'!#REF!-1</f>
        <v>#REF!</v>
      </c>
      <c r="R70" s="60" t="e">
        <f>'Final Data-US$'!#REF!/'Final Data-US$'!#REF!-1</f>
        <v>#REF!</v>
      </c>
      <c r="S70" s="60" t="e">
        <f>'Final Data-US$'!#REF!/'Final Data-US$'!#REF!-1</f>
        <v>#REF!</v>
      </c>
      <c r="T70" s="60" t="e">
        <f>'Final Data-US$'!#REF!/'Final Data-US$'!#REF!-1</f>
        <v>#REF!</v>
      </c>
      <c r="U70" s="60" t="e">
        <f>'Final Data-US$'!#REF!/'Final Data-US$'!#REF!-1</f>
        <v>#REF!</v>
      </c>
      <c r="V70" s="60" t="e">
        <f>'Final Data-US$'!#REF!/'Final Data-US$'!#REF!-1</f>
        <v>#REF!</v>
      </c>
      <c r="W70" s="106" t="e">
        <f>'Final Data-US$'!#REF!</f>
        <v>#REF!</v>
      </c>
      <c r="X70" s="106" t="e">
        <f>'Final Data-US$'!#REF!</f>
        <v>#REF!</v>
      </c>
    </row>
    <row r="71" spans="1:24">
      <c r="A71" s="55" t="e">
        <f>'Secondary cum Calculation'!#REF!</f>
        <v>#REF!</v>
      </c>
      <c r="B71" s="56" t="e">
        <f>'Secondary cum Calculation'!#REF!</f>
        <v>#REF!</v>
      </c>
      <c r="C71" s="56" t="e">
        <f>'Secondary cum Calculation'!#REF!</f>
        <v>#REF!</v>
      </c>
      <c r="D71" s="56" t="e">
        <f>'Secondary cum Calculation'!#REF!</f>
        <v>#REF!</v>
      </c>
      <c r="E71" s="55" t="e">
        <f>'Secondary cum Calculation'!#REF!</f>
        <v>#REF!</v>
      </c>
      <c r="F71" s="57" t="e">
        <f>'Secondary cum Calculation'!#REF!</f>
        <v>#REF!</v>
      </c>
      <c r="G71" s="57" t="e">
        <f>'Secondary cum Calculation'!#REF!</f>
        <v>#REF!</v>
      </c>
      <c r="H71" s="57" t="e">
        <f>'Secondary cum Calculation'!#REF!</f>
        <v>#REF!</v>
      </c>
      <c r="I71" s="57" t="e">
        <f>'Secondary cum Calculation'!#REF!</f>
        <v>#REF!</v>
      </c>
      <c r="J71" s="57" t="e">
        <f>'Secondary cum Calculation'!#REF!</f>
        <v>#REF!</v>
      </c>
      <c r="K71" s="58" t="e">
        <f>'Secondary cum Calculation'!#REF!</f>
        <v>#REF!</v>
      </c>
      <c r="L71" s="59"/>
      <c r="M71" s="60" t="e">
        <f>'Final Data-US$'!#REF!/'Final Data-US$'!#REF!-1</f>
        <v>#REF!</v>
      </c>
      <c r="N71" s="60" t="e">
        <f>'Final Data-US$'!#REF!/'Final Data-US$'!#REF!-1</f>
        <v>#REF!</v>
      </c>
      <c r="O71" s="60" t="e">
        <f>'Final Data-US$'!#REF!/'Final Data-US$'!#REF!-1</f>
        <v>#REF!</v>
      </c>
      <c r="P71" s="60" t="e">
        <f>'Final Data-US$'!#REF!/'Final Data-US$'!#REF!-1</f>
        <v>#REF!</v>
      </c>
      <c r="Q71" s="60" t="e">
        <f>'Final Data-US$'!#REF!/'Final Data-US$'!#REF!-1</f>
        <v>#REF!</v>
      </c>
      <c r="R71" s="60" t="e">
        <f>'Final Data-US$'!#REF!/'Final Data-US$'!#REF!-1</f>
        <v>#REF!</v>
      </c>
      <c r="S71" s="60" t="e">
        <f>'Final Data-US$'!#REF!/'Final Data-US$'!#REF!-1</f>
        <v>#REF!</v>
      </c>
      <c r="T71" s="60" t="e">
        <f>'Final Data-US$'!#REF!/'Final Data-US$'!#REF!-1</f>
        <v>#REF!</v>
      </c>
      <c r="U71" s="60" t="e">
        <f>'Final Data-US$'!#REF!/'Final Data-US$'!#REF!-1</f>
        <v>#REF!</v>
      </c>
      <c r="V71" s="60" t="e">
        <f>'Final Data-US$'!#REF!/'Final Data-US$'!#REF!-1</f>
        <v>#REF!</v>
      </c>
      <c r="W71" s="106" t="e">
        <f>'Final Data-US$'!#REF!</f>
        <v>#REF!</v>
      </c>
      <c r="X71" s="106" t="e">
        <f>'Final Data-US$'!#REF!</f>
        <v>#REF!</v>
      </c>
    </row>
    <row r="72" spans="1:24">
      <c r="A72" s="46" t="e">
        <f>'Secondary cum Calculation'!#REF!</f>
        <v>#REF!</v>
      </c>
      <c r="B72" s="47" t="e">
        <f>'Secondary cum Calculation'!#REF!</f>
        <v>#REF!</v>
      </c>
      <c r="C72" s="46" t="e">
        <f>'Secondary cum Calculation'!#REF!</f>
        <v>#REF!</v>
      </c>
      <c r="D72" s="48"/>
      <c r="E72" s="48"/>
      <c r="F72" s="48" t="e">
        <f>'Secondary cum Calculation'!#REF!</f>
        <v>#REF!</v>
      </c>
      <c r="G72" s="48" t="e">
        <f>'Secondary cum Calculation'!#REF!</f>
        <v>#REF!</v>
      </c>
      <c r="H72" s="48" t="e">
        <f>'Secondary cum Calculation'!#REF!</f>
        <v>#REF!</v>
      </c>
      <c r="I72" s="48" t="e">
        <f>'Secondary cum Calculation'!#REF!</f>
        <v>#REF!</v>
      </c>
      <c r="J72" s="48" t="e">
        <f>'Secondary cum Calculation'!#REF!</f>
        <v>#REF!</v>
      </c>
      <c r="K72" s="49" t="e">
        <f>'Secondary cum Calculation'!#REF!</f>
        <v>#REF!</v>
      </c>
      <c r="L72" s="53"/>
      <c r="M72" s="51" t="e">
        <f>'Final Data-US$'!#REF!/'Final Data-US$'!#REF!-1</f>
        <v>#REF!</v>
      </c>
      <c r="N72" s="51" t="e">
        <f>'Final Data-US$'!#REF!/'Final Data-US$'!#REF!-1</f>
        <v>#REF!</v>
      </c>
      <c r="O72" s="51" t="e">
        <f>'Final Data-US$'!#REF!/'Final Data-US$'!#REF!-1</f>
        <v>#REF!</v>
      </c>
      <c r="P72" s="51" t="e">
        <f>'Final Data-US$'!#REF!/'Final Data-US$'!#REF!-1</f>
        <v>#REF!</v>
      </c>
      <c r="Q72" s="51" t="e">
        <f>'Final Data-US$'!#REF!/'Final Data-US$'!#REF!-1</f>
        <v>#REF!</v>
      </c>
      <c r="R72" s="51" t="e">
        <f>'Final Data-US$'!#REF!/'Final Data-US$'!#REF!-1</f>
        <v>#REF!</v>
      </c>
      <c r="S72" s="51" t="e">
        <f>'Final Data-US$'!#REF!/'Final Data-US$'!#REF!-1</f>
        <v>#REF!</v>
      </c>
      <c r="T72" s="51" t="e">
        <f>'Final Data-US$'!#REF!/'Final Data-US$'!#REF!-1</f>
        <v>#REF!</v>
      </c>
      <c r="U72" s="51" t="e">
        <f>'Final Data-US$'!#REF!/'Final Data-US$'!#REF!-1</f>
        <v>#REF!</v>
      </c>
      <c r="V72" s="51" t="e">
        <f>'Final Data-US$'!#REF!/'Final Data-US$'!#REF!-1</f>
        <v>#REF!</v>
      </c>
      <c r="W72" s="102" t="e">
        <f>'Final Data-US$'!#REF!</f>
        <v>#REF!</v>
      </c>
      <c r="X72" s="102" t="e">
        <f>'Final Data-US$'!#REF!</f>
        <v>#REF!</v>
      </c>
    </row>
    <row r="73" spans="1:24">
      <c r="A73" s="46" t="e">
        <f>'Secondary cum Calculation'!#REF!</f>
        <v>#REF!</v>
      </c>
      <c r="B73" s="47" t="e">
        <f>'Secondary cum Calculation'!#REF!</f>
        <v>#REF!</v>
      </c>
      <c r="C73" s="47" t="e">
        <f>'Secondary cum Calculation'!#REF!</f>
        <v>#REF!</v>
      </c>
      <c r="D73" s="46" t="e">
        <f>'Secondary cum Calculation'!#REF!</f>
        <v>#REF!</v>
      </c>
      <c r="E73" s="48"/>
      <c r="F73" s="48" t="e">
        <f>'Secondary cum Calculation'!#REF!</f>
        <v>#REF!</v>
      </c>
      <c r="G73" s="48" t="e">
        <f>'Secondary cum Calculation'!#REF!</f>
        <v>#REF!</v>
      </c>
      <c r="H73" s="48" t="e">
        <f>'Secondary cum Calculation'!#REF!</f>
        <v>#REF!</v>
      </c>
      <c r="I73" s="48" t="e">
        <f>'Secondary cum Calculation'!#REF!</f>
        <v>#REF!</v>
      </c>
      <c r="J73" s="48" t="e">
        <f>'Secondary cum Calculation'!#REF!</f>
        <v>#REF!</v>
      </c>
      <c r="K73" s="49" t="e">
        <f>'Secondary cum Calculation'!#REF!</f>
        <v>#REF!</v>
      </c>
      <c r="L73" s="53"/>
      <c r="M73" s="51" t="e">
        <f>'Final Data-US$'!#REF!/'Final Data-US$'!#REF!-1</f>
        <v>#REF!</v>
      </c>
      <c r="N73" s="51" t="e">
        <f>'Final Data-US$'!#REF!/'Final Data-US$'!#REF!-1</f>
        <v>#REF!</v>
      </c>
      <c r="O73" s="51" t="e">
        <f>'Final Data-US$'!#REF!/'Final Data-US$'!#REF!-1</f>
        <v>#REF!</v>
      </c>
      <c r="P73" s="51" t="e">
        <f>'Final Data-US$'!#REF!/'Final Data-US$'!#REF!-1</f>
        <v>#REF!</v>
      </c>
      <c r="Q73" s="51" t="e">
        <f>'Final Data-US$'!#REF!/'Final Data-US$'!#REF!-1</f>
        <v>#REF!</v>
      </c>
      <c r="R73" s="51" t="e">
        <f>'Final Data-US$'!#REF!/'Final Data-US$'!#REF!-1</f>
        <v>#REF!</v>
      </c>
      <c r="S73" s="51" t="e">
        <f>'Final Data-US$'!#REF!/'Final Data-US$'!#REF!-1</f>
        <v>#REF!</v>
      </c>
      <c r="T73" s="51" t="e">
        <f>'Final Data-US$'!#REF!/'Final Data-US$'!#REF!-1</f>
        <v>#REF!</v>
      </c>
      <c r="U73" s="51" t="e">
        <f>'Final Data-US$'!#REF!/'Final Data-US$'!#REF!-1</f>
        <v>#REF!</v>
      </c>
      <c r="V73" s="51" t="e">
        <f>'Final Data-US$'!#REF!/'Final Data-US$'!#REF!-1</f>
        <v>#REF!</v>
      </c>
      <c r="W73" s="102" t="e">
        <f>'Final Data-US$'!#REF!</f>
        <v>#REF!</v>
      </c>
      <c r="X73" s="102" t="e">
        <f>'Final Data-US$'!#REF!</f>
        <v>#REF!</v>
      </c>
    </row>
    <row r="74" spans="1:24">
      <c r="A74" s="46" t="e">
        <f>'Secondary cum Calculation'!#REF!</f>
        <v>#REF!</v>
      </c>
      <c r="B74" s="47" t="e">
        <f>'Secondary cum Calculation'!#REF!</f>
        <v>#REF!</v>
      </c>
      <c r="C74" s="47" t="e">
        <f>'Secondary cum Calculation'!#REF!</f>
        <v>#REF!</v>
      </c>
      <c r="D74" s="46" t="e">
        <f>'Secondary cum Calculation'!#REF!</f>
        <v>#REF!</v>
      </c>
      <c r="E74" s="48"/>
      <c r="F74" s="48" t="e">
        <f>'Secondary cum Calculation'!#REF!</f>
        <v>#REF!</v>
      </c>
      <c r="G74" s="48" t="e">
        <f>'Secondary cum Calculation'!#REF!</f>
        <v>#REF!</v>
      </c>
      <c r="H74" s="48" t="e">
        <f>'Secondary cum Calculation'!#REF!</f>
        <v>#REF!</v>
      </c>
      <c r="I74" s="48" t="e">
        <f>'Secondary cum Calculation'!#REF!</f>
        <v>#REF!</v>
      </c>
      <c r="J74" s="48" t="e">
        <f>'Secondary cum Calculation'!#REF!</f>
        <v>#REF!</v>
      </c>
      <c r="K74" s="49" t="e">
        <f>'Secondary cum Calculation'!#REF!</f>
        <v>#REF!</v>
      </c>
      <c r="L74" s="53"/>
      <c r="M74" s="51" t="e">
        <f>'Final Data-US$'!#REF!/'Final Data-US$'!#REF!-1</f>
        <v>#REF!</v>
      </c>
      <c r="N74" s="51" t="e">
        <f>'Final Data-US$'!#REF!/'Final Data-US$'!#REF!-1</f>
        <v>#REF!</v>
      </c>
      <c r="O74" s="51" t="e">
        <f>'Final Data-US$'!#REF!/'Final Data-US$'!#REF!-1</f>
        <v>#REF!</v>
      </c>
      <c r="P74" s="51" t="e">
        <f>'Final Data-US$'!#REF!/'Final Data-US$'!#REF!-1</f>
        <v>#REF!</v>
      </c>
      <c r="Q74" s="51" t="e">
        <f>'Final Data-US$'!#REF!/'Final Data-US$'!#REF!-1</f>
        <v>#REF!</v>
      </c>
      <c r="R74" s="51" t="e">
        <f>'Final Data-US$'!#REF!/'Final Data-US$'!#REF!-1</f>
        <v>#REF!</v>
      </c>
      <c r="S74" s="51" t="e">
        <f>'Final Data-US$'!#REF!/'Final Data-US$'!#REF!-1</f>
        <v>#REF!</v>
      </c>
      <c r="T74" s="51" t="e">
        <f>'Final Data-US$'!#REF!/'Final Data-US$'!#REF!-1</f>
        <v>#REF!</v>
      </c>
      <c r="U74" s="51" t="e">
        <f>'Final Data-US$'!#REF!/'Final Data-US$'!#REF!-1</f>
        <v>#REF!</v>
      </c>
      <c r="V74" s="51" t="e">
        <f>'Final Data-US$'!#REF!/'Final Data-US$'!#REF!-1</f>
        <v>#REF!</v>
      </c>
      <c r="W74" s="102" t="e">
        <f>'Final Data-US$'!#REF!</f>
        <v>#REF!</v>
      </c>
      <c r="X74" s="102" t="e">
        <f>'Final Data-US$'!#REF!</f>
        <v>#REF!</v>
      </c>
    </row>
    <row r="75" spans="1:24">
      <c r="A75" s="46" t="e">
        <f>'Secondary cum Calculation'!#REF!</f>
        <v>#REF!</v>
      </c>
      <c r="B75" s="47" t="e">
        <f>'Secondary cum Calculation'!#REF!</f>
        <v>#REF!</v>
      </c>
      <c r="C75" s="47" t="e">
        <f>'Secondary cum Calculation'!#REF!</f>
        <v>#REF!</v>
      </c>
      <c r="D75" s="46" t="e">
        <f>'Secondary cum Calculation'!#REF!</f>
        <v>#REF!</v>
      </c>
      <c r="E75" s="48"/>
      <c r="F75" s="48" t="e">
        <f>'Secondary cum Calculation'!#REF!</f>
        <v>#REF!</v>
      </c>
      <c r="G75" s="48" t="e">
        <f>'Secondary cum Calculation'!#REF!</f>
        <v>#REF!</v>
      </c>
      <c r="H75" s="48" t="e">
        <f>'Secondary cum Calculation'!#REF!</f>
        <v>#REF!</v>
      </c>
      <c r="I75" s="48" t="e">
        <f>'Secondary cum Calculation'!#REF!</f>
        <v>#REF!</v>
      </c>
      <c r="J75" s="48" t="e">
        <f>'Secondary cum Calculation'!#REF!</f>
        <v>#REF!</v>
      </c>
      <c r="K75" s="49" t="e">
        <f>'Secondary cum Calculation'!#REF!</f>
        <v>#REF!</v>
      </c>
      <c r="L75" s="53"/>
      <c r="M75" s="51" t="e">
        <f>'Final Data-US$'!#REF!/'Final Data-US$'!#REF!-1</f>
        <v>#REF!</v>
      </c>
      <c r="N75" s="51" t="e">
        <f>'Final Data-US$'!#REF!/'Final Data-US$'!#REF!-1</f>
        <v>#REF!</v>
      </c>
      <c r="O75" s="51" t="e">
        <f>'Final Data-US$'!#REF!/'Final Data-US$'!#REF!-1</f>
        <v>#REF!</v>
      </c>
      <c r="P75" s="51" t="e">
        <f>'Final Data-US$'!#REF!/'Final Data-US$'!#REF!-1</f>
        <v>#REF!</v>
      </c>
      <c r="Q75" s="51" t="e">
        <f>'Final Data-US$'!#REF!/'Final Data-US$'!#REF!-1</f>
        <v>#REF!</v>
      </c>
      <c r="R75" s="51" t="e">
        <f>'Final Data-US$'!#REF!/'Final Data-US$'!#REF!-1</f>
        <v>#REF!</v>
      </c>
      <c r="S75" s="51" t="e">
        <f>'Final Data-US$'!#REF!/'Final Data-US$'!#REF!-1</f>
        <v>#REF!</v>
      </c>
      <c r="T75" s="51" t="e">
        <f>'Final Data-US$'!#REF!/'Final Data-US$'!#REF!-1</f>
        <v>#REF!</v>
      </c>
      <c r="U75" s="51" t="e">
        <f>'Final Data-US$'!#REF!/'Final Data-US$'!#REF!-1</f>
        <v>#REF!</v>
      </c>
      <c r="V75" s="51" t="e">
        <f>'Final Data-US$'!#REF!/'Final Data-US$'!#REF!-1</f>
        <v>#REF!</v>
      </c>
      <c r="W75" s="102" t="e">
        <f>'Final Data-US$'!#REF!</f>
        <v>#REF!</v>
      </c>
      <c r="X75" s="102" t="e">
        <f>'Final Data-US$'!#REF!</f>
        <v>#REF!</v>
      </c>
    </row>
    <row r="76" spans="1:24">
      <c r="A76" s="46" t="e">
        <f>'Secondary cum Calculation'!#REF!</f>
        <v>#REF!</v>
      </c>
      <c r="B76" s="47" t="e">
        <f>'Secondary cum Calculation'!#REF!</f>
        <v>#REF!</v>
      </c>
      <c r="C76" s="47" t="e">
        <f>'Secondary cum Calculation'!#REF!</f>
        <v>#REF!</v>
      </c>
      <c r="D76" s="46" t="e">
        <f>'Secondary cum Calculation'!#REF!</f>
        <v>#REF!</v>
      </c>
      <c r="E76" s="48"/>
      <c r="F76" s="48" t="e">
        <f>'Secondary cum Calculation'!#REF!</f>
        <v>#REF!</v>
      </c>
      <c r="G76" s="48" t="e">
        <f>'Secondary cum Calculation'!#REF!</f>
        <v>#REF!</v>
      </c>
      <c r="H76" s="48" t="e">
        <f>'Secondary cum Calculation'!#REF!</f>
        <v>#REF!</v>
      </c>
      <c r="I76" s="48" t="e">
        <f>'Secondary cum Calculation'!#REF!</f>
        <v>#REF!</v>
      </c>
      <c r="J76" s="48" t="e">
        <f>'Secondary cum Calculation'!#REF!</f>
        <v>#REF!</v>
      </c>
      <c r="K76" s="49" t="e">
        <f>'Secondary cum Calculation'!#REF!</f>
        <v>#REF!</v>
      </c>
      <c r="L76" s="53"/>
      <c r="M76" s="51" t="e">
        <f>'Final Data-US$'!#REF!/'Final Data-US$'!#REF!-1</f>
        <v>#REF!</v>
      </c>
      <c r="N76" s="51" t="e">
        <f>'Final Data-US$'!#REF!/'Final Data-US$'!#REF!-1</f>
        <v>#REF!</v>
      </c>
      <c r="O76" s="51" t="e">
        <f>'Final Data-US$'!#REF!/'Final Data-US$'!#REF!-1</f>
        <v>#REF!</v>
      </c>
      <c r="P76" s="51" t="e">
        <f>'Final Data-US$'!#REF!/'Final Data-US$'!#REF!-1</f>
        <v>#REF!</v>
      </c>
      <c r="Q76" s="51" t="e">
        <f>'Final Data-US$'!#REF!/'Final Data-US$'!#REF!-1</f>
        <v>#REF!</v>
      </c>
      <c r="R76" s="51" t="e">
        <f>'Final Data-US$'!#REF!/'Final Data-US$'!#REF!-1</f>
        <v>#REF!</v>
      </c>
      <c r="S76" s="51" t="e">
        <f>'Final Data-US$'!#REF!/'Final Data-US$'!#REF!-1</f>
        <v>#REF!</v>
      </c>
      <c r="T76" s="51" t="e">
        <f>'Final Data-US$'!#REF!/'Final Data-US$'!#REF!-1</f>
        <v>#REF!</v>
      </c>
      <c r="U76" s="51" t="e">
        <f>'Final Data-US$'!#REF!/'Final Data-US$'!#REF!-1</f>
        <v>#REF!</v>
      </c>
      <c r="V76" s="51" t="e">
        <f>'Final Data-US$'!#REF!/'Final Data-US$'!#REF!-1</f>
        <v>#REF!</v>
      </c>
      <c r="W76" s="102" t="e">
        <f>'Final Data-US$'!#REF!</f>
        <v>#REF!</v>
      </c>
      <c r="X76" s="102" t="e">
        <f>'Final Data-US$'!#REF!</f>
        <v>#REF!</v>
      </c>
    </row>
    <row r="77" spans="1:24">
      <c r="A77" s="46" t="e">
        <f>'Secondary cum Calculation'!#REF!</f>
        <v>#REF!</v>
      </c>
      <c r="B77" s="47" t="e">
        <f>'Secondary cum Calculation'!#REF!</f>
        <v>#REF!</v>
      </c>
      <c r="C77" s="47" t="e">
        <f>'Secondary cum Calculation'!#REF!</f>
        <v>#REF!</v>
      </c>
      <c r="D77" s="46" t="e">
        <f>'Secondary cum Calculation'!#REF!</f>
        <v>#REF!</v>
      </c>
      <c r="E77" s="48"/>
      <c r="F77" s="48" t="e">
        <f>'Secondary cum Calculation'!#REF!</f>
        <v>#REF!</v>
      </c>
      <c r="G77" s="48" t="e">
        <f>'Secondary cum Calculation'!#REF!</f>
        <v>#REF!</v>
      </c>
      <c r="H77" s="48" t="e">
        <f>'Secondary cum Calculation'!#REF!</f>
        <v>#REF!</v>
      </c>
      <c r="I77" s="48" t="e">
        <f>'Secondary cum Calculation'!#REF!</f>
        <v>#REF!</v>
      </c>
      <c r="J77" s="48" t="e">
        <f>'Secondary cum Calculation'!#REF!</f>
        <v>#REF!</v>
      </c>
      <c r="K77" s="49" t="e">
        <f>'Secondary cum Calculation'!#REF!</f>
        <v>#REF!</v>
      </c>
      <c r="L77" s="53"/>
      <c r="M77" s="51" t="e">
        <f>'Final Data-US$'!#REF!/'Final Data-US$'!#REF!-1</f>
        <v>#REF!</v>
      </c>
      <c r="N77" s="51" t="e">
        <f>'Final Data-US$'!#REF!/'Final Data-US$'!#REF!-1</f>
        <v>#REF!</v>
      </c>
      <c r="O77" s="51" t="e">
        <f>'Final Data-US$'!#REF!/'Final Data-US$'!#REF!-1</f>
        <v>#REF!</v>
      </c>
      <c r="P77" s="51" t="e">
        <f>'Final Data-US$'!#REF!/'Final Data-US$'!#REF!-1</f>
        <v>#REF!</v>
      </c>
      <c r="Q77" s="51" t="e">
        <f>'Final Data-US$'!#REF!/'Final Data-US$'!#REF!-1</f>
        <v>#REF!</v>
      </c>
      <c r="R77" s="51" t="e">
        <f>'Final Data-US$'!#REF!/'Final Data-US$'!#REF!-1</f>
        <v>#REF!</v>
      </c>
      <c r="S77" s="51" t="e">
        <f>'Final Data-US$'!#REF!/'Final Data-US$'!#REF!-1</f>
        <v>#REF!</v>
      </c>
      <c r="T77" s="51" t="e">
        <f>'Final Data-US$'!#REF!/'Final Data-US$'!#REF!-1</f>
        <v>#REF!</v>
      </c>
      <c r="U77" s="51" t="e">
        <f>'Final Data-US$'!#REF!/'Final Data-US$'!#REF!-1</f>
        <v>#REF!</v>
      </c>
      <c r="V77" s="51" t="e">
        <f>'Final Data-US$'!#REF!/'Final Data-US$'!#REF!-1</f>
        <v>#REF!</v>
      </c>
      <c r="W77" s="102" t="e">
        <f>'Final Data-US$'!#REF!</f>
        <v>#REF!</v>
      </c>
      <c r="X77" s="102" t="e">
        <f>'Final Data-US$'!#REF!</f>
        <v>#REF!</v>
      </c>
    </row>
    <row r="78" spans="1:24">
      <c r="A78" s="46" t="e">
        <f>'Secondary cum Calculation'!#REF!</f>
        <v>#REF!</v>
      </c>
      <c r="B78" s="47" t="e">
        <f>'Secondary cum Calculation'!#REF!</f>
        <v>#REF!</v>
      </c>
      <c r="C78" s="47" t="e">
        <f>'Secondary cum Calculation'!#REF!</f>
        <v>#REF!</v>
      </c>
      <c r="D78" s="46" t="e">
        <f>'Secondary cum Calculation'!#REF!</f>
        <v>#REF!</v>
      </c>
      <c r="E78" s="48"/>
      <c r="F78" s="48" t="e">
        <f>'Secondary cum Calculation'!#REF!</f>
        <v>#REF!</v>
      </c>
      <c r="G78" s="48" t="e">
        <f>'Secondary cum Calculation'!#REF!</f>
        <v>#REF!</v>
      </c>
      <c r="H78" s="48" t="e">
        <f>'Secondary cum Calculation'!#REF!</f>
        <v>#REF!</v>
      </c>
      <c r="I78" s="48" t="e">
        <f>'Secondary cum Calculation'!#REF!</f>
        <v>#REF!</v>
      </c>
      <c r="J78" s="48" t="e">
        <f>'Secondary cum Calculation'!#REF!</f>
        <v>#REF!</v>
      </c>
      <c r="K78" s="49" t="e">
        <f>'Secondary cum Calculation'!#REF!</f>
        <v>#REF!</v>
      </c>
      <c r="L78" s="53"/>
      <c r="M78" s="51" t="e">
        <f>'Final Data-US$'!#REF!/'Final Data-US$'!#REF!-1</f>
        <v>#REF!</v>
      </c>
      <c r="N78" s="51" t="e">
        <f>'Final Data-US$'!#REF!/'Final Data-US$'!#REF!-1</f>
        <v>#REF!</v>
      </c>
      <c r="O78" s="51" t="e">
        <f>'Final Data-US$'!#REF!/'Final Data-US$'!#REF!-1</f>
        <v>#REF!</v>
      </c>
      <c r="P78" s="51" t="e">
        <f>'Final Data-US$'!#REF!/'Final Data-US$'!#REF!-1</f>
        <v>#REF!</v>
      </c>
      <c r="Q78" s="51" t="e">
        <f>'Final Data-US$'!#REF!/'Final Data-US$'!#REF!-1</f>
        <v>#REF!</v>
      </c>
      <c r="R78" s="51" t="e">
        <f>'Final Data-US$'!#REF!/'Final Data-US$'!#REF!-1</f>
        <v>#REF!</v>
      </c>
      <c r="S78" s="51" t="e">
        <f>'Final Data-US$'!#REF!/'Final Data-US$'!#REF!-1</f>
        <v>#REF!</v>
      </c>
      <c r="T78" s="51" t="e">
        <f>'Final Data-US$'!#REF!/'Final Data-US$'!#REF!-1</f>
        <v>#REF!</v>
      </c>
      <c r="U78" s="51" t="e">
        <f>'Final Data-US$'!#REF!/'Final Data-US$'!#REF!-1</f>
        <v>#REF!</v>
      </c>
      <c r="V78" s="51" t="e">
        <f>'Final Data-US$'!#REF!/'Final Data-US$'!#REF!-1</f>
        <v>#REF!</v>
      </c>
      <c r="W78" s="102" t="e">
        <f>'Final Data-US$'!#REF!</f>
        <v>#REF!</v>
      </c>
      <c r="X78" s="102" t="e">
        <f>'Final Data-US$'!#REF!</f>
        <v>#REF!</v>
      </c>
    </row>
    <row r="79" spans="1:24">
      <c r="A79" s="46" t="e">
        <f>'Secondary cum Calculation'!#REF!</f>
        <v>#REF!</v>
      </c>
      <c r="B79" s="47" t="e">
        <f>'Secondary cum Calculation'!#REF!</f>
        <v>#REF!</v>
      </c>
      <c r="C79" s="47" t="e">
        <f>'Secondary cum Calculation'!#REF!</f>
        <v>#REF!</v>
      </c>
      <c r="D79" s="46" t="e">
        <f>'Secondary cum Calculation'!#REF!</f>
        <v>#REF!</v>
      </c>
      <c r="E79" s="48"/>
      <c r="F79" s="48" t="e">
        <f>'Secondary cum Calculation'!#REF!</f>
        <v>#REF!</v>
      </c>
      <c r="G79" s="48" t="e">
        <f>'Secondary cum Calculation'!#REF!</f>
        <v>#REF!</v>
      </c>
      <c r="H79" s="48" t="e">
        <f>'Secondary cum Calculation'!#REF!</f>
        <v>#REF!</v>
      </c>
      <c r="I79" s="48" t="e">
        <f>'Secondary cum Calculation'!#REF!</f>
        <v>#REF!</v>
      </c>
      <c r="J79" s="48" t="e">
        <f>'Secondary cum Calculation'!#REF!</f>
        <v>#REF!</v>
      </c>
      <c r="K79" s="49" t="e">
        <f>'Secondary cum Calculation'!#REF!</f>
        <v>#REF!</v>
      </c>
      <c r="L79" s="53"/>
      <c r="M79" s="51" t="e">
        <f>'Final Data-US$'!#REF!/'Final Data-US$'!#REF!-1</f>
        <v>#REF!</v>
      </c>
      <c r="N79" s="51" t="e">
        <f>'Final Data-US$'!#REF!/'Final Data-US$'!#REF!-1</f>
        <v>#REF!</v>
      </c>
      <c r="O79" s="51" t="e">
        <f>'Final Data-US$'!#REF!/'Final Data-US$'!#REF!-1</f>
        <v>#REF!</v>
      </c>
      <c r="P79" s="51" t="e">
        <f>'Final Data-US$'!#REF!/'Final Data-US$'!#REF!-1</f>
        <v>#REF!</v>
      </c>
      <c r="Q79" s="51" t="e">
        <f>'Final Data-US$'!#REF!/'Final Data-US$'!#REF!-1</f>
        <v>#REF!</v>
      </c>
      <c r="R79" s="51" t="e">
        <f>'Final Data-US$'!#REF!/'Final Data-US$'!#REF!-1</f>
        <v>#REF!</v>
      </c>
      <c r="S79" s="51" t="e">
        <f>'Final Data-US$'!#REF!/'Final Data-US$'!#REF!-1</f>
        <v>#REF!</v>
      </c>
      <c r="T79" s="51" t="e">
        <f>'Final Data-US$'!#REF!/'Final Data-US$'!#REF!-1</f>
        <v>#REF!</v>
      </c>
      <c r="U79" s="51" t="e">
        <f>'Final Data-US$'!#REF!/'Final Data-US$'!#REF!-1</f>
        <v>#REF!</v>
      </c>
      <c r="V79" s="51" t="e">
        <f>'Final Data-US$'!#REF!/'Final Data-US$'!#REF!-1</f>
        <v>#REF!</v>
      </c>
      <c r="W79" s="102" t="e">
        <f>'Final Data-US$'!#REF!</f>
        <v>#REF!</v>
      </c>
      <c r="X79" s="102" t="e">
        <f>'Final Data-US$'!#REF!</f>
        <v>#REF!</v>
      </c>
    </row>
    <row r="80" spans="1:24">
      <c r="A80" s="46" t="e">
        <f>'Secondary cum Calculation'!#REF!</f>
        <v>#REF!</v>
      </c>
      <c r="B80" s="47" t="e">
        <f>'Secondary cum Calculation'!#REF!</f>
        <v>#REF!</v>
      </c>
      <c r="C80" s="47" t="e">
        <f>'Secondary cum Calculation'!#REF!</f>
        <v>#REF!</v>
      </c>
      <c r="D80" s="46" t="e">
        <f>'Secondary cum Calculation'!#REF!</f>
        <v>#REF!</v>
      </c>
      <c r="E80" s="48"/>
      <c r="F80" s="48" t="e">
        <f>'Secondary cum Calculation'!#REF!</f>
        <v>#REF!</v>
      </c>
      <c r="G80" s="48" t="e">
        <f>'Secondary cum Calculation'!#REF!</f>
        <v>#REF!</v>
      </c>
      <c r="H80" s="48" t="e">
        <f>'Secondary cum Calculation'!#REF!</f>
        <v>#REF!</v>
      </c>
      <c r="I80" s="48" t="e">
        <f>'Secondary cum Calculation'!#REF!</f>
        <v>#REF!</v>
      </c>
      <c r="J80" s="48" t="e">
        <f>'Secondary cum Calculation'!#REF!</f>
        <v>#REF!</v>
      </c>
      <c r="K80" s="49" t="e">
        <f>'Secondary cum Calculation'!#REF!</f>
        <v>#REF!</v>
      </c>
      <c r="L80" s="53"/>
      <c r="M80" s="51" t="e">
        <f>'Final Data-US$'!#REF!/'Final Data-US$'!#REF!-1</f>
        <v>#REF!</v>
      </c>
      <c r="N80" s="51" t="e">
        <f>'Final Data-US$'!#REF!/'Final Data-US$'!#REF!-1</f>
        <v>#REF!</v>
      </c>
      <c r="O80" s="51" t="e">
        <f>'Final Data-US$'!#REF!/'Final Data-US$'!#REF!-1</f>
        <v>#REF!</v>
      </c>
      <c r="P80" s="51" t="e">
        <f>'Final Data-US$'!#REF!/'Final Data-US$'!#REF!-1</f>
        <v>#REF!</v>
      </c>
      <c r="Q80" s="51" t="e">
        <f>'Final Data-US$'!#REF!/'Final Data-US$'!#REF!-1</f>
        <v>#REF!</v>
      </c>
      <c r="R80" s="51" t="e">
        <f>'Final Data-US$'!#REF!/'Final Data-US$'!#REF!-1</f>
        <v>#REF!</v>
      </c>
      <c r="S80" s="51" t="e">
        <f>'Final Data-US$'!#REF!/'Final Data-US$'!#REF!-1</f>
        <v>#REF!</v>
      </c>
      <c r="T80" s="51" t="e">
        <f>'Final Data-US$'!#REF!/'Final Data-US$'!#REF!-1</f>
        <v>#REF!</v>
      </c>
      <c r="U80" s="51" t="e">
        <f>'Final Data-US$'!#REF!/'Final Data-US$'!#REF!-1</f>
        <v>#REF!</v>
      </c>
      <c r="V80" s="51" t="e">
        <f>'Final Data-US$'!#REF!/'Final Data-US$'!#REF!-1</f>
        <v>#REF!</v>
      </c>
      <c r="W80" s="102" t="e">
        <f>'Final Data-US$'!#REF!</f>
        <v>#REF!</v>
      </c>
      <c r="X80" s="102" t="e">
        <f>'Final Data-US$'!#REF!</f>
        <v>#REF!</v>
      </c>
    </row>
    <row r="81" spans="1:24">
      <c r="A81" s="55" t="e">
        <f>'Secondary cum Calculation'!#REF!</f>
        <v>#REF!</v>
      </c>
      <c r="B81" s="55" t="e">
        <f>'Secondary cum Calculation'!#REF!</f>
        <v>#REF!</v>
      </c>
      <c r="C81" s="57"/>
      <c r="D81" s="57"/>
      <c r="E81" s="57"/>
      <c r="F81" s="57" t="e">
        <f>'Secondary cum Calculation'!#REF!</f>
        <v>#REF!</v>
      </c>
      <c r="G81" s="57" t="e">
        <f>'Secondary cum Calculation'!#REF!</f>
        <v>#REF!</v>
      </c>
      <c r="H81" s="57" t="e">
        <f>'Secondary cum Calculation'!#REF!</f>
        <v>#REF!</v>
      </c>
      <c r="I81" s="57" t="e">
        <f>'Secondary cum Calculation'!#REF!</f>
        <v>#REF!</v>
      </c>
      <c r="J81" s="57"/>
      <c r="K81" s="58" t="e">
        <f>'Secondary cum Calculation'!#REF!</f>
        <v>#REF!</v>
      </c>
      <c r="L81" s="59"/>
      <c r="M81" s="60" t="e">
        <f>'Final Data-US$'!#REF!/'Final Data-US$'!#REF!-1</f>
        <v>#REF!</v>
      </c>
      <c r="N81" s="60" t="e">
        <f>'Final Data-US$'!#REF!/'Final Data-US$'!#REF!-1</f>
        <v>#REF!</v>
      </c>
      <c r="O81" s="60" t="e">
        <f>'Final Data-US$'!#REF!/'Final Data-US$'!#REF!-1</f>
        <v>#REF!</v>
      </c>
      <c r="P81" s="60" t="e">
        <f>'Final Data-US$'!#REF!/'Final Data-US$'!#REF!-1</f>
        <v>#REF!</v>
      </c>
      <c r="Q81" s="60" t="e">
        <f>'Final Data-US$'!#REF!/'Final Data-US$'!#REF!-1</f>
        <v>#REF!</v>
      </c>
      <c r="R81" s="60" t="e">
        <f>'Final Data-US$'!#REF!/'Final Data-US$'!#REF!-1</f>
        <v>#REF!</v>
      </c>
      <c r="S81" s="60" t="e">
        <f>'Final Data-US$'!#REF!/'Final Data-US$'!#REF!-1</f>
        <v>#REF!</v>
      </c>
      <c r="T81" s="60" t="e">
        <f>'Final Data-US$'!#REF!/'Final Data-US$'!#REF!-1</f>
        <v>#REF!</v>
      </c>
      <c r="U81" s="60" t="e">
        <f>'Final Data-US$'!#REF!/'Final Data-US$'!#REF!-1</f>
        <v>#REF!</v>
      </c>
      <c r="V81" s="60" t="e">
        <f>'Final Data-US$'!#REF!/'Final Data-US$'!#REF!-1</f>
        <v>#REF!</v>
      </c>
      <c r="W81" s="106" t="e">
        <f>'Final Data-US$'!#REF!</f>
        <v>#REF!</v>
      </c>
      <c r="X81" s="106" t="e">
        <f>'Final Data-US$'!#REF!</f>
        <v>#REF!</v>
      </c>
    </row>
    <row r="82" spans="1:24">
      <c r="A82" s="55" t="str">
        <f>'Secondary cum Calculation'!A119</f>
        <v>Poland</v>
      </c>
      <c r="B82" s="56" t="str">
        <f>'Secondary cum Calculation'!B119</f>
        <v>Tourism Flows</v>
      </c>
      <c r="C82" s="55" t="str">
        <f>'Secondary cum Calculation'!C119</f>
        <v>Number of Domestic Trips by Region</v>
      </c>
      <c r="D82" s="57"/>
      <c r="E82" s="57"/>
      <c r="F82" s="57" t="str">
        <f>'Secondary cum Calculation'!F119</f>
        <v>The total number of domestic tourists, segmented by the destination region within their country of residence.</v>
      </c>
      <c r="G82" s="57" t="str">
        <f>'Secondary cum Calculation'!G119</f>
        <v>Tourism Demand &amp; Flows Database</v>
      </c>
      <c r="H82" s="57" t="str">
        <f>'Secondary cum Calculation'!H119</f>
        <v>New</v>
      </c>
      <c r="I82" s="57">
        <f>'Secondary cum Calculation'!I119</f>
        <v>0</v>
      </c>
      <c r="J82" s="57" t="str">
        <f>'Secondary cum Calculation'!J119</f>
        <v>Thousand</v>
      </c>
      <c r="K82" s="58">
        <f>'Secondary cum Calculation'!K119</f>
        <v>2004500</v>
      </c>
      <c r="L82" s="59"/>
      <c r="M82" s="60">
        <f>'Final Data-US$'!M45/'Final Data-US$'!L45-1</f>
        <v>0</v>
      </c>
      <c r="N82" s="60">
        <f>'Final Data-US$'!N45/'Final Data-US$'!M45-1</f>
        <v>-0.1174785100286535</v>
      </c>
      <c r="O82" s="60">
        <f>'Final Data-US$'!O45/'Final Data-US$'!N45-1</f>
        <v>0.10064935064935066</v>
      </c>
      <c r="P82" s="60">
        <f>'Final Data-US$'!P45/'Final Data-US$'!O45-1</f>
        <v>-0.12684365781710916</v>
      </c>
      <c r="Q82" s="60">
        <f>'Final Data-US$'!Q45/'Final Data-US$'!P45-1</f>
        <v>-3.3963698234317885E-2</v>
      </c>
      <c r="R82" s="60">
        <f>'Final Data-US$'!R45/'Final Data-US$'!Q45-1</f>
        <v>1.8167497717911374E-2</v>
      </c>
      <c r="S82" s="60">
        <f>'Final Data-US$'!S45/'Final Data-US$'!R45-1</f>
        <v>1.4467008691195105E-2</v>
      </c>
      <c r="T82" s="60">
        <f>'Final Data-US$'!T45/'Final Data-US$'!S45-1</f>
        <v>2.0466780261918505E-2</v>
      </c>
      <c r="U82" s="60">
        <f>'Final Data-US$'!U45/'Final Data-US$'!T45-1</f>
        <v>2.1887080077326093E-2</v>
      </c>
      <c r="V82" s="60">
        <f>'Final Data-US$'!V45/'Final Data-US$'!U45-1</f>
        <v>2.3739552501877981E-2</v>
      </c>
      <c r="W82" s="106">
        <f>'Final Data-US$'!W45</f>
        <v>-4.8596088299126095E-2</v>
      </c>
      <c r="X82" s="106">
        <f>'Final Data-US$'!X45</f>
        <v>1.9740537256371926E-2</v>
      </c>
    </row>
    <row r="83" spans="1:24">
      <c r="A83" s="55" t="str">
        <f>'Secondary cum Calculation'!A121</f>
        <v>Poland</v>
      </c>
      <c r="B83" s="56" t="str">
        <f>'Secondary cum Calculation'!B121</f>
        <v>Tourism Flows</v>
      </c>
      <c r="C83" s="56" t="str">
        <f>'Secondary cum Calculation'!C121</f>
        <v>Number of Domestic Tourists by Region</v>
      </c>
      <c r="D83" s="55" t="str">
        <f>'Secondary cum Calculation'!D121</f>
        <v>Region Centralny</v>
      </c>
      <c r="E83" s="57"/>
      <c r="F83" s="57">
        <f>'Secondary cum Calculation'!F121</f>
        <v>0</v>
      </c>
      <c r="G83" s="57" t="str">
        <f>'Secondary cum Calculation'!G121</f>
        <v>Tourism Demand &amp; Flows Database</v>
      </c>
      <c r="H83" s="57" t="str">
        <f>'Secondary cum Calculation'!H121</f>
        <v>New</v>
      </c>
      <c r="I83" s="57">
        <f>'Secondary cum Calculation'!I121</f>
        <v>0</v>
      </c>
      <c r="J83" s="57" t="str">
        <f>'Secondary cum Calculation'!J121</f>
        <v>Thousand</v>
      </c>
      <c r="K83" s="87">
        <f>'Secondary cum Calculation'!K121</f>
        <v>0</v>
      </c>
      <c r="L83" s="88"/>
      <c r="M83" s="100">
        <f>'Final Data-US$'!M46/'Final Data-US$'!L46-1</f>
        <v>3.9449638848815027E-2</v>
      </c>
      <c r="N83" s="100">
        <f>'Final Data-US$'!N46/'Final Data-US$'!M46-1</f>
        <v>-0.10993196570772379</v>
      </c>
      <c r="O83" s="100">
        <f>'Final Data-US$'!O46/'Final Data-US$'!N46-1</f>
        <v>0.20185357079589483</v>
      </c>
      <c r="P83" s="100">
        <f>'Final Data-US$'!P46/'Final Data-US$'!O46-1</f>
        <v>-0.14819741669665221</v>
      </c>
      <c r="Q83" s="100">
        <f>'Final Data-US$'!Q46/'Final Data-US$'!P46-1</f>
        <v>-1.2334351929505494E-2</v>
      </c>
      <c r="R83" s="100">
        <f>'Final Data-US$'!R46/'Final Data-US$'!Q46-1</f>
        <v>3.267216310066634E-2</v>
      </c>
      <c r="S83" s="100">
        <f>'Final Data-US$'!S46/'Final Data-US$'!R46-1</f>
        <v>2.9796722729193537E-2</v>
      </c>
      <c r="T83" s="100">
        <f>'Final Data-US$'!T46/'Final Data-US$'!S46-1</f>
        <v>2.5898629256880579E-2</v>
      </c>
      <c r="U83" s="100">
        <f>'Final Data-US$'!U46/'Final Data-US$'!T46-1</f>
        <v>3.0623796913026968E-2</v>
      </c>
      <c r="V83" s="100">
        <f>'Final Data-US$'!V46/'Final Data-US$'!U46-1</f>
        <v>2.9267365205677853E-2</v>
      </c>
      <c r="W83" s="106">
        <f>'Final Data-US$'!W46</f>
        <v>-2.6006819811057014E-2</v>
      </c>
      <c r="X83" s="106">
        <f>'Final Data-US$'!X46</f>
        <v>2.964937169159132E-2</v>
      </c>
    </row>
    <row r="84" spans="1:24">
      <c r="A84" s="55" t="str">
        <f>'Secondary cum Calculation'!A123</f>
        <v>Poland</v>
      </c>
      <c r="B84" s="56" t="str">
        <f>'Secondary cum Calculation'!B123</f>
        <v>Tourism Flows</v>
      </c>
      <c r="C84" s="56" t="str">
        <f>'Secondary cum Calculation'!C123</f>
        <v>Number of Domestic Tourists by Region</v>
      </c>
      <c r="D84" s="55" t="str">
        <f>'Secondary cum Calculation'!D123</f>
        <v>Region Poludniowy</v>
      </c>
      <c r="E84" s="57"/>
      <c r="F84" s="57">
        <f>'Secondary cum Calculation'!F123</f>
        <v>0</v>
      </c>
      <c r="G84" s="57" t="str">
        <f>'Secondary cum Calculation'!G123</f>
        <v>Tourism Demand &amp; Flows Database</v>
      </c>
      <c r="H84" s="57" t="str">
        <f>'Secondary cum Calculation'!H123</f>
        <v>New</v>
      </c>
      <c r="I84" s="57">
        <f>'Secondary cum Calculation'!I123</f>
        <v>0</v>
      </c>
      <c r="J84" s="57" t="str">
        <f>'Secondary cum Calculation'!J123</f>
        <v>Thousand</v>
      </c>
      <c r="K84" s="58">
        <f>'Secondary cum Calculation'!K123</f>
        <v>0</v>
      </c>
      <c r="L84" s="59"/>
      <c r="M84" s="60">
        <f>'Final Data-US$'!M47/'Final Data-US$'!L47-1</f>
        <v>-1.1251881062576352E-2</v>
      </c>
      <c r="N84" s="60">
        <f>'Final Data-US$'!N47/'Final Data-US$'!M47-1</f>
        <v>-7.675526552843781E-2</v>
      </c>
      <c r="O84" s="60">
        <f>'Final Data-US$'!O47/'Final Data-US$'!N47-1</f>
        <v>9.0253081813683078E-2</v>
      </c>
      <c r="P84" s="60">
        <f>'Final Data-US$'!P47/'Final Data-US$'!O47-1</f>
        <v>-0.10762873935022066</v>
      </c>
      <c r="Q84" s="60">
        <f>'Final Data-US$'!Q47/'Final Data-US$'!P47-1</f>
        <v>-2.5010653776273095E-2</v>
      </c>
      <c r="R84" s="60">
        <f>'Final Data-US$'!R47/'Final Data-US$'!Q47-1</f>
        <v>2.8426237548748068E-2</v>
      </c>
      <c r="S84" s="60">
        <f>'Final Data-US$'!S47/'Final Data-US$'!R47-1</f>
        <v>1.8561039837393434E-2</v>
      </c>
      <c r="T84" s="60">
        <f>'Final Data-US$'!T47/'Final Data-US$'!S47-1</f>
        <v>2.6245192481959112E-2</v>
      </c>
      <c r="U84" s="60">
        <f>'Final Data-US$'!U47/'Final Data-US$'!T47-1</f>
        <v>2.2628696819323668E-2</v>
      </c>
      <c r="V84" s="60">
        <f>'Final Data-US$'!V47/'Final Data-US$'!U47-1</f>
        <v>2.6884026812838746E-2</v>
      </c>
      <c r="W84" s="106">
        <f>'Final Data-US$'!W47</f>
        <v>-3.2619337214365496E-2</v>
      </c>
      <c r="X84" s="106">
        <f>'Final Data-US$'!X47</f>
        <v>2.4542889544804769E-2</v>
      </c>
    </row>
    <row r="85" spans="1:24">
      <c r="A85" s="55" t="str">
        <f>'Secondary cum Calculation'!A125</f>
        <v>Poland</v>
      </c>
      <c r="B85" s="56" t="str">
        <f>'Secondary cum Calculation'!B125</f>
        <v>Tourism Flows</v>
      </c>
      <c r="C85" s="56" t="str">
        <f>'Secondary cum Calculation'!C125</f>
        <v>Number of Domestic Tourists by Region</v>
      </c>
      <c r="D85" s="55" t="str">
        <f>'Secondary cum Calculation'!D125</f>
        <v>Region Wschodni</v>
      </c>
      <c r="E85" s="57"/>
      <c r="F85" s="57">
        <f>'Secondary cum Calculation'!F125</f>
        <v>0</v>
      </c>
      <c r="G85" s="57" t="str">
        <f>'Secondary cum Calculation'!G125</f>
        <v>Tourism Demand &amp; Flows Database</v>
      </c>
      <c r="H85" s="57" t="str">
        <f>'Secondary cum Calculation'!H125</f>
        <v>New</v>
      </c>
      <c r="I85" s="57">
        <f>'Secondary cum Calculation'!I125</f>
        <v>0</v>
      </c>
      <c r="J85" s="57" t="str">
        <f>'Secondary cum Calculation'!J125</f>
        <v>Thousand</v>
      </c>
      <c r="K85" s="58">
        <f>'Secondary cum Calculation'!K125</f>
        <v>0</v>
      </c>
      <c r="L85" s="59"/>
      <c r="M85" s="60">
        <f>'Final Data-US$'!M48/'Final Data-US$'!L48-1</f>
        <v>-4.6605202997422879E-3</v>
      </c>
      <c r="N85" s="60">
        <f>'Final Data-US$'!N48/'Final Data-US$'!M48-1</f>
        <v>-7.1937094687564596E-2</v>
      </c>
      <c r="O85" s="60">
        <f>'Final Data-US$'!O48/'Final Data-US$'!N48-1</f>
        <v>0.14034591602194491</v>
      </c>
      <c r="P85" s="60">
        <f>'Final Data-US$'!P48/'Final Data-US$'!O48-1</f>
        <v>-0.15449607425771916</v>
      </c>
      <c r="Q85" s="60">
        <f>'Final Data-US$'!Q48/'Final Data-US$'!P48-1</f>
        <v>-2.4458957892192768E-2</v>
      </c>
      <c r="R85" s="60">
        <f>'Final Data-US$'!R48/'Final Data-US$'!Q48-1</f>
        <v>3.1171762503491074E-2</v>
      </c>
      <c r="S85" s="60">
        <f>'Final Data-US$'!S48/'Final Data-US$'!R48-1</f>
        <v>1.9704625330407621E-2</v>
      </c>
      <c r="T85" s="60">
        <f>'Final Data-US$'!T48/'Final Data-US$'!S48-1</f>
        <v>2.0698804698500606E-2</v>
      </c>
      <c r="U85" s="60">
        <f>'Final Data-US$'!U48/'Final Data-US$'!T48-1</f>
        <v>2.7600736289937311E-2</v>
      </c>
      <c r="V85" s="60">
        <f>'Final Data-US$'!V48/'Final Data-US$'!U48-1</f>
        <v>2.8594956757847179E-2</v>
      </c>
      <c r="W85" s="106">
        <f>'Final Data-US$'!W48</f>
        <v>-3.3406656779354393E-2</v>
      </c>
      <c r="X85" s="106">
        <f>'Final Data-US$'!X48</f>
        <v>2.5544148374108344E-2</v>
      </c>
    </row>
    <row r="86" spans="1:24">
      <c r="A86" s="55" t="str">
        <f>'Secondary cum Calculation'!A127</f>
        <v>Poland</v>
      </c>
      <c r="B86" s="56" t="str">
        <f>'Secondary cum Calculation'!B127</f>
        <v>Tourism Flows</v>
      </c>
      <c r="C86" s="56" t="str">
        <f>'Secondary cum Calculation'!C127</f>
        <v>Number of Domestic Tourists by Region</v>
      </c>
      <c r="D86" s="55" t="str">
        <f>'Secondary cum Calculation'!D127</f>
        <v>Region Pólnocno-Zachodni</v>
      </c>
      <c r="E86" s="57"/>
      <c r="F86" s="57">
        <f>'Secondary cum Calculation'!F127</f>
        <v>0</v>
      </c>
      <c r="G86" s="57" t="str">
        <f>'Secondary cum Calculation'!G127</f>
        <v>Tourism Demand &amp; Flows Database</v>
      </c>
      <c r="H86" s="57" t="str">
        <f>'Secondary cum Calculation'!H127</f>
        <v>New</v>
      </c>
      <c r="I86" s="57">
        <f>'Secondary cum Calculation'!I127</f>
        <v>0</v>
      </c>
      <c r="J86" s="57" t="str">
        <f>'Secondary cum Calculation'!J127</f>
        <v>Thousand</v>
      </c>
      <c r="K86" s="58">
        <f>'Secondary cum Calculation'!K127</f>
        <v>0</v>
      </c>
      <c r="L86" s="59"/>
      <c r="M86" s="60">
        <f>'Final Data-US$'!M49/'Final Data-US$'!L49-1</f>
        <v>1.8893265878823895E-2</v>
      </c>
      <c r="N86" s="60">
        <f>'Final Data-US$'!N49/'Final Data-US$'!M49-1</f>
        <v>-0.14086846153770238</v>
      </c>
      <c r="O86" s="60">
        <f>'Final Data-US$'!O49/'Final Data-US$'!N49-1</f>
        <v>8.9619452652646814E-2</v>
      </c>
      <c r="P86" s="60">
        <f>'Final Data-US$'!P49/'Final Data-US$'!O49-1</f>
        <v>-0.12681000627871131</v>
      </c>
      <c r="Q86" s="60">
        <f>'Final Data-US$'!Q49/'Final Data-US$'!P49-1</f>
        <v>-3.7467730442207414E-2</v>
      </c>
      <c r="R86" s="60">
        <f>'Final Data-US$'!R49/'Final Data-US$'!Q49-1</f>
        <v>9.9562678611397892E-3</v>
      </c>
      <c r="S86" s="60">
        <f>'Final Data-US$'!S49/'Final Data-US$'!R49-1</f>
        <v>1.0063125893476021E-2</v>
      </c>
      <c r="T86" s="60">
        <f>'Final Data-US$'!T49/'Final Data-US$'!S49-1</f>
        <v>2.0507627228480985E-2</v>
      </c>
      <c r="U86" s="60">
        <f>'Final Data-US$'!U49/'Final Data-US$'!T49-1</f>
        <v>1.8615077449766426E-2</v>
      </c>
      <c r="V86" s="60">
        <f>'Final Data-US$'!V49/'Final Data-US$'!U49-1</f>
        <v>2.2144102177581448E-2</v>
      </c>
      <c r="W86" s="106">
        <f>'Final Data-US$'!W49</f>
        <v>-5.8187089071490949E-2</v>
      </c>
      <c r="X86" s="106">
        <f>'Final Data-US$'!X49</f>
        <v>1.6243810631424438E-2</v>
      </c>
    </row>
    <row r="87" spans="1:24">
      <c r="A87" s="55" t="str">
        <f>'Secondary cum Calculation'!A129</f>
        <v>Poland</v>
      </c>
      <c r="B87" s="56" t="str">
        <f>'Secondary cum Calculation'!B129</f>
        <v>Tourism Flows</v>
      </c>
      <c r="C87" s="56" t="str">
        <f>'Secondary cum Calculation'!C129</f>
        <v>Number of Domestic Tourists by Region</v>
      </c>
      <c r="D87" s="55" t="str">
        <f>'Secondary cum Calculation'!D129</f>
        <v>Region Poludniowo-Zachodni</v>
      </c>
      <c r="E87" s="57"/>
      <c r="F87" s="57">
        <f>'Secondary cum Calculation'!F129</f>
        <v>0</v>
      </c>
      <c r="G87" s="57" t="str">
        <f>'Secondary cum Calculation'!G129</f>
        <v>Tourism Demand &amp; Flows Database</v>
      </c>
      <c r="H87" s="57" t="str">
        <f>'Secondary cum Calculation'!H129</f>
        <v>New</v>
      </c>
      <c r="I87" s="57">
        <f>'Secondary cum Calculation'!I129</f>
        <v>0</v>
      </c>
      <c r="J87" s="57" t="str">
        <f>'Secondary cum Calculation'!J129</f>
        <v>Thousand</v>
      </c>
      <c r="K87" s="58">
        <f>'Secondary cum Calculation'!K129</f>
        <v>0</v>
      </c>
      <c r="L87" s="59"/>
      <c r="M87" s="60">
        <f>'Final Data-US$'!M50/'Final Data-US$'!L50-1</f>
        <v>-1.2259961533587327E-2</v>
      </c>
      <c r="N87" s="60">
        <f>'Final Data-US$'!N50/'Final Data-US$'!M50-1</f>
        <v>-0.15714053639871495</v>
      </c>
      <c r="O87" s="60">
        <f>'Final Data-US$'!O50/'Final Data-US$'!N50-1</f>
        <v>8.0802207624530054E-2</v>
      </c>
      <c r="P87" s="60">
        <f>'Final Data-US$'!P50/'Final Data-US$'!O50-1</f>
        <v>-0.10549528510902473</v>
      </c>
      <c r="Q87" s="60">
        <f>'Final Data-US$'!Q50/'Final Data-US$'!P50-1</f>
        <v>-4.4014081491008272E-2</v>
      </c>
      <c r="R87" s="60">
        <f>'Final Data-US$'!R50/'Final Data-US$'!Q50-1</f>
        <v>7.9521949886618426E-3</v>
      </c>
      <c r="S87" s="60">
        <f>'Final Data-US$'!S50/'Final Data-US$'!R50-1</f>
        <v>1.0036850862073177E-2</v>
      </c>
      <c r="T87" s="60">
        <f>'Final Data-US$'!T50/'Final Data-US$'!S50-1</f>
        <v>1.8326005599895501E-2</v>
      </c>
      <c r="U87" s="60">
        <f>'Final Data-US$'!U50/'Final Data-US$'!T50-1</f>
        <v>1.5007872046292503E-2</v>
      </c>
      <c r="V87" s="60">
        <f>'Final Data-US$'!V50/'Final Data-US$'!U50-1</f>
        <v>1.9574732503543357E-2</v>
      </c>
      <c r="W87" s="106">
        <f>'Final Data-US$'!W50</f>
        <v>-6.052791557410786E-2</v>
      </c>
      <c r="X87" s="106">
        <f>'Final Data-US$'!X50</f>
        <v>1.4169376682476198E-2</v>
      </c>
    </row>
    <row r="88" spans="1:24">
      <c r="A88" s="55" t="str">
        <f>'Secondary cum Calculation'!A131</f>
        <v>Poland</v>
      </c>
      <c r="B88" s="56" t="str">
        <f>'Secondary cum Calculation'!B131</f>
        <v>Tourism Flows</v>
      </c>
      <c r="C88" s="56" t="str">
        <f>'Secondary cum Calculation'!C131</f>
        <v>Number of Domestic Tourists by Region</v>
      </c>
      <c r="D88" s="55" t="str">
        <f>'Secondary cum Calculation'!D131</f>
        <v>Region Pólnocny</v>
      </c>
      <c r="E88" s="57"/>
      <c r="F88" s="57">
        <f>'Secondary cum Calculation'!F131</f>
        <v>0</v>
      </c>
      <c r="G88" s="57" t="str">
        <f>'Secondary cum Calculation'!G131</f>
        <v>Tourism Demand &amp; Flows Database</v>
      </c>
      <c r="H88" s="57" t="str">
        <f>'Secondary cum Calculation'!H131</f>
        <v>New</v>
      </c>
      <c r="I88" s="57">
        <f>'Secondary cum Calculation'!I131</f>
        <v>0</v>
      </c>
      <c r="J88" s="57" t="str">
        <f>'Secondary cum Calculation'!J131</f>
        <v>Thousand</v>
      </c>
      <c r="K88" s="58">
        <f>'Secondary cum Calculation'!K131</f>
        <v>0</v>
      </c>
      <c r="L88" s="59"/>
      <c r="M88" s="60">
        <f>'Final Data-US$'!M51/'Final Data-US$'!L51-1</f>
        <v>-2.128142178707082E-2</v>
      </c>
      <c r="N88" s="60">
        <f>'Final Data-US$'!N51/'Final Data-US$'!M51-1</f>
        <v>-0.13685701388959237</v>
      </c>
      <c r="O88" s="60">
        <f>'Final Data-US$'!O51/'Final Data-US$'!N51-1</f>
        <v>5.9036196018511955E-2</v>
      </c>
      <c r="P88" s="60">
        <f>'Final Data-US$'!P51/'Final Data-US$'!O51-1</f>
        <v>-0.1281960639702302</v>
      </c>
      <c r="Q88" s="60">
        <f>'Final Data-US$'!Q51/'Final Data-US$'!P51-1</f>
        <v>-5.2301402504671191E-2</v>
      </c>
      <c r="R88" s="60">
        <f>'Final Data-US$'!R51/'Final Data-US$'!Q51-1</f>
        <v>5.5536500010073819E-3</v>
      </c>
      <c r="S88" s="60">
        <f>'Final Data-US$'!S51/'Final Data-US$'!R51-1</f>
        <v>4.7737029759444827E-3</v>
      </c>
      <c r="T88" s="60">
        <f>'Final Data-US$'!T51/'Final Data-US$'!S51-1</f>
        <v>1.1356827020383209E-2</v>
      </c>
      <c r="U88" s="60">
        <f>'Final Data-US$'!U51/'Final Data-US$'!T51-1</f>
        <v>1.9277195382922052E-2</v>
      </c>
      <c r="V88" s="60">
        <f>'Final Data-US$'!V51/'Final Data-US$'!U51-1</f>
        <v>1.7569402439018944E-2</v>
      </c>
      <c r="W88" s="106">
        <f>'Final Data-US$'!W51</f>
        <v>-6.7775197976605694E-2</v>
      </c>
      <c r="X88" s="106">
        <f>'Final Data-US$'!X51</f>
        <v>1.1688592235932216E-2</v>
      </c>
    </row>
    <row r="89" spans="1:24">
      <c r="A89" s="55" t="str">
        <f>'Secondary cum Calculation'!A133</f>
        <v>Poland</v>
      </c>
      <c r="B89" s="56" t="str">
        <f>'Secondary cum Calculation'!B133</f>
        <v>Tourism Flows</v>
      </c>
      <c r="C89" s="56" t="str">
        <f>'Secondary cum Calculation'!C133</f>
        <v>Number of Domestic Tourists by Region</v>
      </c>
      <c r="D89" s="55" t="str">
        <f>'Secondary cum Calculation'!D133</f>
        <v>REGION 7</v>
      </c>
      <c r="E89" s="57"/>
      <c r="F89" s="57">
        <f>'Secondary cum Calculation'!F133</f>
        <v>0</v>
      </c>
      <c r="G89" s="57" t="str">
        <f>'Secondary cum Calculation'!G133</f>
        <v>Tourism Demand &amp; Flows Database</v>
      </c>
      <c r="H89" s="57" t="str">
        <f>'Secondary cum Calculation'!H133</f>
        <v>New</v>
      </c>
      <c r="I89" s="57">
        <f>'Secondary cum Calculation'!I133</f>
        <v>0</v>
      </c>
      <c r="J89" s="57" t="str">
        <f>'Secondary cum Calculation'!J133</f>
        <v>Thousand</v>
      </c>
      <c r="K89" s="58">
        <f>'Secondary cum Calculation'!K133</f>
        <v>0</v>
      </c>
      <c r="L89" s="59"/>
      <c r="M89" s="60" t="e">
        <f>'Final Data-US$'!M52/'Final Data-US$'!L52-1</f>
        <v>#DIV/0!</v>
      </c>
      <c r="N89" s="60" t="e">
        <f>'Final Data-US$'!N52/'Final Data-US$'!M52-1</f>
        <v>#DIV/0!</v>
      </c>
      <c r="O89" s="60" t="e">
        <f>'Final Data-US$'!O52/'Final Data-US$'!N52-1</f>
        <v>#DIV/0!</v>
      </c>
      <c r="P89" s="60" t="e">
        <f>'Final Data-US$'!P52/'Final Data-US$'!O52-1</f>
        <v>#DIV/0!</v>
      </c>
      <c r="Q89" s="60" t="e">
        <f>'Final Data-US$'!Q52/'Final Data-US$'!P52-1</f>
        <v>#DIV/0!</v>
      </c>
      <c r="R89" s="60" t="e">
        <f>'Final Data-US$'!R52/'Final Data-US$'!Q52-1</f>
        <v>#DIV/0!</v>
      </c>
      <c r="S89" s="60" t="e">
        <f>'Final Data-US$'!S52/'Final Data-US$'!R52-1</f>
        <v>#DIV/0!</v>
      </c>
      <c r="T89" s="60" t="e">
        <f>'Final Data-US$'!T52/'Final Data-US$'!S52-1</f>
        <v>#DIV/0!</v>
      </c>
      <c r="U89" s="60" t="e">
        <f>'Final Data-US$'!U52/'Final Data-US$'!T52-1</f>
        <v>#DIV/0!</v>
      </c>
      <c r="V89" s="60" t="e">
        <f>'Final Data-US$'!V52/'Final Data-US$'!U52-1</f>
        <v>#DIV/0!</v>
      </c>
      <c r="W89" s="106" t="e">
        <f>'Final Data-US$'!W52</f>
        <v>#DIV/0!</v>
      </c>
      <c r="X89" s="106" t="e">
        <f>'Final Data-US$'!X52</f>
        <v>#DIV/0!</v>
      </c>
    </row>
    <row r="90" spans="1:24">
      <c r="A90" s="55" t="str">
        <f>'Secondary cum Calculation'!A135</f>
        <v>Poland</v>
      </c>
      <c r="B90" s="56" t="str">
        <f>'Secondary cum Calculation'!B135</f>
        <v>Tourism Flows</v>
      </c>
      <c r="C90" s="56" t="str">
        <f>'Secondary cum Calculation'!C135</f>
        <v>Number of Domestic Tourists by Region</v>
      </c>
      <c r="D90" s="55" t="str">
        <f>'Secondary cum Calculation'!D135</f>
        <v>REGION 8</v>
      </c>
      <c r="E90" s="57"/>
      <c r="F90" s="57">
        <f>'Secondary cum Calculation'!F135</f>
        <v>0</v>
      </c>
      <c r="G90" s="57" t="str">
        <f>'Secondary cum Calculation'!G135</f>
        <v>Tourism Demand &amp; Flows Database</v>
      </c>
      <c r="H90" s="57" t="str">
        <f>'Secondary cum Calculation'!H135</f>
        <v>New</v>
      </c>
      <c r="I90" s="57">
        <f>'Secondary cum Calculation'!I135</f>
        <v>0</v>
      </c>
      <c r="J90" s="57" t="str">
        <f>'Secondary cum Calculation'!J135</f>
        <v>Thousand</v>
      </c>
      <c r="K90" s="58">
        <f>'Secondary cum Calculation'!K135</f>
        <v>0</v>
      </c>
      <c r="L90" s="59"/>
      <c r="M90" s="60" t="e">
        <f>'Final Data-US$'!M53/'Final Data-US$'!L53-1</f>
        <v>#DIV/0!</v>
      </c>
      <c r="N90" s="60" t="e">
        <f>'Final Data-US$'!N53/'Final Data-US$'!M53-1</f>
        <v>#DIV/0!</v>
      </c>
      <c r="O90" s="60" t="e">
        <f>'Final Data-US$'!O53/'Final Data-US$'!N53-1</f>
        <v>#DIV/0!</v>
      </c>
      <c r="P90" s="60" t="e">
        <f>'Final Data-US$'!P53/'Final Data-US$'!O53-1</f>
        <v>#DIV/0!</v>
      </c>
      <c r="Q90" s="60" t="e">
        <f>'Final Data-US$'!Q53/'Final Data-US$'!P53-1</f>
        <v>#DIV/0!</v>
      </c>
      <c r="R90" s="60" t="e">
        <f>'Final Data-US$'!R53/'Final Data-US$'!Q53-1</f>
        <v>#DIV/0!</v>
      </c>
      <c r="S90" s="60" t="e">
        <f>'Final Data-US$'!S53/'Final Data-US$'!R53-1</f>
        <v>#DIV/0!</v>
      </c>
      <c r="T90" s="60" t="e">
        <f>'Final Data-US$'!T53/'Final Data-US$'!S53-1</f>
        <v>#DIV/0!</v>
      </c>
      <c r="U90" s="60" t="e">
        <f>'Final Data-US$'!U53/'Final Data-US$'!T53-1</f>
        <v>#DIV/0!</v>
      </c>
      <c r="V90" s="60" t="e">
        <f>'Final Data-US$'!V53/'Final Data-US$'!U53-1</f>
        <v>#DIV/0!</v>
      </c>
      <c r="W90" s="106" t="e">
        <f>'Final Data-US$'!W53</f>
        <v>#DIV/0!</v>
      </c>
      <c r="X90" s="106" t="e">
        <f>'Final Data-US$'!X53</f>
        <v>#DIV/0!</v>
      </c>
    </row>
    <row r="91" spans="1:24">
      <c r="A91" s="55" t="str">
        <f>'Secondary cum Calculation'!A137</f>
        <v>Poland</v>
      </c>
      <c r="B91" s="56" t="str">
        <f>'Secondary cum Calculation'!B137</f>
        <v>Tourism Flows</v>
      </c>
      <c r="C91" s="56" t="str">
        <f>'Secondary cum Calculation'!C137</f>
        <v>Number of Domestic Tourists by Region</v>
      </c>
      <c r="D91" s="55" t="str">
        <f>'Secondary cum Calculation'!D137</f>
        <v>REGION 9</v>
      </c>
      <c r="E91" s="57"/>
      <c r="F91" s="57">
        <f>'Secondary cum Calculation'!F137</f>
        <v>0</v>
      </c>
      <c r="G91" s="57" t="str">
        <f>'Secondary cum Calculation'!G137</f>
        <v>Tourism Demand &amp; Flows Database</v>
      </c>
      <c r="H91" s="57" t="str">
        <f>'Secondary cum Calculation'!H137</f>
        <v>New</v>
      </c>
      <c r="I91" s="57">
        <f>'Secondary cum Calculation'!I137</f>
        <v>0</v>
      </c>
      <c r="J91" s="57" t="str">
        <f>'Secondary cum Calculation'!J137</f>
        <v>Thousand</v>
      </c>
      <c r="K91" s="58">
        <f>'Secondary cum Calculation'!K137</f>
        <v>0</v>
      </c>
      <c r="L91" s="59"/>
      <c r="M91" s="60" t="e">
        <f>'Final Data-US$'!M54/'Final Data-US$'!L54-1</f>
        <v>#DIV/0!</v>
      </c>
      <c r="N91" s="60" t="e">
        <f>'Final Data-US$'!N54/'Final Data-US$'!M54-1</f>
        <v>#DIV/0!</v>
      </c>
      <c r="O91" s="60" t="e">
        <f>'Final Data-US$'!O54/'Final Data-US$'!N54-1</f>
        <v>#DIV/0!</v>
      </c>
      <c r="P91" s="60" t="e">
        <f>'Final Data-US$'!P54/'Final Data-US$'!O54-1</f>
        <v>#DIV/0!</v>
      </c>
      <c r="Q91" s="60" t="e">
        <f>'Final Data-US$'!Q54/'Final Data-US$'!P54-1</f>
        <v>#DIV/0!</v>
      </c>
      <c r="R91" s="60" t="e">
        <f>'Final Data-US$'!R54/'Final Data-US$'!Q54-1</f>
        <v>#DIV/0!</v>
      </c>
      <c r="S91" s="60" t="e">
        <f>'Final Data-US$'!S54/'Final Data-US$'!R54-1</f>
        <v>#DIV/0!</v>
      </c>
      <c r="T91" s="60" t="e">
        <f>'Final Data-US$'!T54/'Final Data-US$'!S54-1</f>
        <v>#DIV/0!</v>
      </c>
      <c r="U91" s="60" t="e">
        <f>'Final Data-US$'!U54/'Final Data-US$'!T54-1</f>
        <v>#DIV/0!</v>
      </c>
      <c r="V91" s="60" t="e">
        <f>'Final Data-US$'!V54/'Final Data-US$'!U54-1</f>
        <v>#DIV/0!</v>
      </c>
      <c r="W91" s="106" t="e">
        <f>'Final Data-US$'!W54</f>
        <v>#DIV/0!</v>
      </c>
      <c r="X91" s="106" t="e">
        <f>'Final Data-US$'!X54</f>
        <v>#DIV/0!</v>
      </c>
    </row>
    <row r="92" spans="1:24">
      <c r="A92" s="55" t="str">
        <f>'Secondary cum Calculation'!A139</f>
        <v>Poland</v>
      </c>
      <c r="B92" s="56" t="str">
        <f>'Secondary cum Calculation'!B139</f>
        <v>Tourism Flows</v>
      </c>
      <c r="C92" s="56" t="str">
        <f>'Secondary cum Calculation'!C139</f>
        <v>Number of Domestic Tourists by Region</v>
      </c>
      <c r="D92" s="55" t="str">
        <f>'Secondary cum Calculation'!D139</f>
        <v>REGION 10</v>
      </c>
      <c r="E92" s="57"/>
      <c r="F92" s="57">
        <f>'Secondary cum Calculation'!F139</f>
        <v>0</v>
      </c>
      <c r="G92" s="57" t="str">
        <f>'Secondary cum Calculation'!G139</f>
        <v>Tourism Demand &amp; Flows Database</v>
      </c>
      <c r="H92" s="57" t="str">
        <f>'Secondary cum Calculation'!H139</f>
        <v>New</v>
      </c>
      <c r="I92" s="57">
        <f>'Secondary cum Calculation'!I139</f>
        <v>0</v>
      </c>
      <c r="J92" s="57" t="str">
        <f>'Secondary cum Calculation'!J139</f>
        <v>Thousand</v>
      </c>
      <c r="K92" s="58">
        <f>'Secondary cum Calculation'!K139</f>
        <v>0</v>
      </c>
      <c r="L92" s="59"/>
      <c r="M92" s="60" t="e">
        <f>'Final Data-US$'!M55/'Final Data-US$'!L55-1</f>
        <v>#DIV/0!</v>
      </c>
      <c r="N92" s="60" t="e">
        <f>'Final Data-US$'!N55/'Final Data-US$'!M55-1</f>
        <v>#DIV/0!</v>
      </c>
      <c r="O92" s="60" t="e">
        <f>'Final Data-US$'!O55/'Final Data-US$'!N55-1</f>
        <v>#DIV/0!</v>
      </c>
      <c r="P92" s="60" t="e">
        <f>'Final Data-US$'!P55/'Final Data-US$'!O55-1</f>
        <v>#DIV/0!</v>
      </c>
      <c r="Q92" s="60" t="e">
        <f>'Final Data-US$'!Q55/'Final Data-US$'!P55-1</f>
        <v>#DIV/0!</v>
      </c>
      <c r="R92" s="60" t="e">
        <f>'Final Data-US$'!R55/'Final Data-US$'!Q55-1</f>
        <v>#DIV/0!</v>
      </c>
      <c r="S92" s="60" t="e">
        <f>'Final Data-US$'!S55/'Final Data-US$'!R55-1</f>
        <v>#DIV/0!</v>
      </c>
      <c r="T92" s="60" t="e">
        <f>'Final Data-US$'!T55/'Final Data-US$'!S55-1</f>
        <v>#DIV/0!</v>
      </c>
      <c r="U92" s="60" t="e">
        <f>'Final Data-US$'!U55/'Final Data-US$'!T55-1</f>
        <v>#DIV/0!</v>
      </c>
      <c r="V92" s="60" t="e">
        <f>'Final Data-US$'!V55/'Final Data-US$'!U55-1</f>
        <v>#DIV/0!</v>
      </c>
      <c r="W92" s="106" t="e">
        <f>'Final Data-US$'!W55</f>
        <v>#DIV/0!</v>
      </c>
      <c r="X92" s="106" t="e">
        <f>'Final Data-US$'!X55</f>
        <v>#DIV/0!</v>
      </c>
    </row>
    <row r="93" spans="1:24">
      <c r="A93" s="55" t="str">
        <f>'Secondary cum Calculation'!A141</f>
        <v>Poland</v>
      </c>
      <c r="B93" s="56" t="str">
        <f>'Secondary cum Calculation'!B141</f>
        <v>Tourism Flows</v>
      </c>
      <c r="C93" s="56" t="str">
        <f>'Secondary cum Calculation'!C141</f>
        <v>Number of Domestic Tourists by Region</v>
      </c>
      <c r="D93" s="55" t="str">
        <f>'Secondary cum Calculation'!D141</f>
        <v>Other Regions</v>
      </c>
      <c r="E93" s="57"/>
      <c r="F93" s="57">
        <f>'Secondary cum Calculation'!F141</f>
        <v>0</v>
      </c>
      <c r="G93" s="57" t="str">
        <f>'Secondary cum Calculation'!G141</f>
        <v>Tourism Demand &amp; Flows Database</v>
      </c>
      <c r="H93" s="57" t="str">
        <f>'Secondary cum Calculation'!H141</f>
        <v>New</v>
      </c>
      <c r="I93" s="57">
        <f>'Secondary cum Calculation'!I141</f>
        <v>0</v>
      </c>
      <c r="J93" s="57" t="str">
        <f>'Secondary cum Calculation'!J141</f>
        <v>Thousand</v>
      </c>
      <c r="K93" s="58">
        <f>'Secondary cum Calculation'!K141</f>
        <v>0</v>
      </c>
      <c r="L93" s="59"/>
      <c r="M93" s="60" t="e">
        <f>'Final Data-US$'!M56/'Final Data-US$'!L56-1</f>
        <v>#DIV/0!</v>
      </c>
      <c r="N93" s="60" t="e">
        <f>'Final Data-US$'!N56/'Final Data-US$'!M56-1</f>
        <v>#DIV/0!</v>
      </c>
      <c r="O93" s="60" t="e">
        <f>'Final Data-US$'!O56/'Final Data-US$'!N56-1</f>
        <v>#DIV/0!</v>
      </c>
      <c r="P93" s="60" t="e">
        <f>'Final Data-US$'!P56/'Final Data-US$'!O56-1</f>
        <v>#DIV/0!</v>
      </c>
      <c r="Q93" s="60" t="e">
        <f>'Final Data-US$'!Q56/'Final Data-US$'!P56-1</f>
        <v>#DIV/0!</v>
      </c>
      <c r="R93" s="60" t="e">
        <f>'Final Data-US$'!R56/'Final Data-US$'!Q56-1</f>
        <v>#DIV/0!</v>
      </c>
      <c r="S93" s="60" t="e">
        <f>'Final Data-US$'!S56/'Final Data-US$'!R56-1</f>
        <v>#DIV/0!</v>
      </c>
      <c r="T93" s="60" t="e">
        <f>'Final Data-US$'!T56/'Final Data-US$'!S56-1</f>
        <v>#DIV/0!</v>
      </c>
      <c r="U93" s="60" t="e">
        <f>'Final Data-US$'!U56/'Final Data-US$'!T56-1</f>
        <v>#DIV/0!</v>
      </c>
      <c r="V93" s="60" t="e">
        <f>'Final Data-US$'!V56/'Final Data-US$'!U56-1</f>
        <v>#DIV/0!</v>
      </c>
      <c r="W93" s="106" t="e">
        <f>'Final Data-US$'!W56</f>
        <v>#DIV/0!</v>
      </c>
      <c r="X93" s="106" t="e">
        <f>'Final Data-US$'!X56</f>
        <v>#DIV/0!</v>
      </c>
    </row>
    <row r="94" spans="1:24">
      <c r="A94" s="46" t="str">
        <f>'Secondary cum Calculation'!A164</f>
        <v>Poland</v>
      </c>
      <c r="B94" s="47" t="str">
        <f>'Secondary cum Calculation'!B164</f>
        <v>Tourism Flows</v>
      </c>
      <c r="C94" s="46" t="str">
        <f>'Secondary cum Calculation'!C164</f>
        <v>Number of Domestic Trips by Purpose of Visit</v>
      </c>
      <c r="D94" s="48"/>
      <c r="E94" s="48"/>
      <c r="F94" s="48" t="str">
        <f>'Secondary cum Calculation'!F164</f>
        <v>The total number of domestic tourists, segmented by the purpose of the visit.</v>
      </c>
      <c r="G94" s="48" t="str">
        <f>'Secondary cum Calculation'!G164</f>
        <v>Tourism Demand &amp; Flows Database</v>
      </c>
      <c r="H94" s="48" t="str">
        <f>'Secondary cum Calculation'!H164</f>
        <v>Exists</v>
      </c>
      <c r="I94" s="48">
        <f>'Secondary cum Calculation'!I164</f>
        <v>0</v>
      </c>
      <c r="J94" s="48" t="str">
        <f>'Secondary cum Calculation'!J164</f>
        <v>Thousand</v>
      </c>
      <c r="K94" s="49">
        <f>'Secondary cum Calculation'!K164</f>
        <v>2004500</v>
      </c>
      <c r="L94" s="53"/>
      <c r="M94" s="51">
        <f>'Final Data-US$'!M57/'Final Data-US$'!L57-1</f>
        <v>0</v>
      </c>
      <c r="N94" s="51">
        <f>'Final Data-US$'!N57/'Final Data-US$'!M57-1</f>
        <v>-0.1174785100286535</v>
      </c>
      <c r="O94" s="51">
        <f>'Final Data-US$'!O57/'Final Data-US$'!N57-1</f>
        <v>0.10064935064935066</v>
      </c>
      <c r="P94" s="51">
        <f>'Final Data-US$'!P57/'Final Data-US$'!O57-1</f>
        <v>-0.12684365781710916</v>
      </c>
      <c r="Q94" s="51">
        <f>'Final Data-US$'!Q57/'Final Data-US$'!P57-1</f>
        <v>-3.3963698234317885E-2</v>
      </c>
      <c r="R94" s="51">
        <f>'Final Data-US$'!R57/'Final Data-US$'!Q57-1</f>
        <v>1.8167497717911374E-2</v>
      </c>
      <c r="S94" s="51">
        <f>'Final Data-US$'!S57/'Final Data-US$'!R57-1</f>
        <v>1.4467008691195105E-2</v>
      </c>
      <c r="T94" s="51">
        <f>'Final Data-US$'!T57/'Final Data-US$'!S57-1</f>
        <v>2.0466780261918505E-2</v>
      </c>
      <c r="U94" s="51">
        <f>'Final Data-US$'!U57/'Final Data-US$'!T57-1</f>
        <v>2.1887080077326093E-2</v>
      </c>
      <c r="V94" s="51">
        <f>'Final Data-US$'!V57/'Final Data-US$'!U57-1</f>
        <v>2.3739552501877981E-2</v>
      </c>
      <c r="W94" s="102">
        <f>'Final Data-US$'!W57</f>
        <v>-4.8596088299126095E-2</v>
      </c>
      <c r="X94" s="102">
        <f>'Final Data-US$'!X57</f>
        <v>1.9740537256371926E-2</v>
      </c>
    </row>
    <row r="95" spans="1:24">
      <c r="A95" s="46" t="str">
        <f>'Secondary cum Calculation'!A166</f>
        <v>Poland</v>
      </c>
      <c r="B95" s="47" t="str">
        <f>'Secondary cum Calculation'!B166</f>
        <v>Tourism Flows</v>
      </c>
      <c r="C95" s="47" t="str">
        <f>'Secondary cum Calculation'!C166</f>
        <v>Number of Domestic Tourists by Purpose of Visit</v>
      </c>
      <c r="D95" s="46" t="str">
        <f>'Secondary cum Calculation'!D166</f>
        <v>Business</v>
      </c>
      <c r="E95" s="48"/>
      <c r="F95" s="48" t="str">
        <f>'Secondary cum Calculation'!F166</f>
        <v>The number of domestic tourists who are engaging in travel &amp; tourism activities on behalf of their business or employer.</v>
      </c>
      <c r="G95" s="48" t="str">
        <f>'Secondary cum Calculation'!G166</f>
        <v>Tourism Demand &amp; Flows Database</v>
      </c>
      <c r="H95" s="48" t="str">
        <f>'Secondary cum Calculation'!H166</f>
        <v>Exists</v>
      </c>
      <c r="I95" s="48" t="str">
        <f>'Secondary cum Calculation'!I166</f>
        <v>UNWTO</v>
      </c>
      <c r="J95" s="48" t="str">
        <f>'Secondary cum Calculation'!J166</f>
        <v>Thousand</v>
      </c>
      <c r="K95" s="49">
        <f>'Secondary cum Calculation'!K166</f>
        <v>494300</v>
      </c>
      <c r="L95" s="53"/>
      <c r="M95" s="51">
        <f>'Final Data-US$'!M58/'Final Data-US$'!L58-1</f>
        <v>3.2821047147694626E-2</v>
      </c>
      <c r="N95" s="51">
        <f>'Final Data-US$'!N58/'Final Data-US$'!M58-1</f>
        <v>-0.10315258511979841</v>
      </c>
      <c r="O95" s="51">
        <f>'Final Data-US$'!O58/'Final Data-US$'!N58-1</f>
        <v>6.692913385826782E-2</v>
      </c>
      <c r="P95" s="51">
        <f>'Final Data-US$'!P58/'Final Data-US$'!O58-1</f>
        <v>-0.11524218527916419</v>
      </c>
      <c r="Q95" s="51">
        <f>'Final Data-US$'!Q58/'Final Data-US$'!P58-1</f>
        <v>-4.0614102054933432E-2</v>
      </c>
      <c r="R95" s="51">
        <f>'Final Data-US$'!R58/'Final Data-US$'!Q58-1</f>
        <v>2.0013635680314223E-2</v>
      </c>
      <c r="S95" s="51">
        <f>'Final Data-US$'!S58/'Final Data-US$'!R58-1</f>
        <v>1.155715716404182E-2</v>
      </c>
      <c r="T95" s="51">
        <f>'Final Data-US$'!T58/'Final Data-US$'!S58-1</f>
        <v>1.8330411650421707E-2</v>
      </c>
      <c r="U95" s="51">
        <f>'Final Data-US$'!U58/'Final Data-US$'!T58-1</f>
        <v>1.6237470387116426E-2</v>
      </c>
      <c r="V95" s="51">
        <f>'Final Data-US$'!V58/'Final Data-US$'!U58-1</f>
        <v>2.2404935156383088E-2</v>
      </c>
      <c r="W95" s="102">
        <f>'Final Data-US$'!W58</f>
        <v>-5.0668332521499493E-2</v>
      </c>
      <c r="X95" s="102">
        <f>'Final Data-US$'!X58</f>
        <v>1.7702056136942534E-2</v>
      </c>
    </row>
    <row r="96" spans="1:24">
      <c r="A96" s="46" t="str">
        <f>'Secondary cum Calculation'!A168</f>
        <v>Poland</v>
      </c>
      <c r="B96" s="47" t="str">
        <f>'Secondary cum Calculation'!B168</f>
        <v>Tourism Flows</v>
      </c>
      <c r="C96" s="47" t="str">
        <f>'Secondary cum Calculation'!C168</f>
        <v>Number of Domestic Tourists by Purpose of Visit</v>
      </c>
      <c r="D96" s="46" t="str">
        <f>'Secondary cum Calculation'!D168</f>
        <v>Leisure</v>
      </c>
      <c r="E96" s="48"/>
      <c r="F96" s="48" t="str">
        <f>'Secondary cum Calculation'!F168</f>
        <v>The number of domestic tourists who are engaging in travel &amp; tourism activities for personal reasons related to leisure.</v>
      </c>
      <c r="G96" s="48" t="str">
        <f>'Secondary cum Calculation'!G168</f>
        <v>Tourism Demand &amp; Flows Database</v>
      </c>
      <c r="H96" s="48" t="str">
        <f>'Secondary cum Calculation'!H168</f>
        <v>Exists</v>
      </c>
      <c r="I96" s="48" t="str">
        <f>'Secondary cum Calculation'!I168</f>
        <v>UNWTO</v>
      </c>
      <c r="J96" s="48" t="str">
        <f>'Secondary cum Calculation'!J168</f>
        <v>Thousand</v>
      </c>
      <c r="K96" s="49" t="e">
        <f>'Secondary cum Calculation'!K168</f>
        <v>#DIV/0!</v>
      </c>
      <c r="L96" s="53"/>
      <c r="M96" s="51">
        <f>'Final Data-US$'!M59/'Final Data-US$'!L59-1</f>
        <v>2.2743553008595985E-2</v>
      </c>
      <c r="N96" s="51">
        <f>'Final Data-US$'!N59/'Final Data-US$'!M59-1</f>
        <v>-0.10915776571528657</v>
      </c>
      <c r="O96" s="51">
        <f>'Final Data-US$'!O59/'Final Data-US$'!N59-1</f>
        <v>0.1007154650522839</v>
      </c>
      <c r="P96" s="51">
        <f>'Final Data-US$'!P59/'Final Data-US$'!O59-1</f>
        <v>-0.12497489339774481</v>
      </c>
      <c r="Q96" s="51">
        <f>'Final Data-US$'!Q59/'Final Data-US$'!P59-1</f>
        <v>-2.9005538547659082E-2</v>
      </c>
      <c r="R96" s="51">
        <f>'Final Data-US$'!R59/'Final Data-US$'!Q59-1</f>
        <v>1.8593511571157295E-2</v>
      </c>
      <c r="S96" s="51">
        <f>'Final Data-US$'!S59/'Final Data-US$'!R59-1</f>
        <v>1.5448908917817583E-2</v>
      </c>
      <c r="T96" s="51">
        <f>'Final Data-US$'!T59/'Final Data-US$'!S59-1</f>
        <v>2.1128992039511019E-2</v>
      </c>
      <c r="U96" s="51">
        <f>'Final Data-US$'!U59/'Final Data-US$'!T59-1</f>
        <v>2.3350468662678869E-2</v>
      </c>
      <c r="V96" s="51">
        <f>'Final Data-US$'!V59/'Final Data-US$'!U59-1</f>
        <v>2.4582511645538263E-2</v>
      </c>
      <c r="W96" s="102">
        <f>'Final Data-US$'!W59</f>
        <v>-4.4615296854443875E-2</v>
      </c>
      <c r="X96" s="102">
        <f>'Final Data-US$'!X59</f>
        <v>2.0615557781778815E-2</v>
      </c>
    </row>
    <row r="97" spans="1:24">
      <c r="A97" s="46" t="str">
        <f>'Secondary cum Calculation'!A170</f>
        <v>Poland</v>
      </c>
      <c r="B97" s="47" t="str">
        <f>'Secondary cum Calculation'!B170</f>
        <v>Tourism Flows</v>
      </c>
      <c r="C97" s="47" t="str">
        <f>'Secondary cum Calculation'!C170</f>
        <v>Number of Domestic Tourists by Purpose of Visit</v>
      </c>
      <c r="D97" s="46" t="str">
        <f>'Secondary cum Calculation'!D170</f>
        <v>Other Personal</v>
      </c>
      <c r="E97" s="46"/>
      <c r="F97" s="48" t="str">
        <f>'Secondary cum Calculation'!F170</f>
        <v>The number of domestic tourists who are engaging in travel &amp; tourism activities for non-business or non-leisure related personal reasons, including for the purpose of pilgrimage, health and medical, education and training, transit, volunteer work (not included elsewhere), investigative work and migration possibilities, and the undertaking any other temporary non-remunerated activities not included elsewhere.</v>
      </c>
      <c r="G97" s="48" t="str">
        <f>'Secondary cum Calculation'!G170</f>
        <v>Tourism Demand &amp; Flows Database</v>
      </c>
      <c r="H97" s="48" t="str">
        <f>'Secondary cum Calculation'!H170</f>
        <v>Exists</v>
      </c>
      <c r="I97" s="48" t="str">
        <f>'Secondary cum Calculation'!I170</f>
        <v>UNWTO</v>
      </c>
      <c r="J97" s="48" t="str">
        <f>'Secondary cum Calculation'!J170</f>
        <v>Thousand</v>
      </c>
      <c r="K97" s="49" t="e">
        <f>'Secondary cum Calculation'!K170</f>
        <v>#DIV/0!</v>
      </c>
      <c r="L97" s="53"/>
      <c r="M97" s="51">
        <f>'Final Data-US$'!M60/'Final Data-US$'!L60-1</f>
        <v>-0.24227952881247983</v>
      </c>
      <c r="N97" s="51">
        <f>'Final Data-US$'!N60/'Final Data-US$'!M60-1</f>
        <v>-0.24117647058823588</v>
      </c>
      <c r="O97" s="51">
        <f>'Final Data-US$'!O60/'Final Data-US$'!N60-1</f>
        <v>0.16611295681063121</v>
      </c>
      <c r="P97" s="51">
        <f>'Final Data-US$'!P60/'Final Data-US$'!O60-1</f>
        <v>-0.17258980717663486</v>
      </c>
      <c r="Q97" s="51">
        <f>'Final Data-US$'!Q60/'Final Data-US$'!P60-1</f>
        <v>-9.0866448483007733E-2</v>
      </c>
      <c r="R97" s="51">
        <f>'Final Data-US$'!R60/'Final Data-US$'!Q60-1</f>
        <v>8.0170252606890369E-3</v>
      </c>
      <c r="S97" s="51">
        <f>'Final Data-US$'!S60/'Final Data-US$'!R60-1</f>
        <v>5.5526520917164035E-3</v>
      </c>
      <c r="T97" s="51">
        <f>'Final Data-US$'!T60/'Final Data-US$'!S60-1</f>
        <v>1.4739860907752478E-2</v>
      </c>
      <c r="U97" s="51">
        <f>'Final Data-US$'!U60/'Final Data-US$'!T60-1</f>
        <v>1.1053117745309038E-2</v>
      </c>
      <c r="V97" s="51">
        <f>'Final Data-US$'!V60/'Final Data-US$'!U60-1</f>
        <v>1.3368294243557788E-2</v>
      </c>
      <c r="W97" s="102">
        <f>'Final Data-US$'!W60</f>
        <v>-9.6750997711433917E-2</v>
      </c>
      <c r="X97" s="102">
        <f>'Final Data-US$'!X60</f>
        <v>1.0540532731523999E-2</v>
      </c>
    </row>
    <row r="98" spans="1:24">
      <c r="A98" s="55" t="e">
        <f>'Secondary cum Calculation'!#REF!</f>
        <v>#REF!</v>
      </c>
      <c r="B98" s="56" t="e">
        <f>'Secondary cum Calculation'!#REF!</f>
        <v>#REF!</v>
      </c>
      <c r="C98" s="55" t="e">
        <f>'Secondary cum Calculation'!#REF!</f>
        <v>#REF!</v>
      </c>
      <c r="D98" s="57"/>
      <c r="E98" s="57"/>
      <c r="F98" s="57" t="e">
        <f>'Secondary cum Calculation'!#REF!</f>
        <v>#REF!</v>
      </c>
      <c r="G98" s="57" t="e">
        <f>'Secondary cum Calculation'!#REF!</f>
        <v>#REF!</v>
      </c>
      <c r="H98" s="57" t="e">
        <f>'Secondary cum Calculation'!#REF!</f>
        <v>#REF!</v>
      </c>
      <c r="I98" s="57" t="e">
        <f>'Secondary cum Calculation'!#REF!</f>
        <v>#REF!</v>
      </c>
      <c r="J98" s="57" t="e">
        <f>'Secondary cum Calculation'!#REF!</f>
        <v>#REF!</v>
      </c>
      <c r="K98" s="58" t="e">
        <f>'Secondary cum Calculation'!#REF!</f>
        <v>#REF!</v>
      </c>
      <c r="L98" s="59"/>
      <c r="M98" s="60" t="e">
        <f>'Final Data-US$'!#REF!/'Final Data-US$'!#REF!-1</f>
        <v>#REF!</v>
      </c>
      <c r="N98" s="60" t="e">
        <f>'Final Data-US$'!#REF!/'Final Data-US$'!#REF!-1</f>
        <v>#REF!</v>
      </c>
      <c r="O98" s="60" t="e">
        <f>'Final Data-US$'!#REF!/'Final Data-US$'!#REF!-1</f>
        <v>#REF!</v>
      </c>
      <c r="P98" s="60" t="e">
        <f>'Final Data-US$'!#REF!/'Final Data-US$'!#REF!-1</f>
        <v>#REF!</v>
      </c>
      <c r="Q98" s="60" t="e">
        <f>'Final Data-US$'!#REF!/'Final Data-US$'!#REF!-1</f>
        <v>#REF!</v>
      </c>
      <c r="R98" s="60" t="e">
        <f>'Final Data-US$'!#REF!/'Final Data-US$'!#REF!-1</f>
        <v>#REF!</v>
      </c>
      <c r="S98" s="60" t="e">
        <f>'Final Data-US$'!#REF!/'Final Data-US$'!#REF!-1</f>
        <v>#REF!</v>
      </c>
      <c r="T98" s="60" t="e">
        <f>'Final Data-US$'!#REF!/'Final Data-US$'!#REF!-1</f>
        <v>#REF!</v>
      </c>
      <c r="U98" s="60" t="e">
        <f>'Final Data-US$'!#REF!/'Final Data-US$'!#REF!-1</f>
        <v>#REF!</v>
      </c>
      <c r="V98" s="60" t="e">
        <f>'Final Data-US$'!#REF!/'Final Data-US$'!#REF!-1</f>
        <v>#REF!</v>
      </c>
      <c r="W98" s="106" t="e">
        <f>'Final Data-US$'!#REF!</f>
        <v>#REF!</v>
      </c>
      <c r="X98" s="106" t="e">
        <f>'Final Data-US$'!#REF!</f>
        <v>#REF!</v>
      </c>
    </row>
    <row r="99" spans="1:24">
      <c r="A99" s="55" t="e">
        <f>'Secondary cum Calculation'!#REF!</f>
        <v>#REF!</v>
      </c>
      <c r="B99" s="56" t="e">
        <f>'Secondary cum Calculation'!#REF!</f>
        <v>#REF!</v>
      </c>
      <c r="C99" s="56" t="e">
        <f>'Secondary cum Calculation'!#REF!</f>
        <v>#REF!</v>
      </c>
      <c r="D99" s="55" t="e">
        <f>'Secondary cum Calculation'!#REF!</f>
        <v>#REF!</v>
      </c>
      <c r="E99" s="57"/>
      <c r="F99" s="57" t="e">
        <f>'Secondary cum Calculation'!#REF!</f>
        <v>#REF!</v>
      </c>
      <c r="G99" s="57" t="e">
        <f>'Secondary cum Calculation'!#REF!</f>
        <v>#REF!</v>
      </c>
      <c r="H99" s="57" t="e">
        <f>'Secondary cum Calculation'!#REF!</f>
        <v>#REF!</v>
      </c>
      <c r="I99" s="57" t="e">
        <f>'Secondary cum Calculation'!#REF!</f>
        <v>#REF!</v>
      </c>
      <c r="J99" s="57" t="e">
        <f>'Secondary cum Calculation'!#REF!</f>
        <v>#REF!</v>
      </c>
      <c r="K99" s="87" t="e">
        <f>'Secondary cum Calculation'!#REF!</f>
        <v>#REF!</v>
      </c>
      <c r="L99" s="88"/>
      <c r="M99" s="100" t="e">
        <f>'Final Data-US$'!#REF!/'Final Data-US$'!#REF!-1</f>
        <v>#REF!</v>
      </c>
      <c r="N99" s="100" t="e">
        <f>'Final Data-US$'!#REF!/'Final Data-US$'!#REF!-1</f>
        <v>#REF!</v>
      </c>
      <c r="O99" s="100" t="e">
        <f>'Final Data-US$'!#REF!/'Final Data-US$'!#REF!-1</f>
        <v>#REF!</v>
      </c>
      <c r="P99" s="100" t="e">
        <f>'Final Data-US$'!#REF!/'Final Data-US$'!#REF!-1</f>
        <v>#REF!</v>
      </c>
      <c r="Q99" s="100" t="e">
        <f>'Final Data-US$'!#REF!/'Final Data-US$'!#REF!-1</f>
        <v>#REF!</v>
      </c>
      <c r="R99" s="100" t="e">
        <f>'Final Data-US$'!#REF!/'Final Data-US$'!#REF!-1</f>
        <v>#REF!</v>
      </c>
      <c r="S99" s="100" t="e">
        <f>'Final Data-US$'!#REF!/'Final Data-US$'!#REF!-1</f>
        <v>#REF!</v>
      </c>
      <c r="T99" s="100" t="e">
        <f>'Final Data-US$'!#REF!/'Final Data-US$'!#REF!-1</f>
        <v>#REF!</v>
      </c>
      <c r="U99" s="100" t="e">
        <f>'Final Data-US$'!#REF!/'Final Data-US$'!#REF!-1</f>
        <v>#REF!</v>
      </c>
      <c r="V99" s="100" t="e">
        <f>'Final Data-US$'!#REF!/'Final Data-US$'!#REF!-1</f>
        <v>#REF!</v>
      </c>
      <c r="W99" s="106" t="e">
        <f>'Final Data-US$'!#REF!</f>
        <v>#REF!</v>
      </c>
      <c r="X99" s="106" t="e">
        <f>'Final Data-US$'!#REF!</f>
        <v>#REF!</v>
      </c>
    </row>
    <row r="100" spans="1:24">
      <c r="A100" s="55" t="e">
        <f>'Secondary cum Calculation'!#REF!</f>
        <v>#REF!</v>
      </c>
      <c r="B100" s="56" t="e">
        <f>'Secondary cum Calculation'!#REF!</f>
        <v>#REF!</v>
      </c>
      <c r="C100" s="56" t="e">
        <f>'Secondary cum Calculation'!#REF!</f>
        <v>#REF!</v>
      </c>
      <c r="D100" s="55" t="e">
        <f>'Secondary cum Calculation'!#REF!</f>
        <v>#REF!</v>
      </c>
      <c r="E100" s="57"/>
      <c r="F100" s="57" t="e">
        <f>'Secondary cum Calculation'!#REF!</f>
        <v>#REF!</v>
      </c>
      <c r="G100" s="57" t="e">
        <f>'Secondary cum Calculation'!#REF!</f>
        <v>#REF!</v>
      </c>
      <c r="H100" s="57" t="e">
        <f>'Secondary cum Calculation'!#REF!</f>
        <v>#REF!</v>
      </c>
      <c r="I100" s="57" t="e">
        <f>'Secondary cum Calculation'!#REF!</f>
        <v>#REF!</v>
      </c>
      <c r="J100" s="57" t="e">
        <f>'Secondary cum Calculation'!#REF!</f>
        <v>#REF!</v>
      </c>
      <c r="K100" s="58" t="e">
        <f>'Secondary cum Calculation'!#REF!</f>
        <v>#REF!</v>
      </c>
      <c r="L100" s="59"/>
      <c r="M100" s="60" t="e">
        <f>'Final Data-US$'!#REF!/'Final Data-US$'!#REF!-1</f>
        <v>#REF!</v>
      </c>
      <c r="N100" s="60" t="e">
        <f>'Final Data-US$'!#REF!/'Final Data-US$'!#REF!-1</f>
        <v>#REF!</v>
      </c>
      <c r="O100" s="60" t="e">
        <f>'Final Data-US$'!#REF!/'Final Data-US$'!#REF!-1</f>
        <v>#REF!</v>
      </c>
      <c r="P100" s="60" t="e">
        <f>'Final Data-US$'!#REF!/'Final Data-US$'!#REF!-1</f>
        <v>#REF!</v>
      </c>
      <c r="Q100" s="60" t="e">
        <f>'Final Data-US$'!#REF!/'Final Data-US$'!#REF!-1</f>
        <v>#REF!</v>
      </c>
      <c r="R100" s="60" t="e">
        <f>'Final Data-US$'!#REF!/'Final Data-US$'!#REF!-1</f>
        <v>#REF!</v>
      </c>
      <c r="S100" s="60" t="e">
        <f>'Final Data-US$'!#REF!/'Final Data-US$'!#REF!-1</f>
        <v>#REF!</v>
      </c>
      <c r="T100" s="60" t="e">
        <f>'Final Data-US$'!#REF!/'Final Data-US$'!#REF!-1</f>
        <v>#REF!</v>
      </c>
      <c r="U100" s="60" t="e">
        <f>'Final Data-US$'!#REF!/'Final Data-US$'!#REF!-1</f>
        <v>#REF!</v>
      </c>
      <c r="V100" s="60" t="e">
        <f>'Final Data-US$'!#REF!/'Final Data-US$'!#REF!-1</f>
        <v>#REF!</v>
      </c>
      <c r="W100" s="106" t="e">
        <f>'Final Data-US$'!#REF!</f>
        <v>#REF!</v>
      </c>
      <c r="X100" s="106" t="e">
        <f>'Final Data-US$'!#REF!</f>
        <v>#REF!</v>
      </c>
    </row>
    <row r="101" spans="1:24">
      <c r="A101" s="55" t="e">
        <f>'Secondary cum Calculation'!#REF!</f>
        <v>#REF!</v>
      </c>
      <c r="B101" s="56" t="e">
        <f>'Secondary cum Calculation'!#REF!</f>
        <v>#REF!</v>
      </c>
      <c r="C101" s="56" t="e">
        <f>'Secondary cum Calculation'!#REF!</f>
        <v>#REF!</v>
      </c>
      <c r="D101" s="55" t="e">
        <f>'Secondary cum Calculation'!#REF!</f>
        <v>#REF!</v>
      </c>
      <c r="E101" s="57"/>
      <c r="F101" s="57" t="e">
        <f>'Secondary cum Calculation'!#REF!</f>
        <v>#REF!</v>
      </c>
      <c r="G101" s="57" t="e">
        <f>'Secondary cum Calculation'!#REF!</f>
        <v>#REF!</v>
      </c>
      <c r="H101" s="57" t="e">
        <f>'Secondary cum Calculation'!#REF!</f>
        <v>#REF!</v>
      </c>
      <c r="I101" s="57" t="e">
        <f>'Secondary cum Calculation'!#REF!</f>
        <v>#REF!</v>
      </c>
      <c r="J101" s="57" t="e">
        <f>'Secondary cum Calculation'!#REF!</f>
        <v>#REF!</v>
      </c>
      <c r="K101" s="58" t="e">
        <f>'Secondary cum Calculation'!#REF!</f>
        <v>#REF!</v>
      </c>
      <c r="L101" s="59"/>
      <c r="M101" s="60" t="e">
        <f>'Final Data-US$'!#REF!/'Final Data-US$'!#REF!-1</f>
        <v>#REF!</v>
      </c>
      <c r="N101" s="60" t="e">
        <f>'Final Data-US$'!#REF!/'Final Data-US$'!#REF!-1</f>
        <v>#REF!</v>
      </c>
      <c r="O101" s="60" t="e">
        <f>'Final Data-US$'!#REF!/'Final Data-US$'!#REF!-1</f>
        <v>#REF!</v>
      </c>
      <c r="P101" s="60" t="e">
        <f>'Final Data-US$'!#REF!/'Final Data-US$'!#REF!-1</f>
        <v>#REF!</v>
      </c>
      <c r="Q101" s="60" t="e">
        <f>'Final Data-US$'!#REF!/'Final Data-US$'!#REF!-1</f>
        <v>#REF!</v>
      </c>
      <c r="R101" s="60" t="e">
        <f>'Final Data-US$'!#REF!/'Final Data-US$'!#REF!-1</f>
        <v>#REF!</v>
      </c>
      <c r="S101" s="60" t="e">
        <f>'Final Data-US$'!#REF!/'Final Data-US$'!#REF!-1</f>
        <v>#REF!</v>
      </c>
      <c r="T101" s="60" t="e">
        <f>'Final Data-US$'!#REF!/'Final Data-US$'!#REF!-1</f>
        <v>#REF!</v>
      </c>
      <c r="U101" s="60" t="e">
        <f>'Final Data-US$'!#REF!/'Final Data-US$'!#REF!-1</f>
        <v>#REF!</v>
      </c>
      <c r="V101" s="60" t="e">
        <f>'Final Data-US$'!#REF!/'Final Data-US$'!#REF!-1</f>
        <v>#REF!</v>
      </c>
      <c r="W101" s="106" t="e">
        <f>'Final Data-US$'!#REF!</f>
        <v>#REF!</v>
      </c>
      <c r="X101" s="106" t="e">
        <f>'Final Data-US$'!#REF!</f>
        <v>#REF!</v>
      </c>
    </row>
    <row r="102" spans="1:24">
      <c r="A102" s="55" t="e">
        <f>'Secondary cum Calculation'!#REF!</f>
        <v>#REF!</v>
      </c>
      <c r="B102" s="56" t="e">
        <f>'Secondary cum Calculation'!#REF!</f>
        <v>#REF!</v>
      </c>
      <c r="C102" s="56" t="e">
        <f>'Secondary cum Calculation'!#REF!</f>
        <v>#REF!</v>
      </c>
      <c r="D102" s="55" t="e">
        <f>'Secondary cum Calculation'!#REF!</f>
        <v>#REF!</v>
      </c>
      <c r="E102" s="57"/>
      <c r="F102" s="57" t="e">
        <f>'Secondary cum Calculation'!#REF!</f>
        <v>#REF!</v>
      </c>
      <c r="G102" s="57" t="e">
        <f>'Secondary cum Calculation'!#REF!</f>
        <v>#REF!</v>
      </c>
      <c r="H102" s="57" t="e">
        <f>'Secondary cum Calculation'!#REF!</f>
        <v>#REF!</v>
      </c>
      <c r="I102" s="57" t="e">
        <f>'Secondary cum Calculation'!#REF!</f>
        <v>#REF!</v>
      </c>
      <c r="J102" s="57" t="e">
        <f>'Secondary cum Calculation'!#REF!</f>
        <v>#REF!</v>
      </c>
      <c r="K102" s="58" t="e">
        <f>'Secondary cum Calculation'!#REF!</f>
        <v>#REF!</v>
      </c>
      <c r="L102" s="59"/>
      <c r="M102" s="60" t="e">
        <f>'Final Data-US$'!#REF!/'Final Data-US$'!#REF!-1</f>
        <v>#REF!</v>
      </c>
      <c r="N102" s="60" t="e">
        <f>'Final Data-US$'!#REF!/'Final Data-US$'!#REF!-1</f>
        <v>#REF!</v>
      </c>
      <c r="O102" s="60" t="e">
        <f>'Final Data-US$'!#REF!/'Final Data-US$'!#REF!-1</f>
        <v>#REF!</v>
      </c>
      <c r="P102" s="60" t="e">
        <f>'Final Data-US$'!#REF!/'Final Data-US$'!#REF!-1</f>
        <v>#REF!</v>
      </c>
      <c r="Q102" s="60" t="e">
        <f>'Final Data-US$'!#REF!/'Final Data-US$'!#REF!-1</f>
        <v>#REF!</v>
      </c>
      <c r="R102" s="60" t="e">
        <f>'Final Data-US$'!#REF!/'Final Data-US$'!#REF!-1</f>
        <v>#REF!</v>
      </c>
      <c r="S102" s="60" t="e">
        <f>'Final Data-US$'!#REF!/'Final Data-US$'!#REF!-1</f>
        <v>#REF!</v>
      </c>
      <c r="T102" s="60" t="e">
        <f>'Final Data-US$'!#REF!/'Final Data-US$'!#REF!-1</f>
        <v>#REF!</v>
      </c>
      <c r="U102" s="60" t="e">
        <f>'Final Data-US$'!#REF!/'Final Data-US$'!#REF!-1</f>
        <v>#REF!</v>
      </c>
      <c r="V102" s="60" t="e">
        <f>'Final Data-US$'!#REF!/'Final Data-US$'!#REF!-1</f>
        <v>#REF!</v>
      </c>
      <c r="W102" s="106" t="e">
        <f>'Final Data-US$'!#REF!</f>
        <v>#REF!</v>
      </c>
      <c r="X102" s="106" t="e">
        <f>'Final Data-US$'!#REF!</f>
        <v>#REF!</v>
      </c>
    </row>
    <row r="103" spans="1:24">
      <c r="A103" s="55" t="e">
        <f>'Secondary cum Calculation'!#REF!</f>
        <v>#REF!</v>
      </c>
      <c r="B103" s="56" t="e">
        <f>'Secondary cum Calculation'!#REF!</f>
        <v>#REF!</v>
      </c>
      <c r="C103" s="56" t="e">
        <f>'Secondary cum Calculation'!#REF!</f>
        <v>#REF!</v>
      </c>
      <c r="D103" s="55" t="e">
        <f>'Secondary cum Calculation'!#REF!</f>
        <v>#REF!</v>
      </c>
      <c r="E103" s="57"/>
      <c r="F103" s="57" t="e">
        <f>'Secondary cum Calculation'!#REF!</f>
        <v>#REF!</v>
      </c>
      <c r="G103" s="57" t="e">
        <f>'Secondary cum Calculation'!#REF!</f>
        <v>#REF!</v>
      </c>
      <c r="H103" s="57" t="e">
        <f>'Secondary cum Calculation'!#REF!</f>
        <v>#REF!</v>
      </c>
      <c r="I103" s="57" t="e">
        <f>'Secondary cum Calculation'!#REF!</f>
        <v>#REF!</v>
      </c>
      <c r="J103" s="57" t="e">
        <f>'Secondary cum Calculation'!#REF!</f>
        <v>#REF!</v>
      </c>
      <c r="K103" s="58" t="e">
        <f>'Secondary cum Calculation'!#REF!</f>
        <v>#REF!</v>
      </c>
      <c r="L103" s="59"/>
      <c r="M103" s="60" t="e">
        <f>'Final Data-US$'!#REF!/'Final Data-US$'!#REF!-1</f>
        <v>#REF!</v>
      </c>
      <c r="N103" s="60" t="e">
        <f>'Final Data-US$'!#REF!/'Final Data-US$'!#REF!-1</f>
        <v>#REF!</v>
      </c>
      <c r="O103" s="60" t="e">
        <f>'Final Data-US$'!#REF!/'Final Data-US$'!#REF!-1</f>
        <v>#REF!</v>
      </c>
      <c r="P103" s="60" t="e">
        <f>'Final Data-US$'!#REF!/'Final Data-US$'!#REF!-1</f>
        <v>#REF!</v>
      </c>
      <c r="Q103" s="60" t="e">
        <f>'Final Data-US$'!#REF!/'Final Data-US$'!#REF!-1</f>
        <v>#REF!</v>
      </c>
      <c r="R103" s="60" t="e">
        <f>'Final Data-US$'!#REF!/'Final Data-US$'!#REF!-1</f>
        <v>#REF!</v>
      </c>
      <c r="S103" s="60" t="e">
        <f>'Final Data-US$'!#REF!/'Final Data-US$'!#REF!-1</f>
        <v>#REF!</v>
      </c>
      <c r="T103" s="60" t="e">
        <f>'Final Data-US$'!#REF!/'Final Data-US$'!#REF!-1</f>
        <v>#REF!</v>
      </c>
      <c r="U103" s="60" t="e">
        <f>'Final Data-US$'!#REF!/'Final Data-US$'!#REF!-1</f>
        <v>#REF!</v>
      </c>
      <c r="V103" s="60" t="e">
        <f>'Final Data-US$'!#REF!/'Final Data-US$'!#REF!-1</f>
        <v>#REF!</v>
      </c>
      <c r="W103" s="106" t="e">
        <f>'Final Data-US$'!#REF!</f>
        <v>#REF!</v>
      </c>
      <c r="X103" s="106" t="e">
        <f>'Final Data-US$'!#REF!</f>
        <v>#REF!</v>
      </c>
    </row>
    <row r="104" spans="1:24">
      <c r="A104" s="55" t="e">
        <f>'Secondary cum Calculation'!#REF!</f>
        <v>#REF!</v>
      </c>
      <c r="B104" s="56" t="e">
        <f>'Secondary cum Calculation'!#REF!</f>
        <v>#REF!</v>
      </c>
      <c r="C104" s="56" t="e">
        <f>'Secondary cum Calculation'!#REF!</f>
        <v>#REF!</v>
      </c>
      <c r="D104" s="55" t="e">
        <f>'Secondary cum Calculation'!#REF!</f>
        <v>#REF!</v>
      </c>
      <c r="E104" s="57"/>
      <c r="F104" s="57" t="e">
        <f>'Secondary cum Calculation'!#REF!</f>
        <v>#REF!</v>
      </c>
      <c r="G104" s="57" t="e">
        <f>'Secondary cum Calculation'!#REF!</f>
        <v>#REF!</v>
      </c>
      <c r="H104" s="57" t="e">
        <f>'Secondary cum Calculation'!#REF!</f>
        <v>#REF!</v>
      </c>
      <c r="I104" s="57" t="e">
        <f>'Secondary cum Calculation'!#REF!</f>
        <v>#REF!</v>
      </c>
      <c r="J104" s="57" t="e">
        <f>'Secondary cum Calculation'!#REF!</f>
        <v>#REF!</v>
      </c>
      <c r="K104" s="58" t="e">
        <f>'Secondary cum Calculation'!#REF!</f>
        <v>#REF!</v>
      </c>
      <c r="L104" s="59"/>
      <c r="M104" s="60" t="e">
        <f>'Final Data-US$'!#REF!/'Final Data-US$'!#REF!-1</f>
        <v>#REF!</v>
      </c>
      <c r="N104" s="60" t="e">
        <f>'Final Data-US$'!#REF!/'Final Data-US$'!#REF!-1</f>
        <v>#REF!</v>
      </c>
      <c r="O104" s="60" t="e">
        <f>'Final Data-US$'!#REF!/'Final Data-US$'!#REF!-1</f>
        <v>#REF!</v>
      </c>
      <c r="P104" s="60" t="e">
        <f>'Final Data-US$'!#REF!/'Final Data-US$'!#REF!-1</f>
        <v>#REF!</v>
      </c>
      <c r="Q104" s="60" t="e">
        <f>'Final Data-US$'!#REF!/'Final Data-US$'!#REF!-1</f>
        <v>#REF!</v>
      </c>
      <c r="R104" s="60" t="e">
        <f>'Final Data-US$'!#REF!/'Final Data-US$'!#REF!-1</f>
        <v>#REF!</v>
      </c>
      <c r="S104" s="60" t="e">
        <f>'Final Data-US$'!#REF!/'Final Data-US$'!#REF!-1</f>
        <v>#REF!</v>
      </c>
      <c r="T104" s="60" t="e">
        <f>'Final Data-US$'!#REF!/'Final Data-US$'!#REF!-1</f>
        <v>#REF!</v>
      </c>
      <c r="U104" s="60" t="e">
        <f>'Final Data-US$'!#REF!/'Final Data-US$'!#REF!-1</f>
        <v>#REF!</v>
      </c>
      <c r="V104" s="60" t="e">
        <f>'Final Data-US$'!#REF!/'Final Data-US$'!#REF!-1</f>
        <v>#REF!</v>
      </c>
      <c r="W104" s="106" t="e">
        <f>'Final Data-US$'!#REF!</f>
        <v>#REF!</v>
      </c>
      <c r="X104" s="106" t="e">
        <f>'Final Data-US$'!#REF!</f>
        <v>#REF!</v>
      </c>
    </row>
    <row r="105" spans="1:24">
      <c r="A105" s="55" t="e">
        <f>'Secondary cum Calculation'!#REF!</f>
        <v>#REF!</v>
      </c>
      <c r="B105" s="56" t="e">
        <f>'Secondary cum Calculation'!#REF!</f>
        <v>#REF!</v>
      </c>
      <c r="C105" s="56" t="e">
        <f>'Secondary cum Calculation'!#REF!</f>
        <v>#REF!</v>
      </c>
      <c r="D105" s="55" t="e">
        <f>'Secondary cum Calculation'!#REF!</f>
        <v>#REF!</v>
      </c>
      <c r="E105" s="57"/>
      <c r="F105" s="57" t="e">
        <f>'Secondary cum Calculation'!#REF!</f>
        <v>#REF!</v>
      </c>
      <c r="G105" s="57" t="e">
        <f>'Secondary cum Calculation'!#REF!</f>
        <v>#REF!</v>
      </c>
      <c r="H105" s="57" t="e">
        <f>'Secondary cum Calculation'!#REF!</f>
        <v>#REF!</v>
      </c>
      <c r="I105" s="57" t="e">
        <f>'Secondary cum Calculation'!#REF!</f>
        <v>#REF!</v>
      </c>
      <c r="J105" s="57" t="e">
        <f>'Secondary cum Calculation'!#REF!</f>
        <v>#REF!</v>
      </c>
      <c r="K105" s="58" t="e">
        <f>'Secondary cum Calculation'!#REF!</f>
        <v>#REF!</v>
      </c>
      <c r="L105" s="59"/>
      <c r="M105" s="60" t="e">
        <f>'Final Data-US$'!#REF!/'Final Data-US$'!#REF!-1</f>
        <v>#REF!</v>
      </c>
      <c r="N105" s="60" t="e">
        <f>'Final Data-US$'!#REF!/'Final Data-US$'!#REF!-1</f>
        <v>#REF!</v>
      </c>
      <c r="O105" s="60" t="e">
        <f>'Final Data-US$'!#REF!/'Final Data-US$'!#REF!-1</f>
        <v>#REF!</v>
      </c>
      <c r="P105" s="60" t="e">
        <f>'Final Data-US$'!#REF!/'Final Data-US$'!#REF!-1</f>
        <v>#REF!</v>
      </c>
      <c r="Q105" s="60" t="e">
        <f>'Final Data-US$'!#REF!/'Final Data-US$'!#REF!-1</f>
        <v>#REF!</v>
      </c>
      <c r="R105" s="60" t="e">
        <f>'Final Data-US$'!#REF!/'Final Data-US$'!#REF!-1</f>
        <v>#REF!</v>
      </c>
      <c r="S105" s="60" t="e">
        <f>'Final Data-US$'!#REF!/'Final Data-US$'!#REF!-1</f>
        <v>#REF!</v>
      </c>
      <c r="T105" s="60" t="e">
        <f>'Final Data-US$'!#REF!/'Final Data-US$'!#REF!-1</f>
        <v>#REF!</v>
      </c>
      <c r="U105" s="60" t="e">
        <f>'Final Data-US$'!#REF!/'Final Data-US$'!#REF!-1</f>
        <v>#REF!</v>
      </c>
      <c r="V105" s="60" t="e">
        <f>'Final Data-US$'!#REF!/'Final Data-US$'!#REF!-1</f>
        <v>#REF!</v>
      </c>
      <c r="W105" s="106" t="e">
        <f>'Final Data-US$'!#REF!</f>
        <v>#REF!</v>
      </c>
      <c r="X105" s="106" t="e">
        <f>'Final Data-US$'!#REF!</f>
        <v>#REF!</v>
      </c>
    </row>
    <row r="106" spans="1:24">
      <c r="A106" s="46" t="e">
        <f>'Secondary cum Calculation'!#REF!</f>
        <v>#REF!</v>
      </c>
      <c r="B106" s="47" t="e">
        <f>'Secondary cum Calculation'!#REF!</f>
        <v>#REF!</v>
      </c>
      <c r="C106" s="46" t="e">
        <f>'Secondary cum Calculation'!#REF!</f>
        <v>#REF!</v>
      </c>
      <c r="D106" s="48"/>
      <c r="E106" s="48"/>
      <c r="F106" s="48" t="e">
        <f>'Secondary cum Calculation'!#REF!</f>
        <v>#REF!</v>
      </c>
      <c r="G106" s="48" t="e">
        <f>'Secondary cum Calculation'!#REF!</f>
        <v>#REF!</v>
      </c>
      <c r="H106" s="48" t="e">
        <f>'Secondary cum Calculation'!#REF!</f>
        <v>#REF!</v>
      </c>
      <c r="I106" s="48" t="e">
        <f>'Secondary cum Calculation'!#REF!</f>
        <v>#REF!</v>
      </c>
      <c r="J106" s="48"/>
      <c r="K106" s="49" t="e">
        <f>'Secondary cum Calculation'!#REF!</f>
        <v>#REF!</v>
      </c>
      <c r="L106" s="53"/>
      <c r="M106" s="51" t="e">
        <f>'Final Data-US$'!#REF!/'Final Data-US$'!#REF!-1</f>
        <v>#REF!</v>
      </c>
      <c r="N106" s="103" t="e">
        <f>'Final Data-US$'!#REF!/'Final Data-US$'!#REF!-1</f>
        <v>#REF!</v>
      </c>
      <c r="O106" s="103" t="e">
        <f>'Final Data-US$'!#REF!/'Final Data-US$'!#REF!-1</f>
        <v>#REF!</v>
      </c>
      <c r="P106" s="103" t="e">
        <f>'Final Data-US$'!#REF!/'Final Data-US$'!#REF!-1</f>
        <v>#REF!</v>
      </c>
      <c r="Q106" s="103" t="e">
        <f>'Final Data-US$'!#REF!/'Final Data-US$'!#REF!-1</f>
        <v>#REF!</v>
      </c>
      <c r="R106" s="103" t="e">
        <f>'Final Data-US$'!#REF!/'Final Data-US$'!#REF!-1</f>
        <v>#REF!</v>
      </c>
      <c r="S106" s="103" t="e">
        <f>'Final Data-US$'!#REF!/'Final Data-US$'!#REF!-1</f>
        <v>#REF!</v>
      </c>
      <c r="T106" s="103" t="e">
        <f>'Final Data-US$'!#REF!/'Final Data-US$'!#REF!-1</f>
        <v>#REF!</v>
      </c>
      <c r="U106" s="103" t="e">
        <f>'Final Data-US$'!#REF!/'Final Data-US$'!#REF!-1</f>
        <v>#REF!</v>
      </c>
      <c r="V106" s="103" t="e">
        <f>'Final Data-US$'!#REF!/'Final Data-US$'!#REF!-1</f>
        <v>#REF!</v>
      </c>
      <c r="W106" s="102" t="e">
        <f>'Final Data-US$'!#REF!</f>
        <v>#REF!</v>
      </c>
      <c r="X106" s="102" t="e">
        <f>'Final Data-US$'!#REF!</f>
        <v>#REF!</v>
      </c>
    </row>
    <row r="107" spans="1:24">
      <c r="A107" s="46" t="e">
        <f>'Secondary cum Calculation'!#REF!</f>
        <v>#REF!</v>
      </c>
      <c r="B107" s="47" t="e">
        <f>'Secondary cum Calculation'!#REF!</f>
        <v>#REF!</v>
      </c>
      <c r="C107" s="47" t="e">
        <f>'Secondary cum Calculation'!#REF!</f>
        <v>#REF!</v>
      </c>
      <c r="D107" s="46" t="e">
        <f>'Secondary cum Calculation'!#REF!</f>
        <v>#REF!</v>
      </c>
      <c r="E107" s="48"/>
      <c r="F107" s="48" t="e">
        <f>'Secondary cum Calculation'!#REF!</f>
        <v>#REF!</v>
      </c>
      <c r="G107" s="48" t="e">
        <f>'Secondary cum Calculation'!#REF!</f>
        <v>#REF!</v>
      </c>
      <c r="H107" s="48" t="e">
        <f>'Secondary cum Calculation'!#REF!</f>
        <v>#REF!</v>
      </c>
      <c r="I107" s="90" t="e">
        <f>'Secondary cum Calculation'!#REF!</f>
        <v>#REF!</v>
      </c>
      <c r="J107" s="48" t="e">
        <f>'Secondary cum Calculation'!#REF!</f>
        <v>#REF!</v>
      </c>
      <c r="K107" s="49" t="e">
        <f>'Secondary cum Calculation'!#REF!</f>
        <v>#REF!</v>
      </c>
      <c r="L107" s="53"/>
      <c r="M107" s="51" t="e">
        <f>'Final Data-US$'!#REF!/'Final Data-US$'!#REF!-1</f>
        <v>#REF!</v>
      </c>
      <c r="N107" s="51" t="e">
        <f>'Final Data-US$'!#REF!/'Final Data-US$'!#REF!-1</f>
        <v>#REF!</v>
      </c>
      <c r="O107" s="51" t="e">
        <f>'Final Data-US$'!#REF!/'Final Data-US$'!#REF!-1</f>
        <v>#REF!</v>
      </c>
      <c r="P107" s="51" t="e">
        <f>'Final Data-US$'!#REF!/'Final Data-US$'!#REF!-1</f>
        <v>#REF!</v>
      </c>
      <c r="Q107" s="51" t="e">
        <f>'Final Data-US$'!#REF!/'Final Data-US$'!#REF!-1</f>
        <v>#REF!</v>
      </c>
      <c r="R107" s="51" t="e">
        <f>'Final Data-US$'!#REF!/'Final Data-US$'!#REF!-1</f>
        <v>#REF!</v>
      </c>
      <c r="S107" s="51" t="e">
        <f>'Final Data-US$'!#REF!/'Final Data-US$'!#REF!-1</f>
        <v>#REF!</v>
      </c>
      <c r="T107" s="51" t="e">
        <f>'Final Data-US$'!#REF!/'Final Data-US$'!#REF!-1</f>
        <v>#REF!</v>
      </c>
      <c r="U107" s="51" t="e">
        <f>'Final Data-US$'!#REF!/'Final Data-US$'!#REF!-1</f>
        <v>#REF!</v>
      </c>
      <c r="V107" s="51" t="e">
        <f>'Final Data-US$'!#REF!/'Final Data-US$'!#REF!-1</f>
        <v>#REF!</v>
      </c>
      <c r="W107" s="102" t="e">
        <f>'Final Data-US$'!#REF!</f>
        <v>#REF!</v>
      </c>
      <c r="X107" s="102" t="e">
        <f>'Final Data-US$'!#REF!</f>
        <v>#REF!</v>
      </c>
    </row>
    <row r="108" spans="1:24">
      <c r="A108" s="46" t="e">
        <f>'Secondary cum Calculation'!#REF!</f>
        <v>#REF!</v>
      </c>
      <c r="B108" s="47" t="e">
        <f>'Secondary cum Calculation'!#REF!</f>
        <v>#REF!</v>
      </c>
      <c r="C108" s="47" t="e">
        <f>'Secondary cum Calculation'!#REF!</f>
        <v>#REF!</v>
      </c>
      <c r="D108" s="46" t="e">
        <f>'Secondary cum Calculation'!#REF!</f>
        <v>#REF!</v>
      </c>
      <c r="E108" s="48"/>
      <c r="F108" s="48" t="e">
        <f>'Secondary cum Calculation'!#REF!</f>
        <v>#REF!</v>
      </c>
      <c r="G108" s="48" t="e">
        <f>'Secondary cum Calculation'!#REF!</f>
        <v>#REF!</v>
      </c>
      <c r="H108" s="48" t="e">
        <f>'Secondary cum Calculation'!#REF!</f>
        <v>#REF!</v>
      </c>
      <c r="I108" s="90" t="e">
        <f>'Secondary cum Calculation'!#REF!</f>
        <v>#REF!</v>
      </c>
      <c r="J108" s="48" t="e">
        <f>'Secondary cum Calculation'!#REF!</f>
        <v>#REF!</v>
      </c>
      <c r="K108" s="49" t="e">
        <f>'Secondary cum Calculation'!#REF!</f>
        <v>#REF!</v>
      </c>
      <c r="L108" s="53"/>
      <c r="M108" s="51" t="e">
        <f>'Final Data-US$'!#REF!/'Final Data-US$'!#REF!-1</f>
        <v>#REF!</v>
      </c>
      <c r="N108" s="51" t="e">
        <f>'Final Data-US$'!#REF!/'Final Data-US$'!#REF!-1</f>
        <v>#REF!</v>
      </c>
      <c r="O108" s="51" t="e">
        <f>'Final Data-US$'!#REF!/'Final Data-US$'!#REF!-1</f>
        <v>#REF!</v>
      </c>
      <c r="P108" s="51" t="e">
        <f>'Final Data-US$'!#REF!/'Final Data-US$'!#REF!-1</f>
        <v>#REF!</v>
      </c>
      <c r="Q108" s="51" t="e">
        <f>'Final Data-US$'!#REF!/'Final Data-US$'!#REF!-1</f>
        <v>#REF!</v>
      </c>
      <c r="R108" s="51" t="e">
        <f>'Final Data-US$'!#REF!/'Final Data-US$'!#REF!-1</f>
        <v>#REF!</v>
      </c>
      <c r="S108" s="51" t="e">
        <f>'Final Data-US$'!#REF!/'Final Data-US$'!#REF!-1</f>
        <v>#REF!</v>
      </c>
      <c r="T108" s="51" t="e">
        <f>'Final Data-US$'!#REF!/'Final Data-US$'!#REF!-1</f>
        <v>#REF!</v>
      </c>
      <c r="U108" s="51" t="e">
        <f>'Final Data-US$'!#REF!/'Final Data-US$'!#REF!-1</f>
        <v>#REF!</v>
      </c>
      <c r="V108" s="51" t="e">
        <f>'Final Data-US$'!#REF!/'Final Data-US$'!#REF!-1</f>
        <v>#REF!</v>
      </c>
      <c r="W108" s="102" t="e">
        <f>'Final Data-US$'!#REF!</f>
        <v>#REF!</v>
      </c>
      <c r="X108" s="102" t="e">
        <f>'Final Data-US$'!#REF!</f>
        <v>#REF!</v>
      </c>
    </row>
    <row r="109" spans="1:24">
      <c r="A109" s="46" t="e">
        <f>'Secondary cum Calculation'!#REF!</f>
        <v>#REF!</v>
      </c>
      <c r="B109" s="47" t="e">
        <f>'Secondary cum Calculation'!#REF!</f>
        <v>#REF!</v>
      </c>
      <c r="C109" s="47" t="e">
        <f>'Secondary cum Calculation'!#REF!</f>
        <v>#REF!</v>
      </c>
      <c r="D109" s="46" t="e">
        <f>'Secondary cum Calculation'!#REF!</f>
        <v>#REF!</v>
      </c>
      <c r="E109" s="48"/>
      <c r="F109" s="48" t="e">
        <f>'Secondary cum Calculation'!#REF!</f>
        <v>#REF!</v>
      </c>
      <c r="G109" s="48" t="e">
        <f>'Secondary cum Calculation'!#REF!</f>
        <v>#REF!</v>
      </c>
      <c r="H109" s="48" t="e">
        <f>'Secondary cum Calculation'!#REF!</f>
        <v>#REF!</v>
      </c>
      <c r="I109" s="90" t="e">
        <f>'Secondary cum Calculation'!#REF!</f>
        <v>#REF!</v>
      </c>
      <c r="J109" s="48" t="e">
        <f>'Secondary cum Calculation'!#REF!</f>
        <v>#REF!</v>
      </c>
      <c r="K109" s="49" t="e">
        <f>'Secondary cum Calculation'!#REF!</f>
        <v>#REF!</v>
      </c>
      <c r="L109" s="53"/>
      <c r="M109" s="51" t="e">
        <f>'Final Data-US$'!#REF!/'Final Data-US$'!#REF!-1</f>
        <v>#REF!</v>
      </c>
      <c r="N109" s="51" t="e">
        <f>'Final Data-US$'!#REF!/'Final Data-US$'!#REF!-1</f>
        <v>#REF!</v>
      </c>
      <c r="O109" s="51" t="e">
        <f>'Final Data-US$'!#REF!/'Final Data-US$'!#REF!-1</f>
        <v>#REF!</v>
      </c>
      <c r="P109" s="51" t="e">
        <f>'Final Data-US$'!#REF!/'Final Data-US$'!#REF!-1</f>
        <v>#REF!</v>
      </c>
      <c r="Q109" s="51" t="e">
        <f>'Final Data-US$'!#REF!/'Final Data-US$'!#REF!-1</f>
        <v>#REF!</v>
      </c>
      <c r="R109" s="51" t="e">
        <f>'Final Data-US$'!#REF!/'Final Data-US$'!#REF!-1</f>
        <v>#REF!</v>
      </c>
      <c r="S109" s="51" t="e">
        <f>'Final Data-US$'!#REF!/'Final Data-US$'!#REF!-1</f>
        <v>#REF!</v>
      </c>
      <c r="T109" s="51" t="e">
        <f>'Final Data-US$'!#REF!/'Final Data-US$'!#REF!-1</f>
        <v>#REF!</v>
      </c>
      <c r="U109" s="51" t="e">
        <f>'Final Data-US$'!#REF!/'Final Data-US$'!#REF!-1</f>
        <v>#REF!</v>
      </c>
      <c r="V109" s="51" t="e">
        <f>'Final Data-US$'!#REF!/'Final Data-US$'!#REF!-1</f>
        <v>#REF!</v>
      </c>
      <c r="W109" s="102" t="e">
        <f>'Final Data-US$'!#REF!</f>
        <v>#REF!</v>
      </c>
      <c r="X109" s="102" t="e">
        <f>'Final Data-US$'!#REF!</f>
        <v>#REF!</v>
      </c>
    </row>
    <row r="110" spans="1:24">
      <c r="A110" s="46" t="e">
        <f>'Secondary cum Calculation'!#REF!</f>
        <v>#REF!</v>
      </c>
      <c r="B110" s="47" t="e">
        <f>'Secondary cum Calculation'!#REF!</f>
        <v>#REF!</v>
      </c>
      <c r="C110" s="47" t="e">
        <f>'Secondary cum Calculation'!#REF!</f>
        <v>#REF!</v>
      </c>
      <c r="D110" s="46" t="e">
        <f>'Secondary cum Calculation'!#REF!</f>
        <v>#REF!</v>
      </c>
      <c r="E110" s="48"/>
      <c r="F110" s="48" t="e">
        <f>'Secondary cum Calculation'!#REF!</f>
        <v>#REF!</v>
      </c>
      <c r="G110" s="48" t="e">
        <f>'Secondary cum Calculation'!#REF!</f>
        <v>#REF!</v>
      </c>
      <c r="H110" s="48" t="e">
        <f>'Secondary cum Calculation'!#REF!</f>
        <v>#REF!</v>
      </c>
      <c r="I110" s="90" t="e">
        <f>'Secondary cum Calculation'!#REF!</f>
        <v>#REF!</v>
      </c>
      <c r="J110" s="48" t="e">
        <f>'Secondary cum Calculation'!#REF!</f>
        <v>#REF!</v>
      </c>
      <c r="K110" s="49" t="e">
        <f>'Secondary cum Calculation'!#REF!</f>
        <v>#REF!</v>
      </c>
      <c r="L110" s="53"/>
      <c r="M110" s="51" t="e">
        <f>'Final Data-US$'!#REF!/'Final Data-US$'!#REF!-1</f>
        <v>#REF!</v>
      </c>
      <c r="N110" s="51" t="e">
        <f>'Final Data-US$'!#REF!/'Final Data-US$'!#REF!-1</f>
        <v>#REF!</v>
      </c>
      <c r="O110" s="51" t="e">
        <f>'Final Data-US$'!#REF!/'Final Data-US$'!#REF!-1</f>
        <v>#REF!</v>
      </c>
      <c r="P110" s="51" t="e">
        <f>'Final Data-US$'!#REF!/'Final Data-US$'!#REF!-1</f>
        <v>#REF!</v>
      </c>
      <c r="Q110" s="51" t="e">
        <f>'Final Data-US$'!#REF!/'Final Data-US$'!#REF!-1</f>
        <v>#REF!</v>
      </c>
      <c r="R110" s="51" t="e">
        <f>'Final Data-US$'!#REF!/'Final Data-US$'!#REF!-1</f>
        <v>#REF!</v>
      </c>
      <c r="S110" s="51" t="e">
        <f>'Final Data-US$'!#REF!/'Final Data-US$'!#REF!-1</f>
        <v>#REF!</v>
      </c>
      <c r="T110" s="51" t="e">
        <f>'Final Data-US$'!#REF!/'Final Data-US$'!#REF!-1</f>
        <v>#REF!</v>
      </c>
      <c r="U110" s="51" t="e">
        <f>'Final Data-US$'!#REF!/'Final Data-US$'!#REF!-1</f>
        <v>#REF!</v>
      </c>
      <c r="V110" s="51" t="e">
        <f>'Final Data-US$'!#REF!/'Final Data-US$'!#REF!-1</f>
        <v>#REF!</v>
      </c>
      <c r="W110" s="102" t="e">
        <f>'Final Data-US$'!#REF!</f>
        <v>#REF!</v>
      </c>
      <c r="X110" s="102" t="e">
        <f>'Final Data-US$'!#REF!</f>
        <v>#REF!</v>
      </c>
    </row>
    <row r="111" spans="1:24">
      <c r="A111" s="46" t="e">
        <f>'Secondary cum Calculation'!#REF!</f>
        <v>#REF!</v>
      </c>
      <c r="B111" s="47" t="e">
        <f>'Secondary cum Calculation'!#REF!</f>
        <v>#REF!</v>
      </c>
      <c r="C111" s="47" t="e">
        <f>'Secondary cum Calculation'!#REF!</f>
        <v>#REF!</v>
      </c>
      <c r="D111" s="46" t="e">
        <f>'Secondary cum Calculation'!#REF!</f>
        <v>#REF!</v>
      </c>
      <c r="E111" s="48"/>
      <c r="F111" s="48" t="e">
        <f>'Secondary cum Calculation'!#REF!</f>
        <v>#REF!</v>
      </c>
      <c r="G111" s="48" t="e">
        <f>'Secondary cum Calculation'!#REF!</f>
        <v>#REF!</v>
      </c>
      <c r="H111" s="48" t="e">
        <f>'Secondary cum Calculation'!#REF!</f>
        <v>#REF!</v>
      </c>
      <c r="I111" s="90" t="e">
        <f>'Secondary cum Calculation'!#REF!</f>
        <v>#REF!</v>
      </c>
      <c r="J111" s="48" t="e">
        <f>'Secondary cum Calculation'!#REF!</f>
        <v>#REF!</v>
      </c>
      <c r="K111" s="49" t="e">
        <f>'Secondary cum Calculation'!#REF!</f>
        <v>#REF!</v>
      </c>
      <c r="L111" s="53"/>
      <c r="M111" s="51" t="e">
        <f>'Final Data-US$'!#REF!/'Final Data-US$'!#REF!-1</f>
        <v>#REF!</v>
      </c>
      <c r="N111" s="51" t="e">
        <f>'Final Data-US$'!#REF!/'Final Data-US$'!#REF!-1</f>
        <v>#REF!</v>
      </c>
      <c r="O111" s="51" t="e">
        <f>'Final Data-US$'!#REF!/'Final Data-US$'!#REF!-1</f>
        <v>#REF!</v>
      </c>
      <c r="P111" s="51" t="e">
        <f>'Final Data-US$'!#REF!/'Final Data-US$'!#REF!-1</f>
        <v>#REF!</v>
      </c>
      <c r="Q111" s="51" t="e">
        <f>'Final Data-US$'!#REF!/'Final Data-US$'!#REF!-1</f>
        <v>#REF!</v>
      </c>
      <c r="R111" s="51" t="e">
        <f>'Final Data-US$'!#REF!/'Final Data-US$'!#REF!-1</f>
        <v>#REF!</v>
      </c>
      <c r="S111" s="51" t="e">
        <f>'Final Data-US$'!#REF!/'Final Data-US$'!#REF!-1</f>
        <v>#REF!</v>
      </c>
      <c r="T111" s="51" t="e">
        <f>'Final Data-US$'!#REF!/'Final Data-US$'!#REF!-1</f>
        <v>#REF!</v>
      </c>
      <c r="U111" s="51" t="e">
        <f>'Final Data-US$'!#REF!/'Final Data-US$'!#REF!-1</f>
        <v>#REF!</v>
      </c>
      <c r="V111" s="51" t="e">
        <f>'Final Data-US$'!#REF!/'Final Data-US$'!#REF!-1</f>
        <v>#REF!</v>
      </c>
      <c r="W111" s="102" t="e">
        <f>'Final Data-US$'!#REF!</f>
        <v>#REF!</v>
      </c>
      <c r="X111" s="102" t="e">
        <f>'Final Data-US$'!#REF!</f>
        <v>#REF!</v>
      </c>
    </row>
    <row r="112" spans="1:24">
      <c r="A112" s="46" t="e">
        <f>'Secondary cum Calculation'!#REF!</f>
        <v>#REF!</v>
      </c>
      <c r="B112" s="47" t="e">
        <f>'Secondary cum Calculation'!#REF!</f>
        <v>#REF!</v>
      </c>
      <c r="C112" s="47" t="e">
        <f>'Secondary cum Calculation'!#REF!</f>
        <v>#REF!</v>
      </c>
      <c r="D112" s="46" t="e">
        <f>'Secondary cum Calculation'!#REF!</f>
        <v>#REF!</v>
      </c>
      <c r="E112" s="48"/>
      <c r="F112" s="48" t="e">
        <f>'Secondary cum Calculation'!#REF!</f>
        <v>#REF!</v>
      </c>
      <c r="G112" s="48" t="e">
        <f>'Secondary cum Calculation'!#REF!</f>
        <v>#REF!</v>
      </c>
      <c r="H112" s="48" t="e">
        <f>'Secondary cum Calculation'!#REF!</f>
        <v>#REF!</v>
      </c>
      <c r="I112" s="90" t="e">
        <f>'Secondary cum Calculation'!#REF!</f>
        <v>#REF!</v>
      </c>
      <c r="J112" s="48" t="e">
        <f>'Secondary cum Calculation'!#REF!</f>
        <v>#REF!</v>
      </c>
      <c r="K112" s="49" t="e">
        <f>'Secondary cum Calculation'!#REF!</f>
        <v>#REF!</v>
      </c>
      <c r="L112" s="53"/>
      <c r="M112" s="51" t="e">
        <f>'Final Data-US$'!#REF!/'Final Data-US$'!#REF!-1</f>
        <v>#REF!</v>
      </c>
      <c r="N112" s="51" t="e">
        <f>'Final Data-US$'!#REF!/'Final Data-US$'!#REF!-1</f>
        <v>#REF!</v>
      </c>
      <c r="O112" s="51" t="e">
        <f>'Final Data-US$'!#REF!/'Final Data-US$'!#REF!-1</f>
        <v>#REF!</v>
      </c>
      <c r="P112" s="51" t="e">
        <f>'Final Data-US$'!#REF!/'Final Data-US$'!#REF!-1</f>
        <v>#REF!</v>
      </c>
      <c r="Q112" s="51" t="e">
        <f>'Final Data-US$'!#REF!/'Final Data-US$'!#REF!-1</f>
        <v>#REF!</v>
      </c>
      <c r="R112" s="51" t="e">
        <f>'Final Data-US$'!#REF!/'Final Data-US$'!#REF!-1</f>
        <v>#REF!</v>
      </c>
      <c r="S112" s="51" t="e">
        <f>'Final Data-US$'!#REF!/'Final Data-US$'!#REF!-1</f>
        <v>#REF!</v>
      </c>
      <c r="T112" s="51" t="e">
        <f>'Final Data-US$'!#REF!/'Final Data-US$'!#REF!-1</f>
        <v>#REF!</v>
      </c>
      <c r="U112" s="51" t="e">
        <f>'Final Data-US$'!#REF!/'Final Data-US$'!#REF!-1</f>
        <v>#REF!</v>
      </c>
      <c r="V112" s="51" t="e">
        <f>'Final Data-US$'!#REF!/'Final Data-US$'!#REF!-1</f>
        <v>#REF!</v>
      </c>
      <c r="W112" s="102" t="e">
        <f>'Final Data-US$'!#REF!</f>
        <v>#REF!</v>
      </c>
      <c r="X112" s="102" t="e">
        <f>'Final Data-US$'!#REF!</f>
        <v>#REF!</v>
      </c>
    </row>
    <row r="113" spans="1:24">
      <c r="A113" s="46" t="e">
        <f>'Secondary cum Calculation'!#REF!</f>
        <v>#REF!</v>
      </c>
      <c r="B113" s="47" t="e">
        <f>'Secondary cum Calculation'!#REF!</f>
        <v>#REF!</v>
      </c>
      <c r="C113" s="47" t="e">
        <f>'Secondary cum Calculation'!#REF!</f>
        <v>#REF!</v>
      </c>
      <c r="D113" s="46" t="e">
        <f>'Secondary cum Calculation'!#REF!</f>
        <v>#REF!</v>
      </c>
      <c r="E113" s="48"/>
      <c r="F113" s="48" t="e">
        <f>'Secondary cum Calculation'!#REF!</f>
        <v>#REF!</v>
      </c>
      <c r="G113" s="48" t="e">
        <f>'Secondary cum Calculation'!#REF!</f>
        <v>#REF!</v>
      </c>
      <c r="H113" s="48" t="e">
        <f>'Secondary cum Calculation'!#REF!</f>
        <v>#REF!</v>
      </c>
      <c r="I113" s="90" t="e">
        <f>'Secondary cum Calculation'!#REF!</f>
        <v>#REF!</v>
      </c>
      <c r="J113" s="48" t="e">
        <f>'Secondary cum Calculation'!#REF!</f>
        <v>#REF!</v>
      </c>
      <c r="K113" s="49" t="e">
        <f>'Secondary cum Calculation'!#REF!</f>
        <v>#REF!</v>
      </c>
      <c r="L113" s="53"/>
      <c r="M113" s="51" t="e">
        <f>'Final Data-US$'!#REF!/'Final Data-US$'!#REF!-1</f>
        <v>#REF!</v>
      </c>
      <c r="N113" s="51" t="e">
        <f>'Final Data-US$'!#REF!/'Final Data-US$'!#REF!-1</f>
        <v>#REF!</v>
      </c>
      <c r="O113" s="51" t="e">
        <f>'Final Data-US$'!#REF!/'Final Data-US$'!#REF!-1</f>
        <v>#REF!</v>
      </c>
      <c r="P113" s="51" t="e">
        <f>'Final Data-US$'!#REF!/'Final Data-US$'!#REF!-1</f>
        <v>#REF!</v>
      </c>
      <c r="Q113" s="51" t="e">
        <f>'Final Data-US$'!#REF!/'Final Data-US$'!#REF!-1</f>
        <v>#REF!</v>
      </c>
      <c r="R113" s="51" t="e">
        <f>'Final Data-US$'!#REF!/'Final Data-US$'!#REF!-1</f>
        <v>#REF!</v>
      </c>
      <c r="S113" s="51" t="e">
        <f>'Final Data-US$'!#REF!/'Final Data-US$'!#REF!-1</f>
        <v>#REF!</v>
      </c>
      <c r="T113" s="51" t="e">
        <f>'Final Data-US$'!#REF!/'Final Data-US$'!#REF!-1</f>
        <v>#REF!</v>
      </c>
      <c r="U113" s="51" t="e">
        <f>'Final Data-US$'!#REF!/'Final Data-US$'!#REF!-1</f>
        <v>#REF!</v>
      </c>
      <c r="V113" s="51" t="e">
        <f>'Final Data-US$'!#REF!/'Final Data-US$'!#REF!-1</f>
        <v>#REF!</v>
      </c>
      <c r="W113" s="102" t="e">
        <f>'Final Data-US$'!#REF!</f>
        <v>#REF!</v>
      </c>
      <c r="X113" s="102" t="e">
        <f>'Final Data-US$'!#REF!</f>
        <v>#REF!</v>
      </c>
    </row>
    <row r="114" spans="1:24">
      <c r="A114" s="46" t="e">
        <f>'Secondary cum Calculation'!#REF!</f>
        <v>#REF!</v>
      </c>
      <c r="B114" s="47" t="e">
        <f>'Secondary cum Calculation'!#REF!</f>
        <v>#REF!</v>
      </c>
      <c r="C114" s="47" t="e">
        <f>'Secondary cum Calculation'!#REF!</f>
        <v>#REF!</v>
      </c>
      <c r="D114" s="46" t="e">
        <f>'Secondary cum Calculation'!#REF!</f>
        <v>#REF!</v>
      </c>
      <c r="E114" s="48"/>
      <c r="F114" s="48" t="e">
        <f>'Secondary cum Calculation'!#REF!</f>
        <v>#REF!</v>
      </c>
      <c r="G114" s="48" t="e">
        <f>'Secondary cum Calculation'!#REF!</f>
        <v>#REF!</v>
      </c>
      <c r="H114" s="48" t="e">
        <f>'Secondary cum Calculation'!#REF!</f>
        <v>#REF!</v>
      </c>
      <c r="I114" s="90" t="e">
        <f>'Secondary cum Calculation'!#REF!</f>
        <v>#REF!</v>
      </c>
      <c r="J114" s="48" t="e">
        <f>'Secondary cum Calculation'!#REF!</f>
        <v>#REF!</v>
      </c>
      <c r="K114" s="49" t="e">
        <f>'Secondary cum Calculation'!#REF!</f>
        <v>#REF!</v>
      </c>
      <c r="L114" s="53"/>
      <c r="M114" s="51" t="e">
        <f>'Final Data-US$'!#REF!/'Final Data-US$'!#REF!-1</f>
        <v>#REF!</v>
      </c>
      <c r="N114" s="51" t="e">
        <f>'Final Data-US$'!#REF!/'Final Data-US$'!#REF!-1</f>
        <v>#REF!</v>
      </c>
      <c r="O114" s="51" t="e">
        <f>'Final Data-US$'!#REF!/'Final Data-US$'!#REF!-1</f>
        <v>#REF!</v>
      </c>
      <c r="P114" s="51" t="e">
        <f>'Final Data-US$'!#REF!/'Final Data-US$'!#REF!-1</f>
        <v>#REF!</v>
      </c>
      <c r="Q114" s="51" t="e">
        <f>'Final Data-US$'!#REF!/'Final Data-US$'!#REF!-1</f>
        <v>#REF!</v>
      </c>
      <c r="R114" s="51" t="e">
        <f>'Final Data-US$'!#REF!/'Final Data-US$'!#REF!-1</f>
        <v>#REF!</v>
      </c>
      <c r="S114" s="51" t="e">
        <f>'Final Data-US$'!#REF!/'Final Data-US$'!#REF!-1</f>
        <v>#REF!</v>
      </c>
      <c r="T114" s="51" t="e">
        <f>'Final Data-US$'!#REF!/'Final Data-US$'!#REF!-1</f>
        <v>#REF!</v>
      </c>
      <c r="U114" s="51" t="e">
        <f>'Final Data-US$'!#REF!/'Final Data-US$'!#REF!-1</f>
        <v>#REF!</v>
      </c>
      <c r="V114" s="51" t="e">
        <f>'Final Data-US$'!#REF!/'Final Data-US$'!#REF!-1</f>
        <v>#REF!</v>
      </c>
      <c r="W114" s="102" t="e">
        <f>'Final Data-US$'!#REF!</f>
        <v>#REF!</v>
      </c>
      <c r="X114" s="102" t="e">
        <f>'Final Data-US$'!#REF!</f>
        <v>#REF!</v>
      </c>
    </row>
    <row r="115" spans="1:24">
      <c r="A115" s="46" t="e">
        <f>'Secondary cum Calculation'!#REF!</f>
        <v>#REF!</v>
      </c>
      <c r="B115" s="47" t="e">
        <f>'Secondary cum Calculation'!#REF!</f>
        <v>#REF!</v>
      </c>
      <c r="C115" s="47" t="e">
        <f>'Secondary cum Calculation'!#REF!</f>
        <v>#REF!</v>
      </c>
      <c r="D115" s="46" t="e">
        <f>'Secondary cum Calculation'!#REF!</f>
        <v>#REF!</v>
      </c>
      <c r="E115" s="48"/>
      <c r="F115" s="48" t="e">
        <f>'Secondary cum Calculation'!#REF!</f>
        <v>#REF!</v>
      </c>
      <c r="G115" s="48" t="e">
        <f>'Secondary cum Calculation'!#REF!</f>
        <v>#REF!</v>
      </c>
      <c r="H115" s="48" t="e">
        <f>'Secondary cum Calculation'!#REF!</f>
        <v>#REF!</v>
      </c>
      <c r="I115" s="90" t="e">
        <f>'Secondary cum Calculation'!#REF!</f>
        <v>#REF!</v>
      </c>
      <c r="J115" s="48" t="e">
        <f>'Secondary cum Calculation'!#REF!</f>
        <v>#REF!</v>
      </c>
      <c r="K115" s="49" t="e">
        <f>'Secondary cum Calculation'!#REF!</f>
        <v>#REF!</v>
      </c>
      <c r="L115" s="53"/>
      <c r="M115" s="51" t="e">
        <f>'Final Data-US$'!#REF!/'Final Data-US$'!#REF!-1</f>
        <v>#REF!</v>
      </c>
      <c r="N115" s="51" t="e">
        <f>'Final Data-US$'!#REF!/'Final Data-US$'!#REF!-1</f>
        <v>#REF!</v>
      </c>
      <c r="O115" s="51" t="e">
        <f>'Final Data-US$'!#REF!/'Final Data-US$'!#REF!-1</f>
        <v>#REF!</v>
      </c>
      <c r="P115" s="51" t="e">
        <f>'Final Data-US$'!#REF!/'Final Data-US$'!#REF!-1</f>
        <v>#REF!</v>
      </c>
      <c r="Q115" s="51" t="e">
        <f>'Final Data-US$'!#REF!/'Final Data-US$'!#REF!-1</f>
        <v>#REF!</v>
      </c>
      <c r="R115" s="51" t="e">
        <f>'Final Data-US$'!#REF!/'Final Data-US$'!#REF!-1</f>
        <v>#REF!</v>
      </c>
      <c r="S115" s="51" t="e">
        <f>'Final Data-US$'!#REF!/'Final Data-US$'!#REF!-1</f>
        <v>#REF!</v>
      </c>
      <c r="T115" s="51" t="e">
        <f>'Final Data-US$'!#REF!/'Final Data-US$'!#REF!-1</f>
        <v>#REF!</v>
      </c>
      <c r="U115" s="51" t="e">
        <f>'Final Data-US$'!#REF!/'Final Data-US$'!#REF!-1</f>
        <v>#REF!</v>
      </c>
      <c r="V115" s="51" t="e">
        <f>'Final Data-US$'!#REF!/'Final Data-US$'!#REF!-1</f>
        <v>#REF!</v>
      </c>
      <c r="W115" s="102" t="e">
        <f>'Final Data-US$'!#REF!</f>
        <v>#REF!</v>
      </c>
      <c r="X115" s="102" t="e">
        <f>'Final Data-US$'!#REF!</f>
        <v>#REF!</v>
      </c>
    </row>
    <row r="116" spans="1:24">
      <c r="A116" s="46" t="e">
        <f>'Secondary cum Calculation'!#REF!</f>
        <v>#REF!</v>
      </c>
      <c r="B116" s="47" t="e">
        <f>'Secondary cum Calculation'!#REF!</f>
        <v>#REF!</v>
      </c>
      <c r="C116" s="47" t="e">
        <f>'Secondary cum Calculation'!#REF!</f>
        <v>#REF!</v>
      </c>
      <c r="D116" s="46" t="e">
        <f>'Secondary cum Calculation'!#REF!</f>
        <v>#REF!</v>
      </c>
      <c r="E116" s="48"/>
      <c r="F116" s="48" t="e">
        <f>'Secondary cum Calculation'!#REF!</f>
        <v>#REF!</v>
      </c>
      <c r="G116" s="48" t="e">
        <f>'Secondary cum Calculation'!#REF!</f>
        <v>#REF!</v>
      </c>
      <c r="H116" s="48" t="e">
        <f>'Secondary cum Calculation'!#REF!</f>
        <v>#REF!</v>
      </c>
      <c r="I116" s="90" t="e">
        <f>'Secondary cum Calculation'!#REF!</f>
        <v>#REF!</v>
      </c>
      <c r="J116" s="48" t="e">
        <f>'Secondary cum Calculation'!#REF!</f>
        <v>#REF!</v>
      </c>
      <c r="K116" s="49" t="e">
        <f>'Secondary cum Calculation'!#REF!</f>
        <v>#REF!</v>
      </c>
      <c r="L116" s="53"/>
      <c r="M116" s="51" t="e">
        <f>'Final Data-US$'!#REF!/'Final Data-US$'!#REF!-1</f>
        <v>#REF!</v>
      </c>
      <c r="N116" s="51" t="e">
        <f>'Final Data-US$'!#REF!/'Final Data-US$'!#REF!-1</f>
        <v>#REF!</v>
      </c>
      <c r="O116" s="51" t="e">
        <f>'Final Data-US$'!#REF!/'Final Data-US$'!#REF!-1</f>
        <v>#REF!</v>
      </c>
      <c r="P116" s="51" t="e">
        <f>'Final Data-US$'!#REF!/'Final Data-US$'!#REF!-1</f>
        <v>#REF!</v>
      </c>
      <c r="Q116" s="51" t="e">
        <f>'Final Data-US$'!#REF!/'Final Data-US$'!#REF!-1</f>
        <v>#REF!</v>
      </c>
      <c r="R116" s="51" t="e">
        <f>'Final Data-US$'!#REF!/'Final Data-US$'!#REF!-1</f>
        <v>#REF!</v>
      </c>
      <c r="S116" s="51" t="e">
        <f>'Final Data-US$'!#REF!/'Final Data-US$'!#REF!-1</f>
        <v>#REF!</v>
      </c>
      <c r="T116" s="51" t="e">
        <f>'Final Data-US$'!#REF!/'Final Data-US$'!#REF!-1</f>
        <v>#REF!</v>
      </c>
      <c r="U116" s="51" t="e">
        <f>'Final Data-US$'!#REF!/'Final Data-US$'!#REF!-1</f>
        <v>#REF!</v>
      </c>
      <c r="V116" s="51" t="e">
        <f>'Final Data-US$'!#REF!/'Final Data-US$'!#REF!-1</f>
        <v>#REF!</v>
      </c>
      <c r="W116" s="102" t="e">
        <f>'Final Data-US$'!#REF!</f>
        <v>#REF!</v>
      </c>
      <c r="X116" s="102" t="e">
        <f>'Final Data-US$'!#REF!</f>
        <v>#REF!</v>
      </c>
    </row>
    <row r="117" spans="1:24">
      <c r="A117" s="46" t="e">
        <f>'Secondary cum Calculation'!#REF!</f>
        <v>#REF!</v>
      </c>
      <c r="B117" s="47" t="e">
        <f>'Secondary cum Calculation'!#REF!</f>
        <v>#REF!</v>
      </c>
      <c r="C117" s="47" t="e">
        <f>'Secondary cum Calculation'!#REF!</f>
        <v>#REF!</v>
      </c>
      <c r="D117" s="46" t="e">
        <f>'Secondary cum Calculation'!#REF!</f>
        <v>#REF!</v>
      </c>
      <c r="E117" s="48"/>
      <c r="F117" s="48" t="e">
        <f>'Secondary cum Calculation'!#REF!</f>
        <v>#REF!</v>
      </c>
      <c r="G117" s="48" t="e">
        <f>'Secondary cum Calculation'!#REF!</f>
        <v>#REF!</v>
      </c>
      <c r="H117" s="48" t="e">
        <f>'Secondary cum Calculation'!#REF!</f>
        <v>#REF!</v>
      </c>
      <c r="I117" s="90" t="e">
        <f>'Secondary cum Calculation'!#REF!</f>
        <v>#REF!</v>
      </c>
      <c r="J117" s="48" t="e">
        <f>'Secondary cum Calculation'!#REF!</f>
        <v>#REF!</v>
      </c>
      <c r="K117" s="49" t="e">
        <f>'Secondary cum Calculation'!#REF!</f>
        <v>#REF!</v>
      </c>
      <c r="L117" s="53"/>
      <c r="M117" s="51" t="e">
        <f>'Final Data-US$'!#REF!/'Final Data-US$'!#REF!-1</f>
        <v>#REF!</v>
      </c>
      <c r="N117" s="51" t="e">
        <f>'Final Data-US$'!#REF!/'Final Data-US$'!#REF!-1</f>
        <v>#REF!</v>
      </c>
      <c r="O117" s="51" t="e">
        <f>'Final Data-US$'!#REF!/'Final Data-US$'!#REF!-1</f>
        <v>#REF!</v>
      </c>
      <c r="P117" s="51" t="e">
        <f>'Final Data-US$'!#REF!/'Final Data-US$'!#REF!-1</f>
        <v>#REF!</v>
      </c>
      <c r="Q117" s="51" t="e">
        <f>'Final Data-US$'!#REF!/'Final Data-US$'!#REF!-1</f>
        <v>#REF!</v>
      </c>
      <c r="R117" s="51" t="e">
        <f>'Final Data-US$'!#REF!/'Final Data-US$'!#REF!-1</f>
        <v>#REF!</v>
      </c>
      <c r="S117" s="51" t="e">
        <f>'Final Data-US$'!#REF!/'Final Data-US$'!#REF!-1</f>
        <v>#REF!</v>
      </c>
      <c r="T117" s="51" t="e">
        <f>'Final Data-US$'!#REF!/'Final Data-US$'!#REF!-1</f>
        <v>#REF!</v>
      </c>
      <c r="U117" s="51" t="e">
        <f>'Final Data-US$'!#REF!/'Final Data-US$'!#REF!-1</f>
        <v>#REF!</v>
      </c>
      <c r="V117" s="51" t="e">
        <f>'Final Data-US$'!#REF!/'Final Data-US$'!#REF!-1</f>
        <v>#REF!</v>
      </c>
      <c r="W117" s="102" t="e">
        <f>'Final Data-US$'!#REF!</f>
        <v>#REF!</v>
      </c>
      <c r="X117" s="102" t="e">
        <f>'Final Data-US$'!#REF!</f>
        <v>#REF!</v>
      </c>
    </row>
    <row r="118" spans="1:24">
      <c r="A118" s="55" t="str">
        <f>'Secondary cum Calculation'!A177</f>
        <v>Poland</v>
      </c>
      <c r="B118" s="56" t="str">
        <f>'Secondary cum Calculation'!B177</f>
        <v>Tourism Flows</v>
      </c>
      <c r="C118" s="55" t="str">
        <f>'Secondary cum Calculation'!C177</f>
        <v>International Arrivals by Place of Origin</v>
      </c>
      <c r="D118" s="57"/>
      <c r="E118" s="57"/>
      <c r="F118" s="57" t="str">
        <f>'Secondary cum Calculation'!F177</f>
        <v>The number of international arrivals to a country, segmented by their region and/or country of origin</v>
      </c>
      <c r="G118" s="57" t="str">
        <f>'Secondary cum Calculation'!G177</f>
        <v>Tourism Demand &amp; Flows Database</v>
      </c>
      <c r="H118" s="57" t="str">
        <f>'Secondary cum Calculation'!H177</f>
        <v>N/A</v>
      </c>
      <c r="I118" s="57">
        <f>'Secondary cum Calculation'!I177</f>
        <v>0</v>
      </c>
      <c r="J118" s="57" t="str">
        <f>'Secondary cum Calculation'!J177</f>
        <v>Thousand</v>
      </c>
      <c r="K118" s="86">
        <f>'Secondary cum Calculation'!K177</f>
        <v>0</v>
      </c>
      <c r="L118" s="80"/>
      <c r="M118" s="81">
        <f>'Final Data-US$'!M61/'Final Data-US$'!L61-1</f>
        <v>-0.13457518339065755</v>
      </c>
      <c r="N118" s="81">
        <f>'Final Data-US$'!N61/'Final Data-US$'!M61-1</f>
        <v>-8.2551125793853486E-2</v>
      </c>
      <c r="O118" s="81">
        <f>'Final Data-US$'!O61/'Final Data-US$'!N61-1</f>
        <v>4.8780487804878092E-2</v>
      </c>
      <c r="P118" s="81">
        <f>'Final Data-US$'!P61/'Final Data-US$'!O61-1</f>
        <v>7.0569366479551032E-2</v>
      </c>
      <c r="Q118" s="81">
        <f>'Final Data-US$'!Q61/'Final Data-US$'!P61-1</f>
        <v>0.11161048689138586</v>
      </c>
      <c r="R118" s="81">
        <f>'Final Data-US$'!R61/'Final Data-US$'!Q61-1</f>
        <v>4.3894520703811502E-2</v>
      </c>
      <c r="S118" s="81">
        <f>'Final Data-US$'!S61/'Final Data-US$'!R61-1</f>
        <v>3.7730057894765245E-2</v>
      </c>
      <c r="T118" s="81">
        <f>'Final Data-US$'!T61/'Final Data-US$'!S61-1</f>
        <v>4.1529713635074961E-2</v>
      </c>
      <c r="U118" s="81">
        <f>'Final Data-US$'!U61/'Final Data-US$'!T61-1</f>
        <v>4.7028513561989227E-2</v>
      </c>
      <c r="V118" s="81">
        <f>'Final Data-US$'!V61/'Final Data-US$'!U61-1</f>
        <v>5.0596535090138284E-2</v>
      </c>
      <c r="W118" s="106">
        <f>'Final Data-US$'!W61</f>
        <v>3.4447560113938902E-2</v>
      </c>
      <c r="X118" s="106">
        <f>'Final Data-US$'!X61</f>
        <v>4.4146483873642506E-2</v>
      </c>
    </row>
    <row r="119" spans="1:24">
      <c r="A119" s="55" t="str">
        <f>'Secondary cum Calculation'!A179</f>
        <v>Poland</v>
      </c>
      <c r="B119" s="56" t="str">
        <f>'Secondary cum Calculation'!B179</f>
        <v>Tourism Flows</v>
      </c>
      <c r="C119" s="56" t="str">
        <f>'Secondary cum Calculation'!C179</f>
        <v>International Arrivals by Place of Origin</v>
      </c>
      <c r="D119" s="55" t="str">
        <f>'Secondary cum Calculation'!D179</f>
        <v>Africa</v>
      </c>
      <c r="E119" s="57"/>
      <c r="F119" s="57" t="str">
        <f>'Secondary cum Calculation'!F179</f>
        <v>The number of international arrivals to a country originating from Africa</v>
      </c>
      <c r="G119" s="57" t="str">
        <f>'Secondary cum Calculation'!G179</f>
        <v>Tourism Demand &amp; Flows Database</v>
      </c>
      <c r="H119" s="57" t="str">
        <f>'Secondary cum Calculation'!H179</f>
        <v>New</v>
      </c>
      <c r="I119" s="57">
        <f>'Secondary cum Calculation'!I179</f>
        <v>0</v>
      </c>
      <c r="J119" s="57" t="str">
        <f>'Secondary cum Calculation'!J179</f>
        <v>Thousand</v>
      </c>
      <c r="K119" s="86">
        <f>'Secondary cum Calculation'!K179</f>
        <v>0</v>
      </c>
      <c r="L119" s="80"/>
      <c r="M119" s="81">
        <f>'Final Data-US$'!M62/'Final Data-US$'!L62-1</f>
        <v>-0.18186680630356222</v>
      </c>
      <c r="N119" s="81">
        <f>'Final Data-US$'!N62/'Final Data-US$'!M62-1</f>
        <v>-7.4488387286426483E-2</v>
      </c>
      <c r="O119" s="81">
        <f>'Final Data-US$'!O62/'Final Data-US$'!N62-1</f>
        <v>0.11303460000651211</v>
      </c>
      <c r="P119" s="81">
        <f>'Final Data-US$'!P62/'Final Data-US$'!O62-1</f>
        <v>5.1476999597737771E-2</v>
      </c>
      <c r="Q119" s="81">
        <f>'Final Data-US$'!Q62/'Final Data-US$'!P62-1</f>
        <v>0.17595070826397841</v>
      </c>
      <c r="R119" s="81">
        <f>'Final Data-US$'!R62/'Final Data-US$'!Q62-1</f>
        <v>5.8596060403484973E-2</v>
      </c>
      <c r="S119" s="81">
        <f>'Final Data-US$'!S62/'Final Data-US$'!R62-1</f>
        <v>5.3546412701906743E-2</v>
      </c>
      <c r="T119" s="81">
        <f>'Final Data-US$'!T62/'Final Data-US$'!S62-1</f>
        <v>4.6065072804357898E-2</v>
      </c>
      <c r="U119" s="81">
        <f>'Final Data-US$'!U62/'Final Data-US$'!T62-1</f>
        <v>5.7370673918491377E-2</v>
      </c>
      <c r="V119" s="81">
        <f>'Final Data-US$'!V62/'Final Data-US$'!U62-1</f>
        <v>6.3513090097734315E-2</v>
      </c>
      <c r="W119" s="106">
        <f>'Final Data-US$'!W62</f>
        <v>6.2355469466307545E-2</v>
      </c>
      <c r="X119" s="106">
        <f>'Final Data-US$'!X62</f>
        <v>5.5802168632161697E-2</v>
      </c>
    </row>
    <row r="120" spans="1:24">
      <c r="A120" s="55" t="str">
        <f>'Secondary cum Calculation'!A181</f>
        <v>Poland</v>
      </c>
      <c r="B120" s="56" t="str">
        <f>'Secondary cum Calculation'!B181</f>
        <v>Tourism Flows</v>
      </c>
      <c r="C120" s="56" t="str">
        <f>'Secondary cum Calculation'!C181</f>
        <v>International Arrivals by Place of Origin</v>
      </c>
      <c r="D120" s="56" t="str">
        <f>'Secondary cum Calculation'!D181</f>
        <v>Africa</v>
      </c>
      <c r="E120" s="55" t="str">
        <f>'Secondary cum Calculation'!E181</f>
        <v>Algeria</v>
      </c>
      <c r="F120" s="57" t="str">
        <f>'Secondary cum Calculation'!F181</f>
        <v>The number of international arrivals to a country originating from Algeria</v>
      </c>
      <c r="G120" s="57" t="str">
        <f>'Secondary cum Calculation'!G181</f>
        <v>Tourism Demand &amp; Flows Database</v>
      </c>
      <c r="H120" s="57" t="str">
        <f>'Secondary cum Calculation'!H181</f>
        <v>New</v>
      </c>
      <c r="I120" s="57">
        <f>'Secondary cum Calculation'!I181</f>
        <v>0</v>
      </c>
      <c r="J120" s="57" t="str">
        <f>'Secondary cum Calculation'!J181</f>
        <v>Thousand</v>
      </c>
      <c r="K120" s="58">
        <f>'Secondary cum Calculation'!K181</f>
        <v>0</v>
      </c>
      <c r="L120" s="59"/>
      <c r="M120" s="60" t="e">
        <f>'Final Data-US$'!M63/'Final Data-US$'!L63-1</f>
        <v>#DIV/0!</v>
      </c>
      <c r="N120" s="60" t="e">
        <f>'Final Data-US$'!N63/'Final Data-US$'!M63-1</f>
        <v>#DIV/0!</v>
      </c>
      <c r="O120" s="60" t="e">
        <f>'Final Data-US$'!O63/'Final Data-US$'!N63-1</f>
        <v>#DIV/0!</v>
      </c>
      <c r="P120" s="60" t="e">
        <f>'Final Data-US$'!P63/'Final Data-US$'!O63-1</f>
        <v>#DIV/0!</v>
      </c>
      <c r="Q120" s="60" t="e">
        <f>'Final Data-US$'!Q63/'Final Data-US$'!P63-1</f>
        <v>#DIV/0!</v>
      </c>
      <c r="R120" s="60" t="e">
        <f>'Final Data-US$'!R63/'Final Data-US$'!Q63-1</f>
        <v>#DIV/0!</v>
      </c>
      <c r="S120" s="60" t="e">
        <f>'Final Data-US$'!S63/'Final Data-US$'!R63-1</f>
        <v>#DIV/0!</v>
      </c>
      <c r="T120" s="60" t="e">
        <f>'Final Data-US$'!T63/'Final Data-US$'!S63-1</f>
        <v>#DIV/0!</v>
      </c>
      <c r="U120" s="60" t="e">
        <f>'Final Data-US$'!U63/'Final Data-US$'!T63-1</f>
        <v>#DIV/0!</v>
      </c>
      <c r="V120" s="60" t="e">
        <f>'Final Data-US$'!V63/'Final Data-US$'!U63-1</f>
        <v>#DIV/0!</v>
      </c>
      <c r="W120" s="106" t="e">
        <f>'Final Data-US$'!W63</f>
        <v>#DIV/0!</v>
      </c>
      <c r="X120" s="106" t="e">
        <f>'Final Data-US$'!X63</f>
        <v>#DIV/0!</v>
      </c>
    </row>
    <row r="121" spans="1:24">
      <c r="A121" s="55" t="str">
        <f>'Secondary cum Calculation'!A183</f>
        <v>Poland</v>
      </c>
      <c r="B121" s="56" t="str">
        <f>'Secondary cum Calculation'!B183</f>
        <v>Tourism Flows</v>
      </c>
      <c r="C121" s="56" t="str">
        <f>'Secondary cum Calculation'!C183</f>
        <v>International Arrivals by Place of Origin</v>
      </c>
      <c r="D121" s="56" t="str">
        <f>'Secondary cum Calculation'!D183</f>
        <v>Africa</v>
      </c>
      <c r="E121" s="55" t="str">
        <f>'Secondary cum Calculation'!E183</f>
        <v>Angola</v>
      </c>
      <c r="F121" s="57" t="str">
        <f>'Secondary cum Calculation'!F183</f>
        <v>The number of international arrivals to a country originating from Angola</v>
      </c>
      <c r="G121" s="57" t="str">
        <f>'Secondary cum Calculation'!G183</f>
        <v>Tourism Demand &amp; Flows Database</v>
      </c>
      <c r="H121" s="57" t="str">
        <f>'Secondary cum Calculation'!H183</f>
        <v>New</v>
      </c>
      <c r="I121" s="57">
        <f>'Secondary cum Calculation'!I183</f>
        <v>0</v>
      </c>
      <c r="J121" s="57" t="str">
        <f>'Secondary cum Calculation'!J183</f>
        <v>Thousand</v>
      </c>
      <c r="K121" s="58">
        <f>'Secondary cum Calculation'!K183</f>
        <v>0</v>
      </c>
      <c r="L121" s="59"/>
      <c r="M121" s="60" t="e">
        <f>'Final Data-US$'!M64/'Final Data-US$'!L64-1</f>
        <v>#DIV/0!</v>
      </c>
      <c r="N121" s="60" t="e">
        <f>'Final Data-US$'!N64/'Final Data-US$'!M64-1</f>
        <v>#DIV/0!</v>
      </c>
      <c r="O121" s="60" t="e">
        <f>'Final Data-US$'!O64/'Final Data-US$'!N64-1</f>
        <v>#DIV/0!</v>
      </c>
      <c r="P121" s="60" t="e">
        <f>'Final Data-US$'!P64/'Final Data-US$'!O64-1</f>
        <v>#DIV/0!</v>
      </c>
      <c r="Q121" s="60" t="e">
        <f>'Final Data-US$'!Q64/'Final Data-US$'!P64-1</f>
        <v>#DIV/0!</v>
      </c>
      <c r="R121" s="60" t="e">
        <f>'Final Data-US$'!R64/'Final Data-US$'!Q64-1</f>
        <v>#DIV/0!</v>
      </c>
      <c r="S121" s="60" t="e">
        <f>'Final Data-US$'!S64/'Final Data-US$'!R64-1</f>
        <v>#DIV/0!</v>
      </c>
      <c r="T121" s="60" t="e">
        <f>'Final Data-US$'!T64/'Final Data-US$'!S64-1</f>
        <v>#DIV/0!</v>
      </c>
      <c r="U121" s="60" t="e">
        <f>'Final Data-US$'!U64/'Final Data-US$'!T64-1</f>
        <v>#DIV/0!</v>
      </c>
      <c r="V121" s="60" t="e">
        <f>'Final Data-US$'!V64/'Final Data-US$'!U64-1</f>
        <v>#DIV/0!</v>
      </c>
      <c r="W121" s="106" t="e">
        <f>'Final Data-US$'!W64</f>
        <v>#DIV/0!</v>
      </c>
      <c r="X121" s="106" t="e">
        <f>'Final Data-US$'!X64</f>
        <v>#DIV/0!</v>
      </c>
    </row>
    <row r="122" spans="1:24">
      <c r="A122" s="55" t="str">
        <f>'Secondary cum Calculation'!A185</f>
        <v>Poland</v>
      </c>
      <c r="B122" s="56" t="str">
        <f>'Secondary cum Calculation'!B185</f>
        <v>Tourism Flows</v>
      </c>
      <c r="C122" s="56" t="str">
        <f>'Secondary cum Calculation'!C185</f>
        <v>International Arrivals by Place of Origin</v>
      </c>
      <c r="D122" s="56" t="str">
        <f>'Secondary cum Calculation'!D185</f>
        <v>Africa</v>
      </c>
      <c r="E122" s="55" t="str">
        <f>'Secondary cum Calculation'!E185</f>
        <v>Benin</v>
      </c>
      <c r="F122" s="57" t="str">
        <f>'Secondary cum Calculation'!F185</f>
        <v>The number of international arrivals to a country originating from Benin</v>
      </c>
      <c r="G122" s="57" t="str">
        <f>'Secondary cum Calculation'!G185</f>
        <v>Tourism Demand &amp; Flows Database</v>
      </c>
      <c r="H122" s="57" t="str">
        <f>'Secondary cum Calculation'!H185</f>
        <v>New</v>
      </c>
      <c r="I122" s="57">
        <f>'Secondary cum Calculation'!I185</f>
        <v>0</v>
      </c>
      <c r="J122" s="57" t="str">
        <f>'Secondary cum Calculation'!J185</f>
        <v>Thousand</v>
      </c>
      <c r="K122" s="58">
        <f>'Secondary cum Calculation'!K185</f>
        <v>0</v>
      </c>
      <c r="L122" s="59"/>
      <c r="M122" s="60" t="e">
        <f>'Final Data-US$'!M65/'Final Data-US$'!L65-1</f>
        <v>#DIV/0!</v>
      </c>
      <c r="N122" s="60" t="e">
        <f>'Final Data-US$'!N65/'Final Data-US$'!M65-1</f>
        <v>#DIV/0!</v>
      </c>
      <c r="O122" s="60" t="e">
        <f>'Final Data-US$'!O65/'Final Data-US$'!N65-1</f>
        <v>#DIV/0!</v>
      </c>
      <c r="P122" s="60" t="e">
        <f>'Final Data-US$'!P65/'Final Data-US$'!O65-1</f>
        <v>#DIV/0!</v>
      </c>
      <c r="Q122" s="60" t="e">
        <f>'Final Data-US$'!Q65/'Final Data-US$'!P65-1</f>
        <v>#DIV/0!</v>
      </c>
      <c r="R122" s="60" t="e">
        <f>'Final Data-US$'!R65/'Final Data-US$'!Q65-1</f>
        <v>#DIV/0!</v>
      </c>
      <c r="S122" s="60" t="e">
        <f>'Final Data-US$'!S65/'Final Data-US$'!R65-1</f>
        <v>#DIV/0!</v>
      </c>
      <c r="T122" s="60" t="e">
        <f>'Final Data-US$'!T65/'Final Data-US$'!S65-1</f>
        <v>#DIV/0!</v>
      </c>
      <c r="U122" s="60" t="e">
        <f>'Final Data-US$'!U65/'Final Data-US$'!T65-1</f>
        <v>#DIV/0!</v>
      </c>
      <c r="V122" s="60" t="e">
        <f>'Final Data-US$'!V65/'Final Data-US$'!U65-1</f>
        <v>#DIV/0!</v>
      </c>
      <c r="W122" s="106" t="e">
        <f>'Final Data-US$'!W65</f>
        <v>#DIV/0!</v>
      </c>
      <c r="X122" s="106" t="e">
        <f>'Final Data-US$'!X65</f>
        <v>#DIV/0!</v>
      </c>
    </row>
    <row r="123" spans="1:24">
      <c r="A123" s="55" t="str">
        <f>'Secondary cum Calculation'!A187</f>
        <v>Poland</v>
      </c>
      <c r="B123" s="56" t="str">
        <f>'Secondary cum Calculation'!B187</f>
        <v>Tourism Flows</v>
      </c>
      <c r="C123" s="56" t="str">
        <f>'Secondary cum Calculation'!C187</f>
        <v>International Arrivals by Place of Origin</v>
      </c>
      <c r="D123" s="56" t="str">
        <f>'Secondary cum Calculation'!D187</f>
        <v>Africa</v>
      </c>
      <c r="E123" s="55" t="str">
        <f>'Secondary cum Calculation'!E187</f>
        <v>Botswana</v>
      </c>
      <c r="F123" s="57" t="str">
        <f>'Secondary cum Calculation'!F187</f>
        <v>The number of international arrivals to a country originating from Botswana</v>
      </c>
      <c r="G123" s="57" t="str">
        <f>'Secondary cum Calculation'!G187</f>
        <v>Tourism Demand &amp; Flows Database</v>
      </c>
      <c r="H123" s="57" t="str">
        <f>'Secondary cum Calculation'!H187</f>
        <v>New</v>
      </c>
      <c r="I123" s="57">
        <f>'Secondary cum Calculation'!I187</f>
        <v>0</v>
      </c>
      <c r="J123" s="57" t="str">
        <f>'Secondary cum Calculation'!J187</f>
        <v>Thousand</v>
      </c>
      <c r="K123" s="58">
        <f>'Secondary cum Calculation'!K187</f>
        <v>0</v>
      </c>
      <c r="L123" s="59"/>
      <c r="M123" s="60" t="e">
        <f>'Final Data-US$'!M66/'Final Data-US$'!L66-1</f>
        <v>#DIV/0!</v>
      </c>
      <c r="N123" s="60" t="e">
        <f>'Final Data-US$'!N66/'Final Data-US$'!M66-1</f>
        <v>#DIV/0!</v>
      </c>
      <c r="O123" s="60" t="e">
        <f>'Final Data-US$'!O66/'Final Data-US$'!N66-1</f>
        <v>#DIV/0!</v>
      </c>
      <c r="P123" s="60" t="e">
        <f>'Final Data-US$'!P66/'Final Data-US$'!O66-1</f>
        <v>#DIV/0!</v>
      </c>
      <c r="Q123" s="60" t="e">
        <f>'Final Data-US$'!Q66/'Final Data-US$'!P66-1</f>
        <v>#DIV/0!</v>
      </c>
      <c r="R123" s="60" t="e">
        <f>'Final Data-US$'!R66/'Final Data-US$'!Q66-1</f>
        <v>#DIV/0!</v>
      </c>
      <c r="S123" s="60" t="e">
        <f>'Final Data-US$'!S66/'Final Data-US$'!R66-1</f>
        <v>#DIV/0!</v>
      </c>
      <c r="T123" s="60" t="e">
        <f>'Final Data-US$'!T66/'Final Data-US$'!S66-1</f>
        <v>#DIV/0!</v>
      </c>
      <c r="U123" s="60" t="e">
        <f>'Final Data-US$'!U66/'Final Data-US$'!T66-1</f>
        <v>#DIV/0!</v>
      </c>
      <c r="V123" s="60" t="e">
        <f>'Final Data-US$'!V66/'Final Data-US$'!U66-1</f>
        <v>#DIV/0!</v>
      </c>
      <c r="W123" s="106" t="e">
        <f>'Final Data-US$'!W66</f>
        <v>#DIV/0!</v>
      </c>
      <c r="X123" s="106" t="e">
        <f>'Final Data-US$'!X66</f>
        <v>#DIV/0!</v>
      </c>
    </row>
    <row r="124" spans="1:24">
      <c r="A124" s="55" t="str">
        <f>'Secondary cum Calculation'!A189</f>
        <v>Poland</v>
      </c>
      <c r="B124" s="56" t="str">
        <f>'Secondary cum Calculation'!B189</f>
        <v>Tourism Flows</v>
      </c>
      <c r="C124" s="56" t="str">
        <f>'Secondary cum Calculation'!C189</f>
        <v>International Arrivals by Place of Origin</v>
      </c>
      <c r="D124" s="56" t="str">
        <f>'Secondary cum Calculation'!D189</f>
        <v>Africa</v>
      </c>
      <c r="E124" s="55" t="str">
        <f>'Secondary cum Calculation'!E189</f>
        <v>Burkina Faso</v>
      </c>
      <c r="F124" s="57" t="str">
        <f>'Secondary cum Calculation'!F189</f>
        <v>The number of international arrivals to a country originating from Burkina Faso</v>
      </c>
      <c r="G124" s="57" t="str">
        <f>'Secondary cum Calculation'!G189</f>
        <v>Tourism Demand &amp; Flows Database</v>
      </c>
      <c r="H124" s="57" t="str">
        <f>'Secondary cum Calculation'!H189</f>
        <v>New</v>
      </c>
      <c r="I124" s="57">
        <f>'Secondary cum Calculation'!I189</f>
        <v>0</v>
      </c>
      <c r="J124" s="57" t="str">
        <f>'Secondary cum Calculation'!J189</f>
        <v>Thousand</v>
      </c>
      <c r="K124" s="58">
        <f>'Secondary cum Calculation'!K189</f>
        <v>0</v>
      </c>
      <c r="L124" s="59"/>
      <c r="M124" s="60" t="e">
        <f>'Final Data-US$'!M67/'Final Data-US$'!L67-1</f>
        <v>#DIV/0!</v>
      </c>
      <c r="N124" s="60" t="e">
        <f>'Final Data-US$'!N67/'Final Data-US$'!M67-1</f>
        <v>#DIV/0!</v>
      </c>
      <c r="O124" s="60" t="e">
        <f>'Final Data-US$'!O67/'Final Data-US$'!N67-1</f>
        <v>#DIV/0!</v>
      </c>
      <c r="P124" s="60" t="e">
        <f>'Final Data-US$'!P67/'Final Data-US$'!O67-1</f>
        <v>#DIV/0!</v>
      </c>
      <c r="Q124" s="60" t="e">
        <f>'Final Data-US$'!Q67/'Final Data-US$'!P67-1</f>
        <v>#DIV/0!</v>
      </c>
      <c r="R124" s="60" t="e">
        <f>'Final Data-US$'!R67/'Final Data-US$'!Q67-1</f>
        <v>#DIV/0!</v>
      </c>
      <c r="S124" s="60" t="e">
        <f>'Final Data-US$'!S67/'Final Data-US$'!R67-1</f>
        <v>#DIV/0!</v>
      </c>
      <c r="T124" s="60" t="e">
        <f>'Final Data-US$'!T67/'Final Data-US$'!S67-1</f>
        <v>#DIV/0!</v>
      </c>
      <c r="U124" s="60" t="e">
        <f>'Final Data-US$'!U67/'Final Data-US$'!T67-1</f>
        <v>#DIV/0!</v>
      </c>
      <c r="V124" s="60" t="e">
        <f>'Final Data-US$'!V67/'Final Data-US$'!U67-1</f>
        <v>#DIV/0!</v>
      </c>
      <c r="W124" s="106" t="e">
        <f>'Final Data-US$'!W67</f>
        <v>#DIV/0!</v>
      </c>
      <c r="X124" s="106" t="e">
        <f>'Final Data-US$'!X67</f>
        <v>#DIV/0!</v>
      </c>
    </row>
    <row r="125" spans="1:24">
      <c r="A125" s="55" t="str">
        <f>'Secondary cum Calculation'!A191</f>
        <v>Poland</v>
      </c>
      <c r="B125" s="56" t="str">
        <f>'Secondary cum Calculation'!B191</f>
        <v>Tourism Flows</v>
      </c>
      <c r="C125" s="56" t="str">
        <f>'Secondary cum Calculation'!C191</f>
        <v>International Arrivals by Place of Origin</v>
      </c>
      <c r="D125" s="56" t="str">
        <f>'Secondary cum Calculation'!D191</f>
        <v>Africa</v>
      </c>
      <c r="E125" s="55" t="str">
        <f>'Secondary cum Calculation'!E191</f>
        <v>Burundi</v>
      </c>
      <c r="F125" s="57" t="str">
        <f>'Secondary cum Calculation'!F191</f>
        <v>The number of international arrivals to a country originating from Burundi</v>
      </c>
      <c r="G125" s="57" t="str">
        <f>'Secondary cum Calculation'!G191</f>
        <v>Tourism Demand &amp; Flows Database</v>
      </c>
      <c r="H125" s="57" t="str">
        <f>'Secondary cum Calculation'!H191</f>
        <v>New</v>
      </c>
      <c r="I125" s="57">
        <f>'Secondary cum Calculation'!I191</f>
        <v>0</v>
      </c>
      <c r="J125" s="57" t="str">
        <f>'Secondary cum Calculation'!J191</f>
        <v>Thousand</v>
      </c>
      <c r="K125" s="58">
        <f>'Secondary cum Calculation'!K191</f>
        <v>0</v>
      </c>
      <c r="L125" s="59"/>
      <c r="M125" s="60" t="e">
        <f>'Final Data-US$'!M68/'Final Data-US$'!L68-1</f>
        <v>#DIV/0!</v>
      </c>
      <c r="N125" s="60" t="e">
        <f>'Final Data-US$'!N68/'Final Data-US$'!M68-1</f>
        <v>#DIV/0!</v>
      </c>
      <c r="O125" s="60" t="e">
        <f>'Final Data-US$'!O68/'Final Data-US$'!N68-1</f>
        <v>#DIV/0!</v>
      </c>
      <c r="P125" s="60" t="e">
        <f>'Final Data-US$'!P68/'Final Data-US$'!O68-1</f>
        <v>#DIV/0!</v>
      </c>
      <c r="Q125" s="60" t="e">
        <f>'Final Data-US$'!Q68/'Final Data-US$'!P68-1</f>
        <v>#DIV/0!</v>
      </c>
      <c r="R125" s="60" t="e">
        <f>'Final Data-US$'!R68/'Final Data-US$'!Q68-1</f>
        <v>#DIV/0!</v>
      </c>
      <c r="S125" s="60" t="e">
        <f>'Final Data-US$'!S68/'Final Data-US$'!R68-1</f>
        <v>#DIV/0!</v>
      </c>
      <c r="T125" s="60" t="e">
        <f>'Final Data-US$'!T68/'Final Data-US$'!S68-1</f>
        <v>#DIV/0!</v>
      </c>
      <c r="U125" s="60" t="e">
        <f>'Final Data-US$'!U68/'Final Data-US$'!T68-1</f>
        <v>#DIV/0!</v>
      </c>
      <c r="V125" s="60" t="e">
        <f>'Final Data-US$'!V68/'Final Data-US$'!U68-1</f>
        <v>#DIV/0!</v>
      </c>
      <c r="W125" s="106" t="e">
        <f>'Final Data-US$'!W68</f>
        <v>#DIV/0!</v>
      </c>
      <c r="X125" s="106" t="e">
        <f>'Final Data-US$'!X68</f>
        <v>#DIV/0!</v>
      </c>
    </row>
    <row r="126" spans="1:24">
      <c r="A126" s="55" t="str">
        <f>'Secondary cum Calculation'!A193</f>
        <v>Poland</v>
      </c>
      <c r="B126" s="56" t="str">
        <f>'Secondary cum Calculation'!B193</f>
        <v>Tourism Flows</v>
      </c>
      <c r="C126" s="56" t="str">
        <f>'Secondary cum Calculation'!C193</f>
        <v>International Arrivals by Place of Origin</v>
      </c>
      <c r="D126" s="56" t="str">
        <f>'Secondary cum Calculation'!D193</f>
        <v>Africa</v>
      </c>
      <c r="E126" s="55" t="str">
        <f>'Secondary cum Calculation'!E193</f>
        <v>Cameroon</v>
      </c>
      <c r="F126" s="57" t="str">
        <f>'Secondary cum Calculation'!F193</f>
        <v>The number of international arrivals to a country originating from Cameroon</v>
      </c>
      <c r="G126" s="57" t="str">
        <f>'Secondary cum Calculation'!G193</f>
        <v>Tourism Demand &amp; Flows Database</v>
      </c>
      <c r="H126" s="57" t="str">
        <f>'Secondary cum Calculation'!H193</f>
        <v>New</v>
      </c>
      <c r="I126" s="57">
        <f>'Secondary cum Calculation'!I193</f>
        <v>0</v>
      </c>
      <c r="J126" s="57" t="str">
        <f>'Secondary cum Calculation'!J193</f>
        <v>Thousand</v>
      </c>
      <c r="K126" s="58">
        <f>'Secondary cum Calculation'!K193</f>
        <v>0</v>
      </c>
      <c r="L126" s="59"/>
      <c r="M126" s="60" t="e">
        <f>'Final Data-US$'!M69/'Final Data-US$'!L69-1</f>
        <v>#DIV/0!</v>
      </c>
      <c r="N126" s="60" t="e">
        <f>'Final Data-US$'!N69/'Final Data-US$'!M69-1</f>
        <v>#DIV/0!</v>
      </c>
      <c r="O126" s="60" t="e">
        <f>'Final Data-US$'!O69/'Final Data-US$'!N69-1</f>
        <v>#DIV/0!</v>
      </c>
      <c r="P126" s="60" t="e">
        <f>'Final Data-US$'!P69/'Final Data-US$'!O69-1</f>
        <v>#DIV/0!</v>
      </c>
      <c r="Q126" s="60" t="e">
        <f>'Final Data-US$'!Q69/'Final Data-US$'!P69-1</f>
        <v>#DIV/0!</v>
      </c>
      <c r="R126" s="60" t="e">
        <f>'Final Data-US$'!R69/'Final Data-US$'!Q69-1</f>
        <v>#DIV/0!</v>
      </c>
      <c r="S126" s="60" t="e">
        <f>'Final Data-US$'!S69/'Final Data-US$'!R69-1</f>
        <v>#DIV/0!</v>
      </c>
      <c r="T126" s="60" t="e">
        <f>'Final Data-US$'!T69/'Final Data-US$'!S69-1</f>
        <v>#DIV/0!</v>
      </c>
      <c r="U126" s="60" t="e">
        <f>'Final Data-US$'!U69/'Final Data-US$'!T69-1</f>
        <v>#DIV/0!</v>
      </c>
      <c r="V126" s="60" t="e">
        <f>'Final Data-US$'!V69/'Final Data-US$'!U69-1</f>
        <v>#DIV/0!</v>
      </c>
      <c r="W126" s="106" t="e">
        <f>'Final Data-US$'!W69</f>
        <v>#DIV/0!</v>
      </c>
      <c r="X126" s="106" t="e">
        <f>'Final Data-US$'!X69</f>
        <v>#DIV/0!</v>
      </c>
    </row>
    <row r="127" spans="1:24">
      <c r="A127" s="55" t="str">
        <f>'Secondary cum Calculation'!A195</f>
        <v>Poland</v>
      </c>
      <c r="B127" s="56" t="str">
        <f>'Secondary cum Calculation'!B195</f>
        <v>Tourism Flows</v>
      </c>
      <c r="C127" s="56" t="str">
        <f>'Secondary cum Calculation'!C195</f>
        <v>International Arrivals by Place of Origin</v>
      </c>
      <c r="D127" s="56" t="str">
        <f>'Secondary cum Calculation'!D195</f>
        <v>Africa</v>
      </c>
      <c r="E127" s="55" t="str">
        <f>'Secondary cum Calculation'!E195</f>
        <v>Cape Verde</v>
      </c>
      <c r="F127" s="57" t="str">
        <f>'Secondary cum Calculation'!F195</f>
        <v>The number of international arrivals to a country originating from Cape Verde</v>
      </c>
      <c r="G127" s="57" t="str">
        <f>'Secondary cum Calculation'!G195</f>
        <v>Tourism Demand &amp; Flows Database</v>
      </c>
      <c r="H127" s="57" t="str">
        <f>'Secondary cum Calculation'!H195</f>
        <v>New</v>
      </c>
      <c r="I127" s="57">
        <f>'Secondary cum Calculation'!I195</f>
        <v>0</v>
      </c>
      <c r="J127" s="57" t="str">
        <f>'Secondary cum Calculation'!J195</f>
        <v>Thousand</v>
      </c>
      <c r="K127" s="58">
        <f>'Secondary cum Calculation'!K195</f>
        <v>0</v>
      </c>
      <c r="L127" s="59"/>
      <c r="M127" s="60" t="e">
        <f>'Final Data-US$'!M70/'Final Data-US$'!L70-1</f>
        <v>#DIV/0!</v>
      </c>
      <c r="N127" s="60" t="e">
        <f>'Final Data-US$'!N70/'Final Data-US$'!M70-1</f>
        <v>#DIV/0!</v>
      </c>
      <c r="O127" s="60" t="e">
        <f>'Final Data-US$'!O70/'Final Data-US$'!N70-1</f>
        <v>#DIV/0!</v>
      </c>
      <c r="P127" s="60" t="e">
        <f>'Final Data-US$'!P70/'Final Data-US$'!O70-1</f>
        <v>#DIV/0!</v>
      </c>
      <c r="Q127" s="60" t="e">
        <f>'Final Data-US$'!Q70/'Final Data-US$'!P70-1</f>
        <v>#DIV/0!</v>
      </c>
      <c r="R127" s="60" t="e">
        <f>'Final Data-US$'!R70/'Final Data-US$'!Q70-1</f>
        <v>#DIV/0!</v>
      </c>
      <c r="S127" s="60" t="e">
        <f>'Final Data-US$'!S70/'Final Data-US$'!R70-1</f>
        <v>#DIV/0!</v>
      </c>
      <c r="T127" s="60" t="e">
        <f>'Final Data-US$'!T70/'Final Data-US$'!S70-1</f>
        <v>#DIV/0!</v>
      </c>
      <c r="U127" s="60" t="e">
        <f>'Final Data-US$'!U70/'Final Data-US$'!T70-1</f>
        <v>#DIV/0!</v>
      </c>
      <c r="V127" s="60" t="e">
        <f>'Final Data-US$'!V70/'Final Data-US$'!U70-1</f>
        <v>#DIV/0!</v>
      </c>
      <c r="W127" s="106" t="e">
        <f>'Final Data-US$'!W70</f>
        <v>#DIV/0!</v>
      </c>
      <c r="X127" s="106" t="e">
        <f>'Final Data-US$'!X70</f>
        <v>#DIV/0!</v>
      </c>
    </row>
    <row r="128" spans="1:24">
      <c r="A128" s="55" t="str">
        <f>'Secondary cum Calculation'!A197</f>
        <v>Poland</v>
      </c>
      <c r="B128" s="56" t="str">
        <f>'Secondary cum Calculation'!B197</f>
        <v>Tourism Flows</v>
      </c>
      <c r="C128" s="56" t="str">
        <f>'Secondary cum Calculation'!C197</f>
        <v>International Arrivals by Place of Origin</v>
      </c>
      <c r="D128" s="56" t="str">
        <f>'Secondary cum Calculation'!D197</f>
        <v>Africa</v>
      </c>
      <c r="E128" s="55" t="str">
        <f>'Secondary cum Calculation'!E197</f>
        <v>Central African Republic</v>
      </c>
      <c r="F128" s="57" t="str">
        <f>'Secondary cum Calculation'!F197</f>
        <v>The number of international arrivals to a country originating from Central African Republic</v>
      </c>
      <c r="G128" s="57" t="str">
        <f>'Secondary cum Calculation'!G197</f>
        <v>Tourism Demand &amp; Flows Database</v>
      </c>
      <c r="H128" s="57" t="str">
        <f>'Secondary cum Calculation'!H197</f>
        <v>New</v>
      </c>
      <c r="I128" s="57">
        <f>'Secondary cum Calculation'!I197</f>
        <v>0</v>
      </c>
      <c r="J128" s="57" t="str">
        <f>'Secondary cum Calculation'!J197</f>
        <v>Thousand</v>
      </c>
      <c r="K128" s="58">
        <f>'Secondary cum Calculation'!K197</f>
        <v>0</v>
      </c>
      <c r="L128" s="59"/>
      <c r="M128" s="60" t="e">
        <f>'Final Data-US$'!M71/'Final Data-US$'!L71-1</f>
        <v>#DIV/0!</v>
      </c>
      <c r="N128" s="60" t="e">
        <f>'Final Data-US$'!N71/'Final Data-US$'!M71-1</f>
        <v>#DIV/0!</v>
      </c>
      <c r="O128" s="60" t="e">
        <f>'Final Data-US$'!O71/'Final Data-US$'!N71-1</f>
        <v>#DIV/0!</v>
      </c>
      <c r="P128" s="60" t="e">
        <f>'Final Data-US$'!P71/'Final Data-US$'!O71-1</f>
        <v>#DIV/0!</v>
      </c>
      <c r="Q128" s="60" t="e">
        <f>'Final Data-US$'!Q71/'Final Data-US$'!P71-1</f>
        <v>#DIV/0!</v>
      </c>
      <c r="R128" s="60" t="e">
        <f>'Final Data-US$'!R71/'Final Data-US$'!Q71-1</f>
        <v>#DIV/0!</v>
      </c>
      <c r="S128" s="60" t="e">
        <f>'Final Data-US$'!S71/'Final Data-US$'!R71-1</f>
        <v>#DIV/0!</v>
      </c>
      <c r="T128" s="60" t="e">
        <f>'Final Data-US$'!T71/'Final Data-US$'!S71-1</f>
        <v>#DIV/0!</v>
      </c>
      <c r="U128" s="60" t="e">
        <f>'Final Data-US$'!U71/'Final Data-US$'!T71-1</f>
        <v>#DIV/0!</v>
      </c>
      <c r="V128" s="60" t="e">
        <f>'Final Data-US$'!V71/'Final Data-US$'!U71-1</f>
        <v>#DIV/0!</v>
      </c>
      <c r="W128" s="106" t="e">
        <f>'Final Data-US$'!W71</f>
        <v>#DIV/0!</v>
      </c>
      <c r="X128" s="106" t="e">
        <f>'Final Data-US$'!X71</f>
        <v>#DIV/0!</v>
      </c>
    </row>
    <row r="129" spans="1:24">
      <c r="A129" s="55" t="str">
        <f>'Secondary cum Calculation'!A199</f>
        <v>Poland</v>
      </c>
      <c r="B129" s="56" t="str">
        <f>'Secondary cum Calculation'!B199</f>
        <v>Tourism Flows</v>
      </c>
      <c r="C129" s="56" t="str">
        <f>'Secondary cum Calculation'!C199</f>
        <v>International Arrivals by Place of Origin</v>
      </c>
      <c r="D129" s="56" t="str">
        <f>'Secondary cum Calculation'!D199</f>
        <v>Africa</v>
      </c>
      <c r="E129" s="55" t="str">
        <f>'Secondary cum Calculation'!E199</f>
        <v>Chad</v>
      </c>
      <c r="F129" s="57" t="str">
        <f>'Secondary cum Calculation'!F199</f>
        <v>The number of international arrivals to a country originating from Chad</v>
      </c>
      <c r="G129" s="57" t="str">
        <f>'Secondary cum Calculation'!G199</f>
        <v>Tourism Demand &amp; Flows Database</v>
      </c>
      <c r="H129" s="57" t="str">
        <f>'Secondary cum Calculation'!H199</f>
        <v>New</v>
      </c>
      <c r="I129" s="57">
        <f>'Secondary cum Calculation'!I199</f>
        <v>0</v>
      </c>
      <c r="J129" s="57" t="str">
        <f>'Secondary cum Calculation'!J199</f>
        <v>Thousand</v>
      </c>
      <c r="K129" s="58">
        <f>'Secondary cum Calculation'!K199</f>
        <v>0</v>
      </c>
      <c r="L129" s="59"/>
      <c r="M129" s="60" t="e">
        <f>'Final Data-US$'!M72/'Final Data-US$'!L72-1</f>
        <v>#DIV/0!</v>
      </c>
      <c r="N129" s="60" t="e">
        <f>'Final Data-US$'!N72/'Final Data-US$'!M72-1</f>
        <v>#DIV/0!</v>
      </c>
      <c r="O129" s="60" t="e">
        <f>'Final Data-US$'!O72/'Final Data-US$'!N72-1</f>
        <v>#DIV/0!</v>
      </c>
      <c r="P129" s="60" t="e">
        <f>'Final Data-US$'!P72/'Final Data-US$'!O72-1</f>
        <v>#DIV/0!</v>
      </c>
      <c r="Q129" s="60" t="e">
        <f>'Final Data-US$'!Q72/'Final Data-US$'!P72-1</f>
        <v>#DIV/0!</v>
      </c>
      <c r="R129" s="60" t="e">
        <f>'Final Data-US$'!R72/'Final Data-US$'!Q72-1</f>
        <v>#DIV/0!</v>
      </c>
      <c r="S129" s="60" t="e">
        <f>'Final Data-US$'!S72/'Final Data-US$'!R72-1</f>
        <v>#DIV/0!</v>
      </c>
      <c r="T129" s="60" t="e">
        <f>'Final Data-US$'!T72/'Final Data-US$'!S72-1</f>
        <v>#DIV/0!</v>
      </c>
      <c r="U129" s="60" t="e">
        <f>'Final Data-US$'!U72/'Final Data-US$'!T72-1</f>
        <v>#DIV/0!</v>
      </c>
      <c r="V129" s="60" t="e">
        <f>'Final Data-US$'!V72/'Final Data-US$'!U72-1</f>
        <v>#DIV/0!</v>
      </c>
      <c r="W129" s="106" t="e">
        <f>'Final Data-US$'!W72</f>
        <v>#DIV/0!</v>
      </c>
      <c r="X129" s="106" t="e">
        <f>'Final Data-US$'!X72</f>
        <v>#DIV/0!</v>
      </c>
    </row>
    <row r="130" spans="1:24">
      <c r="A130" s="55" t="str">
        <f>'Secondary cum Calculation'!A201</f>
        <v>Poland</v>
      </c>
      <c r="B130" s="56" t="str">
        <f>'Secondary cum Calculation'!B201</f>
        <v>Tourism Flows</v>
      </c>
      <c r="C130" s="56" t="str">
        <f>'Secondary cum Calculation'!C201</f>
        <v>International Arrivals by Place of Origin</v>
      </c>
      <c r="D130" s="56" t="str">
        <f>'Secondary cum Calculation'!D201</f>
        <v>Africa</v>
      </c>
      <c r="E130" s="55" t="str">
        <f>'Secondary cum Calculation'!E201</f>
        <v>Comoros</v>
      </c>
      <c r="F130" s="57" t="str">
        <f>'Secondary cum Calculation'!F201</f>
        <v>The number of international arrivals to a country originating from Comoros</v>
      </c>
      <c r="G130" s="57" t="str">
        <f>'Secondary cum Calculation'!G201</f>
        <v>Tourism Demand &amp; Flows Database</v>
      </c>
      <c r="H130" s="57" t="str">
        <f>'Secondary cum Calculation'!H201</f>
        <v>New</v>
      </c>
      <c r="I130" s="57">
        <f>'Secondary cum Calculation'!I201</f>
        <v>0</v>
      </c>
      <c r="J130" s="57" t="str">
        <f>'Secondary cum Calculation'!J201</f>
        <v>Thousand</v>
      </c>
      <c r="K130" s="58">
        <f>'Secondary cum Calculation'!K201</f>
        <v>0</v>
      </c>
      <c r="L130" s="59"/>
      <c r="M130" s="60" t="e">
        <f>'Final Data-US$'!M73/'Final Data-US$'!L73-1</f>
        <v>#DIV/0!</v>
      </c>
      <c r="N130" s="60" t="e">
        <f>'Final Data-US$'!N73/'Final Data-US$'!M73-1</f>
        <v>#DIV/0!</v>
      </c>
      <c r="O130" s="60" t="e">
        <f>'Final Data-US$'!O73/'Final Data-US$'!N73-1</f>
        <v>#DIV/0!</v>
      </c>
      <c r="P130" s="60" t="e">
        <f>'Final Data-US$'!P73/'Final Data-US$'!O73-1</f>
        <v>#DIV/0!</v>
      </c>
      <c r="Q130" s="60" t="e">
        <f>'Final Data-US$'!Q73/'Final Data-US$'!P73-1</f>
        <v>#DIV/0!</v>
      </c>
      <c r="R130" s="60" t="e">
        <f>'Final Data-US$'!R73/'Final Data-US$'!Q73-1</f>
        <v>#DIV/0!</v>
      </c>
      <c r="S130" s="60" t="e">
        <f>'Final Data-US$'!S73/'Final Data-US$'!R73-1</f>
        <v>#DIV/0!</v>
      </c>
      <c r="T130" s="60" t="e">
        <f>'Final Data-US$'!T73/'Final Data-US$'!S73-1</f>
        <v>#DIV/0!</v>
      </c>
      <c r="U130" s="60" t="e">
        <f>'Final Data-US$'!U73/'Final Data-US$'!T73-1</f>
        <v>#DIV/0!</v>
      </c>
      <c r="V130" s="60" t="e">
        <f>'Final Data-US$'!V73/'Final Data-US$'!U73-1</f>
        <v>#DIV/0!</v>
      </c>
      <c r="W130" s="106" t="e">
        <f>'Final Data-US$'!W73</f>
        <v>#DIV/0!</v>
      </c>
      <c r="X130" s="106" t="e">
        <f>'Final Data-US$'!X73</f>
        <v>#DIV/0!</v>
      </c>
    </row>
    <row r="131" spans="1:24">
      <c r="A131" s="55" t="str">
        <f>'Secondary cum Calculation'!A203</f>
        <v>Poland</v>
      </c>
      <c r="B131" s="56" t="str">
        <f>'Secondary cum Calculation'!B203</f>
        <v>Tourism Flows</v>
      </c>
      <c r="C131" s="56" t="str">
        <f>'Secondary cum Calculation'!C203</f>
        <v>International Arrivals by Place of Origin</v>
      </c>
      <c r="D131" s="56" t="str">
        <f>'Secondary cum Calculation'!D203</f>
        <v>Africa</v>
      </c>
      <c r="E131" s="55" t="str">
        <f>'Secondary cum Calculation'!E203</f>
        <v>Congo</v>
      </c>
      <c r="F131" s="57" t="str">
        <f>'Secondary cum Calculation'!F203</f>
        <v>The number of international arrivals to a country originating from Congo</v>
      </c>
      <c r="G131" s="57" t="str">
        <f>'Secondary cum Calculation'!G203</f>
        <v>Tourism Demand &amp; Flows Database</v>
      </c>
      <c r="H131" s="57" t="str">
        <f>'Secondary cum Calculation'!H203</f>
        <v>New</v>
      </c>
      <c r="I131" s="57">
        <f>'Secondary cum Calculation'!I203</f>
        <v>0</v>
      </c>
      <c r="J131" s="57" t="str">
        <f>'Secondary cum Calculation'!J203</f>
        <v>Thousand</v>
      </c>
      <c r="K131" s="58">
        <f>'Secondary cum Calculation'!K203</f>
        <v>0</v>
      </c>
      <c r="L131" s="59"/>
      <c r="M131" s="60" t="e">
        <f>'Final Data-US$'!M74/'Final Data-US$'!L74-1</f>
        <v>#DIV/0!</v>
      </c>
      <c r="N131" s="60" t="e">
        <f>'Final Data-US$'!N74/'Final Data-US$'!M74-1</f>
        <v>#DIV/0!</v>
      </c>
      <c r="O131" s="60" t="e">
        <f>'Final Data-US$'!O74/'Final Data-US$'!N74-1</f>
        <v>#DIV/0!</v>
      </c>
      <c r="P131" s="60" t="e">
        <f>'Final Data-US$'!P74/'Final Data-US$'!O74-1</f>
        <v>#DIV/0!</v>
      </c>
      <c r="Q131" s="60" t="e">
        <f>'Final Data-US$'!Q74/'Final Data-US$'!P74-1</f>
        <v>#DIV/0!</v>
      </c>
      <c r="R131" s="60" t="e">
        <f>'Final Data-US$'!R74/'Final Data-US$'!Q74-1</f>
        <v>#DIV/0!</v>
      </c>
      <c r="S131" s="60" t="e">
        <f>'Final Data-US$'!S74/'Final Data-US$'!R74-1</f>
        <v>#DIV/0!</v>
      </c>
      <c r="T131" s="60" t="e">
        <f>'Final Data-US$'!T74/'Final Data-US$'!S74-1</f>
        <v>#DIV/0!</v>
      </c>
      <c r="U131" s="60" t="e">
        <f>'Final Data-US$'!U74/'Final Data-US$'!T74-1</f>
        <v>#DIV/0!</v>
      </c>
      <c r="V131" s="60" t="e">
        <f>'Final Data-US$'!V74/'Final Data-US$'!U74-1</f>
        <v>#DIV/0!</v>
      </c>
      <c r="W131" s="106" t="e">
        <f>'Final Data-US$'!W74</f>
        <v>#DIV/0!</v>
      </c>
      <c r="X131" s="106" t="e">
        <f>'Final Data-US$'!X74</f>
        <v>#DIV/0!</v>
      </c>
    </row>
    <row r="132" spans="1:24">
      <c r="A132" s="55" t="str">
        <f>'Secondary cum Calculation'!A205</f>
        <v>Poland</v>
      </c>
      <c r="B132" s="56" t="str">
        <f>'Secondary cum Calculation'!B205</f>
        <v>Tourism Flows</v>
      </c>
      <c r="C132" s="56" t="str">
        <f>'Secondary cum Calculation'!C205</f>
        <v>International Arrivals by Place of Origin</v>
      </c>
      <c r="D132" s="56" t="str">
        <f>'Secondary cum Calculation'!D205</f>
        <v>Africa</v>
      </c>
      <c r="E132" s="55" t="str">
        <f>'Secondary cum Calculation'!E205</f>
        <v>Côte d'Ivoire</v>
      </c>
      <c r="F132" s="57" t="str">
        <f>'Secondary cum Calculation'!F205</f>
        <v>The number of international arrivals to a country originating from Côte d'Ivoire</v>
      </c>
      <c r="G132" s="57" t="str">
        <f>'Secondary cum Calculation'!G205</f>
        <v>Tourism Demand &amp; Flows Database</v>
      </c>
      <c r="H132" s="57" t="str">
        <f>'Secondary cum Calculation'!H205</f>
        <v>New</v>
      </c>
      <c r="I132" s="57">
        <f>'Secondary cum Calculation'!I205</f>
        <v>0</v>
      </c>
      <c r="J132" s="57" t="str">
        <f>'Secondary cum Calculation'!J205</f>
        <v>Thousand</v>
      </c>
      <c r="K132" s="58">
        <f>'Secondary cum Calculation'!K205</f>
        <v>0</v>
      </c>
      <c r="L132" s="59"/>
      <c r="M132" s="60" t="e">
        <f>'Final Data-US$'!M75/'Final Data-US$'!L75-1</f>
        <v>#DIV/0!</v>
      </c>
      <c r="N132" s="60" t="e">
        <f>'Final Data-US$'!N75/'Final Data-US$'!M75-1</f>
        <v>#DIV/0!</v>
      </c>
      <c r="O132" s="60" t="e">
        <f>'Final Data-US$'!O75/'Final Data-US$'!N75-1</f>
        <v>#DIV/0!</v>
      </c>
      <c r="P132" s="60" t="e">
        <f>'Final Data-US$'!P75/'Final Data-US$'!O75-1</f>
        <v>#DIV/0!</v>
      </c>
      <c r="Q132" s="60" t="e">
        <f>'Final Data-US$'!Q75/'Final Data-US$'!P75-1</f>
        <v>#DIV/0!</v>
      </c>
      <c r="R132" s="60" t="e">
        <f>'Final Data-US$'!R75/'Final Data-US$'!Q75-1</f>
        <v>#DIV/0!</v>
      </c>
      <c r="S132" s="60" t="e">
        <f>'Final Data-US$'!S75/'Final Data-US$'!R75-1</f>
        <v>#DIV/0!</v>
      </c>
      <c r="T132" s="60" t="e">
        <f>'Final Data-US$'!T75/'Final Data-US$'!S75-1</f>
        <v>#DIV/0!</v>
      </c>
      <c r="U132" s="60" t="e">
        <f>'Final Data-US$'!U75/'Final Data-US$'!T75-1</f>
        <v>#DIV/0!</v>
      </c>
      <c r="V132" s="60" t="e">
        <f>'Final Data-US$'!V75/'Final Data-US$'!U75-1</f>
        <v>#DIV/0!</v>
      </c>
      <c r="W132" s="106" t="e">
        <f>'Final Data-US$'!W75</f>
        <v>#DIV/0!</v>
      </c>
      <c r="X132" s="106" t="e">
        <f>'Final Data-US$'!X75</f>
        <v>#DIV/0!</v>
      </c>
    </row>
    <row r="133" spans="1:24">
      <c r="A133" s="55" t="str">
        <f>'Secondary cum Calculation'!A207</f>
        <v>Poland</v>
      </c>
      <c r="B133" s="56" t="str">
        <f>'Secondary cum Calculation'!B207</f>
        <v>Tourism Flows</v>
      </c>
      <c r="C133" s="56" t="str">
        <f>'Secondary cum Calculation'!C207</f>
        <v>International Arrivals by Place of Origin</v>
      </c>
      <c r="D133" s="56" t="str">
        <f>'Secondary cum Calculation'!D207</f>
        <v>Africa</v>
      </c>
      <c r="E133" s="55" t="str">
        <f>'Secondary cum Calculation'!E207</f>
        <v>Dem. Republic of the Congo</v>
      </c>
      <c r="F133" s="57" t="str">
        <f>'Secondary cum Calculation'!F207</f>
        <v>The number of international arrivals to a country originating from Dem. Republic of the Congo</v>
      </c>
      <c r="G133" s="57" t="str">
        <f>'Secondary cum Calculation'!G207</f>
        <v>Tourism Demand &amp; Flows Database</v>
      </c>
      <c r="H133" s="57" t="str">
        <f>'Secondary cum Calculation'!H207</f>
        <v>New</v>
      </c>
      <c r="I133" s="57">
        <f>'Secondary cum Calculation'!I207</f>
        <v>0</v>
      </c>
      <c r="J133" s="57" t="str">
        <f>'Secondary cum Calculation'!J207</f>
        <v>Thousand</v>
      </c>
      <c r="K133" s="58">
        <f>'Secondary cum Calculation'!K207</f>
        <v>0</v>
      </c>
      <c r="L133" s="59"/>
      <c r="M133" s="60" t="e">
        <f>'Final Data-US$'!M76/'Final Data-US$'!L76-1</f>
        <v>#DIV/0!</v>
      </c>
      <c r="N133" s="60" t="e">
        <f>'Final Data-US$'!N76/'Final Data-US$'!M76-1</f>
        <v>#DIV/0!</v>
      </c>
      <c r="O133" s="60" t="e">
        <f>'Final Data-US$'!O76/'Final Data-US$'!N76-1</f>
        <v>#DIV/0!</v>
      </c>
      <c r="P133" s="60" t="e">
        <f>'Final Data-US$'!P76/'Final Data-US$'!O76-1</f>
        <v>#DIV/0!</v>
      </c>
      <c r="Q133" s="60" t="e">
        <f>'Final Data-US$'!Q76/'Final Data-US$'!P76-1</f>
        <v>#DIV/0!</v>
      </c>
      <c r="R133" s="60" t="e">
        <f>'Final Data-US$'!R76/'Final Data-US$'!Q76-1</f>
        <v>#DIV/0!</v>
      </c>
      <c r="S133" s="60" t="e">
        <f>'Final Data-US$'!S76/'Final Data-US$'!R76-1</f>
        <v>#DIV/0!</v>
      </c>
      <c r="T133" s="60" t="e">
        <f>'Final Data-US$'!T76/'Final Data-US$'!S76-1</f>
        <v>#DIV/0!</v>
      </c>
      <c r="U133" s="60" t="e">
        <f>'Final Data-US$'!U76/'Final Data-US$'!T76-1</f>
        <v>#DIV/0!</v>
      </c>
      <c r="V133" s="60" t="e">
        <f>'Final Data-US$'!V76/'Final Data-US$'!U76-1</f>
        <v>#DIV/0!</v>
      </c>
      <c r="W133" s="106" t="e">
        <f>'Final Data-US$'!W76</f>
        <v>#DIV/0!</v>
      </c>
      <c r="X133" s="106" t="e">
        <f>'Final Data-US$'!X76</f>
        <v>#DIV/0!</v>
      </c>
    </row>
    <row r="134" spans="1:24">
      <c r="A134" s="55" t="str">
        <f>'Secondary cum Calculation'!A209</f>
        <v>Poland</v>
      </c>
      <c r="B134" s="56" t="str">
        <f>'Secondary cum Calculation'!B209</f>
        <v>Tourism Flows</v>
      </c>
      <c r="C134" s="56" t="str">
        <f>'Secondary cum Calculation'!C209</f>
        <v>International Arrivals by Place of Origin</v>
      </c>
      <c r="D134" s="56" t="str">
        <f>'Secondary cum Calculation'!D209</f>
        <v>Africa</v>
      </c>
      <c r="E134" s="55" t="str">
        <f>'Secondary cum Calculation'!E209</f>
        <v>Djibouti</v>
      </c>
      <c r="F134" s="57" t="str">
        <f>'Secondary cum Calculation'!F209</f>
        <v>The number of international arrivals to a country originating from Djibouti</v>
      </c>
      <c r="G134" s="57" t="str">
        <f>'Secondary cum Calculation'!G209</f>
        <v>Tourism Demand &amp; Flows Database</v>
      </c>
      <c r="H134" s="57" t="str">
        <f>'Secondary cum Calculation'!H209</f>
        <v>New</v>
      </c>
      <c r="I134" s="57">
        <f>'Secondary cum Calculation'!I209</f>
        <v>0</v>
      </c>
      <c r="J134" s="57" t="str">
        <f>'Secondary cum Calculation'!J209</f>
        <v>Thousand</v>
      </c>
      <c r="K134" s="58">
        <f>'Secondary cum Calculation'!K209</f>
        <v>0</v>
      </c>
      <c r="L134" s="59"/>
      <c r="M134" s="60" t="e">
        <f>'Final Data-US$'!M77/'Final Data-US$'!L77-1</f>
        <v>#DIV/0!</v>
      </c>
      <c r="N134" s="60" t="e">
        <f>'Final Data-US$'!N77/'Final Data-US$'!M77-1</f>
        <v>#DIV/0!</v>
      </c>
      <c r="O134" s="60" t="e">
        <f>'Final Data-US$'!O77/'Final Data-US$'!N77-1</f>
        <v>#DIV/0!</v>
      </c>
      <c r="P134" s="60" t="e">
        <f>'Final Data-US$'!P77/'Final Data-US$'!O77-1</f>
        <v>#DIV/0!</v>
      </c>
      <c r="Q134" s="60" t="e">
        <f>'Final Data-US$'!Q77/'Final Data-US$'!P77-1</f>
        <v>#DIV/0!</v>
      </c>
      <c r="R134" s="60" t="e">
        <f>'Final Data-US$'!R77/'Final Data-US$'!Q77-1</f>
        <v>#DIV/0!</v>
      </c>
      <c r="S134" s="60" t="e">
        <f>'Final Data-US$'!S77/'Final Data-US$'!R77-1</f>
        <v>#DIV/0!</v>
      </c>
      <c r="T134" s="60" t="e">
        <f>'Final Data-US$'!T77/'Final Data-US$'!S77-1</f>
        <v>#DIV/0!</v>
      </c>
      <c r="U134" s="60" t="e">
        <f>'Final Data-US$'!U77/'Final Data-US$'!T77-1</f>
        <v>#DIV/0!</v>
      </c>
      <c r="V134" s="60" t="e">
        <f>'Final Data-US$'!V77/'Final Data-US$'!U77-1</f>
        <v>#DIV/0!</v>
      </c>
      <c r="W134" s="106" t="e">
        <f>'Final Data-US$'!W77</f>
        <v>#DIV/0!</v>
      </c>
      <c r="X134" s="106" t="e">
        <f>'Final Data-US$'!X77</f>
        <v>#DIV/0!</v>
      </c>
    </row>
    <row r="135" spans="1:24">
      <c r="A135" s="55" t="str">
        <f>'Secondary cum Calculation'!A211</f>
        <v>Poland</v>
      </c>
      <c r="B135" s="56" t="str">
        <f>'Secondary cum Calculation'!B211</f>
        <v>Tourism Flows</v>
      </c>
      <c r="C135" s="56" t="str">
        <f>'Secondary cum Calculation'!C211</f>
        <v>International Arrivals by Place of Origin</v>
      </c>
      <c r="D135" s="56" t="str">
        <f>'Secondary cum Calculation'!D211</f>
        <v>Africa</v>
      </c>
      <c r="E135" s="55" t="str">
        <f>'Secondary cum Calculation'!E211</f>
        <v>Egypt</v>
      </c>
      <c r="F135" s="57" t="str">
        <f>'Secondary cum Calculation'!F211</f>
        <v>The number of international arrivals to a country originating from Egypt</v>
      </c>
      <c r="G135" s="57" t="str">
        <f>'Secondary cum Calculation'!G211</f>
        <v>Tourism Demand &amp; Flows Database</v>
      </c>
      <c r="H135" s="57" t="str">
        <f>'Secondary cum Calculation'!H211</f>
        <v>New</v>
      </c>
      <c r="I135" s="57">
        <f>'Secondary cum Calculation'!I211</f>
        <v>0</v>
      </c>
      <c r="J135" s="57" t="str">
        <f>'Secondary cum Calculation'!J211</f>
        <v>Thousand</v>
      </c>
      <c r="K135" s="58">
        <f>'Secondary cum Calculation'!K211</f>
        <v>0</v>
      </c>
      <c r="L135" s="59"/>
      <c r="M135" s="60" t="e">
        <f>'Final Data-US$'!M78/'Final Data-US$'!L78-1</f>
        <v>#DIV/0!</v>
      </c>
      <c r="N135" s="60" t="e">
        <f>'Final Data-US$'!N78/'Final Data-US$'!M78-1</f>
        <v>#DIV/0!</v>
      </c>
      <c r="O135" s="60" t="e">
        <f>'Final Data-US$'!O78/'Final Data-US$'!N78-1</f>
        <v>#DIV/0!</v>
      </c>
      <c r="P135" s="60" t="e">
        <f>'Final Data-US$'!P78/'Final Data-US$'!O78-1</f>
        <v>#DIV/0!</v>
      </c>
      <c r="Q135" s="60" t="e">
        <f>'Final Data-US$'!Q78/'Final Data-US$'!P78-1</f>
        <v>#DIV/0!</v>
      </c>
      <c r="R135" s="60" t="e">
        <f>'Final Data-US$'!R78/'Final Data-US$'!Q78-1</f>
        <v>#DIV/0!</v>
      </c>
      <c r="S135" s="60" t="e">
        <f>'Final Data-US$'!S78/'Final Data-US$'!R78-1</f>
        <v>#DIV/0!</v>
      </c>
      <c r="T135" s="60" t="e">
        <f>'Final Data-US$'!T78/'Final Data-US$'!S78-1</f>
        <v>#DIV/0!</v>
      </c>
      <c r="U135" s="60" t="e">
        <f>'Final Data-US$'!U78/'Final Data-US$'!T78-1</f>
        <v>#DIV/0!</v>
      </c>
      <c r="V135" s="60" t="e">
        <f>'Final Data-US$'!V78/'Final Data-US$'!U78-1</f>
        <v>#DIV/0!</v>
      </c>
      <c r="W135" s="106" t="e">
        <f>'Final Data-US$'!W78</f>
        <v>#DIV/0!</v>
      </c>
      <c r="X135" s="106" t="e">
        <f>'Final Data-US$'!X78</f>
        <v>#DIV/0!</v>
      </c>
    </row>
    <row r="136" spans="1:24">
      <c r="A136" s="55" t="str">
        <f>'Secondary cum Calculation'!A213</f>
        <v>Poland</v>
      </c>
      <c r="B136" s="56" t="str">
        <f>'Secondary cum Calculation'!B213</f>
        <v>Tourism Flows</v>
      </c>
      <c r="C136" s="56" t="str">
        <f>'Secondary cum Calculation'!C213</f>
        <v>International Arrivals by Place of Origin</v>
      </c>
      <c r="D136" s="56" t="str">
        <f>'Secondary cum Calculation'!D213</f>
        <v>Africa</v>
      </c>
      <c r="E136" s="55" t="str">
        <f>'Secondary cum Calculation'!E213</f>
        <v>Equatorial Guinea</v>
      </c>
      <c r="F136" s="57" t="str">
        <f>'Secondary cum Calculation'!F213</f>
        <v>The number of international arrivals to a country originating from Equatorial Guinea</v>
      </c>
      <c r="G136" s="57" t="str">
        <f>'Secondary cum Calculation'!G213</f>
        <v>Tourism Demand &amp; Flows Database</v>
      </c>
      <c r="H136" s="57" t="str">
        <f>'Secondary cum Calculation'!H213</f>
        <v>New</v>
      </c>
      <c r="I136" s="57">
        <f>'Secondary cum Calculation'!I213</f>
        <v>0</v>
      </c>
      <c r="J136" s="57" t="str">
        <f>'Secondary cum Calculation'!J213</f>
        <v>Thousand</v>
      </c>
      <c r="K136" s="58">
        <f>'Secondary cum Calculation'!K213</f>
        <v>0</v>
      </c>
      <c r="L136" s="59"/>
      <c r="M136" s="60" t="e">
        <f>'Final Data-US$'!M79/'Final Data-US$'!L79-1</f>
        <v>#DIV/0!</v>
      </c>
      <c r="N136" s="60" t="e">
        <f>'Final Data-US$'!N79/'Final Data-US$'!M79-1</f>
        <v>#DIV/0!</v>
      </c>
      <c r="O136" s="60" t="e">
        <f>'Final Data-US$'!O79/'Final Data-US$'!N79-1</f>
        <v>#DIV/0!</v>
      </c>
      <c r="P136" s="60" t="e">
        <f>'Final Data-US$'!P79/'Final Data-US$'!O79-1</f>
        <v>#DIV/0!</v>
      </c>
      <c r="Q136" s="60" t="e">
        <f>'Final Data-US$'!Q79/'Final Data-US$'!P79-1</f>
        <v>#DIV/0!</v>
      </c>
      <c r="R136" s="60" t="e">
        <f>'Final Data-US$'!R79/'Final Data-US$'!Q79-1</f>
        <v>#DIV/0!</v>
      </c>
      <c r="S136" s="60" t="e">
        <f>'Final Data-US$'!S79/'Final Data-US$'!R79-1</f>
        <v>#DIV/0!</v>
      </c>
      <c r="T136" s="60" t="e">
        <f>'Final Data-US$'!T79/'Final Data-US$'!S79-1</f>
        <v>#DIV/0!</v>
      </c>
      <c r="U136" s="60" t="e">
        <f>'Final Data-US$'!U79/'Final Data-US$'!T79-1</f>
        <v>#DIV/0!</v>
      </c>
      <c r="V136" s="60" t="e">
        <f>'Final Data-US$'!V79/'Final Data-US$'!U79-1</f>
        <v>#DIV/0!</v>
      </c>
      <c r="W136" s="106" t="e">
        <f>'Final Data-US$'!W79</f>
        <v>#DIV/0!</v>
      </c>
      <c r="X136" s="106" t="e">
        <f>'Final Data-US$'!X79</f>
        <v>#DIV/0!</v>
      </c>
    </row>
    <row r="137" spans="1:24">
      <c r="A137" s="55" t="str">
        <f>'Secondary cum Calculation'!A215</f>
        <v>Poland</v>
      </c>
      <c r="B137" s="56" t="str">
        <f>'Secondary cum Calculation'!B215</f>
        <v>Tourism Flows</v>
      </c>
      <c r="C137" s="56" t="str">
        <f>'Secondary cum Calculation'!C215</f>
        <v>International Arrivals by Place of Origin</v>
      </c>
      <c r="D137" s="56" t="str">
        <f>'Secondary cum Calculation'!D215</f>
        <v>Africa</v>
      </c>
      <c r="E137" s="55" t="str">
        <f>'Secondary cum Calculation'!E215</f>
        <v>Eritrea</v>
      </c>
      <c r="F137" s="57" t="str">
        <f>'Secondary cum Calculation'!F215</f>
        <v>The number of international arrivals to a country originating from Eritrea</v>
      </c>
      <c r="G137" s="57" t="str">
        <f>'Secondary cum Calculation'!G215</f>
        <v>Tourism Demand &amp; Flows Database</v>
      </c>
      <c r="H137" s="57" t="str">
        <f>'Secondary cum Calculation'!H215</f>
        <v>New</v>
      </c>
      <c r="I137" s="57">
        <f>'Secondary cum Calculation'!I215</f>
        <v>0</v>
      </c>
      <c r="J137" s="57" t="str">
        <f>'Secondary cum Calculation'!J215</f>
        <v>Thousand</v>
      </c>
      <c r="K137" s="58">
        <f>'Secondary cum Calculation'!K215</f>
        <v>0</v>
      </c>
      <c r="L137" s="59"/>
      <c r="M137" s="60" t="e">
        <f>'Final Data-US$'!M80/'Final Data-US$'!L80-1</f>
        <v>#DIV/0!</v>
      </c>
      <c r="N137" s="60" t="e">
        <f>'Final Data-US$'!N80/'Final Data-US$'!M80-1</f>
        <v>#DIV/0!</v>
      </c>
      <c r="O137" s="60" t="e">
        <f>'Final Data-US$'!O80/'Final Data-US$'!N80-1</f>
        <v>#DIV/0!</v>
      </c>
      <c r="P137" s="60" t="e">
        <f>'Final Data-US$'!P80/'Final Data-US$'!O80-1</f>
        <v>#DIV/0!</v>
      </c>
      <c r="Q137" s="60" t="e">
        <f>'Final Data-US$'!Q80/'Final Data-US$'!P80-1</f>
        <v>#DIV/0!</v>
      </c>
      <c r="R137" s="60" t="e">
        <f>'Final Data-US$'!R80/'Final Data-US$'!Q80-1</f>
        <v>#DIV/0!</v>
      </c>
      <c r="S137" s="60" t="e">
        <f>'Final Data-US$'!S80/'Final Data-US$'!R80-1</f>
        <v>#DIV/0!</v>
      </c>
      <c r="T137" s="60" t="e">
        <f>'Final Data-US$'!T80/'Final Data-US$'!S80-1</f>
        <v>#DIV/0!</v>
      </c>
      <c r="U137" s="60" t="e">
        <f>'Final Data-US$'!U80/'Final Data-US$'!T80-1</f>
        <v>#DIV/0!</v>
      </c>
      <c r="V137" s="60" t="e">
        <f>'Final Data-US$'!V80/'Final Data-US$'!U80-1</f>
        <v>#DIV/0!</v>
      </c>
      <c r="W137" s="106" t="e">
        <f>'Final Data-US$'!W80</f>
        <v>#DIV/0!</v>
      </c>
      <c r="X137" s="106" t="e">
        <f>'Final Data-US$'!X80</f>
        <v>#DIV/0!</v>
      </c>
    </row>
    <row r="138" spans="1:24">
      <c r="A138" s="55" t="str">
        <f>'Secondary cum Calculation'!A217</f>
        <v>Poland</v>
      </c>
      <c r="B138" s="56" t="str">
        <f>'Secondary cum Calculation'!B217</f>
        <v>Tourism Flows</v>
      </c>
      <c r="C138" s="56" t="str">
        <f>'Secondary cum Calculation'!C217</f>
        <v>International Arrivals by Place of Origin</v>
      </c>
      <c r="D138" s="56" t="str">
        <f>'Secondary cum Calculation'!D217</f>
        <v>Africa</v>
      </c>
      <c r="E138" s="55" t="str">
        <f>'Secondary cum Calculation'!E217</f>
        <v>Ethiopia</v>
      </c>
      <c r="F138" s="57" t="str">
        <f>'Secondary cum Calculation'!F217</f>
        <v>The number of international arrivals to a country originating from Ethiopia</v>
      </c>
      <c r="G138" s="57" t="str">
        <f>'Secondary cum Calculation'!G217</f>
        <v>Tourism Demand &amp; Flows Database</v>
      </c>
      <c r="H138" s="57" t="str">
        <f>'Secondary cum Calculation'!H217</f>
        <v>New</v>
      </c>
      <c r="I138" s="57">
        <f>'Secondary cum Calculation'!I217</f>
        <v>0</v>
      </c>
      <c r="J138" s="57" t="str">
        <f>'Secondary cum Calculation'!J217</f>
        <v>Thousand</v>
      </c>
      <c r="K138" s="58">
        <f>'Secondary cum Calculation'!K217</f>
        <v>0</v>
      </c>
      <c r="L138" s="59"/>
      <c r="M138" s="60" t="e">
        <f>'Final Data-US$'!M81/'Final Data-US$'!L81-1</f>
        <v>#DIV/0!</v>
      </c>
      <c r="N138" s="60" t="e">
        <f>'Final Data-US$'!N81/'Final Data-US$'!M81-1</f>
        <v>#DIV/0!</v>
      </c>
      <c r="O138" s="60" t="e">
        <f>'Final Data-US$'!O81/'Final Data-US$'!N81-1</f>
        <v>#DIV/0!</v>
      </c>
      <c r="P138" s="60" t="e">
        <f>'Final Data-US$'!P81/'Final Data-US$'!O81-1</f>
        <v>#DIV/0!</v>
      </c>
      <c r="Q138" s="60" t="e">
        <f>'Final Data-US$'!Q81/'Final Data-US$'!P81-1</f>
        <v>#DIV/0!</v>
      </c>
      <c r="R138" s="60" t="e">
        <f>'Final Data-US$'!R81/'Final Data-US$'!Q81-1</f>
        <v>#DIV/0!</v>
      </c>
      <c r="S138" s="60" t="e">
        <f>'Final Data-US$'!S81/'Final Data-US$'!R81-1</f>
        <v>#DIV/0!</v>
      </c>
      <c r="T138" s="60" t="e">
        <f>'Final Data-US$'!T81/'Final Data-US$'!S81-1</f>
        <v>#DIV/0!</v>
      </c>
      <c r="U138" s="60" t="e">
        <f>'Final Data-US$'!U81/'Final Data-US$'!T81-1</f>
        <v>#DIV/0!</v>
      </c>
      <c r="V138" s="60" t="e">
        <f>'Final Data-US$'!V81/'Final Data-US$'!U81-1</f>
        <v>#DIV/0!</v>
      </c>
      <c r="W138" s="106" t="e">
        <f>'Final Data-US$'!W81</f>
        <v>#DIV/0!</v>
      </c>
      <c r="X138" s="106" t="e">
        <f>'Final Data-US$'!X81</f>
        <v>#DIV/0!</v>
      </c>
    </row>
    <row r="139" spans="1:24">
      <c r="A139" s="55" t="str">
        <f>'Secondary cum Calculation'!A219</f>
        <v>Poland</v>
      </c>
      <c r="B139" s="56" t="str">
        <f>'Secondary cum Calculation'!B219</f>
        <v>Tourism Flows</v>
      </c>
      <c r="C139" s="56" t="str">
        <f>'Secondary cum Calculation'!C219</f>
        <v>International Arrivals by Place of Origin</v>
      </c>
      <c r="D139" s="56" t="str">
        <f>'Secondary cum Calculation'!D219</f>
        <v>Africa</v>
      </c>
      <c r="E139" s="55" t="str">
        <f>'Secondary cum Calculation'!E219</f>
        <v>Gabon</v>
      </c>
      <c r="F139" s="57" t="str">
        <f>'Secondary cum Calculation'!F219</f>
        <v>The number of international arrivals to a country originating from Gabon</v>
      </c>
      <c r="G139" s="57" t="str">
        <f>'Secondary cum Calculation'!G219</f>
        <v>Tourism Demand &amp; Flows Database</v>
      </c>
      <c r="H139" s="57" t="str">
        <f>'Secondary cum Calculation'!H219</f>
        <v>New</v>
      </c>
      <c r="I139" s="57">
        <f>'Secondary cum Calculation'!I219</f>
        <v>0</v>
      </c>
      <c r="J139" s="57" t="str">
        <f>'Secondary cum Calculation'!J219</f>
        <v>Thousand</v>
      </c>
      <c r="K139" s="58">
        <f>'Secondary cum Calculation'!K219</f>
        <v>0</v>
      </c>
      <c r="L139" s="59"/>
      <c r="M139" s="60" t="e">
        <f>'Final Data-US$'!M82/'Final Data-US$'!L82-1</f>
        <v>#DIV/0!</v>
      </c>
      <c r="N139" s="60" t="e">
        <f>'Final Data-US$'!N82/'Final Data-US$'!M82-1</f>
        <v>#DIV/0!</v>
      </c>
      <c r="O139" s="60" t="e">
        <f>'Final Data-US$'!O82/'Final Data-US$'!N82-1</f>
        <v>#DIV/0!</v>
      </c>
      <c r="P139" s="60" t="e">
        <f>'Final Data-US$'!P82/'Final Data-US$'!O82-1</f>
        <v>#DIV/0!</v>
      </c>
      <c r="Q139" s="60" t="e">
        <f>'Final Data-US$'!Q82/'Final Data-US$'!P82-1</f>
        <v>#DIV/0!</v>
      </c>
      <c r="R139" s="60" t="e">
        <f>'Final Data-US$'!R82/'Final Data-US$'!Q82-1</f>
        <v>#DIV/0!</v>
      </c>
      <c r="S139" s="60" t="e">
        <f>'Final Data-US$'!S82/'Final Data-US$'!R82-1</f>
        <v>#DIV/0!</v>
      </c>
      <c r="T139" s="60" t="e">
        <f>'Final Data-US$'!T82/'Final Data-US$'!S82-1</f>
        <v>#DIV/0!</v>
      </c>
      <c r="U139" s="60" t="e">
        <f>'Final Data-US$'!U82/'Final Data-US$'!T82-1</f>
        <v>#DIV/0!</v>
      </c>
      <c r="V139" s="60" t="e">
        <f>'Final Data-US$'!V82/'Final Data-US$'!U82-1</f>
        <v>#DIV/0!</v>
      </c>
      <c r="W139" s="106" t="e">
        <f>'Final Data-US$'!W82</f>
        <v>#DIV/0!</v>
      </c>
      <c r="X139" s="106" t="e">
        <f>'Final Data-US$'!X82</f>
        <v>#DIV/0!</v>
      </c>
    </row>
    <row r="140" spans="1:24">
      <c r="A140" s="55" t="str">
        <f>'Secondary cum Calculation'!A221</f>
        <v>Poland</v>
      </c>
      <c r="B140" s="56" t="str">
        <f>'Secondary cum Calculation'!B221</f>
        <v>Tourism Flows</v>
      </c>
      <c r="C140" s="56" t="str">
        <f>'Secondary cum Calculation'!C221</f>
        <v>International Arrivals by Place of Origin</v>
      </c>
      <c r="D140" s="56" t="str">
        <f>'Secondary cum Calculation'!D221</f>
        <v>Africa</v>
      </c>
      <c r="E140" s="55" t="str">
        <f>'Secondary cum Calculation'!E221</f>
        <v>Gambia</v>
      </c>
      <c r="F140" s="57" t="str">
        <f>'Secondary cum Calculation'!F221</f>
        <v>The number of international arrivals to a country originating from Gambia</v>
      </c>
      <c r="G140" s="57" t="str">
        <f>'Secondary cum Calculation'!G221</f>
        <v>Tourism Demand &amp; Flows Database</v>
      </c>
      <c r="H140" s="57" t="str">
        <f>'Secondary cum Calculation'!H221</f>
        <v>New</v>
      </c>
      <c r="I140" s="57">
        <f>'Secondary cum Calculation'!I221</f>
        <v>0</v>
      </c>
      <c r="J140" s="57" t="str">
        <f>'Secondary cum Calculation'!J221</f>
        <v>Thousand</v>
      </c>
      <c r="K140" s="58">
        <f>'Secondary cum Calculation'!K221</f>
        <v>0</v>
      </c>
      <c r="L140" s="59"/>
      <c r="M140" s="60" t="e">
        <f>'Final Data-US$'!M83/'Final Data-US$'!L83-1</f>
        <v>#DIV/0!</v>
      </c>
      <c r="N140" s="60" t="e">
        <f>'Final Data-US$'!N83/'Final Data-US$'!M83-1</f>
        <v>#DIV/0!</v>
      </c>
      <c r="O140" s="60" t="e">
        <f>'Final Data-US$'!O83/'Final Data-US$'!N83-1</f>
        <v>#DIV/0!</v>
      </c>
      <c r="P140" s="60" t="e">
        <f>'Final Data-US$'!P83/'Final Data-US$'!O83-1</f>
        <v>#DIV/0!</v>
      </c>
      <c r="Q140" s="60" t="e">
        <f>'Final Data-US$'!Q83/'Final Data-US$'!P83-1</f>
        <v>#DIV/0!</v>
      </c>
      <c r="R140" s="60" t="e">
        <f>'Final Data-US$'!R83/'Final Data-US$'!Q83-1</f>
        <v>#DIV/0!</v>
      </c>
      <c r="S140" s="60" t="e">
        <f>'Final Data-US$'!S83/'Final Data-US$'!R83-1</f>
        <v>#DIV/0!</v>
      </c>
      <c r="T140" s="60" t="e">
        <f>'Final Data-US$'!T83/'Final Data-US$'!S83-1</f>
        <v>#DIV/0!</v>
      </c>
      <c r="U140" s="60" t="e">
        <f>'Final Data-US$'!U83/'Final Data-US$'!T83-1</f>
        <v>#DIV/0!</v>
      </c>
      <c r="V140" s="60" t="e">
        <f>'Final Data-US$'!V83/'Final Data-US$'!U83-1</f>
        <v>#DIV/0!</v>
      </c>
      <c r="W140" s="106" t="e">
        <f>'Final Data-US$'!W83</f>
        <v>#DIV/0!</v>
      </c>
      <c r="X140" s="106" t="e">
        <f>'Final Data-US$'!X83</f>
        <v>#DIV/0!</v>
      </c>
    </row>
    <row r="141" spans="1:24">
      <c r="A141" s="55" t="str">
        <f>'Secondary cum Calculation'!A223</f>
        <v>Poland</v>
      </c>
      <c r="B141" s="56" t="str">
        <f>'Secondary cum Calculation'!B223</f>
        <v>Tourism Flows</v>
      </c>
      <c r="C141" s="56" t="str">
        <f>'Secondary cum Calculation'!C223</f>
        <v>International Arrivals by Place of Origin</v>
      </c>
      <c r="D141" s="56" t="str">
        <f>'Secondary cum Calculation'!D223</f>
        <v>Africa</v>
      </c>
      <c r="E141" s="55" t="str">
        <f>'Secondary cum Calculation'!E223</f>
        <v>Ghana</v>
      </c>
      <c r="F141" s="57" t="str">
        <f>'Secondary cum Calculation'!F223</f>
        <v>The number of international arrivals to a country originating from Ghana</v>
      </c>
      <c r="G141" s="57" t="str">
        <f>'Secondary cum Calculation'!G223</f>
        <v>Tourism Demand &amp; Flows Database</v>
      </c>
      <c r="H141" s="57" t="str">
        <f>'Secondary cum Calculation'!H223</f>
        <v>New</v>
      </c>
      <c r="I141" s="57">
        <f>'Secondary cum Calculation'!I223</f>
        <v>0</v>
      </c>
      <c r="J141" s="57" t="str">
        <f>'Secondary cum Calculation'!J223</f>
        <v>Thousand</v>
      </c>
      <c r="K141" s="58">
        <f>'Secondary cum Calculation'!K223</f>
        <v>0</v>
      </c>
      <c r="L141" s="59"/>
      <c r="M141" s="60" t="e">
        <f>'Final Data-US$'!M84/'Final Data-US$'!L84-1</f>
        <v>#DIV/0!</v>
      </c>
      <c r="N141" s="60" t="e">
        <f>'Final Data-US$'!N84/'Final Data-US$'!M84-1</f>
        <v>#DIV/0!</v>
      </c>
      <c r="O141" s="60" t="e">
        <f>'Final Data-US$'!O84/'Final Data-US$'!N84-1</f>
        <v>#DIV/0!</v>
      </c>
      <c r="P141" s="60" t="e">
        <f>'Final Data-US$'!P84/'Final Data-US$'!O84-1</f>
        <v>#DIV/0!</v>
      </c>
      <c r="Q141" s="60" t="e">
        <f>'Final Data-US$'!Q84/'Final Data-US$'!P84-1</f>
        <v>#DIV/0!</v>
      </c>
      <c r="R141" s="60" t="e">
        <f>'Final Data-US$'!R84/'Final Data-US$'!Q84-1</f>
        <v>#DIV/0!</v>
      </c>
      <c r="S141" s="60" t="e">
        <f>'Final Data-US$'!S84/'Final Data-US$'!R84-1</f>
        <v>#DIV/0!</v>
      </c>
      <c r="T141" s="60" t="e">
        <f>'Final Data-US$'!T84/'Final Data-US$'!S84-1</f>
        <v>#DIV/0!</v>
      </c>
      <c r="U141" s="60" t="e">
        <f>'Final Data-US$'!U84/'Final Data-US$'!T84-1</f>
        <v>#DIV/0!</v>
      </c>
      <c r="V141" s="60" t="e">
        <f>'Final Data-US$'!V84/'Final Data-US$'!U84-1</f>
        <v>#DIV/0!</v>
      </c>
      <c r="W141" s="106" t="e">
        <f>'Final Data-US$'!W84</f>
        <v>#DIV/0!</v>
      </c>
      <c r="X141" s="106" t="e">
        <f>'Final Data-US$'!X84</f>
        <v>#DIV/0!</v>
      </c>
    </row>
    <row r="142" spans="1:24">
      <c r="A142" s="55" t="str">
        <f>'Secondary cum Calculation'!A225</f>
        <v>Poland</v>
      </c>
      <c r="B142" s="56" t="str">
        <f>'Secondary cum Calculation'!B225</f>
        <v>Tourism Flows</v>
      </c>
      <c r="C142" s="56" t="str">
        <f>'Secondary cum Calculation'!C225</f>
        <v>International Arrivals by Place of Origin</v>
      </c>
      <c r="D142" s="56" t="str">
        <f>'Secondary cum Calculation'!D225</f>
        <v>Africa</v>
      </c>
      <c r="E142" s="55" t="str">
        <f>'Secondary cum Calculation'!E225</f>
        <v>Guinea</v>
      </c>
      <c r="F142" s="57" t="str">
        <f>'Secondary cum Calculation'!F225</f>
        <v>The number of international arrivals to a country originating from Guinea</v>
      </c>
      <c r="G142" s="57" t="str">
        <f>'Secondary cum Calculation'!G225</f>
        <v>Tourism Demand &amp; Flows Database</v>
      </c>
      <c r="H142" s="57" t="str">
        <f>'Secondary cum Calculation'!H225</f>
        <v>New</v>
      </c>
      <c r="I142" s="57">
        <f>'Secondary cum Calculation'!I225</f>
        <v>0</v>
      </c>
      <c r="J142" s="57" t="str">
        <f>'Secondary cum Calculation'!J225</f>
        <v>Thousand</v>
      </c>
      <c r="K142" s="58">
        <f>'Secondary cum Calculation'!K225</f>
        <v>0</v>
      </c>
      <c r="L142" s="59"/>
      <c r="M142" s="60" t="e">
        <f>'Final Data-US$'!M85/'Final Data-US$'!L85-1</f>
        <v>#DIV/0!</v>
      </c>
      <c r="N142" s="60" t="e">
        <f>'Final Data-US$'!N85/'Final Data-US$'!M85-1</f>
        <v>#DIV/0!</v>
      </c>
      <c r="O142" s="60" t="e">
        <f>'Final Data-US$'!O85/'Final Data-US$'!N85-1</f>
        <v>#DIV/0!</v>
      </c>
      <c r="P142" s="60" t="e">
        <f>'Final Data-US$'!P85/'Final Data-US$'!O85-1</f>
        <v>#DIV/0!</v>
      </c>
      <c r="Q142" s="60" t="e">
        <f>'Final Data-US$'!Q85/'Final Data-US$'!P85-1</f>
        <v>#DIV/0!</v>
      </c>
      <c r="R142" s="60" t="e">
        <f>'Final Data-US$'!R85/'Final Data-US$'!Q85-1</f>
        <v>#DIV/0!</v>
      </c>
      <c r="S142" s="60" t="e">
        <f>'Final Data-US$'!S85/'Final Data-US$'!R85-1</f>
        <v>#DIV/0!</v>
      </c>
      <c r="T142" s="60" t="e">
        <f>'Final Data-US$'!T85/'Final Data-US$'!S85-1</f>
        <v>#DIV/0!</v>
      </c>
      <c r="U142" s="60" t="e">
        <f>'Final Data-US$'!U85/'Final Data-US$'!T85-1</f>
        <v>#DIV/0!</v>
      </c>
      <c r="V142" s="60" t="e">
        <f>'Final Data-US$'!V85/'Final Data-US$'!U85-1</f>
        <v>#DIV/0!</v>
      </c>
      <c r="W142" s="106" t="e">
        <f>'Final Data-US$'!W85</f>
        <v>#DIV/0!</v>
      </c>
      <c r="X142" s="106" t="e">
        <f>'Final Data-US$'!X85</f>
        <v>#DIV/0!</v>
      </c>
    </row>
    <row r="143" spans="1:24">
      <c r="A143" s="55" t="str">
        <f>'Secondary cum Calculation'!A227</f>
        <v>Poland</v>
      </c>
      <c r="B143" s="56" t="str">
        <f>'Secondary cum Calculation'!B227</f>
        <v>Tourism Flows</v>
      </c>
      <c r="C143" s="56" t="str">
        <f>'Secondary cum Calculation'!C227</f>
        <v>International Arrivals by Place of Origin</v>
      </c>
      <c r="D143" s="56" t="str">
        <f>'Secondary cum Calculation'!D227</f>
        <v>Africa</v>
      </c>
      <c r="E143" s="55" t="str">
        <f>'Secondary cum Calculation'!E227</f>
        <v>Guinea-Bissau</v>
      </c>
      <c r="F143" s="57" t="str">
        <f>'Secondary cum Calculation'!F227</f>
        <v>The number of international arrivals to a country originating from Guinea-Bissau</v>
      </c>
      <c r="G143" s="57" t="str">
        <f>'Secondary cum Calculation'!G227</f>
        <v>Tourism Demand &amp; Flows Database</v>
      </c>
      <c r="H143" s="57" t="str">
        <f>'Secondary cum Calculation'!H227</f>
        <v>New</v>
      </c>
      <c r="I143" s="57">
        <f>'Secondary cum Calculation'!I227</f>
        <v>0</v>
      </c>
      <c r="J143" s="57" t="str">
        <f>'Secondary cum Calculation'!J227</f>
        <v>Thousand</v>
      </c>
      <c r="K143" s="58">
        <f>'Secondary cum Calculation'!K227</f>
        <v>0</v>
      </c>
      <c r="L143" s="59"/>
      <c r="M143" s="60" t="e">
        <f>'Final Data-US$'!M86/'Final Data-US$'!L86-1</f>
        <v>#DIV/0!</v>
      </c>
      <c r="N143" s="60" t="e">
        <f>'Final Data-US$'!N86/'Final Data-US$'!M86-1</f>
        <v>#DIV/0!</v>
      </c>
      <c r="O143" s="60" t="e">
        <f>'Final Data-US$'!O86/'Final Data-US$'!N86-1</f>
        <v>#DIV/0!</v>
      </c>
      <c r="P143" s="60" t="e">
        <f>'Final Data-US$'!P86/'Final Data-US$'!O86-1</f>
        <v>#DIV/0!</v>
      </c>
      <c r="Q143" s="60" t="e">
        <f>'Final Data-US$'!Q86/'Final Data-US$'!P86-1</f>
        <v>#DIV/0!</v>
      </c>
      <c r="R143" s="60" t="e">
        <f>'Final Data-US$'!R86/'Final Data-US$'!Q86-1</f>
        <v>#DIV/0!</v>
      </c>
      <c r="S143" s="60" t="e">
        <f>'Final Data-US$'!S86/'Final Data-US$'!R86-1</f>
        <v>#DIV/0!</v>
      </c>
      <c r="T143" s="60" t="e">
        <f>'Final Data-US$'!T86/'Final Data-US$'!S86-1</f>
        <v>#DIV/0!</v>
      </c>
      <c r="U143" s="60" t="e">
        <f>'Final Data-US$'!U86/'Final Data-US$'!T86-1</f>
        <v>#DIV/0!</v>
      </c>
      <c r="V143" s="60" t="e">
        <f>'Final Data-US$'!V86/'Final Data-US$'!U86-1</f>
        <v>#DIV/0!</v>
      </c>
      <c r="W143" s="106" t="e">
        <f>'Final Data-US$'!W86</f>
        <v>#DIV/0!</v>
      </c>
      <c r="X143" s="106" t="e">
        <f>'Final Data-US$'!X86</f>
        <v>#DIV/0!</v>
      </c>
    </row>
    <row r="144" spans="1:24">
      <c r="A144" s="55" t="str">
        <f>'Secondary cum Calculation'!A229</f>
        <v>Poland</v>
      </c>
      <c r="B144" s="56" t="str">
        <f>'Secondary cum Calculation'!B229</f>
        <v>Tourism Flows</v>
      </c>
      <c r="C144" s="56" t="str">
        <f>'Secondary cum Calculation'!C229</f>
        <v>International Arrivals by Place of Origin</v>
      </c>
      <c r="D144" s="56" t="str">
        <f>'Secondary cum Calculation'!D229</f>
        <v>Africa</v>
      </c>
      <c r="E144" s="55" t="str">
        <f>'Secondary cum Calculation'!E229</f>
        <v>Kenya</v>
      </c>
      <c r="F144" s="57" t="str">
        <f>'Secondary cum Calculation'!F229</f>
        <v>The number of international arrivals to a country originating from Kenya</v>
      </c>
      <c r="G144" s="57" t="str">
        <f>'Secondary cum Calculation'!G229</f>
        <v>Tourism Demand &amp; Flows Database</v>
      </c>
      <c r="H144" s="57" t="str">
        <f>'Secondary cum Calculation'!H229</f>
        <v>New</v>
      </c>
      <c r="I144" s="57">
        <f>'Secondary cum Calculation'!I229</f>
        <v>0</v>
      </c>
      <c r="J144" s="57" t="str">
        <f>'Secondary cum Calculation'!J229</f>
        <v>Thousand</v>
      </c>
      <c r="K144" s="58">
        <f>'Secondary cum Calculation'!K229</f>
        <v>0</v>
      </c>
      <c r="L144" s="59"/>
      <c r="M144" s="60" t="e">
        <f>'Final Data-US$'!M87/'Final Data-US$'!L87-1</f>
        <v>#DIV/0!</v>
      </c>
      <c r="N144" s="60" t="e">
        <f>'Final Data-US$'!N87/'Final Data-US$'!M87-1</f>
        <v>#DIV/0!</v>
      </c>
      <c r="O144" s="60" t="e">
        <f>'Final Data-US$'!O87/'Final Data-US$'!N87-1</f>
        <v>#DIV/0!</v>
      </c>
      <c r="P144" s="60" t="e">
        <f>'Final Data-US$'!P87/'Final Data-US$'!O87-1</f>
        <v>#DIV/0!</v>
      </c>
      <c r="Q144" s="60" t="e">
        <f>'Final Data-US$'!Q87/'Final Data-US$'!P87-1</f>
        <v>#DIV/0!</v>
      </c>
      <c r="R144" s="60" t="e">
        <f>'Final Data-US$'!R87/'Final Data-US$'!Q87-1</f>
        <v>#DIV/0!</v>
      </c>
      <c r="S144" s="60" t="e">
        <f>'Final Data-US$'!S87/'Final Data-US$'!R87-1</f>
        <v>#DIV/0!</v>
      </c>
      <c r="T144" s="60" t="e">
        <f>'Final Data-US$'!T87/'Final Data-US$'!S87-1</f>
        <v>#DIV/0!</v>
      </c>
      <c r="U144" s="60" t="e">
        <f>'Final Data-US$'!U87/'Final Data-US$'!T87-1</f>
        <v>#DIV/0!</v>
      </c>
      <c r="V144" s="60" t="e">
        <f>'Final Data-US$'!V87/'Final Data-US$'!U87-1</f>
        <v>#DIV/0!</v>
      </c>
      <c r="W144" s="106" t="e">
        <f>'Final Data-US$'!W87</f>
        <v>#DIV/0!</v>
      </c>
      <c r="X144" s="106" t="e">
        <f>'Final Data-US$'!X87</f>
        <v>#DIV/0!</v>
      </c>
    </row>
    <row r="145" spans="1:24">
      <c r="A145" s="55" t="str">
        <f>'Secondary cum Calculation'!A231</f>
        <v>Poland</v>
      </c>
      <c r="B145" s="56" t="str">
        <f>'Secondary cum Calculation'!B231</f>
        <v>Tourism Flows</v>
      </c>
      <c r="C145" s="56" t="str">
        <f>'Secondary cum Calculation'!C231</f>
        <v>International Arrivals by Place of Origin</v>
      </c>
      <c r="D145" s="56" t="str">
        <f>'Secondary cum Calculation'!D231</f>
        <v>Africa</v>
      </c>
      <c r="E145" s="55" t="str">
        <f>'Secondary cum Calculation'!E231</f>
        <v>Lesotho</v>
      </c>
      <c r="F145" s="57" t="str">
        <f>'Secondary cum Calculation'!F231</f>
        <v>The number of international arrivals to a country originating from Lesotho</v>
      </c>
      <c r="G145" s="57" t="str">
        <f>'Secondary cum Calculation'!G231</f>
        <v>Tourism Demand &amp; Flows Database</v>
      </c>
      <c r="H145" s="57" t="str">
        <f>'Secondary cum Calculation'!H231</f>
        <v>New</v>
      </c>
      <c r="I145" s="57">
        <f>'Secondary cum Calculation'!I231</f>
        <v>0</v>
      </c>
      <c r="J145" s="57" t="str">
        <f>'Secondary cum Calculation'!J231</f>
        <v>Thousand</v>
      </c>
      <c r="K145" s="58">
        <f>'Secondary cum Calculation'!K231</f>
        <v>0</v>
      </c>
      <c r="L145" s="59"/>
      <c r="M145" s="60" t="e">
        <f>'Final Data-US$'!M88/'Final Data-US$'!L88-1</f>
        <v>#DIV/0!</v>
      </c>
      <c r="N145" s="60" t="e">
        <f>'Final Data-US$'!N88/'Final Data-US$'!M88-1</f>
        <v>#DIV/0!</v>
      </c>
      <c r="O145" s="60" t="e">
        <f>'Final Data-US$'!O88/'Final Data-US$'!N88-1</f>
        <v>#DIV/0!</v>
      </c>
      <c r="P145" s="60" t="e">
        <f>'Final Data-US$'!P88/'Final Data-US$'!O88-1</f>
        <v>#DIV/0!</v>
      </c>
      <c r="Q145" s="60" t="e">
        <f>'Final Data-US$'!Q88/'Final Data-US$'!P88-1</f>
        <v>#DIV/0!</v>
      </c>
      <c r="R145" s="60" t="e">
        <f>'Final Data-US$'!R88/'Final Data-US$'!Q88-1</f>
        <v>#DIV/0!</v>
      </c>
      <c r="S145" s="60" t="e">
        <f>'Final Data-US$'!S88/'Final Data-US$'!R88-1</f>
        <v>#DIV/0!</v>
      </c>
      <c r="T145" s="60" t="e">
        <f>'Final Data-US$'!T88/'Final Data-US$'!S88-1</f>
        <v>#DIV/0!</v>
      </c>
      <c r="U145" s="60" t="e">
        <f>'Final Data-US$'!U88/'Final Data-US$'!T88-1</f>
        <v>#DIV/0!</v>
      </c>
      <c r="V145" s="60" t="e">
        <f>'Final Data-US$'!V88/'Final Data-US$'!U88-1</f>
        <v>#DIV/0!</v>
      </c>
      <c r="W145" s="106" t="e">
        <f>'Final Data-US$'!W88</f>
        <v>#DIV/0!</v>
      </c>
      <c r="X145" s="106" t="e">
        <f>'Final Data-US$'!X88</f>
        <v>#DIV/0!</v>
      </c>
    </row>
    <row r="146" spans="1:24">
      <c r="A146" s="55" t="str">
        <f>'Secondary cum Calculation'!A233</f>
        <v>Poland</v>
      </c>
      <c r="B146" s="56" t="str">
        <f>'Secondary cum Calculation'!B233</f>
        <v>Tourism Flows</v>
      </c>
      <c r="C146" s="56" t="str">
        <f>'Secondary cum Calculation'!C233</f>
        <v>International Arrivals by Place of Origin</v>
      </c>
      <c r="D146" s="56" t="str">
        <f>'Secondary cum Calculation'!D233</f>
        <v>Africa</v>
      </c>
      <c r="E146" s="55" t="str">
        <f>'Secondary cum Calculation'!E233</f>
        <v>Liberia</v>
      </c>
      <c r="F146" s="57" t="str">
        <f>'Secondary cum Calculation'!F233</f>
        <v>The number of international arrivals to a country originating from Liberia</v>
      </c>
      <c r="G146" s="57" t="str">
        <f>'Secondary cum Calculation'!G233</f>
        <v>Tourism Demand &amp; Flows Database</v>
      </c>
      <c r="H146" s="57" t="str">
        <f>'Secondary cum Calculation'!H233</f>
        <v>New</v>
      </c>
      <c r="I146" s="57">
        <f>'Secondary cum Calculation'!I233</f>
        <v>0</v>
      </c>
      <c r="J146" s="57" t="str">
        <f>'Secondary cum Calculation'!J233</f>
        <v>Thousand</v>
      </c>
      <c r="K146" s="58">
        <f>'Secondary cum Calculation'!K233</f>
        <v>0</v>
      </c>
      <c r="L146" s="59"/>
      <c r="M146" s="60" t="e">
        <f>'Final Data-US$'!M89/'Final Data-US$'!L89-1</f>
        <v>#DIV/0!</v>
      </c>
      <c r="N146" s="60" t="e">
        <f>'Final Data-US$'!N89/'Final Data-US$'!M89-1</f>
        <v>#DIV/0!</v>
      </c>
      <c r="O146" s="60" t="e">
        <f>'Final Data-US$'!O89/'Final Data-US$'!N89-1</f>
        <v>#DIV/0!</v>
      </c>
      <c r="P146" s="60" t="e">
        <f>'Final Data-US$'!P89/'Final Data-US$'!O89-1</f>
        <v>#DIV/0!</v>
      </c>
      <c r="Q146" s="60" t="e">
        <f>'Final Data-US$'!Q89/'Final Data-US$'!P89-1</f>
        <v>#DIV/0!</v>
      </c>
      <c r="R146" s="60" t="e">
        <f>'Final Data-US$'!R89/'Final Data-US$'!Q89-1</f>
        <v>#DIV/0!</v>
      </c>
      <c r="S146" s="60" t="e">
        <f>'Final Data-US$'!S89/'Final Data-US$'!R89-1</f>
        <v>#DIV/0!</v>
      </c>
      <c r="T146" s="60" t="e">
        <f>'Final Data-US$'!T89/'Final Data-US$'!S89-1</f>
        <v>#DIV/0!</v>
      </c>
      <c r="U146" s="60" t="e">
        <f>'Final Data-US$'!U89/'Final Data-US$'!T89-1</f>
        <v>#DIV/0!</v>
      </c>
      <c r="V146" s="60" t="e">
        <f>'Final Data-US$'!V89/'Final Data-US$'!U89-1</f>
        <v>#DIV/0!</v>
      </c>
      <c r="W146" s="106" t="e">
        <f>'Final Data-US$'!W89</f>
        <v>#DIV/0!</v>
      </c>
      <c r="X146" s="106" t="e">
        <f>'Final Data-US$'!X89</f>
        <v>#DIV/0!</v>
      </c>
    </row>
    <row r="147" spans="1:24">
      <c r="A147" s="55" t="str">
        <f>'Secondary cum Calculation'!A235</f>
        <v>Poland</v>
      </c>
      <c r="B147" s="56" t="str">
        <f>'Secondary cum Calculation'!B235</f>
        <v>Tourism Flows</v>
      </c>
      <c r="C147" s="56" t="str">
        <f>'Secondary cum Calculation'!C235</f>
        <v>International Arrivals by Place of Origin</v>
      </c>
      <c r="D147" s="56" t="str">
        <f>'Secondary cum Calculation'!D235</f>
        <v>Africa</v>
      </c>
      <c r="E147" s="55" t="str">
        <f>'Secondary cum Calculation'!E235</f>
        <v>Libyan Arab Jamahiriya</v>
      </c>
      <c r="F147" s="57" t="str">
        <f>'Secondary cum Calculation'!F235</f>
        <v>The number of international arrivals to a country originating from Libyan Arab Jamahiriya</v>
      </c>
      <c r="G147" s="57" t="str">
        <f>'Secondary cum Calculation'!G235</f>
        <v>Tourism Demand &amp; Flows Database</v>
      </c>
      <c r="H147" s="57" t="str">
        <f>'Secondary cum Calculation'!H235</f>
        <v>New</v>
      </c>
      <c r="I147" s="57">
        <f>'Secondary cum Calculation'!I235</f>
        <v>0</v>
      </c>
      <c r="J147" s="57" t="str">
        <f>'Secondary cum Calculation'!J235</f>
        <v>Thousand</v>
      </c>
      <c r="K147" s="58">
        <f>'Secondary cum Calculation'!K235</f>
        <v>0</v>
      </c>
      <c r="L147" s="59"/>
      <c r="M147" s="60" t="e">
        <f>'Final Data-US$'!M90/'Final Data-US$'!L90-1</f>
        <v>#DIV/0!</v>
      </c>
      <c r="N147" s="60" t="e">
        <f>'Final Data-US$'!N90/'Final Data-US$'!M90-1</f>
        <v>#DIV/0!</v>
      </c>
      <c r="O147" s="60" t="e">
        <f>'Final Data-US$'!O90/'Final Data-US$'!N90-1</f>
        <v>#DIV/0!</v>
      </c>
      <c r="P147" s="60" t="e">
        <f>'Final Data-US$'!P90/'Final Data-US$'!O90-1</f>
        <v>#DIV/0!</v>
      </c>
      <c r="Q147" s="60" t="e">
        <f>'Final Data-US$'!Q90/'Final Data-US$'!P90-1</f>
        <v>#DIV/0!</v>
      </c>
      <c r="R147" s="60" t="e">
        <f>'Final Data-US$'!R90/'Final Data-US$'!Q90-1</f>
        <v>#DIV/0!</v>
      </c>
      <c r="S147" s="60" t="e">
        <f>'Final Data-US$'!S90/'Final Data-US$'!R90-1</f>
        <v>#DIV/0!</v>
      </c>
      <c r="T147" s="60" t="e">
        <f>'Final Data-US$'!T90/'Final Data-US$'!S90-1</f>
        <v>#DIV/0!</v>
      </c>
      <c r="U147" s="60" t="e">
        <f>'Final Data-US$'!U90/'Final Data-US$'!T90-1</f>
        <v>#DIV/0!</v>
      </c>
      <c r="V147" s="60" t="e">
        <f>'Final Data-US$'!V90/'Final Data-US$'!U90-1</f>
        <v>#DIV/0!</v>
      </c>
      <c r="W147" s="106" t="e">
        <f>'Final Data-US$'!W90</f>
        <v>#DIV/0!</v>
      </c>
      <c r="X147" s="106" t="e">
        <f>'Final Data-US$'!X90</f>
        <v>#DIV/0!</v>
      </c>
    </row>
    <row r="148" spans="1:24">
      <c r="A148" s="55" t="str">
        <f>'Secondary cum Calculation'!A237</f>
        <v>Poland</v>
      </c>
      <c r="B148" s="56" t="str">
        <f>'Secondary cum Calculation'!B237</f>
        <v>Tourism Flows</v>
      </c>
      <c r="C148" s="56" t="str">
        <f>'Secondary cum Calculation'!C237</f>
        <v>International Arrivals by Place of Origin</v>
      </c>
      <c r="D148" s="56" t="str">
        <f>'Secondary cum Calculation'!D237</f>
        <v>Africa</v>
      </c>
      <c r="E148" s="55" t="str">
        <f>'Secondary cum Calculation'!E237</f>
        <v>Madagascar</v>
      </c>
      <c r="F148" s="57" t="str">
        <f>'Secondary cum Calculation'!F237</f>
        <v>The number of international arrivals to a country originating from Madagascar</v>
      </c>
      <c r="G148" s="57" t="str">
        <f>'Secondary cum Calculation'!G237</f>
        <v>Tourism Demand &amp; Flows Database</v>
      </c>
      <c r="H148" s="57" t="str">
        <f>'Secondary cum Calculation'!H237</f>
        <v>New</v>
      </c>
      <c r="I148" s="57">
        <f>'Secondary cum Calculation'!I237</f>
        <v>0</v>
      </c>
      <c r="J148" s="57" t="str">
        <f>'Secondary cum Calculation'!J237</f>
        <v>Thousand</v>
      </c>
      <c r="K148" s="58">
        <f>'Secondary cum Calculation'!K237</f>
        <v>0</v>
      </c>
      <c r="L148" s="59"/>
      <c r="M148" s="60" t="e">
        <f>'Final Data-US$'!M91/'Final Data-US$'!L91-1</f>
        <v>#DIV/0!</v>
      </c>
      <c r="N148" s="60" t="e">
        <f>'Final Data-US$'!N91/'Final Data-US$'!M91-1</f>
        <v>#DIV/0!</v>
      </c>
      <c r="O148" s="60" t="e">
        <f>'Final Data-US$'!O91/'Final Data-US$'!N91-1</f>
        <v>#DIV/0!</v>
      </c>
      <c r="P148" s="60" t="e">
        <f>'Final Data-US$'!P91/'Final Data-US$'!O91-1</f>
        <v>#DIV/0!</v>
      </c>
      <c r="Q148" s="60" t="e">
        <f>'Final Data-US$'!Q91/'Final Data-US$'!P91-1</f>
        <v>#DIV/0!</v>
      </c>
      <c r="R148" s="60" t="e">
        <f>'Final Data-US$'!R91/'Final Data-US$'!Q91-1</f>
        <v>#DIV/0!</v>
      </c>
      <c r="S148" s="60" t="e">
        <f>'Final Data-US$'!S91/'Final Data-US$'!R91-1</f>
        <v>#DIV/0!</v>
      </c>
      <c r="T148" s="60" t="e">
        <f>'Final Data-US$'!T91/'Final Data-US$'!S91-1</f>
        <v>#DIV/0!</v>
      </c>
      <c r="U148" s="60" t="e">
        <f>'Final Data-US$'!U91/'Final Data-US$'!T91-1</f>
        <v>#DIV/0!</v>
      </c>
      <c r="V148" s="60" t="e">
        <f>'Final Data-US$'!V91/'Final Data-US$'!U91-1</f>
        <v>#DIV/0!</v>
      </c>
      <c r="W148" s="106" t="e">
        <f>'Final Data-US$'!W91</f>
        <v>#DIV/0!</v>
      </c>
      <c r="X148" s="106" t="e">
        <f>'Final Data-US$'!X91</f>
        <v>#DIV/0!</v>
      </c>
    </row>
    <row r="149" spans="1:24">
      <c r="A149" s="55" t="str">
        <f>'Secondary cum Calculation'!A239</f>
        <v>Poland</v>
      </c>
      <c r="B149" s="56" t="str">
        <f>'Secondary cum Calculation'!B239</f>
        <v>Tourism Flows</v>
      </c>
      <c r="C149" s="56" t="str">
        <f>'Secondary cum Calculation'!C239</f>
        <v>International Arrivals by Place of Origin</v>
      </c>
      <c r="D149" s="56" t="str">
        <f>'Secondary cum Calculation'!D239</f>
        <v>Africa</v>
      </c>
      <c r="E149" s="55" t="str">
        <f>'Secondary cum Calculation'!E239</f>
        <v>Malawi</v>
      </c>
      <c r="F149" s="57" t="str">
        <f>'Secondary cum Calculation'!F239</f>
        <v>The number of international arrivals to a country originating from Malawi</v>
      </c>
      <c r="G149" s="57" t="str">
        <f>'Secondary cum Calculation'!G239</f>
        <v>Tourism Demand &amp; Flows Database</v>
      </c>
      <c r="H149" s="57" t="str">
        <f>'Secondary cum Calculation'!H239</f>
        <v>New</v>
      </c>
      <c r="I149" s="57">
        <f>'Secondary cum Calculation'!I239</f>
        <v>0</v>
      </c>
      <c r="J149" s="57" t="str">
        <f>'Secondary cum Calculation'!J239</f>
        <v>Thousand</v>
      </c>
      <c r="K149" s="58">
        <f>'Secondary cum Calculation'!K239</f>
        <v>0</v>
      </c>
      <c r="L149" s="59"/>
      <c r="M149" s="60" t="e">
        <f>'Final Data-US$'!M92/'Final Data-US$'!L92-1</f>
        <v>#DIV/0!</v>
      </c>
      <c r="N149" s="60" t="e">
        <f>'Final Data-US$'!N92/'Final Data-US$'!M92-1</f>
        <v>#DIV/0!</v>
      </c>
      <c r="O149" s="60" t="e">
        <f>'Final Data-US$'!O92/'Final Data-US$'!N92-1</f>
        <v>#DIV/0!</v>
      </c>
      <c r="P149" s="60" t="e">
        <f>'Final Data-US$'!P92/'Final Data-US$'!O92-1</f>
        <v>#DIV/0!</v>
      </c>
      <c r="Q149" s="60" t="e">
        <f>'Final Data-US$'!Q92/'Final Data-US$'!P92-1</f>
        <v>#DIV/0!</v>
      </c>
      <c r="R149" s="60" t="e">
        <f>'Final Data-US$'!R92/'Final Data-US$'!Q92-1</f>
        <v>#DIV/0!</v>
      </c>
      <c r="S149" s="60" t="e">
        <f>'Final Data-US$'!S92/'Final Data-US$'!R92-1</f>
        <v>#DIV/0!</v>
      </c>
      <c r="T149" s="60" t="e">
        <f>'Final Data-US$'!T92/'Final Data-US$'!S92-1</f>
        <v>#DIV/0!</v>
      </c>
      <c r="U149" s="60" t="e">
        <f>'Final Data-US$'!U92/'Final Data-US$'!T92-1</f>
        <v>#DIV/0!</v>
      </c>
      <c r="V149" s="60" t="e">
        <f>'Final Data-US$'!V92/'Final Data-US$'!U92-1</f>
        <v>#DIV/0!</v>
      </c>
      <c r="W149" s="106" t="e">
        <f>'Final Data-US$'!W92</f>
        <v>#DIV/0!</v>
      </c>
      <c r="X149" s="106" t="e">
        <f>'Final Data-US$'!X92</f>
        <v>#DIV/0!</v>
      </c>
    </row>
    <row r="150" spans="1:24">
      <c r="A150" s="55" t="str">
        <f>'Secondary cum Calculation'!A241</f>
        <v>Poland</v>
      </c>
      <c r="B150" s="56" t="str">
        <f>'Secondary cum Calculation'!B241</f>
        <v>Tourism Flows</v>
      </c>
      <c r="C150" s="56" t="str">
        <f>'Secondary cum Calculation'!C241</f>
        <v>International Arrivals by Place of Origin</v>
      </c>
      <c r="D150" s="56" t="str">
        <f>'Secondary cum Calculation'!D241</f>
        <v>Africa</v>
      </c>
      <c r="E150" s="55" t="str">
        <f>'Secondary cum Calculation'!E241</f>
        <v>Mali</v>
      </c>
      <c r="F150" s="57" t="str">
        <f>'Secondary cum Calculation'!F241</f>
        <v>The number of international arrivals to a country originating from Mali</v>
      </c>
      <c r="G150" s="57" t="str">
        <f>'Secondary cum Calculation'!G241</f>
        <v>Tourism Demand &amp; Flows Database</v>
      </c>
      <c r="H150" s="57" t="str">
        <f>'Secondary cum Calculation'!H241</f>
        <v>New</v>
      </c>
      <c r="I150" s="57">
        <f>'Secondary cum Calculation'!I241</f>
        <v>0</v>
      </c>
      <c r="J150" s="57" t="str">
        <f>'Secondary cum Calculation'!J241</f>
        <v>Thousand</v>
      </c>
      <c r="K150" s="58">
        <f>'Secondary cum Calculation'!K241</f>
        <v>0</v>
      </c>
      <c r="L150" s="59"/>
      <c r="M150" s="60" t="e">
        <f>'Final Data-US$'!M93/'Final Data-US$'!L93-1</f>
        <v>#DIV/0!</v>
      </c>
      <c r="N150" s="60" t="e">
        <f>'Final Data-US$'!N93/'Final Data-US$'!M93-1</f>
        <v>#DIV/0!</v>
      </c>
      <c r="O150" s="60" t="e">
        <f>'Final Data-US$'!O93/'Final Data-US$'!N93-1</f>
        <v>#DIV/0!</v>
      </c>
      <c r="P150" s="60" t="e">
        <f>'Final Data-US$'!P93/'Final Data-US$'!O93-1</f>
        <v>#DIV/0!</v>
      </c>
      <c r="Q150" s="60" t="e">
        <f>'Final Data-US$'!Q93/'Final Data-US$'!P93-1</f>
        <v>#DIV/0!</v>
      </c>
      <c r="R150" s="60" t="e">
        <f>'Final Data-US$'!R93/'Final Data-US$'!Q93-1</f>
        <v>#DIV/0!</v>
      </c>
      <c r="S150" s="60" t="e">
        <f>'Final Data-US$'!S93/'Final Data-US$'!R93-1</f>
        <v>#DIV/0!</v>
      </c>
      <c r="T150" s="60" t="e">
        <f>'Final Data-US$'!T93/'Final Data-US$'!S93-1</f>
        <v>#DIV/0!</v>
      </c>
      <c r="U150" s="60" t="e">
        <f>'Final Data-US$'!U93/'Final Data-US$'!T93-1</f>
        <v>#DIV/0!</v>
      </c>
      <c r="V150" s="60" t="e">
        <f>'Final Data-US$'!V93/'Final Data-US$'!U93-1</f>
        <v>#DIV/0!</v>
      </c>
      <c r="W150" s="106" t="e">
        <f>'Final Data-US$'!W93</f>
        <v>#DIV/0!</v>
      </c>
      <c r="X150" s="106" t="e">
        <f>'Final Data-US$'!X93</f>
        <v>#DIV/0!</v>
      </c>
    </row>
    <row r="151" spans="1:24">
      <c r="A151" s="55" t="str">
        <f>'Secondary cum Calculation'!A243</f>
        <v>Poland</v>
      </c>
      <c r="B151" s="56" t="str">
        <f>'Secondary cum Calculation'!B243</f>
        <v>Tourism Flows</v>
      </c>
      <c r="C151" s="56" t="str">
        <f>'Secondary cum Calculation'!C243</f>
        <v>International Arrivals by Place of Origin</v>
      </c>
      <c r="D151" s="56" t="str">
        <f>'Secondary cum Calculation'!D243</f>
        <v>Africa</v>
      </c>
      <c r="E151" s="55" t="str">
        <f>'Secondary cum Calculation'!E243</f>
        <v>Mauritania</v>
      </c>
      <c r="F151" s="57" t="str">
        <f>'Secondary cum Calculation'!F243</f>
        <v>The number of international arrivals to a country originating from Mauritania</v>
      </c>
      <c r="G151" s="57" t="str">
        <f>'Secondary cum Calculation'!G243</f>
        <v>Tourism Demand &amp; Flows Database</v>
      </c>
      <c r="H151" s="57" t="str">
        <f>'Secondary cum Calculation'!H243</f>
        <v>New</v>
      </c>
      <c r="I151" s="57">
        <f>'Secondary cum Calculation'!I243</f>
        <v>0</v>
      </c>
      <c r="J151" s="57" t="str">
        <f>'Secondary cum Calculation'!J243</f>
        <v>Thousand</v>
      </c>
      <c r="K151" s="58">
        <f>'Secondary cum Calculation'!K243</f>
        <v>0</v>
      </c>
      <c r="L151" s="59"/>
      <c r="M151" s="60" t="e">
        <f>'Final Data-US$'!M94/'Final Data-US$'!L94-1</f>
        <v>#DIV/0!</v>
      </c>
      <c r="N151" s="60" t="e">
        <f>'Final Data-US$'!N94/'Final Data-US$'!M94-1</f>
        <v>#DIV/0!</v>
      </c>
      <c r="O151" s="60" t="e">
        <f>'Final Data-US$'!O94/'Final Data-US$'!N94-1</f>
        <v>#DIV/0!</v>
      </c>
      <c r="P151" s="60" t="e">
        <f>'Final Data-US$'!P94/'Final Data-US$'!O94-1</f>
        <v>#DIV/0!</v>
      </c>
      <c r="Q151" s="60" t="e">
        <f>'Final Data-US$'!Q94/'Final Data-US$'!P94-1</f>
        <v>#DIV/0!</v>
      </c>
      <c r="R151" s="60" t="e">
        <f>'Final Data-US$'!R94/'Final Data-US$'!Q94-1</f>
        <v>#DIV/0!</v>
      </c>
      <c r="S151" s="60" t="e">
        <f>'Final Data-US$'!S94/'Final Data-US$'!R94-1</f>
        <v>#DIV/0!</v>
      </c>
      <c r="T151" s="60" t="e">
        <f>'Final Data-US$'!T94/'Final Data-US$'!S94-1</f>
        <v>#DIV/0!</v>
      </c>
      <c r="U151" s="60" t="e">
        <f>'Final Data-US$'!U94/'Final Data-US$'!T94-1</f>
        <v>#DIV/0!</v>
      </c>
      <c r="V151" s="60" t="e">
        <f>'Final Data-US$'!V94/'Final Data-US$'!U94-1</f>
        <v>#DIV/0!</v>
      </c>
      <c r="W151" s="106" t="e">
        <f>'Final Data-US$'!W94</f>
        <v>#DIV/0!</v>
      </c>
      <c r="X151" s="106" t="e">
        <f>'Final Data-US$'!X94</f>
        <v>#DIV/0!</v>
      </c>
    </row>
    <row r="152" spans="1:24">
      <c r="A152" s="55" t="str">
        <f>'Secondary cum Calculation'!A245</f>
        <v>Poland</v>
      </c>
      <c r="B152" s="56" t="str">
        <f>'Secondary cum Calculation'!B245</f>
        <v>Tourism Flows</v>
      </c>
      <c r="C152" s="56" t="str">
        <f>'Secondary cum Calculation'!C245</f>
        <v>International Arrivals by Place of Origin</v>
      </c>
      <c r="D152" s="56" t="str">
        <f>'Secondary cum Calculation'!D245</f>
        <v>Africa</v>
      </c>
      <c r="E152" s="55" t="str">
        <f>'Secondary cum Calculation'!E245</f>
        <v>Mayotte</v>
      </c>
      <c r="F152" s="57" t="str">
        <f>'Secondary cum Calculation'!F245</f>
        <v>The number of international arrivals to a country originating from Mayotte</v>
      </c>
      <c r="G152" s="57" t="str">
        <f>'Secondary cum Calculation'!G245</f>
        <v>Tourism Demand &amp; Flows Database</v>
      </c>
      <c r="H152" s="57" t="str">
        <f>'Secondary cum Calculation'!H245</f>
        <v>New</v>
      </c>
      <c r="I152" s="57">
        <f>'Secondary cum Calculation'!I245</f>
        <v>0</v>
      </c>
      <c r="J152" s="57" t="str">
        <f>'Secondary cum Calculation'!J245</f>
        <v>Thousand</v>
      </c>
      <c r="K152" s="58">
        <f>'Secondary cum Calculation'!K245</f>
        <v>0</v>
      </c>
      <c r="L152" s="59"/>
      <c r="M152" s="60" t="e">
        <f>'Final Data-US$'!M95/'Final Data-US$'!L95-1</f>
        <v>#DIV/0!</v>
      </c>
      <c r="N152" s="60" t="e">
        <f>'Final Data-US$'!N95/'Final Data-US$'!M95-1</f>
        <v>#DIV/0!</v>
      </c>
      <c r="O152" s="60" t="e">
        <f>'Final Data-US$'!O95/'Final Data-US$'!N95-1</f>
        <v>#DIV/0!</v>
      </c>
      <c r="P152" s="60" t="e">
        <f>'Final Data-US$'!P95/'Final Data-US$'!O95-1</f>
        <v>#DIV/0!</v>
      </c>
      <c r="Q152" s="60" t="e">
        <f>'Final Data-US$'!Q95/'Final Data-US$'!P95-1</f>
        <v>#DIV/0!</v>
      </c>
      <c r="R152" s="60" t="e">
        <f>'Final Data-US$'!R95/'Final Data-US$'!Q95-1</f>
        <v>#DIV/0!</v>
      </c>
      <c r="S152" s="60" t="e">
        <f>'Final Data-US$'!S95/'Final Data-US$'!R95-1</f>
        <v>#DIV/0!</v>
      </c>
      <c r="T152" s="60" t="e">
        <f>'Final Data-US$'!T95/'Final Data-US$'!S95-1</f>
        <v>#DIV/0!</v>
      </c>
      <c r="U152" s="60" t="e">
        <f>'Final Data-US$'!U95/'Final Data-US$'!T95-1</f>
        <v>#DIV/0!</v>
      </c>
      <c r="V152" s="60" t="e">
        <f>'Final Data-US$'!V95/'Final Data-US$'!U95-1</f>
        <v>#DIV/0!</v>
      </c>
      <c r="W152" s="106" t="e">
        <f>'Final Data-US$'!W95</f>
        <v>#DIV/0!</v>
      </c>
      <c r="X152" s="106" t="e">
        <f>'Final Data-US$'!X95</f>
        <v>#DIV/0!</v>
      </c>
    </row>
    <row r="153" spans="1:24">
      <c r="A153" s="55" t="str">
        <f>'Secondary cum Calculation'!A247</f>
        <v>Poland</v>
      </c>
      <c r="B153" s="56" t="str">
        <f>'Secondary cum Calculation'!B247</f>
        <v>Tourism Flows</v>
      </c>
      <c r="C153" s="56" t="str">
        <f>'Secondary cum Calculation'!C247</f>
        <v>International Arrivals by Place of Origin</v>
      </c>
      <c r="D153" s="56" t="str">
        <f>'Secondary cum Calculation'!D247</f>
        <v>Africa</v>
      </c>
      <c r="E153" s="55" t="str">
        <f>'Secondary cum Calculation'!E247</f>
        <v>Morocco</v>
      </c>
      <c r="F153" s="57" t="str">
        <f>'Secondary cum Calculation'!F247</f>
        <v>The number of international arrivals to a country originating from Morocco</v>
      </c>
      <c r="G153" s="57" t="str">
        <f>'Secondary cum Calculation'!G247</f>
        <v>Tourism Demand &amp; Flows Database</v>
      </c>
      <c r="H153" s="57" t="str">
        <f>'Secondary cum Calculation'!H247</f>
        <v>New</v>
      </c>
      <c r="I153" s="57">
        <f>'Secondary cum Calculation'!I247</f>
        <v>0</v>
      </c>
      <c r="J153" s="57" t="str">
        <f>'Secondary cum Calculation'!J247</f>
        <v>Thousand</v>
      </c>
      <c r="K153" s="58">
        <f>'Secondary cum Calculation'!K247</f>
        <v>0</v>
      </c>
      <c r="L153" s="59"/>
      <c r="M153" s="60" t="e">
        <f>'Final Data-US$'!M96/'Final Data-US$'!L96-1</f>
        <v>#DIV/0!</v>
      </c>
      <c r="N153" s="60" t="e">
        <f>'Final Data-US$'!N96/'Final Data-US$'!M96-1</f>
        <v>#DIV/0!</v>
      </c>
      <c r="O153" s="60" t="e">
        <f>'Final Data-US$'!O96/'Final Data-US$'!N96-1</f>
        <v>#DIV/0!</v>
      </c>
      <c r="P153" s="60" t="e">
        <f>'Final Data-US$'!P96/'Final Data-US$'!O96-1</f>
        <v>#DIV/0!</v>
      </c>
      <c r="Q153" s="60" t="e">
        <f>'Final Data-US$'!Q96/'Final Data-US$'!P96-1</f>
        <v>#DIV/0!</v>
      </c>
      <c r="R153" s="60" t="e">
        <f>'Final Data-US$'!R96/'Final Data-US$'!Q96-1</f>
        <v>#DIV/0!</v>
      </c>
      <c r="S153" s="60" t="e">
        <f>'Final Data-US$'!S96/'Final Data-US$'!R96-1</f>
        <v>#DIV/0!</v>
      </c>
      <c r="T153" s="60" t="e">
        <f>'Final Data-US$'!T96/'Final Data-US$'!S96-1</f>
        <v>#DIV/0!</v>
      </c>
      <c r="U153" s="60" t="e">
        <f>'Final Data-US$'!U96/'Final Data-US$'!T96-1</f>
        <v>#DIV/0!</v>
      </c>
      <c r="V153" s="60" t="e">
        <f>'Final Data-US$'!V96/'Final Data-US$'!U96-1</f>
        <v>#DIV/0!</v>
      </c>
      <c r="W153" s="106" t="e">
        <f>'Final Data-US$'!W96</f>
        <v>#DIV/0!</v>
      </c>
      <c r="X153" s="106" t="e">
        <f>'Final Data-US$'!X96</f>
        <v>#DIV/0!</v>
      </c>
    </row>
    <row r="154" spans="1:24">
      <c r="A154" s="55" t="str">
        <f>'Secondary cum Calculation'!A249</f>
        <v>Poland</v>
      </c>
      <c r="B154" s="56" t="str">
        <f>'Secondary cum Calculation'!B249</f>
        <v>Tourism Flows</v>
      </c>
      <c r="C154" s="56" t="str">
        <f>'Secondary cum Calculation'!C249</f>
        <v>International Arrivals by Place of Origin</v>
      </c>
      <c r="D154" s="56" t="str">
        <f>'Secondary cum Calculation'!D249</f>
        <v>Africa</v>
      </c>
      <c r="E154" s="55" t="str">
        <f>'Secondary cum Calculation'!E249</f>
        <v>Mozambique</v>
      </c>
      <c r="F154" s="57" t="str">
        <f>'Secondary cum Calculation'!F249</f>
        <v>The number of international arrivals to a country originating from Mozambique</v>
      </c>
      <c r="G154" s="57" t="str">
        <f>'Secondary cum Calculation'!G249</f>
        <v>Tourism Demand &amp; Flows Database</v>
      </c>
      <c r="H154" s="57" t="str">
        <f>'Secondary cum Calculation'!H249</f>
        <v>New</v>
      </c>
      <c r="I154" s="57">
        <f>'Secondary cum Calculation'!I249</f>
        <v>0</v>
      </c>
      <c r="J154" s="57" t="str">
        <f>'Secondary cum Calculation'!J249</f>
        <v>Thousand</v>
      </c>
      <c r="K154" s="58">
        <f>'Secondary cum Calculation'!K249</f>
        <v>0</v>
      </c>
      <c r="L154" s="59"/>
      <c r="M154" s="60" t="e">
        <f>'Final Data-US$'!M97/'Final Data-US$'!L97-1</f>
        <v>#DIV/0!</v>
      </c>
      <c r="N154" s="60" t="e">
        <f>'Final Data-US$'!N97/'Final Data-US$'!M97-1</f>
        <v>#DIV/0!</v>
      </c>
      <c r="O154" s="60" t="e">
        <f>'Final Data-US$'!O97/'Final Data-US$'!N97-1</f>
        <v>#DIV/0!</v>
      </c>
      <c r="P154" s="60" t="e">
        <f>'Final Data-US$'!P97/'Final Data-US$'!O97-1</f>
        <v>#DIV/0!</v>
      </c>
      <c r="Q154" s="60" t="e">
        <f>'Final Data-US$'!Q97/'Final Data-US$'!P97-1</f>
        <v>#DIV/0!</v>
      </c>
      <c r="R154" s="60" t="e">
        <f>'Final Data-US$'!R97/'Final Data-US$'!Q97-1</f>
        <v>#DIV/0!</v>
      </c>
      <c r="S154" s="60" t="e">
        <f>'Final Data-US$'!S97/'Final Data-US$'!R97-1</f>
        <v>#DIV/0!</v>
      </c>
      <c r="T154" s="60" t="e">
        <f>'Final Data-US$'!T97/'Final Data-US$'!S97-1</f>
        <v>#DIV/0!</v>
      </c>
      <c r="U154" s="60" t="e">
        <f>'Final Data-US$'!U97/'Final Data-US$'!T97-1</f>
        <v>#DIV/0!</v>
      </c>
      <c r="V154" s="60" t="e">
        <f>'Final Data-US$'!V97/'Final Data-US$'!U97-1</f>
        <v>#DIV/0!</v>
      </c>
      <c r="W154" s="106" t="e">
        <f>'Final Data-US$'!W97</f>
        <v>#DIV/0!</v>
      </c>
      <c r="X154" s="106" t="e">
        <f>'Final Data-US$'!X97</f>
        <v>#DIV/0!</v>
      </c>
    </row>
    <row r="155" spans="1:24">
      <c r="A155" s="55" t="str">
        <f>'Secondary cum Calculation'!A251</f>
        <v>Poland</v>
      </c>
      <c r="B155" s="56" t="str">
        <f>'Secondary cum Calculation'!B251</f>
        <v>Tourism Flows</v>
      </c>
      <c r="C155" s="56" t="str">
        <f>'Secondary cum Calculation'!C251</f>
        <v>International Arrivals by Place of Origin</v>
      </c>
      <c r="D155" s="56" t="str">
        <f>'Secondary cum Calculation'!D251</f>
        <v>Africa</v>
      </c>
      <c r="E155" s="55" t="str">
        <f>'Secondary cum Calculation'!E251</f>
        <v>Namibia</v>
      </c>
      <c r="F155" s="57" t="str">
        <f>'Secondary cum Calculation'!F251</f>
        <v>The number of international arrivals to a country originating from Namibia</v>
      </c>
      <c r="G155" s="57" t="str">
        <f>'Secondary cum Calculation'!G251</f>
        <v>Tourism Demand &amp; Flows Database</v>
      </c>
      <c r="H155" s="57" t="str">
        <f>'Secondary cum Calculation'!H251</f>
        <v>New</v>
      </c>
      <c r="I155" s="57">
        <f>'Secondary cum Calculation'!I251</f>
        <v>0</v>
      </c>
      <c r="J155" s="57" t="str">
        <f>'Secondary cum Calculation'!J251</f>
        <v>Thousand</v>
      </c>
      <c r="K155" s="58">
        <f>'Secondary cum Calculation'!K251</f>
        <v>0</v>
      </c>
      <c r="L155" s="59"/>
      <c r="M155" s="60" t="e">
        <f>'Final Data-US$'!M98/'Final Data-US$'!L98-1</f>
        <v>#DIV/0!</v>
      </c>
      <c r="N155" s="60" t="e">
        <f>'Final Data-US$'!N98/'Final Data-US$'!M98-1</f>
        <v>#DIV/0!</v>
      </c>
      <c r="O155" s="60" t="e">
        <f>'Final Data-US$'!O98/'Final Data-US$'!N98-1</f>
        <v>#DIV/0!</v>
      </c>
      <c r="P155" s="60" t="e">
        <f>'Final Data-US$'!P98/'Final Data-US$'!O98-1</f>
        <v>#DIV/0!</v>
      </c>
      <c r="Q155" s="60" t="e">
        <f>'Final Data-US$'!Q98/'Final Data-US$'!P98-1</f>
        <v>#DIV/0!</v>
      </c>
      <c r="R155" s="60" t="e">
        <f>'Final Data-US$'!R98/'Final Data-US$'!Q98-1</f>
        <v>#DIV/0!</v>
      </c>
      <c r="S155" s="60" t="e">
        <f>'Final Data-US$'!S98/'Final Data-US$'!R98-1</f>
        <v>#DIV/0!</v>
      </c>
      <c r="T155" s="60" t="e">
        <f>'Final Data-US$'!T98/'Final Data-US$'!S98-1</f>
        <v>#DIV/0!</v>
      </c>
      <c r="U155" s="60" t="e">
        <f>'Final Data-US$'!U98/'Final Data-US$'!T98-1</f>
        <v>#DIV/0!</v>
      </c>
      <c r="V155" s="60" t="e">
        <f>'Final Data-US$'!V98/'Final Data-US$'!U98-1</f>
        <v>#DIV/0!</v>
      </c>
      <c r="W155" s="106" t="e">
        <f>'Final Data-US$'!W98</f>
        <v>#DIV/0!</v>
      </c>
      <c r="X155" s="106" t="e">
        <f>'Final Data-US$'!X98</f>
        <v>#DIV/0!</v>
      </c>
    </row>
    <row r="156" spans="1:24">
      <c r="A156" s="55" t="str">
        <f>'Secondary cum Calculation'!A253</f>
        <v>Poland</v>
      </c>
      <c r="B156" s="56" t="str">
        <f>'Secondary cum Calculation'!B253</f>
        <v>Tourism Flows</v>
      </c>
      <c r="C156" s="56" t="str">
        <f>'Secondary cum Calculation'!C253</f>
        <v>International Arrivals by Place of Origin</v>
      </c>
      <c r="D156" s="56" t="str">
        <f>'Secondary cum Calculation'!D253</f>
        <v>Africa</v>
      </c>
      <c r="E156" s="55" t="str">
        <f>'Secondary cum Calculation'!E253</f>
        <v>Niger</v>
      </c>
      <c r="F156" s="57" t="str">
        <f>'Secondary cum Calculation'!F253</f>
        <v>The number of international arrivals to a country originating from Niger</v>
      </c>
      <c r="G156" s="57" t="str">
        <f>'Secondary cum Calculation'!G253</f>
        <v>Tourism Demand &amp; Flows Database</v>
      </c>
      <c r="H156" s="57" t="str">
        <f>'Secondary cum Calculation'!H253</f>
        <v>New</v>
      </c>
      <c r="I156" s="57">
        <f>'Secondary cum Calculation'!I253</f>
        <v>0</v>
      </c>
      <c r="J156" s="57" t="str">
        <f>'Secondary cum Calculation'!J253</f>
        <v>Thousand</v>
      </c>
      <c r="K156" s="58">
        <f>'Secondary cum Calculation'!K253</f>
        <v>0</v>
      </c>
      <c r="L156" s="59"/>
      <c r="M156" s="60" t="e">
        <f>'Final Data-US$'!M99/'Final Data-US$'!L99-1</f>
        <v>#DIV/0!</v>
      </c>
      <c r="N156" s="60" t="e">
        <f>'Final Data-US$'!N99/'Final Data-US$'!M99-1</f>
        <v>#DIV/0!</v>
      </c>
      <c r="O156" s="60" t="e">
        <f>'Final Data-US$'!O99/'Final Data-US$'!N99-1</f>
        <v>#DIV/0!</v>
      </c>
      <c r="P156" s="60" t="e">
        <f>'Final Data-US$'!P99/'Final Data-US$'!O99-1</f>
        <v>#DIV/0!</v>
      </c>
      <c r="Q156" s="60" t="e">
        <f>'Final Data-US$'!Q99/'Final Data-US$'!P99-1</f>
        <v>#DIV/0!</v>
      </c>
      <c r="R156" s="60" t="e">
        <f>'Final Data-US$'!R99/'Final Data-US$'!Q99-1</f>
        <v>#DIV/0!</v>
      </c>
      <c r="S156" s="60" t="e">
        <f>'Final Data-US$'!S99/'Final Data-US$'!R99-1</f>
        <v>#DIV/0!</v>
      </c>
      <c r="T156" s="60" t="e">
        <f>'Final Data-US$'!T99/'Final Data-US$'!S99-1</f>
        <v>#DIV/0!</v>
      </c>
      <c r="U156" s="60" t="e">
        <f>'Final Data-US$'!U99/'Final Data-US$'!T99-1</f>
        <v>#DIV/0!</v>
      </c>
      <c r="V156" s="60" t="e">
        <f>'Final Data-US$'!V99/'Final Data-US$'!U99-1</f>
        <v>#DIV/0!</v>
      </c>
      <c r="W156" s="106" t="e">
        <f>'Final Data-US$'!W99</f>
        <v>#DIV/0!</v>
      </c>
      <c r="X156" s="106" t="e">
        <f>'Final Data-US$'!X99</f>
        <v>#DIV/0!</v>
      </c>
    </row>
    <row r="157" spans="1:24">
      <c r="A157" s="55" t="str">
        <f>'Secondary cum Calculation'!A255</f>
        <v>Poland</v>
      </c>
      <c r="B157" s="56" t="str">
        <f>'Secondary cum Calculation'!B255</f>
        <v>Tourism Flows</v>
      </c>
      <c r="C157" s="56" t="str">
        <f>'Secondary cum Calculation'!C255</f>
        <v>International Arrivals by Place of Origin</v>
      </c>
      <c r="D157" s="56" t="str">
        <f>'Secondary cum Calculation'!D255</f>
        <v>Africa</v>
      </c>
      <c r="E157" s="55" t="str">
        <f>'Secondary cum Calculation'!E255</f>
        <v>Nigeria</v>
      </c>
      <c r="F157" s="57" t="str">
        <f>'Secondary cum Calculation'!F255</f>
        <v>The number of international arrivals to a country originating from Nigeria</v>
      </c>
      <c r="G157" s="57" t="str">
        <f>'Secondary cum Calculation'!G255</f>
        <v>Tourism Demand &amp; Flows Database</v>
      </c>
      <c r="H157" s="57" t="str">
        <f>'Secondary cum Calculation'!H255</f>
        <v>New</v>
      </c>
      <c r="I157" s="57">
        <f>'Secondary cum Calculation'!I255</f>
        <v>0</v>
      </c>
      <c r="J157" s="57" t="str">
        <f>'Secondary cum Calculation'!J255</f>
        <v>Thousand</v>
      </c>
      <c r="K157" s="58">
        <f>'Secondary cum Calculation'!K255</f>
        <v>0</v>
      </c>
      <c r="L157" s="59"/>
      <c r="M157" s="60" t="e">
        <f>'Final Data-US$'!M100/'Final Data-US$'!L100-1</f>
        <v>#DIV/0!</v>
      </c>
      <c r="N157" s="60" t="e">
        <f>'Final Data-US$'!N100/'Final Data-US$'!M100-1</f>
        <v>#DIV/0!</v>
      </c>
      <c r="O157" s="60" t="e">
        <f>'Final Data-US$'!O100/'Final Data-US$'!N100-1</f>
        <v>#DIV/0!</v>
      </c>
      <c r="P157" s="60" t="e">
        <f>'Final Data-US$'!P100/'Final Data-US$'!O100-1</f>
        <v>#DIV/0!</v>
      </c>
      <c r="Q157" s="60" t="e">
        <f>'Final Data-US$'!Q100/'Final Data-US$'!P100-1</f>
        <v>#DIV/0!</v>
      </c>
      <c r="R157" s="60" t="e">
        <f>'Final Data-US$'!R100/'Final Data-US$'!Q100-1</f>
        <v>#DIV/0!</v>
      </c>
      <c r="S157" s="60" t="e">
        <f>'Final Data-US$'!S100/'Final Data-US$'!R100-1</f>
        <v>#DIV/0!</v>
      </c>
      <c r="T157" s="60" t="e">
        <f>'Final Data-US$'!T100/'Final Data-US$'!S100-1</f>
        <v>#DIV/0!</v>
      </c>
      <c r="U157" s="60" t="e">
        <f>'Final Data-US$'!U100/'Final Data-US$'!T100-1</f>
        <v>#DIV/0!</v>
      </c>
      <c r="V157" s="60" t="e">
        <f>'Final Data-US$'!V100/'Final Data-US$'!U100-1</f>
        <v>#DIV/0!</v>
      </c>
      <c r="W157" s="106" t="e">
        <f>'Final Data-US$'!W100</f>
        <v>#DIV/0!</v>
      </c>
      <c r="X157" s="106" t="e">
        <f>'Final Data-US$'!X100</f>
        <v>#DIV/0!</v>
      </c>
    </row>
    <row r="158" spans="1:24">
      <c r="A158" s="55" t="str">
        <f>'Secondary cum Calculation'!A257</f>
        <v>Poland</v>
      </c>
      <c r="B158" s="56" t="str">
        <f>'Secondary cum Calculation'!B257</f>
        <v>Tourism Flows</v>
      </c>
      <c r="C158" s="56" t="str">
        <f>'Secondary cum Calculation'!C257</f>
        <v>International Arrivals by Place of Origin</v>
      </c>
      <c r="D158" s="56" t="str">
        <f>'Secondary cum Calculation'!D257</f>
        <v>Africa</v>
      </c>
      <c r="E158" s="55" t="str">
        <f>'Secondary cum Calculation'!E257</f>
        <v>Réunion</v>
      </c>
      <c r="F158" s="57" t="str">
        <f>'Secondary cum Calculation'!F257</f>
        <v>The number of international arrivals to a country originating from Réunion</v>
      </c>
      <c r="G158" s="57" t="str">
        <f>'Secondary cum Calculation'!G257</f>
        <v>Tourism Demand &amp; Flows Database</v>
      </c>
      <c r="H158" s="57" t="str">
        <f>'Secondary cum Calculation'!H257</f>
        <v>New</v>
      </c>
      <c r="I158" s="57">
        <f>'Secondary cum Calculation'!I257</f>
        <v>0</v>
      </c>
      <c r="J158" s="57" t="str">
        <f>'Secondary cum Calculation'!J257</f>
        <v>Thousand</v>
      </c>
      <c r="K158" s="58">
        <f>'Secondary cum Calculation'!K257</f>
        <v>0</v>
      </c>
      <c r="L158" s="59"/>
      <c r="M158" s="60" t="e">
        <f>'Final Data-US$'!M101/'Final Data-US$'!L101-1</f>
        <v>#DIV/0!</v>
      </c>
      <c r="N158" s="60" t="e">
        <f>'Final Data-US$'!N101/'Final Data-US$'!M101-1</f>
        <v>#DIV/0!</v>
      </c>
      <c r="O158" s="60" t="e">
        <f>'Final Data-US$'!O101/'Final Data-US$'!N101-1</f>
        <v>#DIV/0!</v>
      </c>
      <c r="P158" s="60" t="e">
        <f>'Final Data-US$'!P101/'Final Data-US$'!O101-1</f>
        <v>#DIV/0!</v>
      </c>
      <c r="Q158" s="60" t="e">
        <f>'Final Data-US$'!Q101/'Final Data-US$'!P101-1</f>
        <v>#DIV/0!</v>
      </c>
      <c r="R158" s="60" t="e">
        <f>'Final Data-US$'!R101/'Final Data-US$'!Q101-1</f>
        <v>#DIV/0!</v>
      </c>
      <c r="S158" s="60" t="e">
        <f>'Final Data-US$'!S101/'Final Data-US$'!R101-1</f>
        <v>#DIV/0!</v>
      </c>
      <c r="T158" s="60" t="e">
        <f>'Final Data-US$'!T101/'Final Data-US$'!S101-1</f>
        <v>#DIV/0!</v>
      </c>
      <c r="U158" s="60" t="e">
        <f>'Final Data-US$'!U101/'Final Data-US$'!T101-1</f>
        <v>#DIV/0!</v>
      </c>
      <c r="V158" s="60" t="e">
        <f>'Final Data-US$'!V101/'Final Data-US$'!U101-1</f>
        <v>#DIV/0!</v>
      </c>
      <c r="W158" s="106" t="e">
        <f>'Final Data-US$'!W101</f>
        <v>#DIV/0!</v>
      </c>
      <c r="X158" s="106" t="e">
        <f>'Final Data-US$'!X101</f>
        <v>#DIV/0!</v>
      </c>
    </row>
    <row r="159" spans="1:24">
      <c r="A159" s="55" t="str">
        <f>'Secondary cum Calculation'!A259</f>
        <v>Poland</v>
      </c>
      <c r="B159" s="56" t="str">
        <f>'Secondary cum Calculation'!B259</f>
        <v>Tourism Flows</v>
      </c>
      <c r="C159" s="56" t="str">
        <f>'Secondary cum Calculation'!C259</f>
        <v>International Arrivals by Place of Origin</v>
      </c>
      <c r="D159" s="56" t="str">
        <f>'Secondary cum Calculation'!D259</f>
        <v>Africa</v>
      </c>
      <c r="E159" s="55" t="str">
        <f>'Secondary cum Calculation'!E259</f>
        <v>Rwanda</v>
      </c>
      <c r="F159" s="57" t="str">
        <f>'Secondary cum Calculation'!F259</f>
        <v>The number of international arrivals to a country originating from Rwanda</v>
      </c>
      <c r="G159" s="57" t="str">
        <f>'Secondary cum Calculation'!G259</f>
        <v>Tourism Demand &amp; Flows Database</v>
      </c>
      <c r="H159" s="57" t="str">
        <f>'Secondary cum Calculation'!H259</f>
        <v>New</v>
      </c>
      <c r="I159" s="57">
        <f>'Secondary cum Calculation'!I259</f>
        <v>0</v>
      </c>
      <c r="J159" s="57" t="str">
        <f>'Secondary cum Calculation'!J259</f>
        <v>Thousand</v>
      </c>
      <c r="K159" s="58">
        <f>'Secondary cum Calculation'!K259</f>
        <v>0</v>
      </c>
      <c r="L159" s="59"/>
      <c r="M159" s="60" t="e">
        <f>'Final Data-US$'!M102/'Final Data-US$'!L102-1</f>
        <v>#DIV/0!</v>
      </c>
      <c r="N159" s="60" t="e">
        <f>'Final Data-US$'!N102/'Final Data-US$'!M102-1</f>
        <v>#DIV/0!</v>
      </c>
      <c r="O159" s="60" t="e">
        <f>'Final Data-US$'!O102/'Final Data-US$'!N102-1</f>
        <v>#DIV/0!</v>
      </c>
      <c r="P159" s="60" t="e">
        <f>'Final Data-US$'!P102/'Final Data-US$'!O102-1</f>
        <v>#DIV/0!</v>
      </c>
      <c r="Q159" s="60" t="e">
        <f>'Final Data-US$'!Q102/'Final Data-US$'!P102-1</f>
        <v>#DIV/0!</v>
      </c>
      <c r="R159" s="60" t="e">
        <f>'Final Data-US$'!R102/'Final Data-US$'!Q102-1</f>
        <v>#DIV/0!</v>
      </c>
      <c r="S159" s="60" t="e">
        <f>'Final Data-US$'!S102/'Final Data-US$'!R102-1</f>
        <v>#DIV/0!</v>
      </c>
      <c r="T159" s="60" t="e">
        <f>'Final Data-US$'!T102/'Final Data-US$'!S102-1</f>
        <v>#DIV/0!</v>
      </c>
      <c r="U159" s="60" t="e">
        <f>'Final Data-US$'!U102/'Final Data-US$'!T102-1</f>
        <v>#DIV/0!</v>
      </c>
      <c r="V159" s="60" t="e">
        <f>'Final Data-US$'!V102/'Final Data-US$'!U102-1</f>
        <v>#DIV/0!</v>
      </c>
      <c r="W159" s="106" t="e">
        <f>'Final Data-US$'!W102</f>
        <v>#DIV/0!</v>
      </c>
      <c r="X159" s="106" t="e">
        <f>'Final Data-US$'!X102</f>
        <v>#DIV/0!</v>
      </c>
    </row>
    <row r="160" spans="1:24">
      <c r="A160" s="55" t="str">
        <f>'Secondary cum Calculation'!A261</f>
        <v>Poland</v>
      </c>
      <c r="B160" s="56" t="str">
        <f>'Secondary cum Calculation'!B261</f>
        <v>Tourism Flows</v>
      </c>
      <c r="C160" s="56" t="str">
        <f>'Secondary cum Calculation'!C261</f>
        <v>International Arrivals by Place of Origin</v>
      </c>
      <c r="D160" s="56" t="str">
        <f>'Secondary cum Calculation'!D261</f>
        <v>Africa</v>
      </c>
      <c r="E160" s="55" t="str">
        <f>'Secondary cum Calculation'!E261</f>
        <v>Senegal</v>
      </c>
      <c r="F160" s="57" t="str">
        <f>'Secondary cum Calculation'!F261</f>
        <v>The number of international arrivals to a country originating from Senegal</v>
      </c>
      <c r="G160" s="57" t="str">
        <f>'Secondary cum Calculation'!G261</f>
        <v>Tourism Demand &amp; Flows Database</v>
      </c>
      <c r="H160" s="57" t="str">
        <f>'Secondary cum Calculation'!H261</f>
        <v>New</v>
      </c>
      <c r="I160" s="57">
        <f>'Secondary cum Calculation'!I261</f>
        <v>0</v>
      </c>
      <c r="J160" s="57" t="str">
        <f>'Secondary cum Calculation'!J261</f>
        <v>Thousand</v>
      </c>
      <c r="K160" s="58">
        <f>'Secondary cum Calculation'!K261</f>
        <v>0</v>
      </c>
      <c r="L160" s="59"/>
      <c r="M160" s="60" t="e">
        <f>'Final Data-US$'!M103/'Final Data-US$'!L103-1</f>
        <v>#DIV/0!</v>
      </c>
      <c r="N160" s="60" t="e">
        <f>'Final Data-US$'!N103/'Final Data-US$'!M103-1</f>
        <v>#DIV/0!</v>
      </c>
      <c r="O160" s="60" t="e">
        <f>'Final Data-US$'!O103/'Final Data-US$'!N103-1</f>
        <v>#DIV/0!</v>
      </c>
      <c r="P160" s="60" t="e">
        <f>'Final Data-US$'!P103/'Final Data-US$'!O103-1</f>
        <v>#DIV/0!</v>
      </c>
      <c r="Q160" s="60" t="e">
        <f>'Final Data-US$'!Q103/'Final Data-US$'!P103-1</f>
        <v>#DIV/0!</v>
      </c>
      <c r="R160" s="60" t="e">
        <f>'Final Data-US$'!R103/'Final Data-US$'!Q103-1</f>
        <v>#DIV/0!</v>
      </c>
      <c r="S160" s="60" t="e">
        <f>'Final Data-US$'!S103/'Final Data-US$'!R103-1</f>
        <v>#DIV/0!</v>
      </c>
      <c r="T160" s="60" t="e">
        <f>'Final Data-US$'!T103/'Final Data-US$'!S103-1</f>
        <v>#DIV/0!</v>
      </c>
      <c r="U160" s="60" t="e">
        <f>'Final Data-US$'!U103/'Final Data-US$'!T103-1</f>
        <v>#DIV/0!</v>
      </c>
      <c r="V160" s="60" t="e">
        <f>'Final Data-US$'!V103/'Final Data-US$'!U103-1</f>
        <v>#DIV/0!</v>
      </c>
      <c r="W160" s="106" t="e">
        <f>'Final Data-US$'!W103</f>
        <v>#DIV/0!</v>
      </c>
      <c r="X160" s="106" t="e">
        <f>'Final Data-US$'!X103</f>
        <v>#DIV/0!</v>
      </c>
    </row>
    <row r="161" spans="1:27">
      <c r="A161" s="55" t="str">
        <f>'Secondary cum Calculation'!A263</f>
        <v>Poland</v>
      </c>
      <c r="B161" s="56" t="str">
        <f>'Secondary cum Calculation'!B263</f>
        <v>Tourism Flows</v>
      </c>
      <c r="C161" s="56" t="str">
        <f>'Secondary cum Calculation'!C263</f>
        <v>International Arrivals by Place of Origin</v>
      </c>
      <c r="D161" s="56" t="str">
        <f>'Secondary cum Calculation'!D263</f>
        <v>Africa</v>
      </c>
      <c r="E161" s="55" t="str">
        <f>'Secondary cum Calculation'!E263</f>
        <v>Sierra Leone</v>
      </c>
      <c r="F161" s="57" t="str">
        <f>'Secondary cum Calculation'!F263</f>
        <v>The number of international arrivals to a country originating from Sierra Leone</v>
      </c>
      <c r="G161" s="57" t="str">
        <f>'Secondary cum Calculation'!G263</f>
        <v>Tourism Demand &amp; Flows Database</v>
      </c>
      <c r="H161" s="57" t="str">
        <f>'Secondary cum Calculation'!H263</f>
        <v>New</v>
      </c>
      <c r="I161" s="57">
        <f>'Secondary cum Calculation'!I263</f>
        <v>0</v>
      </c>
      <c r="J161" s="57" t="str">
        <f>'Secondary cum Calculation'!J263</f>
        <v>Thousand</v>
      </c>
      <c r="K161" s="58">
        <f>'Secondary cum Calculation'!K263</f>
        <v>0</v>
      </c>
      <c r="L161" s="59"/>
      <c r="M161" s="60" t="e">
        <f>'Final Data-US$'!M104/'Final Data-US$'!L104-1</f>
        <v>#DIV/0!</v>
      </c>
      <c r="N161" s="60" t="e">
        <f>'Final Data-US$'!N104/'Final Data-US$'!M104-1</f>
        <v>#DIV/0!</v>
      </c>
      <c r="O161" s="60" t="e">
        <f>'Final Data-US$'!O104/'Final Data-US$'!N104-1</f>
        <v>#DIV/0!</v>
      </c>
      <c r="P161" s="60" t="e">
        <f>'Final Data-US$'!P104/'Final Data-US$'!O104-1</f>
        <v>#DIV/0!</v>
      </c>
      <c r="Q161" s="60" t="e">
        <f>'Final Data-US$'!Q104/'Final Data-US$'!P104-1</f>
        <v>#DIV/0!</v>
      </c>
      <c r="R161" s="60" t="e">
        <f>'Final Data-US$'!R104/'Final Data-US$'!Q104-1</f>
        <v>#DIV/0!</v>
      </c>
      <c r="S161" s="60" t="e">
        <f>'Final Data-US$'!S104/'Final Data-US$'!R104-1</f>
        <v>#DIV/0!</v>
      </c>
      <c r="T161" s="60" t="e">
        <f>'Final Data-US$'!T104/'Final Data-US$'!S104-1</f>
        <v>#DIV/0!</v>
      </c>
      <c r="U161" s="60" t="e">
        <f>'Final Data-US$'!U104/'Final Data-US$'!T104-1</f>
        <v>#DIV/0!</v>
      </c>
      <c r="V161" s="60" t="e">
        <f>'Final Data-US$'!V104/'Final Data-US$'!U104-1</f>
        <v>#DIV/0!</v>
      </c>
      <c r="W161" s="106" t="e">
        <f>'Final Data-US$'!W104</f>
        <v>#DIV/0!</v>
      </c>
      <c r="X161" s="106" t="e">
        <f>'Final Data-US$'!X104</f>
        <v>#DIV/0!</v>
      </c>
    </row>
    <row r="162" spans="1:27">
      <c r="A162" s="55" t="str">
        <f>'Secondary cum Calculation'!A265</f>
        <v>Poland</v>
      </c>
      <c r="B162" s="56" t="str">
        <f>'Secondary cum Calculation'!B265</f>
        <v>Tourism Flows</v>
      </c>
      <c r="C162" s="56" t="str">
        <f>'Secondary cum Calculation'!C265</f>
        <v>International Arrivals by Place of Origin</v>
      </c>
      <c r="D162" s="56" t="str">
        <f>'Secondary cum Calculation'!D265</f>
        <v>Africa</v>
      </c>
      <c r="E162" s="55" t="str">
        <f>'Secondary cum Calculation'!E265</f>
        <v>Somalia</v>
      </c>
      <c r="F162" s="57" t="str">
        <f>'Secondary cum Calculation'!F265</f>
        <v>The number of international arrivals to a country originating from Somalia</v>
      </c>
      <c r="G162" s="57" t="str">
        <f>'Secondary cum Calculation'!G265</f>
        <v>Tourism Demand &amp; Flows Database</v>
      </c>
      <c r="H162" s="57" t="str">
        <f>'Secondary cum Calculation'!H265</f>
        <v>New</v>
      </c>
      <c r="I162" s="57">
        <f>'Secondary cum Calculation'!I265</f>
        <v>0</v>
      </c>
      <c r="J162" s="57" t="str">
        <f>'Secondary cum Calculation'!J265</f>
        <v>Thousand</v>
      </c>
      <c r="K162" s="58">
        <f>'Secondary cum Calculation'!K265</f>
        <v>0</v>
      </c>
      <c r="L162" s="59"/>
      <c r="M162" s="60" t="e">
        <f>'Final Data-US$'!M105/'Final Data-US$'!L105-1</f>
        <v>#DIV/0!</v>
      </c>
      <c r="N162" s="60" t="e">
        <f>'Final Data-US$'!N105/'Final Data-US$'!M105-1</f>
        <v>#DIV/0!</v>
      </c>
      <c r="O162" s="60" t="e">
        <f>'Final Data-US$'!O105/'Final Data-US$'!N105-1</f>
        <v>#DIV/0!</v>
      </c>
      <c r="P162" s="60" t="e">
        <f>'Final Data-US$'!P105/'Final Data-US$'!O105-1</f>
        <v>#DIV/0!</v>
      </c>
      <c r="Q162" s="60" t="e">
        <f>'Final Data-US$'!Q105/'Final Data-US$'!P105-1</f>
        <v>#DIV/0!</v>
      </c>
      <c r="R162" s="60" t="e">
        <f>'Final Data-US$'!R105/'Final Data-US$'!Q105-1</f>
        <v>#DIV/0!</v>
      </c>
      <c r="S162" s="60" t="e">
        <f>'Final Data-US$'!S105/'Final Data-US$'!R105-1</f>
        <v>#DIV/0!</v>
      </c>
      <c r="T162" s="60" t="e">
        <f>'Final Data-US$'!T105/'Final Data-US$'!S105-1</f>
        <v>#DIV/0!</v>
      </c>
      <c r="U162" s="60" t="e">
        <f>'Final Data-US$'!U105/'Final Data-US$'!T105-1</f>
        <v>#DIV/0!</v>
      </c>
      <c r="V162" s="60" t="e">
        <f>'Final Data-US$'!V105/'Final Data-US$'!U105-1</f>
        <v>#DIV/0!</v>
      </c>
      <c r="W162" s="106" t="e">
        <f>'Final Data-US$'!W105</f>
        <v>#DIV/0!</v>
      </c>
      <c r="X162" s="106" t="e">
        <f>'Final Data-US$'!X105</f>
        <v>#DIV/0!</v>
      </c>
    </row>
    <row r="163" spans="1:27">
      <c r="A163" s="55" t="str">
        <f>'Secondary cum Calculation'!A267</f>
        <v>Poland</v>
      </c>
      <c r="B163" s="56" t="str">
        <f>'Secondary cum Calculation'!B267</f>
        <v>Tourism Flows</v>
      </c>
      <c r="C163" s="56" t="str">
        <f>'Secondary cum Calculation'!C267</f>
        <v>International Arrivals by Place of Origin</v>
      </c>
      <c r="D163" s="56" t="str">
        <f>'Secondary cum Calculation'!D267</f>
        <v>Africa</v>
      </c>
      <c r="E163" s="55" t="str">
        <f>'Secondary cum Calculation'!E267</f>
        <v>South Africa</v>
      </c>
      <c r="F163" s="57" t="str">
        <f>'Secondary cum Calculation'!F267</f>
        <v>The number of international arrivals to a country originating from South Africa</v>
      </c>
      <c r="G163" s="57" t="str">
        <f>'Secondary cum Calculation'!G267</f>
        <v>Tourism Demand &amp; Flows Database</v>
      </c>
      <c r="H163" s="57" t="str">
        <f>'Secondary cum Calculation'!H267</f>
        <v>New</v>
      </c>
      <c r="I163" s="57">
        <f>'Secondary cum Calculation'!I267</f>
        <v>0</v>
      </c>
      <c r="J163" s="57" t="str">
        <f>'Secondary cum Calculation'!J267</f>
        <v>Thousand</v>
      </c>
      <c r="K163" s="58">
        <f>'Secondary cum Calculation'!K267</f>
        <v>89.016999999999996</v>
      </c>
      <c r="L163" s="59"/>
      <c r="M163" s="60" t="e">
        <f>'Final Data-US$'!M106/'Final Data-US$'!L106-1</f>
        <v>#DIV/0!</v>
      </c>
      <c r="N163" s="60" t="e">
        <f>'Final Data-US$'!N106/'Final Data-US$'!M106-1</f>
        <v>#DIV/0!</v>
      </c>
      <c r="O163" s="60" t="e">
        <f>'Final Data-US$'!O106/'Final Data-US$'!N106-1</f>
        <v>#DIV/0!</v>
      </c>
      <c r="P163" s="60" t="e">
        <f>'Final Data-US$'!P106/'Final Data-US$'!O106-1</f>
        <v>#DIV/0!</v>
      </c>
      <c r="Q163" s="60" t="e">
        <f>'Final Data-US$'!Q106/'Final Data-US$'!P106-1</f>
        <v>#DIV/0!</v>
      </c>
      <c r="R163" s="60" t="e">
        <f>'Final Data-US$'!R106/'Final Data-US$'!Q106-1</f>
        <v>#DIV/0!</v>
      </c>
      <c r="S163" s="60" t="e">
        <f>'Final Data-US$'!S106/'Final Data-US$'!R106-1</f>
        <v>#DIV/0!</v>
      </c>
      <c r="T163" s="60" t="e">
        <f>'Final Data-US$'!T106/'Final Data-US$'!S106-1</f>
        <v>#DIV/0!</v>
      </c>
      <c r="U163" s="60" t="e">
        <f>'Final Data-US$'!U106/'Final Data-US$'!T106-1</f>
        <v>#DIV/0!</v>
      </c>
      <c r="V163" s="60" t="e">
        <f>'Final Data-US$'!V106/'Final Data-US$'!U106-1</f>
        <v>#DIV/0!</v>
      </c>
      <c r="W163" s="106" t="e">
        <f>'Final Data-US$'!W106</f>
        <v>#DIV/0!</v>
      </c>
      <c r="X163" s="106" t="e">
        <f>'Final Data-US$'!X106</f>
        <v>#DIV/0!</v>
      </c>
    </row>
    <row r="164" spans="1:27" s="43" customFormat="1">
      <c r="A164" s="55" t="str">
        <f>'Secondary cum Calculation'!A269</f>
        <v>Poland</v>
      </c>
      <c r="B164" s="56" t="str">
        <f>'Secondary cum Calculation'!B269</f>
        <v>Tourism Flows</v>
      </c>
      <c r="C164" s="56" t="str">
        <f>'Secondary cum Calculation'!C269</f>
        <v>International Arrivals by Place of Origin</v>
      </c>
      <c r="D164" s="56" t="str">
        <f>'Secondary cum Calculation'!D269</f>
        <v>Africa</v>
      </c>
      <c r="E164" s="55" t="str">
        <f>'Secondary cum Calculation'!E269</f>
        <v>Sudan</v>
      </c>
      <c r="F164" s="57" t="str">
        <f>'Secondary cum Calculation'!F269</f>
        <v>The number of international arrivals to a country originating from Sudan</v>
      </c>
      <c r="G164" s="57" t="str">
        <f>'Secondary cum Calculation'!G269</f>
        <v>Tourism Demand &amp; Flows Database</v>
      </c>
      <c r="H164" s="57" t="str">
        <f>'Secondary cum Calculation'!H269</f>
        <v>New</v>
      </c>
      <c r="I164" s="57">
        <f>'Secondary cum Calculation'!I269</f>
        <v>0</v>
      </c>
      <c r="J164" s="57" t="str">
        <f>'Secondary cum Calculation'!J269</f>
        <v>Thousand</v>
      </c>
      <c r="K164" s="58">
        <f>'Secondary cum Calculation'!K269</f>
        <v>0</v>
      </c>
      <c r="L164" s="59"/>
      <c r="M164" s="60" t="e">
        <f>'Final Data-US$'!M107/'Final Data-US$'!L107-1</f>
        <v>#DIV/0!</v>
      </c>
      <c r="N164" s="60" t="e">
        <f>'Final Data-US$'!N107/'Final Data-US$'!M107-1</f>
        <v>#DIV/0!</v>
      </c>
      <c r="O164" s="60" t="e">
        <f>'Final Data-US$'!O107/'Final Data-US$'!N107-1</f>
        <v>#DIV/0!</v>
      </c>
      <c r="P164" s="60" t="e">
        <f>'Final Data-US$'!P107/'Final Data-US$'!O107-1</f>
        <v>#DIV/0!</v>
      </c>
      <c r="Q164" s="60" t="e">
        <f>'Final Data-US$'!Q107/'Final Data-US$'!P107-1</f>
        <v>#DIV/0!</v>
      </c>
      <c r="R164" s="60" t="e">
        <f>'Final Data-US$'!R107/'Final Data-US$'!Q107-1</f>
        <v>#DIV/0!</v>
      </c>
      <c r="S164" s="60" t="e">
        <f>'Final Data-US$'!S107/'Final Data-US$'!R107-1</f>
        <v>#DIV/0!</v>
      </c>
      <c r="T164" s="60" t="e">
        <f>'Final Data-US$'!T107/'Final Data-US$'!S107-1</f>
        <v>#DIV/0!</v>
      </c>
      <c r="U164" s="60" t="e">
        <f>'Final Data-US$'!U107/'Final Data-US$'!T107-1</f>
        <v>#DIV/0!</v>
      </c>
      <c r="V164" s="60" t="e">
        <f>'Final Data-US$'!V107/'Final Data-US$'!U107-1</f>
        <v>#DIV/0!</v>
      </c>
      <c r="W164" s="106" t="e">
        <f>'Final Data-US$'!W107</f>
        <v>#DIV/0!</v>
      </c>
      <c r="X164" s="106" t="e">
        <f>'Final Data-US$'!X107</f>
        <v>#DIV/0!</v>
      </c>
      <c r="Y164" s="7"/>
      <c r="Z164" s="7"/>
      <c r="AA164" s="42"/>
    </row>
    <row r="165" spans="1:27">
      <c r="A165" s="55" t="str">
        <f>'Secondary cum Calculation'!A271</f>
        <v>Poland</v>
      </c>
      <c r="B165" s="56" t="str">
        <f>'Secondary cum Calculation'!B271</f>
        <v>Tourism Flows</v>
      </c>
      <c r="C165" s="56" t="str">
        <f>'Secondary cum Calculation'!C271</f>
        <v>International Arrivals by Place of Origin</v>
      </c>
      <c r="D165" s="56" t="str">
        <f>'Secondary cum Calculation'!D271</f>
        <v>Africa</v>
      </c>
      <c r="E165" s="55" t="str">
        <f>'Secondary cum Calculation'!E271</f>
        <v>Swaziland</v>
      </c>
      <c r="F165" s="57" t="str">
        <f>'Secondary cum Calculation'!F271</f>
        <v>The number of international arrivals to a country originating from Swaziland</v>
      </c>
      <c r="G165" s="57" t="str">
        <f>'Secondary cum Calculation'!G271</f>
        <v>Tourism Demand &amp; Flows Database</v>
      </c>
      <c r="H165" s="57" t="str">
        <f>'Secondary cum Calculation'!H271</f>
        <v>New</v>
      </c>
      <c r="I165" s="57">
        <f>'Secondary cum Calculation'!I271</f>
        <v>0</v>
      </c>
      <c r="J165" s="57" t="str">
        <f>'Secondary cum Calculation'!J271</f>
        <v>Thousand</v>
      </c>
      <c r="K165" s="58">
        <f>'Secondary cum Calculation'!K271</f>
        <v>0</v>
      </c>
      <c r="L165" s="59"/>
      <c r="M165" s="60" t="e">
        <f>'Final Data-US$'!M108/'Final Data-US$'!L108-1</f>
        <v>#DIV/0!</v>
      </c>
      <c r="N165" s="60" t="e">
        <f>'Final Data-US$'!N108/'Final Data-US$'!M108-1</f>
        <v>#DIV/0!</v>
      </c>
      <c r="O165" s="60" t="e">
        <f>'Final Data-US$'!O108/'Final Data-US$'!N108-1</f>
        <v>#DIV/0!</v>
      </c>
      <c r="P165" s="60" t="e">
        <f>'Final Data-US$'!P108/'Final Data-US$'!O108-1</f>
        <v>#DIV/0!</v>
      </c>
      <c r="Q165" s="60" t="e">
        <f>'Final Data-US$'!Q108/'Final Data-US$'!P108-1</f>
        <v>#DIV/0!</v>
      </c>
      <c r="R165" s="60" t="e">
        <f>'Final Data-US$'!R108/'Final Data-US$'!Q108-1</f>
        <v>#DIV/0!</v>
      </c>
      <c r="S165" s="60" t="e">
        <f>'Final Data-US$'!S108/'Final Data-US$'!R108-1</f>
        <v>#DIV/0!</v>
      </c>
      <c r="T165" s="60" t="e">
        <f>'Final Data-US$'!T108/'Final Data-US$'!S108-1</f>
        <v>#DIV/0!</v>
      </c>
      <c r="U165" s="60" t="e">
        <f>'Final Data-US$'!U108/'Final Data-US$'!T108-1</f>
        <v>#DIV/0!</v>
      </c>
      <c r="V165" s="60" t="e">
        <f>'Final Data-US$'!V108/'Final Data-US$'!U108-1</f>
        <v>#DIV/0!</v>
      </c>
      <c r="W165" s="106" t="e">
        <f>'Final Data-US$'!W108</f>
        <v>#DIV/0!</v>
      </c>
      <c r="X165" s="106" t="e">
        <f>'Final Data-US$'!X108</f>
        <v>#DIV/0!</v>
      </c>
    </row>
    <row r="166" spans="1:27">
      <c r="A166" s="55" t="str">
        <f>'Secondary cum Calculation'!A273</f>
        <v>Poland</v>
      </c>
      <c r="B166" s="56" t="str">
        <f>'Secondary cum Calculation'!B273</f>
        <v>Tourism Flows</v>
      </c>
      <c r="C166" s="56" t="str">
        <f>'Secondary cum Calculation'!C273</f>
        <v>International Arrivals by Place of Origin</v>
      </c>
      <c r="D166" s="56" t="str">
        <f>'Secondary cum Calculation'!D273</f>
        <v>Africa</v>
      </c>
      <c r="E166" s="55" t="str">
        <f>'Secondary cum Calculation'!E273</f>
        <v>Togo</v>
      </c>
      <c r="F166" s="57" t="str">
        <f>'Secondary cum Calculation'!F273</f>
        <v>The number of international arrivals to a country originating from Togo</v>
      </c>
      <c r="G166" s="57" t="str">
        <f>'Secondary cum Calculation'!G273</f>
        <v>Tourism Demand &amp; Flows Database</v>
      </c>
      <c r="H166" s="57" t="str">
        <f>'Secondary cum Calculation'!H273</f>
        <v>New</v>
      </c>
      <c r="I166" s="57">
        <f>'Secondary cum Calculation'!I273</f>
        <v>0</v>
      </c>
      <c r="J166" s="57" t="str">
        <f>'Secondary cum Calculation'!J273</f>
        <v>Thousand</v>
      </c>
      <c r="K166" s="58">
        <f>'Secondary cum Calculation'!K273</f>
        <v>0</v>
      </c>
      <c r="L166" s="59"/>
      <c r="M166" s="60" t="e">
        <f>'Final Data-US$'!M109/'Final Data-US$'!L109-1</f>
        <v>#DIV/0!</v>
      </c>
      <c r="N166" s="60" t="e">
        <f>'Final Data-US$'!N109/'Final Data-US$'!M109-1</f>
        <v>#DIV/0!</v>
      </c>
      <c r="O166" s="60" t="e">
        <f>'Final Data-US$'!O109/'Final Data-US$'!N109-1</f>
        <v>#DIV/0!</v>
      </c>
      <c r="P166" s="60" t="e">
        <f>'Final Data-US$'!P109/'Final Data-US$'!O109-1</f>
        <v>#DIV/0!</v>
      </c>
      <c r="Q166" s="60" t="e">
        <f>'Final Data-US$'!Q109/'Final Data-US$'!P109-1</f>
        <v>#DIV/0!</v>
      </c>
      <c r="R166" s="60" t="e">
        <f>'Final Data-US$'!R109/'Final Data-US$'!Q109-1</f>
        <v>#DIV/0!</v>
      </c>
      <c r="S166" s="60" t="e">
        <f>'Final Data-US$'!S109/'Final Data-US$'!R109-1</f>
        <v>#DIV/0!</v>
      </c>
      <c r="T166" s="60" t="e">
        <f>'Final Data-US$'!T109/'Final Data-US$'!S109-1</f>
        <v>#DIV/0!</v>
      </c>
      <c r="U166" s="60" t="e">
        <f>'Final Data-US$'!U109/'Final Data-US$'!T109-1</f>
        <v>#DIV/0!</v>
      </c>
      <c r="V166" s="60" t="e">
        <f>'Final Data-US$'!V109/'Final Data-US$'!U109-1</f>
        <v>#DIV/0!</v>
      </c>
      <c r="W166" s="106" t="e">
        <f>'Final Data-US$'!W109</f>
        <v>#DIV/0!</v>
      </c>
      <c r="X166" s="106" t="e">
        <f>'Final Data-US$'!X109</f>
        <v>#DIV/0!</v>
      </c>
    </row>
    <row r="167" spans="1:27">
      <c r="A167" s="55" t="str">
        <f>'Secondary cum Calculation'!A275</f>
        <v>Poland</v>
      </c>
      <c r="B167" s="56" t="str">
        <f>'Secondary cum Calculation'!B275</f>
        <v>Tourism Flows</v>
      </c>
      <c r="C167" s="56" t="str">
        <f>'Secondary cum Calculation'!C275</f>
        <v>International Arrivals by Place of Origin</v>
      </c>
      <c r="D167" s="56" t="str">
        <f>'Secondary cum Calculation'!D275</f>
        <v>Africa</v>
      </c>
      <c r="E167" s="55" t="str">
        <f>'Secondary cum Calculation'!E275</f>
        <v>Tonga</v>
      </c>
      <c r="F167" s="57" t="str">
        <f>'Secondary cum Calculation'!F275</f>
        <v>The number of international arrivals to a country originating from Tonga</v>
      </c>
      <c r="G167" s="57" t="str">
        <f>'Secondary cum Calculation'!G275</f>
        <v>Tourism Demand &amp; Flows Database</v>
      </c>
      <c r="H167" s="57" t="str">
        <f>'Secondary cum Calculation'!H275</f>
        <v>New</v>
      </c>
      <c r="I167" s="57">
        <f>'Secondary cum Calculation'!I275</f>
        <v>0</v>
      </c>
      <c r="J167" s="57" t="str">
        <f>'Secondary cum Calculation'!J275</f>
        <v>Thousand</v>
      </c>
      <c r="K167" s="58">
        <f>'Secondary cum Calculation'!K275</f>
        <v>0</v>
      </c>
      <c r="L167" s="59"/>
      <c r="M167" s="60" t="e">
        <f>'Final Data-US$'!M110/'Final Data-US$'!L110-1</f>
        <v>#DIV/0!</v>
      </c>
      <c r="N167" s="60" t="e">
        <f>'Final Data-US$'!N110/'Final Data-US$'!M110-1</f>
        <v>#DIV/0!</v>
      </c>
      <c r="O167" s="60" t="e">
        <f>'Final Data-US$'!O110/'Final Data-US$'!N110-1</f>
        <v>#DIV/0!</v>
      </c>
      <c r="P167" s="60" t="e">
        <f>'Final Data-US$'!P110/'Final Data-US$'!O110-1</f>
        <v>#DIV/0!</v>
      </c>
      <c r="Q167" s="60" t="e">
        <f>'Final Data-US$'!Q110/'Final Data-US$'!P110-1</f>
        <v>#DIV/0!</v>
      </c>
      <c r="R167" s="60" t="e">
        <f>'Final Data-US$'!R110/'Final Data-US$'!Q110-1</f>
        <v>#DIV/0!</v>
      </c>
      <c r="S167" s="60" t="e">
        <f>'Final Data-US$'!S110/'Final Data-US$'!R110-1</f>
        <v>#DIV/0!</v>
      </c>
      <c r="T167" s="60" t="e">
        <f>'Final Data-US$'!T110/'Final Data-US$'!S110-1</f>
        <v>#DIV/0!</v>
      </c>
      <c r="U167" s="60" t="e">
        <f>'Final Data-US$'!U110/'Final Data-US$'!T110-1</f>
        <v>#DIV/0!</v>
      </c>
      <c r="V167" s="60" t="e">
        <f>'Final Data-US$'!V110/'Final Data-US$'!U110-1</f>
        <v>#DIV/0!</v>
      </c>
      <c r="W167" s="106" t="e">
        <f>'Final Data-US$'!W110</f>
        <v>#DIV/0!</v>
      </c>
      <c r="X167" s="106" t="e">
        <f>'Final Data-US$'!X110</f>
        <v>#DIV/0!</v>
      </c>
    </row>
    <row r="168" spans="1:27">
      <c r="A168" s="55" t="str">
        <f>'Secondary cum Calculation'!A277</f>
        <v>Poland</v>
      </c>
      <c r="B168" s="56" t="str">
        <f>'Secondary cum Calculation'!B277</f>
        <v>Tourism Flows</v>
      </c>
      <c r="C168" s="56" t="str">
        <f>'Secondary cum Calculation'!C277</f>
        <v>International Arrivals by Place of Origin</v>
      </c>
      <c r="D168" s="56" t="str">
        <f>'Secondary cum Calculation'!D277</f>
        <v>Africa</v>
      </c>
      <c r="E168" s="55" t="str">
        <f>'Secondary cum Calculation'!E277</f>
        <v>Tunisia</v>
      </c>
      <c r="F168" s="57" t="str">
        <f>'Secondary cum Calculation'!F277</f>
        <v>The number of international arrivals to a country originating from Tunisia</v>
      </c>
      <c r="G168" s="57" t="str">
        <f>'Secondary cum Calculation'!G277</f>
        <v>Tourism Demand &amp; Flows Database</v>
      </c>
      <c r="H168" s="57" t="str">
        <f>'Secondary cum Calculation'!H277</f>
        <v>New</v>
      </c>
      <c r="I168" s="57">
        <f>'Secondary cum Calculation'!I277</f>
        <v>0</v>
      </c>
      <c r="J168" s="57" t="str">
        <f>'Secondary cum Calculation'!J277</f>
        <v>Thousand</v>
      </c>
      <c r="K168" s="58">
        <f>'Secondary cum Calculation'!K277</f>
        <v>0</v>
      </c>
      <c r="L168" s="59"/>
      <c r="M168" s="60" t="e">
        <f>'Final Data-US$'!M111/'Final Data-US$'!L111-1</f>
        <v>#DIV/0!</v>
      </c>
      <c r="N168" s="60" t="e">
        <f>'Final Data-US$'!N111/'Final Data-US$'!M111-1</f>
        <v>#DIV/0!</v>
      </c>
      <c r="O168" s="60" t="e">
        <f>'Final Data-US$'!O111/'Final Data-US$'!N111-1</f>
        <v>#DIV/0!</v>
      </c>
      <c r="P168" s="60" t="e">
        <f>'Final Data-US$'!P111/'Final Data-US$'!O111-1</f>
        <v>#DIV/0!</v>
      </c>
      <c r="Q168" s="60" t="e">
        <f>'Final Data-US$'!Q111/'Final Data-US$'!P111-1</f>
        <v>#DIV/0!</v>
      </c>
      <c r="R168" s="60" t="e">
        <f>'Final Data-US$'!R111/'Final Data-US$'!Q111-1</f>
        <v>#DIV/0!</v>
      </c>
      <c r="S168" s="60" t="e">
        <f>'Final Data-US$'!S111/'Final Data-US$'!R111-1</f>
        <v>#DIV/0!</v>
      </c>
      <c r="T168" s="60" t="e">
        <f>'Final Data-US$'!T111/'Final Data-US$'!S111-1</f>
        <v>#DIV/0!</v>
      </c>
      <c r="U168" s="60" t="e">
        <f>'Final Data-US$'!U111/'Final Data-US$'!T111-1</f>
        <v>#DIV/0!</v>
      </c>
      <c r="V168" s="60" t="e">
        <f>'Final Data-US$'!V111/'Final Data-US$'!U111-1</f>
        <v>#DIV/0!</v>
      </c>
      <c r="W168" s="106" t="e">
        <f>'Final Data-US$'!W111</f>
        <v>#DIV/0!</v>
      </c>
      <c r="X168" s="106" t="e">
        <f>'Final Data-US$'!X111</f>
        <v>#DIV/0!</v>
      </c>
    </row>
    <row r="169" spans="1:27">
      <c r="A169" s="55" t="str">
        <f>'Secondary cum Calculation'!A279</f>
        <v>Poland</v>
      </c>
      <c r="B169" s="56" t="str">
        <f>'Secondary cum Calculation'!B279</f>
        <v>Tourism Flows</v>
      </c>
      <c r="C169" s="56" t="str">
        <f>'Secondary cum Calculation'!C279</f>
        <v>International Arrivals by Place of Origin</v>
      </c>
      <c r="D169" s="56" t="str">
        <f>'Secondary cum Calculation'!D279</f>
        <v>Africa</v>
      </c>
      <c r="E169" s="55" t="str">
        <f>'Secondary cum Calculation'!E279</f>
        <v>Uganda</v>
      </c>
      <c r="F169" s="57" t="str">
        <f>'Secondary cum Calculation'!F279</f>
        <v>The number of international arrivals to a country originating from Uganda</v>
      </c>
      <c r="G169" s="57" t="str">
        <f>'Secondary cum Calculation'!G279</f>
        <v>Tourism Demand &amp; Flows Database</v>
      </c>
      <c r="H169" s="57" t="str">
        <f>'Secondary cum Calculation'!H279</f>
        <v>New</v>
      </c>
      <c r="I169" s="57">
        <f>'Secondary cum Calculation'!I279</f>
        <v>0</v>
      </c>
      <c r="J169" s="57" t="str">
        <f>'Secondary cum Calculation'!J279</f>
        <v>Thousand</v>
      </c>
      <c r="K169" s="58">
        <f>'Secondary cum Calculation'!K279</f>
        <v>0</v>
      </c>
      <c r="L169" s="59"/>
      <c r="M169" s="60" t="e">
        <f>'Final Data-US$'!M112/'Final Data-US$'!L112-1</f>
        <v>#DIV/0!</v>
      </c>
      <c r="N169" s="60" t="e">
        <f>'Final Data-US$'!N112/'Final Data-US$'!M112-1</f>
        <v>#DIV/0!</v>
      </c>
      <c r="O169" s="60" t="e">
        <f>'Final Data-US$'!O112/'Final Data-US$'!N112-1</f>
        <v>#DIV/0!</v>
      </c>
      <c r="P169" s="60" t="e">
        <f>'Final Data-US$'!P112/'Final Data-US$'!O112-1</f>
        <v>#DIV/0!</v>
      </c>
      <c r="Q169" s="60" t="e">
        <f>'Final Data-US$'!Q112/'Final Data-US$'!P112-1</f>
        <v>#DIV/0!</v>
      </c>
      <c r="R169" s="60" t="e">
        <f>'Final Data-US$'!R112/'Final Data-US$'!Q112-1</f>
        <v>#DIV/0!</v>
      </c>
      <c r="S169" s="60" t="e">
        <f>'Final Data-US$'!S112/'Final Data-US$'!R112-1</f>
        <v>#DIV/0!</v>
      </c>
      <c r="T169" s="60" t="e">
        <f>'Final Data-US$'!T112/'Final Data-US$'!S112-1</f>
        <v>#DIV/0!</v>
      </c>
      <c r="U169" s="60" t="e">
        <f>'Final Data-US$'!U112/'Final Data-US$'!T112-1</f>
        <v>#DIV/0!</v>
      </c>
      <c r="V169" s="60" t="e">
        <f>'Final Data-US$'!V112/'Final Data-US$'!U112-1</f>
        <v>#DIV/0!</v>
      </c>
      <c r="W169" s="106" t="e">
        <f>'Final Data-US$'!W112</f>
        <v>#DIV/0!</v>
      </c>
      <c r="X169" s="106" t="e">
        <f>'Final Data-US$'!X112</f>
        <v>#DIV/0!</v>
      </c>
    </row>
    <row r="170" spans="1:27">
      <c r="A170" s="55" t="str">
        <f>'Secondary cum Calculation'!A281</f>
        <v>Poland</v>
      </c>
      <c r="B170" s="56" t="str">
        <f>'Secondary cum Calculation'!B281</f>
        <v>Tourism Flows</v>
      </c>
      <c r="C170" s="56" t="str">
        <f>'Secondary cum Calculation'!C281</f>
        <v>International Arrivals by Place of Origin</v>
      </c>
      <c r="D170" s="56" t="str">
        <f>'Secondary cum Calculation'!D281</f>
        <v>Africa</v>
      </c>
      <c r="E170" s="55" t="str">
        <f>'Secondary cum Calculation'!E281</f>
        <v>United Republic of Tanzania</v>
      </c>
      <c r="F170" s="57" t="str">
        <f>'Secondary cum Calculation'!F281</f>
        <v>The number of international arrivals to a country originating from United Republic of Tanzania</v>
      </c>
      <c r="G170" s="57" t="str">
        <f>'Secondary cum Calculation'!G281</f>
        <v>Tourism Demand &amp; Flows Database</v>
      </c>
      <c r="H170" s="57" t="str">
        <f>'Secondary cum Calculation'!H281</f>
        <v>New</v>
      </c>
      <c r="I170" s="57">
        <f>'Secondary cum Calculation'!I281</f>
        <v>0</v>
      </c>
      <c r="J170" s="57" t="str">
        <f>'Secondary cum Calculation'!J281</f>
        <v>Thousand</v>
      </c>
      <c r="K170" s="58">
        <f>'Secondary cum Calculation'!K281</f>
        <v>0</v>
      </c>
      <c r="L170" s="59"/>
      <c r="M170" s="60" t="e">
        <f>'Final Data-US$'!M113/'Final Data-US$'!L113-1</f>
        <v>#DIV/0!</v>
      </c>
      <c r="N170" s="60" t="e">
        <f>'Final Data-US$'!N113/'Final Data-US$'!M113-1</f>
        <v>#DIV/0!</v>
      </c>
      <c r="O170" s="60" t="e">
        <f>'Final Data-US$'!O113/'Final Data-US$'!N113-1</f>
        <v>#DIV/0!</v>
      </c>
      <c r="P170" s="60" t="e">
        <f>'Final Data-US$'!P113/'Final Data-US$'!O113-1</f>
        <v>#DIV/0!</v>
      </c>
      <c r="Q170" s="60" t="e">
        <f>'Final Data-US$'!Q113/'Final Data-US$'!P113-1</f>
        <v>#DIV/0!</v>
      </c>
      <c r="R170" s="60" t="e">
        <f>'Final Data-US$'!R113/'Final Data-US$'!Q113-1</f>
        <v>#DIV/0!</v>
      </c>
      <c r="S170" s="60" t="e">
        <f>'Final Data-US$'!S113/'Final Data-US$'!R113-1</f>
        <v>#DIV/0!</v>
      </c>
      <c r="T170" s="60" t="e">
        <f>'Final Data-US$'!T113/'Final Data-US$'!S113-1</f>
        <v>#DIV/0!</v>
      </c>
      <c r="U170" s="60" t="e">
        <f>'Final Data-US$'!U113/'Final Data-US$'!T113-1</f>
        <v>#DIV/0!</v>
      </c>
      <c r="V170" s="60" t="e">
        <f>'Final Data-US$'!V113/'Final Data-US$'!U113-1</f>
        <v>#DIV/0!</v>
      </c>
      <c r="W170" s="106" t="e">
        <f>'Final Data-US$'!W113</f>
        <v>#DIV/0!</v>
      </c>
      <c r="X170" s="106" t="e">
        <f>'Final Data-US$'!X113</f>
        <v>#DIV/0!</v>
      </c>
    </row>
    <row r="171" spans="1:27">
      <c r="A171" s="55" t="str">
        <f>'Secondary cum Calculation'!A283</f>
        <v>Poland</v>
      </c>
      <c r="B171" s="56" t="str">
        <f>'Secondary cum Calculation'!B283</f>
        <v>Tourism Flows</v>
      </c>
      <c r="C171" s="56" t="str">
        <f>'Secondary cum Calculation'!C283</f>
        <v>International Arrivals by Place of Origin</v>
      </c>
      <c r="D171" s="56" t="str">
        <f>'Secondary cum Calculation'!D283</f>
        <v>Africa</v>
      </c>
      <c r="E171" s="55" t="str">
        <f>'Secondary cum Calculation'!E283</f>
        <v>Western Sahara</v>
      </c>
      <c r="F171" s="57" t="str">
        <f>'Secondary cum Calculation'!F283</f>
        <v>The number of international arrivals to a country originating from Western Sahara</v>
      </c>
      <c r="G171" s="57" t="str">
        <f>'Secondary cum Calculation'!G283</f>
        <v>Tourism Demand &amp; Flows Database</v>
      </c>
      <c r="H171" s="57" t="str">
        <f>'Secondary cum Calculation'!H283</f>
        <v>New</v>
      </c>
      <c r="I171" s="57">
        <f>'Secondary cum Calculation'!I283</f>
        <v>0</v>
      </c>
      <c r="J171" s="57" t="str">
        <f>'Secondary cum Calculation'!J283</f>
        <v>Thousand</v>
      </c>
      <c r="K171" s="58">
        <f>'Secondary cum Calculation'!K283</f>
        <v>0</v>
      </c>
      <c r="L171" s="59"/>
      <c r="M171" s="60" t="e">
        <f>'Final Data-US$'!M114/'Final Data-US$'!L114-1</f>
        <v>#DIV/0!</v>
      </c>
      <c r="N171" s="60" t="e">
        <f>'Final Data-US$'!N114/'Final Data-US$'!M114-1</f>
        <v>#DIV/0!</v>
      </c>
      <c r="O171" s="60" t="e">
        <f>'Final Data-US$'!O114/'Final Data-US$'!N114-1</f>
        <v>#DIV/0!</v>
      </c>
      <c r="P171" s="60" t="e">
        <f>'Final Data-US$'!P114/'Final Data-US$'!O114-1</f>
        <v>#DIV/0!</v>
      </c>
      <c r="Q171" s="60" t="e">
        <f>'Final Data-US$'!Q114/'Final Data-US$'!P114-1</f>
        <v>#DIV/0!</v>
      </c>
      <c r="R171" s="60" t="e">
        <f>'Final Data-US$'!R114/'Final Data-US$'!Q114-1</f>
        <v>#DIV/0!</v>
      </c>
      <c r="S171" s="60" t="e">
        <f>'Final Data-US$'!S114/'Final Data-US$'!R114-1</f>
        <v>#DIV/0!</v>
      </c>
      <c r="T171" s="60" t="e">
        <f>'Final Data-US$'!T114/'Final Data-US$'!S114-1</f>
        <v>#DIV/0!</v>
      </c>
      <c r="U171" s="60" t="e">
        <f>'Final Data-US$'!U114/'Final Data-US$'!T114-1</f>
        <v>#DIV/0!</v>
      </c>
      <c r="V171" s="60" t="e">
        <f>'Final Data-US$'!V114/'Final Data-US$'!U114-1</f>
        <v>#DIV/0!</v>
      </c>
      <c r="W171" s="106" t="e">
        <f>'Final Data-US$'!W114</f>
        <v>#DIV/0!</v>
      </c>
      <c r="X171" s="106" t="e">
        <f>'Final Data-US$'!X114</f>
        <v>#DIV/0!</v>
      </c>
    </row>
    <row r="172" spans="1:27">
      <c r="A172" s="55" t="str">
        <f>'Secondary cum Calculation'!A285</f>
        <v>Poland</v>
      </c>
      <c r="B172" s="56" t="str">
        <f>'Secondary cum Calculation'!B285</f>
        <v>Tourism Flows</v>
      </c>
      <c r="C172" s="56" t="str">
        <f>'Secondary cum Calculation'!C285</f>
        <v>International Arrivals by Place of Origin</v>
      </c>
      <c r="D172" s="56" t="str">
        <f>'Secondary cum Calculation'!D285</f>
        <v>Africa</v>
      </c>
      <c r="E172" s="55" t="str">
        <f>'Secondary cum Calculation'!E285</f>
        <v>Zambia</v>
      </c>
      <c r="F172" s="57" t="str">
        <f>'Secondary cum Calculation'!F285</f>
        <v>The number of international arrivals to a country originating from Zambia</v>
      </c>
      <c r="G172" s="57" t="str">
        <f>'Secondary cum Calculation'!G285</f>
        <v>Tourism Demand &amp; Flows Database</v>
      </c>
      <c r="H172" s="57" t="str">
        <f>'Secondary cum Calculation'!H285</f>
        <v>New</v>
      </c>
      <c r="I172" s="57">
        <f>'Secondary cum Calculation'!I285</f>
        <v>0</v>
      </c>
      <c r="J172" s="57" t="str">
        <f>'Secondary cum Calculation'!J285</f>
        <v>Thousand</v>
      </c>
      <c r="K172" s="58">
        <f>'Secondary cum Calculation'!K285</f>
        <v>0</v>
      </c>
      <c r="L172" s="59"/>
      <c r="M172" s="60" t="e">
        <f>'Final Data-US$'!M115/'Final Data-US$'!L115-1</f>
        <v>#DIV/0!</v>
      </c>
      <c r="N172" s="60" t="e">
        <f>'Final Data-US$'!N115/'Final Data-US$'!M115-1</f>
        <v>#DIV/0!</v>
      </c>
      <c r="O172" s="60" t="e">
        <f>'Final Data-US$'!O115/'Final Data-US$'!N115-1</f>
        <v>#DIV/0!</v>
      </c>
      <c r="P172" s="60" t="e">
        <f>'Final Data-US$'!P115/'Final Data-US$'!O115-1</f>
        <v>#DIV/0!</v>
      </c>
      <c r="Q172" s="60" t="e">
        <f>'Final Data-US$'!Q115/'Final Data-US$'!P115-1</f>
        <v>#DIV/0!</v>
      </c>
      <c r="R172" s="60" t="e">
        <f>'Final Data-US$'!R115/'Final Data-US$'!Q115-1</f>
        <v>#DIV/0!</v>
      </c>
      <c r="S172" s="60" t="e">
        <f>'Final Data-US$'!S115/'Final Data-US$'!R115-1</f>
        <v>#DIV/0!</v>
      </c>
      <c r="T172" s="60" t="e">
        <f>'Final Data-US$'!T115/'Final Data-US$'!S115-1</f>
        <v>#DIV/0!</v>
      </c>
      <c r="U172" s="60" t="e">
        <f>'Final Data-US$'!U115/'Final Data-US$'!T115-1</f>
        <v>#DIV/0!</v>
      </c>
      <c r="V172" s="60" t="e">
        <f>'Final Data-US$'!V115/'Final Data-US$'!U115-1</f>
        <v>#DIV/0!</v>
      </c>
      <c r="W172" s="106" t="e">
        <f>'Final Data-US$'!W115</f>
        <v>#DIV/0!</v>
      </c>
      <c r="X172" s="106" t="e">
        <f>'Final Data-US$'!X115</f>
        <v>#DIV/0!</v>
      </c>
    </row>
    <row r="173" spans="1:27">
      <c r="A173" s="55" t="str">
        <f>'Secondary cum Calculation'!A287</f>
        <v>Poland</v>
      </c>
      <c r="B173" s="56" t="str">
        <f>'Secondary cum Calculation'!B287</f>
        <v>Tourism Flows</v>
      </c>
      <c r="C173" s="56" t="str">
        <f>'Secondary cum Calculation'!C287</f>
        <v>International Arrivals by Place of Origin</v>
      </c>
      <c r="D173" s="56" t="str">
        <f>'Secondary cum Calculation'!D287</f>
        <v>Africa</v>
      </c>
      <c r="E173" s="55" t="str">
        <f>'Secondary cum Calculation'!E287</f>
        <v>Zimbabwe</v>
      </c>
      <c r="F173" s="57" t="str">
        <f>'Secondary cum Calculation'!F287</f>
        <v>The number of international arrivals to a country originating from Zimbabwe</v>
      </c>
      <c r="G173" s="57" t="str">
        <f>'Secondary cum Calculation'!G287</f>
        <v>Tourism Demand &amp; Flows Database</v>
      </c>
      <c r="H173" s="57" t="str">
        <f>'Secondary cum Calculation'!H287</f>
        <v>New</v>
      </c>
      <c r="I173" s="57">
        <f>'Secondary cum Calculation'!I287</f>
        <v>0</v>
      </c>
      <c r="J173" s="57" t="str">
        <f>'Secondary cum Calculation'!J287</f>
        <v>Thousand</v>
      </c>
      <c r="K173" s="58">
        <f>'Secondary cum Calculation'!K287</f>
        <v>0</v>
      </c>
      <c r="L173" s="59"/>
      <c r="M173" s="60" t="e">
        <f>'Final Data-US$'!M116/'Final Data-US$'!L116-1</f>
        <v>#DIV/0!</v>
      </c>
      <c r="N173" s="60" t="e">
        <f>'Final Data-US$'!N116/'Final Data-US$'!M116-1</f>
        <v>#DIV/0!</v>
      </c>
      <c r="O173" s="60" t="e">
        <f>'Final Data-US$'!O116/'Final Data-US$'!N116-1</f>
        <v>#DIV/0!</v>
      </c>
      <c r="P173" s="60" t="e">
        <f>'Final Data-US$'!P116/'Final Data-US$'!O116-1</f>
        <v>#DIV/0!</v>
      </c>
      <c r="Q173" s="60" t="e">
        <f>'Final Data-US$'!Q116/'Final Data-US$'!P116-1</f>
        <v>#DIV/0!</v>
      </c>
      <c r="R173" s="60" t="e">
        <f>'Final Data-US$'!R116/'Final Data-US$'!Q116-1</f>
        <v>#DIV/0!</v>
      </c>
      <c r="S173" s="60" t="e">
        <f>'Final Data-US$'!S116/'Final Data-US$'!R116-1</f>
        <v>#DIV/0!</v>
      </c>
      <c r="T173" s="60" t="e">
        <f>'Final Data-US$'!T116/'Final Data-US$'!S116-1</f>
        <v>#DIV/0!</v>
      </c>
      <c r="U173" s="60" t="e">
        <f>'Final Data-US$'!U116/'Final Data-US$'!T116-1</f>
        <v>#DIV/0!</v>
      </c>
      <c r="V173" s="60" t="e">
        <f>'Final Data-US$'!V116/'Final Data-US$'!U116-1</f>
        <v>#DIV/0!</v>
      </c>
      <c r="W173" s="106" t="e">
        <f>'Final Data-US$'!W116</f>
        <v>#DIV/0!</v>
      </c>
      <c r="X173" s="106" t="e">
        <f>'Final Data-US$'!X116</f>
        <v>#DIV/0!</v>
      </c>
    </row>
    <row r="174" spans="1:27">
      <c r="A174" s="55" t="str">
        <f>'Secondary cum Calculation'!A289</f>
        <v>Poland</v>
      </c>
      <c r="B174" s="84" t="str">
        <f>'Secondary cum Calculation'!B289</f>
        <v>Tourism Flows</v>
      </c>
      <c r="C174" s="84" t="str">
        <f>'Secondary cum Calculation'!C289</f>
        <v>International Arrivals by Place of Origin</v>
      </c>
      <c r="D174" s="84" t="str">
        <f>'Secondary cum Calculation'!D289</f>
        <v>Africa</v>
      </c>
      <c r="E174" s="97" t="str">
        <f>'Secondary cum Calculation'!E289</f>
        <v>Other African Countries</v>
      </c>
      <c r="F174" s="84" t="str">
        <f>'Secondary cum Calculation'!F289</f>
        <v>To be defined according to the gaps in the country data above</v>
      </c>
      <c r="G174" s="57">
        <f>'Secondary cum Calculation'!G289</f>
        <v>0</v>
      </c>
      <c r="H174" s="57">
        <f>'Secondary cum Calculation'!H289</f>
        <v>0</v>
      </c>
      <c r="I174" s="57">
        <f>'Secondary cum Calculation'!I289</f>
        <v>0</v>
      </c>
      <c r="J174" s="57" t="str">
        <f>'Secondary cum Calculation'!J289</f>
        <v>Thousand</v>
      </c>
      <c r="K174" s="58">
        <f>'Secondary cum Calculation'!K289</f>
        <v>0</v>
      </c>
      <c r="L174" s="59"/>
      <c r="M174" s="60">
        <f>'Final Data-US$'!M117/'Final Data-US$'!L117-1</f>
        <v>-0.18186680630356222</v>
      </c>
      <c r="N174" s="60">
        <f>'Final Data-US$'!N117/'Final Data-US$'!M117-1</f>
        <v>-7.4488387286426483E-2</v>
      </c>
      <c r="O174" s="60">
        <f>'Final Data-US$'!O117/'Final Data-US$'!N117-1</f>
        <v>0.11303460000651211</v>
      </c>
      <c r="P174" s="60">
        <f>'Final Data-US$'!P117/'Final Data-US$'!O117-1</f>
        <v>5.1476999597737771E-2</v>
      </c>
      <c r="Q174" s="60">
        <f>'Final Data-US$'!Q117/'Final Data-US$'!P117-1</f>
        <v>0.17595070826397841</v>
      </c>
      <c r="R174" s="60">
        <f>'Final Data-US$'!R117/'Final Data-US$'!Q117-1</f>
        <v>-1</v>
      </c>
      <c r="S174" s="60" t="e">
        <f>'Final Data-US$'!S117/'Final Data-US$'!R117-1</f>
        <v>#DIV/0!</v>
      </c>
      <c r="T174" s="60" t="e">
        <f>'Final Data-US$'!T117/'Final Data-US$'!S117-1</f>
        <v>#DIV/0!</v>
      </c>
      <c r="U174" s="60" t="e">
        <f>'Final Data-US$'!U117/'Final Data-US$'!T117-1</f>
        <v>#DIV/0!</v>
      </c>
      <c r="V174" s="60" t="e">
        <f>'Final Data-US$'!V117/'Final Data-US$'!U117-1</f>
        <v>#DIV/0!</v>
      </c>
      <c r="W174" s="106">
        <f>'Final Data-US$'!W117</f>
        <v>6.2355469466307545E-2</v>
      </c>
      <c r="X174" s="106">
        <f>'Final Data-US$'!X117</f>
        <v>-1</v>
      </c>
    </row>
    <row r="175" spans="1:27">
      <c r="A175" s="55" t="str">
        <f>'Secondary cum Calculation'!A291</f>
        <v>Poland</v>
      </c>
      <c r="B175" s="56" t="str">
        <f>'Secondary cum Calculation'!B291</f>
        <v>Tourism Flows</v>
      </c>
      <c r="C175" s="56" t="str">
        <f>'Secondary cum Calculation'!C291</f>
        <v>International Arrivals by Place of Origin</v>
      </c>
      <c r="D175" s="55" t="str">
        <f>'Secondary cum Calculation'!D291</f>
        <v>Asia-Pacific</v>
      </c>
      <c r="E175" s="57"/>
      <c r="F175" s="57" t="str">
        <f>'Secondary cum Calculation'!F291</f>
        <v>The number of international arrivals to a country originating from Asia-Pacific</v>
      </c>
      <c r="G175" s="57" t="str">
        <f>'Secondary cum Calculation'!G291</f>
        <v>Tourism Demand &amp; Flows Database</v>
      </c>
      <c r="H175" s="57" t="str">
        <f>'Secondary cum Calculation'!H291</f>
        <v>New</v>
      </c>
      <c r="I175" s="57">
        <f>'Secondary cum Calculation'!I291</f>
        <v>0</v>
      </c>
      <c r="J175" s="57" t="str">
        <f>'Secondary cum Calculation'!J291</f>
        <v>Thousand</v>
      </c>
      <c r="K175" s="86">
        <f>'Secondary cum Calculation'!K291</f>
        <v>5140.4319999999998</v>
      </c>
      <c r="L175" s="80"/>
      <c r="M175" s="81">
        <f>'Final Data-US$'!M118/'Final Data-US$'!L118-1</f>
        <v>-0.17239890526390844</v>
      </c>
      <c r="N175" s="81">
        <f>'Final Data-US$'!N118/'Final Data-US$'!M118-1</f>
        <v>-0.1628945455662888</v>
      </c>
      <c r="O175" s="81">
        <f>'Final Data-US$'!O118/'Final Data-US$'!N118-1</f>
        <v>0.2073074088349478</v>
      </c>
      <c r="P175" s="81">
        <f>'Final Data-US$'!P118/'Final Data-US$'!O118-1</f>
        <v>4.2439786182367101E-2</v>
      </c>
      <c r="Q175" s="81">
        <f>'Final Data-US$'!Q118/'Final Data-US$'!P118-1</f>
        <v>0.12847828337967049</v>
      </c>
      <c r="R175" s="81">
        <f>'Final Data-US$'!R118/'Final Data-US$'!Q118-1</f>
        <v>6.1900647463154712E-2</v>
      </c>
      <c r="S175" s="81">
        <f>'Final Data-US$'!S118/'Final Data-US$'!R118-1</f>
        <v>6.6678071128341232E-2</v>
      </c>
      <c r="T175" s="81">
        <f>'Final Data-US$'!T118/'Final Data-US$'!S118-1</f>
        <v>5.1260894103289489E-2</v>
      </c>
      <c r="U175" s="81">
        <f>'Final Data-US$'!U118/'Final Data-US$'!T118-1</f>
        <v>4.7686293558511839E-2</v>
      </c>
      <c r="V175" s="81">
        <f>'Final Data-US$'!V118/'Final Data-US$'!U118-1</f>
        <v>3.9642396956533821E-2</v>
      </c>
      <c r="W175" s="106">
        <f>'Final Data-US$'!W118</f>
        <v>4.4204487942453907E-2</v>
      </c>
      <c r="X175" s="106">
        <f>'Final Data-US$'!X118</f>
        <v>5.3388568913122381E-2</v>
      </c>
    </row>
    <row r="176" spans="1:27">
      <c r="A176" s="55" t="str">
        <f>'Secondary cum Calculation'!A293</f>
        <v>Poland</v>
      </c>
      <c r="B176" s="56" t="str">
        <f>'Secondary cum Calculation'!B293</f>
        <v>Tourism Flows</v>
      </c>
      <c r="C176" s="56" t="str">
        <f>'Secondary cum Calculation'!C293</f>
        <v>International Arrivals by Place of Origin</v>
      </c>
      <c r="D176" s="56" t="str">
        <f>'Secondary cum Calculation'!D293</f>
        <v>Asia-Pacific</v>
      </c>
      <c r="E176" s="55" t="str">
        <f>'Secondary cum Calculation'!E293</f>
        <v>Afghanistan</v>
      </c>
      <c r="F176" s="57" t="str">
        <f>'Secondary cum Calculation'!F293</f>
        <v>The number of international arrivals to a country originating from Afghanistan</v>
      </c>
      <c r="G176" s="57" t="str">
        <f>'Secondary cum Calculation'!G293</f>
        <v>Tourism Demand &amp; Flows Database</v>
      </c>
      <c r="H176" s="57" t="str">
        <f>'Secondary cum Calculation'!H293</f>
        <v>New</v>
      </c>
      <c r="I176" s="57">
        <f>'Secondary cum Calculation'!I293</f>
        <v>0</v>
      </c>
      <c r="J176" s="57" t="str">
        <f>'Secondary cum Calculation'!J293</f>
        <v>Thousand</v>
      </c>
      <c r="K176" s="58">
        <f>'Secondary cum Calculation'!K293</f>
        <v>0</v>
      </c>
      <c r="L176" s="59"/>
      <c r="M176" s="60" t="e">
        <f>'Final Data-US$'!M119/'Final Data-US$'!L119-1</f>
        <v>#DIV/0!</v>
      </c>
      <c r="N176" s="60" t="e">
        <f>'Final Data-US$'!N119/'Final Data-US$'!M119-1</f>
        <v>#DIV/0!</v>
      </c>
      <c r="O176" s="60" t="e">
        <f>'Final Data-US$'!O119/'Final Data-US$'!N119-1</f>
        <v>#DIV/0!</v>
      </c>
      <c r="P176" s="60" t="e">
        <f>'Final Data-US$'!P119/'Final Data-US$'!O119-1</f>
        <v>#DIV/0!</v>
      </c>
      <c r="Q176" s="60" t="e">
        <f>'Final Data-US$'!Q119/'Final Data-US$'!P119-1</f>
        <v>#DIV/0!</v>
      </c>
      <c r="R176" s="60" t="e">
        <f>'Final Data-US$'!R119/'Final Data-US$'!Q119-1</f>
        <v>#DIV/0!</v>
      </c>
      <c r="S176" s="60" t="e">
        <f>'Final Data-US$'!S119/'Final Data-US$'!R119-1</f>
        <v>#DIV/0!</v>
      </c>
      <c r="T176" s="60" t="e">
        <f>'Final Data-US$'!T119/'Final Data-US$'!S119-1</f>
        <v>#DIV/0!</v>
      </c>
      <c r="U176" s="60" t="e">
        <f>'Final Data-US$'!U119/'Final Data-US$'!T119-1</f>
        <v>#DIV/0!</v>
      </c>
      <c r="V176" s="60" t="e">
        <f>'Final Data-US$'!V119/'Final Data-US$'!U119-1</f>
        <v>#DIV/0!</v>
      </c>
      <c r="W176" s="106" t="e">
        <f>'Final Data-US$'!W119</f>
        <v>#DIV/0!</v>
      </c>
      <c r="X176" s="106" t="e">
        <f>'Final Data-US$'!X119</f>
        <v>#DIV/0!</v>
      </c>
    </row>
    <row r="177" spans="1:24">
      <c r="A177" s="55" t="str">
        <f>'Secondary cum Calculation'!A295</f>
        <v>Poland</v>
      </c>
      <c r="B177" s="56" t="str">
        <f>'Secondary cum Calculation'!B295</f>
        <v>Tourism Flows</v>
      </c>
      <c r="C177" s="56" t="str">
        <f>'Secondary cum Calculation'!C295</f>
        <v>International Arrivals by Place of Origin</v>
      </c>
      <c r="D177" s="56" t="str">
        <f>'Secondary cum Calculation'!D295</f>
        <v>Asia-Pacific</v>
      </c>
      <c r="E177" s="55" t="str">
        <f>'Secondary cum Calculation'!E295</f>
        <v>Australia</v>
      </c>
      <c r="F177" s="57" t="str">
        <f>'Secondary cum Calculation'!F295</f>
        <v>The number of international arrivals to a country originating from Australia</v>
      </c>
      <c r="G177" s="57" t="str">
        <f>'Secondary cum Calculation'!G295</f>
        <v>Tourism Demand &amp; Flows Database</v>
      </c>
      <c r="H177" s="57" t="str">
        <f>'Secondary cum Calculation'!H295</f>
        <v>New</v>
      </c>
      <c r="I177" s="57">
        <f>'Secondary cum Calculation'!I295</f>
        <v>0</v>
      </c>
      <c r="J177" s="57" t="str">
        <f>'Secondary cum Calculation'!J295</f>
        <v>Thousand</v>
      </c>
      <c r="K177" s="58">
        <f>'Secondary cum Calculation'!K295</f>
        <v>603.27499999999998</v>
      </c>
      <c r="L177" s="59"/>
      <c r="M177" s="60">
        <f>'Final Data-US$'!M120/'Final Data-US$'!L120-1</f>
        <v>-9.0745670540867351E-2</v>
      </c>
      <c r="N177" s="60">
        <f>'Final Data-US$'!N120/'Final Data-US$'!M120-1</f>
        <v>-0.14107462150371075</v>
      </c>
      <c r="O177" s="60">
        <f>'Final Data-US$'!O120/'Final Data-US$'!N120-1</f>
        <v>0.19653654697572454</v>
      </c>
      <c r="P177" s="60">
        <f>'Final Data-US$'!P120/'Final Data-US$'!O120-1</f>
        <v>6.0407689709484513E-2</v>
      </c>
      <c r="Q177" s="60">
        <f>'Final Data-US$'!Q120/'Final Data-US$'!P120-1</f>
        <v>7.4996017383315294E-3</v>
      </c>
      <c r="R177" s="60">
        <f>'Final Data-US$'!R120/'Final Data-US$'!Q120-1</f>
        <v>-1</v>
      </c>
      <c r="S177" s="60" t="e">
        <f>'Final Data-US$'!S120/'Final Data-US$'!R120-1</f>
        <v>#DIV/0!</v>
      </c>
      <c r="T177" s="60" t="e">
        <f>'Final Data-US$'!T120/'Final Data-US$'!S120-1</f>
        <v>#DIV/0!</v>
      </c>
      <c r="U177" s="60" t="e">
        <f>'Final Data-US$'!U120/'Final Data-US$'!T120-1</f>
        <v>#DIV/0!</v>
      </c>
      <c r="V177" s="60" t="e">
        <f>'Final Data-US$'!V120/'Final Data-US$'!U120-1</f>
        <v>#DIV/0!</v>
      </c>
      <c r="W177" s="106">
        <f>'Final Data-US$'!W120</f>
        <v>2.3645988123235151E-2</v>
      </c>
      <c r="X177" s="106">
        <f>'Final Data-US$'!X120</f>
        <v>-1</v>
      </c>
    </row>
    <row r="178" spans="1:24">
      <c r="A178" s="55" t="str">
        <f>'Secondary cum Calculation'!A297</f>
        <v>Poland</v>
      </c>
      <c r="B178" s="56" t="str">
        <f>'Secondary cum Calculation'!B297</f>
        <v>Tourism Flows</v>
      </c>
      <c r="C178" s="56" t="str">
        <f>'Secondary cum Calculation'!C297</f>
        <v>International Arrivals by Place of Origin</v>
      </c>
      <c r="D178" s="56" t="str">
        <f>'Secondary cum Calculation'!D297</f>
        <v>Asia-Pacific</v>
      </c>
      <c r="E178" s="55" t="str">
        <f>'Secondary cum Calculation'!E297</f>
        <v>Azerbaijan</v>
      </c>
      <c r="F178" s="57" t="str">
        <f>'Secondary cum Calculation'!F297</f>
        <v>The number of international arrivals to a country originating from Azerbaijan</v>
      </c>
      <c r="G178" s="57" t="str">
        <f>'Secondary cum Calculation'!G297</f>
        <v>Tourism Demand &amp; Flows Database</v>
      </c>
      <c r="H178" s="57" t="str">
        <f>'Secondary cum Calculation'!H297</f>
        <v>New</v>
      </c>
      <c r="I178" s="57">
        <f>'Secondary cum Calculation'!I297</f>
        <v>0</v>
      </c>
      <c r="J178" s="57" t="str">
        <f>'Secondary cum Calculation'!J297</f>
        <v>Thousand</v>
      </c>
      <c r="K178" s="58">
        <f>'Secondary cum Calculation'!K297</f>
        <v>0</v>
      </c>
      <c r="L178" s="59"/>
      <c r="M178" s="60" t="e">
        <f>'Final Data-US$'!M121/'Final Data-US$'!L121-1</f>
        <v>#DIV/0!</v>
      </c>
      <c r="N178" s="60" t="e">
        <f>'Final Data-US$'!N121/'Final Data-US$'!M121-1</f>
        <v>#DIV/0!</v>
      </c>
      <c r="O178" s="100" t="e">
        <f>'Final Data-US$'!O121/'Final Data-US$'!N121-1</f>
        <v>#DIV/0!</v>
      </c>
      <c r="P178" s="100" t="e">
        <f>'Final Data-US$'!P121/'Final Data-US$'!O121-1</f>
        <v>#DIV/0!</v>
      </c>
      <c r="Q178" s="100" t="e">
        <f>'Final Data-US$'!Q121/'Final Data-US$'!P121-1</f>
        <v>#DIV/0!</v>
      </c>
      <c r="R178" s="100" t="e">
        <f>'Final Data-US$'!R121/'Final Data-US$'!Q121-1</f>
        <v>#DIV/0!</v>
      </c>
      <c r="S178" s="100" t="e">
        <f>'Final Data-US$'!S121/'Final Data-US$'!R121-1</f>
        <v>#DIV/0!</v>
      </c>
      <c r="T178" s="100" t="e">
        <f>'Final Data-US$'!T121/'Final Data-US$'!S121-1</f>
        <v>#DIV/0!</v>
      </c>
      <c r="U178" s="100" t="e">
        <f>'Final Data-US$'!U121/'Final Data-US$'!T121-1</f>
        <v>#DIV/0!</v>
      </c>
      <c r="V178" s="100" t="e">
        <f>'Final Data-US$'!V121/'Final Data-US$'!U121-1</f>
        <v>#DIV/0!</v>
      </c>
      <c r="W178" s="106" t="e">
        <f>'Final Data-US$'!W121</f>
        <v>#DIV/0!</v>
      </c>
      <c r="X178" s="106" t="e">
        <f>'Final Data-US$'!X121</f>
        <v>#DIV/0!</v>
      </c>
    </row>
    <row r="179" spans="1:24">
      <c r="A179" s="55" t="str">
        <f>'Secondary cum Calculation'!A299</f>
        <v>Poland</v>
      </c>
      <c r="B179" s="56" t="str">
        <f>'Secondary cum Calculation'!B299</f>
        <v>Tourism Flows</v>
      </c>
      <c r="C179" s="56" t="str">
        <f>'Secondary cum Calculation'!C299</f>
        <v>International Arrivals by Place of Origin</v>
      </c>
      <c r="D179" s="56" t="str">
        <f>'Secondary cum Calculation'!D299</f>
        <v>Asia-Pacific</v>
      </c>
      <c r="E179" s="55" t="str">
        <f>'Secondary cum Calculation'!E299</f>
        <v>Bangladesh</v>
      </c>
      <c r="F179" s="57" t="str">
        <f>'Secondary cum Calculation'!F299</f>
        <v>The number of international arrivals to a country originating from Bangladesh</v>
      </c>
      <c r="G179" s="57" t="str">
        <f>'Secondary cum Calculation'!G299</f>
        <v>Tourism Demand &amp; Flows Database</v>
      </c>
      <c r="H179" s="57" t="str">
        <f>'Secondary cum Calculation'!H299</f>
        <v>New</v>
      </c>
      <c r="I179" s="57">
        <f>'Secondary cum Calculation'!I299</f>
        <v>0</v>
      </c>
      <c r="J179" s="57" t="str">
        <f>'Secondary cum Calculation'!J299</f>
        <v>Thousand</v>
      </c>
      <c r="K179" s="58">
        <f>'Secondary cum Calculation'!K299</f>
        <v>0</v>
      </c>
      <c r="L179" s="59"/>
      <c r="M179" s="60" t="e">
        <f>'Final Data-US$'!M122/'Final Data-US$'!L122-1</f>
        <v>#DIV/0!</v>
      </c>
      <c r="N179" s="60" t="e">
        <f>'Final Data-US$'!N122/'Final Data-US$'!M122-1</f>
        <v>#DIV/0!</v>
      </c>
      <c r="O179" s="60" t="e">
        <f>'Final Data-US$'!O122/'Final Data-US$'!N122-1</f>
        <v>#DIV/0!</v>
      </c>
      <c r="P179" s="60" t="e">
        <f>'Final Data-US$'!P122/'Final Data-US$'!O122-1</f>
        <v>#DIV/0!</v>
      </c>
      <c r="Q179" s="60" t="e">
        <f>'Final Data-US$'!Q122/'Final Data-US$'!P122-1</f>
        <v>#DIV/0!</v>
      </c>
      <c r="R179" s="60" t="e">
        <f>'Final Data-US$'!R122/'Final Data-US$'!Q122-1</f>
        <v>#DIV/0!</v>
      </c>
      <c r="S179" s="60" t="e">
        <f>'Final Data-US$'!S122/'Final Data-US$'!R122-1</f>
        <v>#DIV/0!</v>
      </c>
      <c r="T179" s="60" t="e">
        <f>'Final Data-US$'!T122/'Final Data-US$'!S122-1</f>
        <v>#DIV/0!</v>
      </c>
      <c r="U179" s="60" t="e">
        <f>'Final Data-US$'!U122/'Final Data-US$'!T122-1</f>
        <v>#DIV/0!</v>
      </c>
      <c r="V179" s="60" t="e">
        <f>'Final Data-US$'!V122/'Final Data-US$'!U122-1</f>
        <v>#DIV/0!</v>
      </c>
      <c r="W179" s="106" t="e">
        <f>'Final Data-US$'!W122</f>
        <v>#DIV/0!</v>
      </c>
      <c r="X179" s="106" t="e">
        <f>'Final Data-US$'!X122</f>
        <v>#DIV/0!</v>
      </c>
    </row>
    <row r="180" spans="1:24">
      <c r="A180" s="55" t="str">
        <f>'Secondary cum Calculation'!A301</f>
        <v>Poland</v>
      </c>
      <c r="B180" s="56" t="str">
        <f>'Secondary cum Calculation'!B301</f>
        <v>Tourism Flows</v>
      </c>
      <c r="C180" s="56" t="str">
        <f>'Secondary cum Calculation'!C301</f>
        <v>International Arrivals by Place of Origin</v>
      </c>
      <c r="D180" s="56" t="str">
        <f>'Secondary cum Calculation'!D301</f>
        <v>Asia-Pacific</v>
      </c>
      <c r="E180" s="55" t="str">
        <f>'Secondary cum Calculation'!E301</f>
        <v>Bhutan</v>
      </c>
      <c r="F180" s="57" t="str">
        <f>'Secondary cum Calculation'!F301</f>
        <v>The number of international arrivals to a country originating from Bhutan</v>
      </c>
      <c r="G180" s="57" t="str">
        <f>'Secondary cum Calculation'!G301</f>
        <v>Tourism Demand &amp; Flows Database</v>
      </c>
      <c r="H180" s="57" t="str">
        <f>'Secondary cum Calculation'!H301</f>
        <v>New</v>
      </c>
      <c r="I180" s="57">
        <f>'Secondary cum Calculation'!I301</f>
        <v>0</v>
      </c>
      <c r="J180" s="57" t="str">
        <f>'Secondary cum Calculation'!J301</f>
        <v>Thousand</v>
      </c>
      <c r="K180" s="58">
        <f>'Secondary cum Calculation'!K301</f>
        <v>0</v>
      </c>
      <c r="L180" s="59"/>
      <c r="M180" s="60" t="e">
        <f>'Final Data-US$'!M123/'Final Data-US$'!L123-1</f>
        <v>#DIV/0!</v>
      </c>
      <c r="N180" s="60" t="e">
        <f>'Final Data-US$'!N123/'Final Data-US$'!M123-1</f>
        <v>#DIV/0!</v>
      </c>
      <c r="O180" s="60" t="e">
        <f>'Final Data-US$'!O123/'Final Data-US$'!N123-1</f>
        <v>#DIV/0!</v>
      </c>
      <c r="P180" s="60" t="e">
        <f>'Final Data-US$'!P123/'Final Data-US$'!O123-1</f>
        <v>#DIV/0!</v>
      </c>
      <c r="Q180" s="60" t="e">
        <f>'Final Data-US$'!Q123/'Final Data-US$'!P123-1</f>
        <v>#DIV/0!</v>
      </c>
      <c r="R180" s="60" t="e">
        <f>'Final Data-US$'!R123/'Final Data-US$'!Q123-1</f>
        <v>#DIV/0!</v>
      </c>
      <c r="S180" s="60" t="e">
        <f>'Final Data-US$'!S123/'Final Data-US$'!R123-1</f>
        <v>#DIV/0!</v>
      </c>
      <c r="T180" s="60" t="e">
        <f>'Final Data-US$'!T123/'Final Data-US$'!S123-1</f>
        <v>#DIV/0!</v>
      </c>
      <c r="U180" s="60" t="e">
        <f>'Final Data-US$'!U123/'Final Data-US$'!T123-1</f>
        <v>#DIV/0!</v>
      </c>
      <c r="V180" s="60" t="e">
        <f>'Final Data-US$'!V123/'Final Data-US$'!U123-1</f>
        <v>#DIV/0!</v>
      </c>
      <c r="W180" s="106" t="e">
        <f>'Final Data-US$'!W123</f>
        <v>#DIV/0!</v>
      </c>
      <c r="X180" s="106" t="e">
        <f>'Final Data-US$'!X123</f>
        <v>#DIV/0!</v>
      </c>
    </row>
    <row r="181" spans="1:24">
      <c r="A181" s="55" t="str">
        <f>'Secondary cum Calculation'!A303</f>
        <v>Poland</v>
      </c>
      <c r="B181" s="56" t="str">
        <f>'Secondary cum Calculation'!B303</f>
        <v>Tourism Flows</v>
      </c>
      <c r="C181" s="56" t="str">
        <f>'Secondary cum Calculation'!C303</f>
        <v>International Arrivals by Place of Origin</v>
      </c>
      <c r="D181" s="56" t="str">
        <f>'Secondary cum Calculation'!D303</f>
        <v>Asia-Pacific</v>
      </c>
      <c r="E181" s="55" t="str">
        <f>'Secondary cum Calculation'!E303</f>
        <v>Brunei Darussalam</v>
      </c>
      <c r="F181" s="57" t="str">
        <f>'Secondary cum Calculation'!F303</f>
        <v>The number of international arrivals to a country originating from Brunei Darussalam</v>
      </c>
      <c r="G181" s="57" t="str">
        <f>'Secondary cum Calculation'!G303</f>
        <v>Tourism Demand &amp; Flows Database</v>
      </c>
      <c r="H181" s="57" t="str">
        <f>'Secondary cum Calculation'!H303</f>
        <v>New</v>
      </c>
      <c r="I181" s="57">
        <f>'Secondary cum Calculation'!I303</f>
        <v>0</v>
      </c>
      <c r="J181" s="57" t="str">
        <f>'Secondary cum Calculation'!J303</f>
        <v>Thousand</v>
      </c>
      <c r="K181" s="58">
        <f>'Secondary cum Calculation'!K303</f>
        <v>0</v>
      </c>
      <c r="L181" s="59"/>
      <c r="M181" s="60" t="e">
        <f>'Final Data-US$'!M124/'Final Data-US$'!L124-1</f>
        <v>#DIV/0!</v>
      </c>
      <c r="N181" s="60" t="e">
        <f>'Final Data-US$'!N124/'Final Data-US$'!M124-1</f>
        <v>#DIV/0!</v>
      </c>
      <c r="O181" s="60" t="e">
        <f>'Final Data-US$'!O124/'Final Data-US$'!N124-1</f>
        <v>#DIV/0!</v>
      </c>
      <c r="P181" s="60" t="e">
        <f>'Final Data-US$'!P124/'Final Data-US$'!O124-1</f>
        <v>#DIV/0!</v>
      </c>
      <c r="Q181" s="60" t="e">
        <f>'Final Data-US$'!Q124/'Final Data-US$'!P124-1</f>
        <v>#DIV/0!</v>
      </c>
      <c r="R181" s="60" t="e">
        <f>'Final Data-US$'!R124/'Final Data-US$'!Q124-1</f>
        <v>#DIV/0!</v>
      </c>
      <c r="S181" s="60" t="e">
        <f>'Final Data-US$'!S124/'Final Data-US$'!R124-1</f>
        <v>#DIV/0!</v>
      </c>
      <c r="T181" s="60" t="e">
        <f>'Final Data-US$'!T124/'Final Data-US$'!S124-1</f>
        <v>#DIV/0!</v>
      </c>
      <c r="U181" s="60" t="e">
        <f>'Final Data-US$'!U124/'Final Data-US$'!T124-1</f>
        <v>#DIV/0!</v>
      </c>
      <c r="V181" s="60" t="e">
        <f>'Final Data-US$'!V124/'Final Data-US$'!U124-1</f>
        <v>#DIV/0!</v>
      </c>
      <c r="W181" s="106" t="e">
        <f>'Final Data-US$'!W124</f>
        <v>#DIV/0!</v>
      </c>
      <c r="X181" s="106" t="e">
        <f>'Final Data-US$'!X124</f>
        <v>#DIV/0!</v>
      </c>
    </row>
    <row r="182" spans="1:24">
      <c r="A182" s="55" t="str">
        <f>'Secondary cum Calculation'!A305</f>
        <v>Poland</v>
      </c>
      <c r="B182" s="56" t="str">
        <f>'Secondary cum Calculation'!B305</f>
        <v>Tourism Flows</v>
      </c>
      <c r="C182" s="56" t="str">
        <f>'Secondary cum Calculation'!C305</f>
        <v>International Arrivals by Place of Origin</v>
      </c>
      <c r="D182" s="56" t="str">
        <f>'Secondary cum Calculation'!D305</f>
        <v>Asia-Pacific</v>
      </c>
      <c r="E182" s="55" t="str">
        <f>'Secondary cum Calculation'!E305</f>
        <v>Cambodia</v>
      </c>
      <c r="F182" s="57" t="str">
        <f>'Secondary cum Calculation'!F305</f>
        <v>The number of international arrivals to a country originating from Cambodia</v>
      </c>
      <c r="G182" s="57" t="str">
        <f>'Secondary cum Calculation'!G305</f>
        <v>Tourism Demand &amp; Flows Database</v>
      </c>
      <c r="H182" s="57" t="str">
        <f>'Secondary cum Calculation'!H305</f>
        <v>New</v>
      </c>
      <c r="I182" s="57">
        <f>'Secondary cum Calculation'!I305</f>
        <v>0</v>
      </c>
      <c r="J182" s="57" t="str">
        <f>'Secondary cum Calculation'!J305</f>
        <v>Thousand</v>
      </c>
      <c r="K182" s="58">
        <f>'Secondary cum Calculation'!K305</f>
        <v>0</v>
      </c>
      <c r="L182" s="59"/>
      <c r="M182" s="60" t="e">
        <f>'Final Data-US$'!M125/'Final Data-US$'!L125-1</f>
        <v>#DIV/0!</v>
      </c>
      <c r="N182" s="60" t="e">
        <f>'Final Data-US$'!N125/'Final Data-US$'!M125-1</f>
        <v>#DIV/0!</v>
      </c>
      <c r="O182" s="100" t="e">
        <f>'Final Data-US$'!O125/'Final Data-US$'!N125-1</f>
        <v>#DIV/0!</v>
      </c>
      <c r="P182" s="60" t="e">
        <f>'Final Data-US$'!P125/'Final Data-US$'!O125-1</f>
        <v>#DIV/0!</v>
      </c>
      <c r="Q182" s="60" t="e">
        <f>'Final Data-US$'!Q125/'Final Data-US$'!P125-1</f>
        <v>#DIV/0!</v>
      </c>
      <c r="R182" s="60" t="e">
        <f>'Final Data-US$'!R125/'Final Data-US$'!Q125-1</f>
        <v>#DIV/0!</v>
      </c>
      <c r="S182" s="60" t="e">
        <f>'Final Data-US$'!S125/'Final Data-US$'!R125-1</f>
        <v>#DIV/0!</v>
      </c>
      <c r="T182" s="60" t="e">
        <f>'Final Data-US$'!T125/'Final Data-US$'!S125-1</f>
        <v>#DIV/0!</v>
      </c>
      <c r="U182" s="60" t="e">
        <f>'Final Data-US$'!U125/'Final Data-US$'!T125-1</f>
        <v>#DIV/0!</v>
      </c>
      <c r="V182" s="60" t="e">
        <f>'Final Data-US$'!V125/'Final Data-US$'!U125-1</f>
        <v>#DIV/0!</v>
      </c>
      <c r="W182" s="106" t="e">
        <f>'Final Data-US$'!W125</f>
        <v>#DIV/0!</v>
      </c>
      <c r="X182" s="106" t="e">
        <f>'Final Data-US$'!X125</f>
        <v>#DIV/0!</v>
      </c>
    </row>
    <row r="183" spans="1:24">
      <c r="A183" s="55" t="str">
        <f>'Secondary cum Calculation'!A307</f>
        <v>Poland</v>
      </c>
      <c r="B183" s="56" t="str">
        <f>'Secondary cum Calculation'!B307</f>
        <v>Tourism Flows</v>
      </c>
      <c r="C183" s="56" t="str">
        <f>'Secondary cum Calculation'!C307</f>
        <v>International Arrivals by Place of Origin</v>
      </c>
      <c r="D183" s="56" t="str">
        <f>'Secondary cum Calculation'!D307</f>
        <v>Asia-Pacific</v>
      </c>
      <c r="E183" s="55" t="str">
        <f>'Secondary cum Calculation'!E307</f>
        <v>China</v>
      </c>
      <c r="F183" s="57" t="str">
        <f>'Secondary cum Calculation'!F307</f>
        <v>The number of international arrivals to a country originating from China</v>
      </c>
      <c r="G183" s="57" t="str">
        <f>'Secondary cum Calculation'!G307</f>
        <v>Tourism Demand &amp; Flows Database</v>
      </c>
      <c r="H183" s="57" t="str">
        <f>'Secondary cum Calculation'!H307</f>
        <v>New</v>
      </c>
      <c r="I183" s="57">
        <f>'Secondary cum Calculation'!I307</f>
        <v>0</v>
      </c>
      <c r="J183" s="57" t="str">
        <f>'Secondary cum Calculation'!J307</f>
        <v>Thousand</v>
      </c>
      <c r="K183" s="58">
        <f>'Secondary cum Calculation'!K307</f>
        <v>320.45</v>
      </c>
      <c r="L183" s="59"/>
      <c r="M183" s="60" t="e">
        <f>'Final Data-US$'!M126/'Final Data-US$'!L126-1</f>
        <v>#DIV/0!</v>
      </c>
      <c r="N183" s="60" t="e">
        <f>'Final Data-US$'!N126/'Final Data-US$'!M126-1</f>
        <v>#DIV/0!</v>
      </c>
      <c r="O183" s="60" t="e">
        <f>'Final Data-US$'!O126/'Final Data-US$'!N126-1</f>
        <v>#DIV/0!</v>
      </c>
      <c r="P183" s="60" t="e">
        <f>'Final Data-US$'!P126/'Final Data-US$'!O126-1</f>
        <v>#DIV/0!</v>
      </c>
      <c r="Q183" s="60" t="e">
        <f>'Final Data-US$'!Q126/'Final Data-US$'!P126-1</f>
        <v>#DIV/0!</v>
      </c>
      <c r="R183" s="60" t="e">
        <f>'Final Data-US$'!R126/'Final Data-US$'!Q126-1</f>
        <v>#DIV/0!</v>
      </c>
      <c r="S183" s="60" t="e">
        <f>'Final Data-US$'!S126/'Final Data-US$'!R126-1</f>
        <v>#DIV/0!</v>
      </c>
      <c r="T183" s="60" t="e">
        <f>'Final Data-US$'!T126/'Final Data-US$'!S126-1</f>
        <v>#DIV/0!</v>
      </c>
      <c r="U183" s="60" t="e">
        <f>'Final Data-US$'!U126/'Final Data-US$'!T126-1</f>
        <v>#DIV/0!</v>
      </c>
      <c r="V183" s="60" t="e">
        <f>'Final Data-US$'!V126/'Final Data-US$'!U126-1</f>
        <v>#DIV/0!</v>
      </c>
      <c r="W183" s="106" t="e">
        <f>'Final Data-US$'!W126</f>
        <v>#DIV/0!</v>
      </c>
      <c r="X183" s="106" t="e">
        <f>'Final Data-US$'!X126</f>
        <v>#DIV/0!</v>
      </c>
    </row>
    <row r="184" spans="1:24">
      <c r="A184" s="55" t="str">
        <f>'Secondary cum Calculation'!A309</f>
        <v>Poland</v>
      </c>
      <c r="B184" s="56" t="str">
        <f>'Secondary cum Calculation'!B309</f>
        <v>Tourism Flows</v>
      </c>
      <c r="C184" s="56" t="str">
        <f>'Secondary cum Calculation'!C309</f>
        <v>International Arrivals by Place of Origin</v>
      </c>
      <c r="D184" s="56" t="str">
        <f>'Secondary cum Calculation'!D309</f>
        <v>Asia-Pacific</v>
      </c>
      <c r="E184" s="55" t="str">
        <f>'Secondary cum Calculation'!E309</f>
        <v>China, Hong Kong SAR</v>
      </c>
      <c r="F184" s="57" t="str">
        <f>'Secondary cum Calculation'!F309</f>
        <v>The number of international arrivals to a country originating from China, Hong Kong SAR</v>
      </c>
      <c r="G184" s="57" t="str">
        <f>'Secondary cum Calculation'!G309</f>
        <v>Tourism Demand &amp; Flows Database</v>
      </c>
      <c r="H184" s="57" t="str">
        <f>'Secondary cum Calculation'!H309</f>
        <v>New</v>
      </c>
      <c r="I184" s="57">
        <f>'Secondary cum Calculation'!I309</f>
        <v>0</v>
      </c>
      <c r="J184" s="57" t="str">
        <f>'Secondary cum Calculation'!J309</f>
        <v>Thousand</v>
      </c>
      <c r="K184" s="58">
        <f>'Secondary cum Calculation'!K309</f>
        <v>137.27799999999999</v>
      </c>
      <c r="L184" s="59"/>
      <c r="M184" s="60" t="e">
        <f>'Final Data-US$'!M127/'Final Data-US$'!L127-1</f>
        <v>#DIV/0!</v>
      </c>
      <c r="N184" s="60" t="e">
        <f>'Final Data-US$'!N127/'Final Data-US$'!M127-1</f>
        <v>#DIV/0!</v>
      </c>
      <c r="O184" s="60" t="e">
        <f>'Final Data-US$'!O127/'Final Data-US$'!N127-1</f>
        <v>#DIV/0!</v>
      </c>
      <c r="P184" s="60" t="e">
        <f>'Final Data-US$'!P127/'Final Data-US$'!O127-1</f>
        <v>#DIV/0!</v>
      </c>
      <c r="Q184" s="60" t="e">
        <f>'Final Data-US$'!Q127/'Final Data-US$'!P127-1</f>
        <v>#DIV/0!</v>
      </c>
      <c r="R184" s="60" t="e">
        <f>'Final Data-US$'!R127/'Final Data-US$'!Q127-1</f>
        <v>#DIV/0!</v>
      </c>
      <c r="S184" s="60" t="e">
        <f>'Final Data-US$'!S127/'Final Data-US$'!R127-1</f>
        <v>#DIV/0!</v>
      </c>
      <c r="T184" s="60" t="e">
        <f>'Final Data-US$'!T127/'Final Data-US$'!S127-1</f>
        <v>#DIV/0!</v>
      </c>
      <c r="U184" s="60" t="e">
        <f>'Final Data-US$'!U127/'Final Data-US$'!T127-1</f>
        <v>#DIV/0!</v>
      </c>
      <c r="V184" s="60" t="e">
        <f>'Final Data-US$'!V127/'Final Data-US$'!U127-1</f>
        <v>#DIV/0!</v>
      </c>
      <c r="W184" s="106" t="e">
        <f>'Final Data-US$'!W127</f>
        <v>#DIV/0!</v>
      </c>
      <c r="X184" s="106" t="e">
        <f>'Final Data-US$'!X127</f>
        <v>#DIV/0!</v>
      </c>
    </row>
    <row r="185" spans="1:24">
      <c r="A185" s="55" t="str">
        <f>'Secondary cum Calculation'!A311</f>
        <v>Poland</v>
      </c>
      <c r="B185" s="56" t="str">
        <f>'Secondary cum Calculation'!B311</f>
        <v>Tourism Flows</v>
      </c>
      <c r="C185" s="56" t="str">
        <f>'Secondary cum Calculation'!C311</f>
        <v>International Arrivals by Place of Origin</v>
      </c>
      <c r="D185" s="56" t="str">
        <f>'Secondary cum Calculation'!D311</f>
        <v>Asia-Pacific</v>
      </c>
      <c r="E185" s="55" t="str">
        <f>'Secondary cum Calculation'!E311</f>
        <v>China, Macao SAR</v>
      </c>
      <c r="F185" s="57" t="str">
        <f>'Secondary cum Calculation'!F311</f>
        <v>The number of international arrivals to a country originating from China, Macao SAR</v>
      </c>
      <c r="G185" s="57" t="str">
        <f>'Secondary cum Calculation'!G311</f>
        <v>Tourism Demand &amp; Flows Database</v>
      </c>
      <c r="H185" s="57" t="str">
        <f>'Secondary cum Calculation'!H311</f>
        <v>New</v>
      </c>
      <c r="I185" s="57">
        <f>'Secondary cum Calculation'!I311</f>
        <v>0</v>
      </c>
      <c r="J185" s="57" t="str">
        <f>'Secondary cum Calculation'!J311</f>
        <v>Thousand</v>
      </c>
      <c r="K185" s="58">
        <f>'Secondary cum Calculation'!K311</f>
        <v>0</v>
      </c>
      <c r="L185" s="59"/>
      <c r="M185" s="60" t="e">
        <f>'Final Data-US$'!M128/'Final Data-US$'!L128-1</f>
        <v>#DIV/0!</v>
      </c>
      <c r="N185" s="60" t="e">
        <f>'Final Data-US$'!N128/'Final Data-US$'!M128-1</f>
        <v>#DIV/0!</v>
      </c>
      <c r="O185" s="100" t="e">
        <f>'Final Data-US$'!O128/'Final Data-US$'!N128-1</f>
        <v>#DIV/0!</v>
      </c>
      <c r="P185" s="100" t="e">
        <f>'Final Data-US$'!P128/'Final Data-US$'!O128-1</f>
        <v>#DIV/0!</v>
      </c>
      <c r="Q185" s="100" t="e">
        <f>'Final Data-US$'!Q128/'Final Data-US$'!P128-1</f>
        <v>#DIV/0!</v>
      </c>
      <c r="R185" s="100" t="e">
        <f>'Final Data-US$'!R128/'Final Data-US$'!Q128-1</f>
        <v>#DIV/0!</v>
      </c>
      <c r="S185" s="100" t="e">
        <f>'Final Data-US$'!S128/'Final Data-US$'!R128-1</f>
        <v>#DIV/0!</v>
      </c>
      <c r="T185" s="100" t="e">
        <f>'Final Data-US$'!T128/'Final Data-US$'!S128-1</f>
        <v>#DIV/0!</v>
      </c>
      <c r="U185" s="100" t="e">
        <f>'Final Data-US$'!U128/'Final Data-US$'!T128-1</f>
        <v>#DIV/0!</v>
      </c>
      <c r="V185" s="100" t="e">
        <f>'Final Data-US$'!V128/'Final Data-US$'!U128-1</f>
        <v>#DIV/0!</v>
      </c>
      <c r="W185" s="106" t="e">
        <f>'Final Data-US$'!W128</f>
        <v>#DIV/0!</v>
      </c>
      <c r="X185" s="106" t="e">
        <f>'Final Data-US$'!X128</f>
        <v>#DIV/0!</v>
      </c>
    </row>
    <row r="186" spans="1:24">
      <c r="A186" s="55" t="str">
        <f>'Secondary cum Calculation'!A313</f>
        <v>Poland</v>
      </c>
      <c r="B186" s="56" t="str">
        <f>'Secondary cum Calculation'!B313</f>
        <v>Tourism Flows</v>
      </c>
      <c r="C186" s="56" t="str">
        <f>'Secondary cum Calculation'!C313</f>
        <v>International Arrivals by Place of Origin</v>
      </c>
      <c r="D186" s="56" t="str">
        <f>'Secondary cum Calculation'!D313</f>
        <v>Asia-Pacific</v>
      </c>
      <c r="E186" s="55" t="str">
        <f>'Secondary cum Calculation'!E313</f>
        <v>Dem. People's Rep. of Korea</v>
      </c>
      <c r="F186" s="57" t="str">
        <f>'Secondary cum Calculation'!F313</f>
        <v>The number of international arrivals to a country originating from Dem. People's Rep. of Korea</v>
      </c>
      <c r="G186" s="57" t="str">
        <f>'Secondary cum Calculation'!G313</f>
        <v>Tourism Demand &amp; Flows Database</v>
      </c>
      <c r="H186" s="57" t="str">
        <f>'Secondary cum Calculation'!H313</f>
        <v>New</v>
      </c>
      <c r="I186" s="57">
        <f>'Secondary cum Calculation'!I313</f>
        <v>0</v>
      </c>
      <c r="J186" s="57" t="str">
        <f>'Secondary cum Calculation'!J313</f>
        <v>Thousand</v>
      </c>
      <c r="K186" s="58">
        <f>'Secondary cum Calculation'!K313</f>
        <v>0</v>
      </c>
      <c r="L186" s="59"/>
      <c r="M186" s="60" t="e">
        <f>'Final Data-US$'!M129/'Final Data-US$'!L129-1</f>
        <v>#DIV/0!</v>
      </c>
      <c r="N186" s="60" t="e">
        <f>'Final Data-US$'!N129/'Final Data-US$'!M129-1</f>
        <v>#DIV/0!</v>
      </c>
      <c r="O186" s="60" t="e">
        <f>'Final Data-US$'!O129/'Final Data-US$'!N129-1</f>
        <v>#DIV/0!</v>
      </c>
      <c r="P186" s="60" t="e">
        <f>'Final Data-US$'!P129/'Final Data-US$'!O129-1</f>
        <v>#DIV/0!</v>
      </c>
      <c r="Q186" s="60" t="e">
        <f>'Final Data-US$'!Q129/'Final Data-US$'!P129-1</f>
        <v>#DIV/0!</v>
      </c>
      <c r="R186" s="60" t="e">
        <f>'Final Data-US$'!R129/'Final Data-US$'!Q129-1</f>
        <v>#DIV/0!</v>
      </c>
      <c r="S186" s="60" t="e">
        <f>'Final Data-US$'!S129/'Final Data-US$'!R129-1</f>
        <v>#DIV/0!</v>
      </c>
      <c r="T186" s="60" t="e">
        <f>'Final Data-US$'!T129/'Final Data-US$'!S129-1</f>
        <v>#DIV/0!</v>
      </c>
      <c r="U186" s="60" t="e">
        <f>'Final Data-US$'!U129/'Final Data-US$'!T129-1</f>
        <v>#DIV/0!</v>
      </c>
      <c r="V186" s="60" t="e">
        <f>'Final Data-US$'!V129/'Final Data-US$'!U129-1</f>
        <v>#DIV/0!</v>
      </c>
      <c r="W186" s="106" t="e">
        <f>'Final Data-US$'!W129</f>
        <v>#DIV/0!</v>
      </c>
      <c r="X186" s="106" t="e">
        <f>'Final Data-US$'!X129</f>
        <v>#DIV/0!</v>
      </c>
    </row>
    <row r="187" spans="1:24">
      <c r="A187" s="55" t="str">
        <f>'Secondary cum Calculation'!A315</f>
        <v>Poland</v>
      </c>
      <c r="B187" s="56" t="str">
        <f>'Secondary cum Calculation'!B315</f>
        <v>Tourism Flows</v>
      </c>
      <c r="C187" s="56" t="str">
        <f>'Secondary cum Calculation'!C315</f>
        <v>International Arrivals by Place of Origin</v>
      </c>
      <c r="D187" s="56" t="str">
        <f>'Secondary cum Calculation'!D315</f>
        <v>Asia-Pacific</v>
      </c>
      <c r="E187" s="55" t="str">
        <f>'Secondary cum Calculation'!E315</f>
        <v>Fiji</v>
      </c>
      <c r="F187" s="57" t="str">
        <f>'Secondary cum Calculation'!F315</f>
        <v>The number of international arrivals to a country originating from Fiji</v>
      </c>
      <c r="G187" s="57" t="str">
        <f>'Secondary cum Calculation'!G315</f>
        <v>Tourism Demand &amp; Flows Database</v>
      </c>
      <c r="H187" s="57" t="str">
        <f>'Secondary cum Calculation'!H315</f>
        <v>New</v>
      </c>
      <c r="I187" s="57">
        <f>'Secondary cum Calculation'!I315</f>
        <v>0</v>
      </c>
      <c r="J187" s="57" t="str">
        <f>'Secondary cum Calculation'!J315</f>
        <v>Thousand</v>
      </c>
      <c r="K187" s="58">
        <f>'Secondary cum Calculation'!K315</f>
        <v>0</v>
      </c>
      <c r="L187" s="59"/>
      <c r="M187" s="60" t="e">
        <f>'Final Data-US$'!M130/'Final Data-US$'!L130-1</f>
        <v>#DIV/0!</v>
      </c>
      <c r="N187" s="60" t="e">
        <f>'Final Data-US$'!N130/'Final Data-US$'!M130-1</f>
        <v>#DIV/0!</v>
      </c>
      <c r="O187" s="60" t="e">
        <f>'Final Data-US$'!O130/'Final Data-US$'!N130-1</f>
        <v>#DIV/0!</v>
      </c>
      <c r="P187" s="60" t="e">
        <f>'Final Data-US$'!P130/'Final Data-US$'!O130-1</f>
        <v>#DIV/0!</v>
      </c>
      <c r="Q187" s="60" t="e">
        <f>'Final Data-US$'!Q130/'Final Data-US$'!P130-1</f>
        <v>#DIV/0!</v>
      </c>
      <c r="R187" s="60" t="e">
        <f>'Final Data-US$'!R130/'Final Data-US$'!Q130-1</f>
        <v>#DIV/0!</v>
      </c>
      <c r="S187" s="60" t="e">
        <f>'Final Data-US$'!S130/'Final Data-US$'!R130-1</f>
        <v>#DIV/0!</v>
      </c>
      <c r="T187" s="60" t="e">
        <f>'Final Data-US$'!T130/'Final Data-US$'!S130-1</f>
        <v>#DIV/0!</v>
      </c>
      <c r="U187" s="60" t="e">
        <f>'Final Data-US$'!U130/'Final Data-US$'!T130-1</f>
        <v>#DIV/0!</v>
      </c>
      <c r="V187" s="60" t="e">
        <f>'Final Data-US$'!V130/'Final Data-US$'!U130-1</f>
        <v>#DIV/0!</v>
      </c>
      <c r="W187" s="106" t="e">
        <f>'Final Data-US$'!W130</f>
        <v>#DIV/0!</v>
      </c>
      <c r="X187" s="106" t="e">
        <f>'Final Data-US$'!X130</f>
        <v>#DIV/0!</v>
      </c>
    </row>
    <row r="188" spans="1:24">
      <c r="A188" s="55" t="str">
        <f>'Secondary cum Calculation'!A317</f>
        <v>Poland</v>
      </c>
      <c r="B188" s="56" t="str">
        <f>'Secondary cum Calculation'!B317</f>
        <v>Tourism Flows</v>
      </c>
      <c r="C188" s="56" t="str">
        <f>'Secondary cum Calculation'!C317</f>
        <v>International Arrivals by Place of Origin</v>
      </c>
      <c r="D188" s="56" t="str">
        <f>'Secondary cum Calculation'!D317</f>
        <v>Asia-Pacific</v>
      </c>
      <c r="E188" s="55" t="str">
        <f>'Secondary cum Calculation'!E317</f>
        <v>French Polynesia</v>
      </c>
      <c r="F188" s="57" t="str">
        <f>'Secondary cum Calculation'!F317</f>
        <v>The number of international arrivals to a country originating from French Polynesia</v>
      </c>
      <c r="G188" s="57" t="str">
        <f>'Secondary cum Calculation'!G317</f>
        <v>Tourism Demand &amp; Flows Database</v>
      </c>
      <c r="H188" s="57" t="str">
        <f>'Secondary cum Calculation'!H317</f>
        <v>New</v>
      </c>
      <c r="I188" s="57">
        <f>'Secondary cum Calculation'!I317</f>
        <v>0</v>
      </c>
      <c r="J188" s="57" t="str">
        <f>'Secondary cum Calculation'!J317</f>
        <v>Thousand</v>
      </c>
      <c r="K188" s="58">
        <f>'Secondary cum Calculation'!K317</f>
        <v>0</v>
      </c>
      <c r="L188" s="59"/>
      <c r="M188" s="60" t="e">
        <f>'Final Data-US$'!M131/'Final Data-US$'!L131-1</f>
        <v>#DIV/0!</v>
      </c>
      <c r="N188" s="60" t="e">
        <f>'Final Data-US$'!N131/'Final Data-US$'!M131-1</f>
        <v>#DIV/0!</v>
      </c>
      <c r="O188" s="60" t="e">
        <f>'Final Data-US$'!O131/'Final Data-US$'!N131-1</f>
        <v>#DIV/0!</v>
      </c>
      <c r="P188" s="60" t="e">
        <f>'Final Data-US$'!P131/'Final Data-US$'!O131-1</f>
        <v>#DIV/0!</v>
      </c>
      <c r="Q188" s="60" t="e">
        <f>'Final Data-US$'!Q131/'Final Data-US$'!P131-1</f>
        <v>#DIV/0!</v>
      </c>
      <c r="R188" s="60" t="e">
        <f>'Final Data-US$'!R131/'Final Data-US$'!Q131-1</f>
        <v>#DIV/0!</v>
      </c>
      <c r="S188" s="60" t="e">
        <f>'Final Data-US$'!S131/'Final Data-US$'!R131-1</f>
        <v>#DIV/0!</v>
      </c>
      <c r="T188" s="60" t="e">
        <f>'Final Data-US$'!T131/'Final Data-US$'!S131-1</f>
        <v>#DIV/0!</v>
      </c>
      <c r="U188" s="60" t="e">
        <f>'Final Data-US$'!U131/'Final Data-US$'!T131-1</f>
        <v>#DIV/0!</v>
      </c>
      <c r="V188" s="60" t="e">
        <f>'Final Data-US$'!V131/'Final Data-US$'!U131-1</f>
        <v>#DIV/0!</v>
      </c>
      <c r="W188" s="106" t="e">
        <f>'Final Data-US$'!W131</f>
        <v>#DIV/0!</v>
      </c>
      <c r="X188" s="106" t="e">
        <f>'Final Data-US$'!X131</f>
        <v>#DIV/0!</v>
      </c>
    </row>
    <row r="189" spans="1:24">
      <c r="A189" s="55" t="str">
        <f>'Secondary cum Calculation'!A319</f>
        <v>Poland</v>
      </c>
      <c r="B189" s="56" t="str">
        <f>'Secondary cum Calculation'!B319</f>
        <v>Tourism Flows</v>
      </c>
      <c r="C189" s="56" t="str">
        <f>'Secondary cum Calculation'!C319</f>
        <v>International Arrivals by Place of Origin</v>
      </c>
      <c r="D189" s="56" t="str">
        <f>'Secondary cum Calculation'!D319</f>
        <v>Asia-Pacific</v>
      </c>
      <c r="E189" s="55" t="str">
        <f>'Secondary cum Calculation'!E319</f>
        <v>Guam</v>
      </c>
      <c r="F189" s="57" t="str">
        <f>'Secondary cum Calculation'!F319</f>
        <v>The number of international arrivals to a country originating from Guam</v>
      </c>
      <c r="G189" s="57" t="str">
        <f>'Secondary cum Calculation'!G319</f>
        <v>Tourism Demand &amp; Flows Database</v>
      </c>
      <c r="H189" s="57" t="str">
        <f>'Secondary cum Calculation'!H319</f>
        <v>New</v>
      </c>
      <c r="I189" s="57">
        <f>'Secondary cum Calculation'!I319</f>
        <v>0</v>
      </c>
      <c r="J189" s="57" t="str">
        <f>'Secondary cum Calculation'!J319</f>
        <v>Thousand</v>
      </c>
      <c r="K189" s="58">
        <f>'Secondary cum Calculation'!K319</f>
        <v>0</v>
      </c>
      <c r="L189" s="59"/>
      <c r="M189" s="60" t="e">
        <f>'Final Data-US$'!M132/'Final Data-US$'!L132-1</f>
        <v>#DIV/0!</v>
      </c>
      <c r="N189" s="60" t="e">
        <f>'Final Data-US$'!N132/'Final Data-US$'!M132-1</f>
        <v>#DIV/0!</v>
      </c>
      <c r="O189" s="60" t="e">
        <f>'Final Data-US$'!O132/'Final Data-US$'!N132-1</f>
        <v>#DIV/0!</v>
      </c>
      <c r="P189" s="60" t="e">
        <f>'Final Data-US$'!P132/'Final Data-US$'!O132-1</f>
        <v>#DIV/0!</v>
      </c>
      <c r="Q189" s="60" t="e">
        <f>'Final Data-US$'!Q132/'Final Data-US$'!P132-1</f>
        <v>#DIV/0!</v>
      </c>
      <c r="R189" s="60" t="e">
        <f>'Final Data-US$'!R132/'Final Data-US$'!Q132-1</f>
        <v>#DIV/0!</v>
      </c>
      <c r="S189" s="60" t="e">
        <f>'Final Data-US$'!S132/'Final Data-US$'!R132-1</f>
        <v>#DIV/0!</v>
      </c>
      <c r="T189" s="60" t="e">
        <f>'Final Data-US$'!T132/'Final Data-US$'!S132-1</f>
        <v>#DIV/0!</v>
      </c>
      <c r="U189" s="60" t="e">
        <f>'Final Data-US$'!U132/'Final Data-US$'!T132-1</f>
        <v>#DIV/0!</v>
      </c>
      <c r="V189" s="60" t="e">
        <f>'Final Data-US$'!V132/'Final Data-US$'!U132-1</f>
        <v>#DIV/0!</v>
      </c>
      <c r="W189" s="106" t="e">
        <f>'Final Data-US$'!W132</f>
        <v>#DIV/0!</v>
      </c>
      <c r="X189" s="106" t="e">
        <f>'Final Data-US$'!X132</f>
        <v>#DIV/0!</v>
      </c>
    </row>
    <row r="190" spans="1:24">
      <c r="A190" s="55" t="str">
        <f>'Secondary cum Calculation'!A321</f>
        <v>Poland</v>
      </c>
      <c r="B190" s="56" t="str">
        <f>'Secondary cum Calculation'!B321</f>
        <v>Tourism Flows</v>
      </c>
      <c r="C190" s="56" t="str">
        <f>'Secondary cum Calculation'!C321</f>
        <v>International Arrivals by Place of Origin</v>
      </c>
      <c r="D190" s="56" t="str">
        <f>'Secondary cum Calculation'!D321</f>
        <v>Asia-Pacific</v>
      </c>
      <c r="E190" s="55" t="str">
        <f>'Secondary cum Calculation'!E321</f>
        <v>India</v>
      </c>
      <c r="F190" s="57" t="str">
        <f>'Secondary cum Calculation'!F321</f>
        <v>The number of international arrivals to a country originating from India</v>
      </c>
      <c r="G190" s="57" t="str">
        <f>'Secondary cum Calculation'!G321</f>
        <v>Tourism Demand &amp; Flows Database</v>
      </c>
      <c r="H190" s="57" t="str">
        <f>'Secondary cum Calculation'!H321</f>
        <v>New</v>
      </c>
      <c r="I190" s="57">
        <f>'Secondary cum Calculation'!I321</f>
        <v>0</v>
      </c>
      <c r="J190" s="57" t="str">
        <f>'Secondary cum Calculation'!J321</f>
        <v>Thousand</v>
      </c>
      <c r="K190" s="58">
        <f>'Secondary cum Calculation'!K321</f>
        <v>406.84500000000003</v>
      </c>
      <c r="L190" s="59"/>
      <c r="M190" s="60" t="e">
        <f>'Final Data-US$'!M133/'Final Data-US$'!L133-1</f>
        <v>#DIV/0!</v>
      </c>
      <c r="N190" s="60" t="e">
        <f>'Final Data-US$'!N133/'Final Data-US$'!M133-1</f>
        <v>#DIV/0!</v>
      </c>
      <c r="O190" s="60" t="e">
        <f>'Final Data-US$'!O133/'Final Data-US$'!N133-1</f>
        <v>#DIV/0!</v>
      </c>
      <c r="P190" s="60" t="e">
        <f>'Final Data-US$'!P133/'Final Data-US$'!O133-1</f>
        <v>#DIV/0!</v>
      </c>
      <c r="Q190" s="60" t="e">
        <f>'Final Data-US$'!Q133/'Final Data-US$'!P133-1</f>
        <v>#DIV/0!</v>
      </c>
      <c r="R190" s="60" t="e">
        <f>'Final Data-US$'!R133/'Final Data-US$'!Q133-1</f>
        <v>#DIV/0!</v>
      </c>
      <c r="S190" s="60" t="e">
        <f>'Final Data-US$'!S133/'Final Data-US$'!R133-1</f>
        <v>#DIV/0!</v>
      </c>
      <c r="T190" s="60" t="e">
        <f>'Final Data-US$'!T133/'Final Data-US$'!S133-1</f>
        <v>#DIV/0!</v>
      </c>
      <c r="U190" s="60" t="e">
        <f>'Final Data-US$'!U133/'Final Data-US$'!T133-1</f>
        <v>#DIV/0!</v>
      </c>
      <c r="V190" s="60" t="e">
        <f>'Final Data-US$'!V133/'Final Data-US$'!U133-1</f>
        <v>#DIV/0!</v>
      </c>
      <c r="W190" s="106" t="e">
        <f>'Final Data-US$'!W133</f>
        <v>#DIV/0!</v>
      </c>
      <c r="X190" s="106" t="e">
        <f>'Final Data-US$'!X133</f>
        <v>#DIV/0!</v>
      </c>
    </row>
    <row r="191" spans="1:24">
      <c r="A191" s="55" t="str">
        <f>'Secondary cum Calculation'!A323</f>
        <v>Poland</v>
      </c>
      <c r="B191" s="56" t="str">
        <f>'Secondary cum Calculation'!B323</f>
        <v>Tourism Flows</v>
      </c>
      <c r="C191" s="56" t="str">
        <f>'Secondary cum Calculation'!C323</f>
        <v>International Arrivals by Place of Origin</v>
      </c>
      <c r="D191" s="56" t="str">
        <f>'Secondary cum Calculation'!D323</f>
        <v>Asia-Pacific</v>
      </c>
      <c r="E191" s="55" t="str">
        <f>'Secondary cum Calculation'!E323</f>
        <v>Indonesia</v>
      </c>
      <c r="F191" s="57" t="str">
        <f>'Secondary cum Calculation'!F323</f>
        <v>The number of international arrivals to a country originating from Indonesia</v>
      </c>
      <c r="G191" s="57" t="str">
        <f>'Secondary cum Calculation'!G323</f>
        <v>Tourism Demand &amp; Flows Database</v>
      </c>
      <c r="H191" s="57" t="str">
        <f>'Secondary cum Calculation'!H323</f>
        <v>New</v>
      </c>
      <c r="I191" s="57">
        <f>'Secondary cum Calculation'!I323</f>
        <v>0</v>
      </c>
      <c r="J191" s="57" t="str">
        <f>'Secondary cum Calculation'!J323</f>
        <v>Thousand</v>
      </c>
      <c r="K191" s="58">
        <f>'Secondary cum Calculation'!K323</f>
        <v>0</v>
      </c>
      <c r="L191" s="59"/>
      <c r="M191" s="60" t="e">
        <f>'Final Data-US$'!M134/'Final Data-US$'!L134-1</f>
        <v>#DIV/0!</v>
      </c>
      <c r="N191" s="60" t="e">
        <f>'Final Data-US$'!N134/'Final Data-US$'!M134-1</f>
        <v>#DIV/0!</v>
      </c>
      <c r="O191" s="100" t="e">
        <f>'Final Data-US$'!O134/'Final Data-US$'!N134-1</f>
        <v>#DIV/0!</v>
      </c>
      <c r="P191" s="60" t="e">
        <f>'Final Data-US$'!P134/'Final Data-US$'!O134-1</f>
        <v>#DIV/0!</v>
      </c>
      <c r="Q191" s="60" t="e">
        <f>'Final Data-US$'!Q134/'Final Data-US$'!P134-1</f>
        <v>#DIV/0!</v>
      </c>
      <c r="R191" s="60" t="e">
        <f>'Final Data-US$'!R134/'Final Data-US$'!Q134-1</f>
        <v>#DIV/0!</v>
      </c>
      <c r="S191" s="60" t="e">
        <f>'Final Data-US$'!S134/'Final Data-US$'!R134-1</f>
        <v>#DIV/0!</v>
      </c>
      <c r="T191" s="60" t="e">
        <f>'Final Data-US$'!T134/'Final Data-US$'!S134-1</f>
        <v>#DIV/0!</v>
      </c>
      <c r="U191" s="60" t="e">
        <f>'Final Data-US$'!U134/'Final Data-US$'!T134-1</f>
        <v>#DIV/0!</v>
      </c>
      <c r="V191" s="60" t="e">
        <f>'Final Data-US$'!V134/'Final Data-US$'!U134-1</f>
        <v>#DIV/0!</v>
      </c>
      <c r="W191" s="106" t="e">
        <f>'Final Data-US$'!W134</f>
        <v>#DIV/0!</v>
      </c>
      <c r="X191" s="106" t="e">
        <f>'Final Data-US$'!X134</f>
        <v>#DIV/0!</v>
      </c>
    </row>
    <row r="192" spans="1:24">
      <c r="A192" s="55" t="str">
        <f>'Secondary cum Calculation'!A325</f>
        <v>Poland</v>
      </c>
      <c r="B192" s="56" t="str">
        <f>'Secondary cum Calculation'!B325</f>
        <v>Tourism Flows</v>
      </c>
      <c r="C192" s="56" t="str">
        <f>'Secondary cum Calculation'!C325</f>
        <v>International Arrivals by Place of Origin</v>
      </c>
      <c r="D192" s="56" t="str">
        <f>'Secondary cum Calculation'!D325</f>
        <v>Asia-Pacific</v>
      </c>
      <c r="E192" s="55" t="str">
        <f>'Secondary cum Calculation'!E325</f>
        <v>Japan</v>
      </c>
      <c r="F192" s="57" t="str">
        <f>'Secondary cum Calculation'!F325</f>
        <v>The number of international arrivals to a country originating from Japan</v>
      </c>
      <c r="G192" s="57" t="str">
        <f>'Secondary cum Calculation'!G325</f>
        <v>Tourism Demand &amp; Flows Database</v>
      </c>
      <c r="H192" s="57" t="str">
        <f>'Secondary cum Calculation'!H325</f>
        <v>New</v>
      </c>
      <c r="I192" s="57">
        <f>'Secondary cum Calculation'!I325</f>
        <v>0</v>
      </c>
      <c r="J192" s="57" t="str">
        <f>'Secondary cum Calculation'!J325</f>
        <v>Thousand</v>
      </c>
      <c r="K192" s="58">
        <f>'Secondary cum Calculation'!K325</f>
        <v>3672.5839999999998</v>
      </c>
      <c r="L192" s="59"/>
      <c r="M192" s="60">
        <f>'Final Data-US$'!M135/'Final Data-US$'!L135-1</f>
        <v>-0.19177418841724014</v>
      </c>
      <c r="N192" s="60">
        <f>'Final Data-US$'!N135/'Final Data-US$'!M135-1</f>
        <v>-0.17957169471046519</v>
      </c>
      <c r="O192" s="60">
        <f>'Final Data-US$'!O135/'Final Data-US$'!N135-1</f>
        <v>0.2872647036904552</v>
      </c>
      <c r="P192" s="60">
        <f>'Final Data-US$'!P135/'Final Data-US$'!O135-1</f>
        <v>2.6506539535410267E-2</v>
      </c>
      <c r="Q192" s="60">
        <f>'Final Data-US$'!Q135/'Final Data-US$'!P135-1</f>
        <v>8.2284357708935163E-2</v>
      </c>
      <c r="R192" s="60">
        <f>'Final Data-US$'!R135/'Final Data-US$'!Q135-1</f>
        <v>-1</v>
      </c>
      <c r="S192" s="60" t="e">
        <f>'Final Data-US$'!S135/'Final Data-US$'!R135-1</f>
        <v>#DIV/0!</v>
      </c>
      <c r="T192" s="60" t="e">
        <f>'Final Data-US$'!T135/'Final Data-US$'!S135-1</f>
        <v>#DIV/0!</v>
      </c>
      <c r="U192" s="60" t="e">
        <f>'Final Data-US$'!U135/'Final Data-US$'!T135-1</f>
        <v>#DIV/0!</v>
      </c>
      <c r="V192" s="60" t="e">
        <f>'Final Data-US$'!V135/'Final Data-US$'!U135-1</f>
        <v>#DIV/0!</v>
      </c>
      <c r="W192" s="106">
        <f>'Final Data-US$'!W135</f>
        <v>4.07655291629061E-2</v>
      </c>
      <c r="X192" s="106">
        <f>'Final Data-US$'!X135</f>
        <v>-1</v>
      </c>
    </row>
    <row r="193" spans="1:24">
      <c r="A193" s="55" t="str">
        <f>'Secondary cum Calculation'!A327</f>
        <v>Poland</v>
      </c>
      <c r="B193" s="56" t="str">
        <f>'Secondary cum Calculation'!B327</f>
        <v>Tourism Flows</v>
      </c>
      <c r="C193" s="56" t="str">
        <f>'Secondary cum Calculation'!C327</f>
        <v>International Arrivals by Place of Origin</v>
      </c>
      <c r="D193" s="56" t="str">
        <f>'Secondary cum Calculation'!D327</f>
        <v>Asia-Pacific</v>
      </c>
      <c r="E193" s="55" t="str">
        <f>'Secondary cum Calculation'!E327</f>
        <v>Kazakhstan</v>
      </c>
      <c r="F193" s="57" t="str">
        <f>'Secondary cum Calculation'!F327</f>
        <v>The number of international arrivals to a country originating from Kazakhstan</v>
      </c>
      <c r="G193" s="57" t="str">
        <f>'Secondary cum Calculation'!G327</f>
        <v>Tourism Demand &amp; Flows Database</v>
      </c>
      <c r="H193" s="57" t="str">
        <f>'Secondary cum Calculation'!H327</f>
        <v>New</v>
      </c>
      <c r="I193" s="57">
        <f>'Secondary cum Calculation'!I327</f>
        <v>0</v>
      </c>
      <c r="J193" s="57" t="str">
        <f>'Secondary cum Calculation'!J327</f>
        <v>Thousand</v>
      </c>
      <c r="K193" s="58">
        <f>'Secondary cum Calculation'!K327</f>
        <v>0</v>
      </c>
      <c r="L193" s="59"/>
      <c r="M193" s="60" t="e">
        <f>'Final Data-US$'!M136/'Final Data-US$'!L136-1</f>
        <v>#DIV/0!</v>
      </c>
      <c r="N193" s="60" t="e">
        <f>'Final Data-US$'!N136/'Final Data-US$'!M136-1</f>
        <v>#DIV/0!</v>
      </c>
      <c r="O193" s="100" t="e">
        <f>'Final Data-US$'!O136/'Final Data-US$'!N136-1</f>
        <v>#DIV/0!</v>
      </c>
      <c r="P193" s="60" t="e">
        <f>'Final Data-US$'!P136/'Final Data-US$'!O136-1</f>
        <v>#DIV/0!</v>
      </c>
      <c r="Q193" s="60" t="e">
        <f>'Final Data-US$'!Q136/'Final Data-US$'!P136-1</f>
        <v>#DIV/0!</v>
      </c>
      <c r="R193" s="60" t="e">
        <f>'Final Data-US$'!R136/'Final Data-US$'!Q136-1</f>
        <v>#DIV/0!</v>
      </c>
      <c r="S193" s="60" t="e">
        <f>'Final Data-US$'!S136/'Final Data-US$'!R136-1</f>
        <v>#DIV/0!</v>
      </c>
      <c r="T193" s="60" t="e">
        <f>'Final Data-US$'!T136/'Final Data-US$'!S136-1</f>
        <v>#DIV/0!</v>
      </c>
      <c r="U193" s="60" t="e">
        <f>'Final Data-US$'!U136/'Final Data-US$'!T136-1</f>
        <v>#DIV/0!</v>
      </c>
      <c r="V193" s="60" t="e">
        <f>'Final Data-US$'!V136/'Final Data-US$'!U136-1</f>
        <v>#DIV/0!</v>
      </c>
      <c r="W193" s="106" t="e">
        <f>'Final Data-US$'!W136</f>
        <v>#DIV/0!</v>
      </c>
      <c r="X193" s="106" t="e">
        <f>'Final Data-US$'!X136</f>
        <v>#DIV/0!</v>
      </c>
    </row>
    <row r="194" spans="1:24">
      <c r="A194" s="55" t="str">
        <f>'Secondary cum Calculation'!A329</f>
        <v>Poland</v>
      </c>
      <c r="B194" s="56" t="str">
        <f>'Secondary cum Calculation'!B329</f>
        <v>Tourism Flows</v>
      </c>
      <c r="C194" s="56" t="str">
        <f>'Secondary cum Calculation'!C329</f>
        <v>International Arrivals by Place of Origin</v>
      </c>
      <c r="D194" s="56" t="str">
        <f>'Secondary cum Calculation'!D329</f>
        <v>Asia-Pacific</v>
      </c>
      <c r="E194" s="55" t="str">
        <f>'Secondary cum Calculation'!E329</f>
        <v>Kyrgyzstan</v>
      </c>
      <c r="F194" s="57" t="str">
        <f>'Secondary cum Calculation'!F329</f>
        <v>The number of international arrivals to a country originating from Kyrgyzstan</v>
      </c>
      <c r="G194" s="57" t="str">
        <f>'Secondary cum Calculation'!G329</f>
        <v>Tourism Demand &amp; Flows Database</v>
      </c>
      <c r="H194" s="57" t="str">
        <f>'Secondary cum Calculation'!H329</f>
        <v>New</v>
      </c>
      <c r="I194" s="57">
        <f>'Secondary cum Calculation'!I329</f>
        <v>0</v>
      </c>
      <c r="J194" s="57" t="str">
        <f>'Secondary cum Calculation'!J329</f>
        <v>Thousand</v>
      </c>
      <c r="K194" s="58">
        <f>'Secondary cum Calculation'!K329</f>
        <v>0</v>
      </c>
      <c r="L194" s="59"/>
      <c r="M194" s="60" t="e">
        <f>'Final Data-US$'!M137/'Final Data-US$'!L137-1</f>
        <v>#DIV/0!</v>
      </c>
      <c r="N194" s="60" t="e">
        <f>'Final Data-US$'!N137/'Final Data-US$'!M137-1</f>
        <v>#DIV/0!</v>
      </c>
      <c r="O194" s="60" t="e">
        <f>'Final Data-US$'!O137/'Final Data-US$'!N137-1</f>
        <v>#DIV/0!</v>
      </c>
      <c r="P194" s="60" t="e">
        <f>'Final Data-US$'!P137/'Final Data-US$'!O137-1</f>
        <v>#DIV/0!</v>
      </c>
      <c r="Q194" s="60" t="e">
        <f>'Final Data-US$'!Q137/'Final Data-US$'!P137-1</f>
        <v>#DIV/0!</v>
      </c>
      <c r="R194" s="60" t="e">
        <f>'Final Data-US$'!R137/'Final Data-US$'!Q137-1</f>
        <v>#DIV/0!</v>
      </c>
      <c r="S194" s="60" t="e">
        <f>'Final Data-US$'!S137/'Final Data-US$'!R137-1</f>
        <v>#DIV/0!</v>
      </c>
      <c r="T194" s="60" t="e">
        <f>'Final Data-US$'!T137/'Final Data-US$'!S137-1</f>
        <v>#DIV/0!</v>
      </c>
      <c r="U194" s="60" t="e">
        <f>'Final Data-US$'!U137/'Final Data-US$'!T137-1</f>
        <v>#DIV/0!</v>
      </c>
      <c r="V194" s="60" t="e">
        <f>'Final Data-US$'!V137/'Final Data-US$'!U137-1</f>
        <v>#DIV/0!</v>
      </c>
      <c r="W194" s="106" t="e">
        <f>'Final Data-US$'!W137</f>
        <v>#DIV/0!</v>
      </c>
      <c r="X194" s="106" t="e">
        <f>'Final Data-US$'!X137</f>
        <v>#DIV/0!</v>
      </c>
    </row>
    <row r="195" spans="1:24">
      <c r="A195" s="55" t="str">
        <f>'Secondary cum Calculation'!A331</f>
        <v>Poland</v>
      </c>
      <c r="B195" s="56" t="str">
        <f>'Secondary cum Calculation'!B331</f>
        <v>Tourism Flows</v>
      </c>
      <c r="C195" s="56" t="str">
        <f>'Secondary cum Calculation'!C331</f>
        <v>International Arrivals by Place of Origin</v>
      </c>
      <c r="D195" s="56" t="str">
        <f>'Secondary cum Calculation'!D331</f>
        <v>Asia-Pacific</v>
      </c>
      <c r="E195" s="55" t="str">
        <f>'Secondary cum Calculation'!E331</f>
        <v>Lao People's Dem. Republic</v>
      </c>
      <c r="F195" s="57" t="str">
        <f>'Secondary cum Calculation'!F331</f>
        <v>The number of international arrivals to a country originating from Lao People's Dem. Republic</v>
      </c>
      <c r="G195" s="57" t="str">
        <f>'Secondary cum Calculation'!G331</f>
        <v>Tourism Demand &amp; Flows Database</v>
      </c>
      <c r="H195" s="57" t="str">
        <f>'Secondary cum Calculation'!H331</f>
        <v>New</v>
      </c>
      <c r="I195" s="57">
        <f>'Secondary cum Calculation'!I331</f>
        <v>0</v>
      </c>
      <c r="J195" s="57" t="str">
        <f>'Secondary cum Calculation'!J331</f>
        <v>Thousand</v>
      </c>
      <c r="K195" s="58">
        <f>'Secondary cum Calculation'!K331</f>
        <v>0</v>
      </c>
      <c r="L195" s="59"/>
      <c r="M195" s="60" t="e">
        <f>'Final Data-US$'!M138/'Final Data-US$'!L138-1</f>
        <v>#DIV/0!</v>
      </c>
      <c r="N195" s="60" t="e">
        <f>'Final Data-US$'!N138/'Final Data-US$'!M138-1</f>
        <v>#DIV/0!</v>
      </c>
      <c r="O195" s="60" t="e">
        <f>'Final Data-US$'!O138/'Final Data-US$'!N138-1</f>
        <v>#DIV/0!</v>
      </c>
      <c r="P195" s="60" t="e">
        <f>'Final Data-US$'!P138/'Final Data-US$'!O138-1</f>
        <v>#DIV/0!</v>
      </c>
      <c r="Q195" s="60" t="e">
        <f>'Final Data-US$'!Q138/'Final Data-US$'!P138-1</f>
        <v>#DIV/0!</v>
      </c>
      <c r="R195" s="60" t="e">
        <f>'Final Data-US$'!R138/'Final Data-US$'!Q138-1</f>
        <v>#DIV/0!</v>
      </c>
      <c r="S195" s="60" t="e">
        <f>'Final Data-US$'!S138/'Final Data-US$'!R138-1</f>
        <v>#DIV/0!</v>
      </c>
      <c r="T195" s="60" t="e">
        <f>'Final Data-US$'!T138/'Final Data-US$'!S138-1</f>
        <v>#DIV/0!</v>
      </c>
      <c r="U195" s="60" t="e">
        <f>'Final Data-US$'!U138/'Final Data-US$'!T138-1</f>
        <v>#DIV/0!</v>
      </c>
      <c r="V195" s="60" t="e">
        <f>'Final Data-US$'!V138/'Final Data-US$'!U138-1</f>
        <v>#DIV/0!</v>
      </c>
      <c r="W195" s="106" t="e">
        <f>'Final Data-US$'!W138</f>
        <v>#DIV/0!</v>
      </c>
      <c r="X195" s="106" t="e">
        <f>'Final Data-US$'!X138</f>
        <v>#DIV/0!</v>
      </c>
    </row>
    <row r="196" spans="1:24">
      <c r="A196" s="55" t="str">
        <f>'Secondary cum Calculation'!A333</f>
        <v>Poland</v>
      </c>
      <c r="B196" s="56" t="str">
        <f>'Secondary cum Calculation'!B333</f>
        <v>Tourism Flows</v>
      </c>
      <c r="C196" s="56" t="str">
        <f>'Secondary cum Calculation'!C333</f>
        <v>International Arrivals by Place of Origin</v>
      </c>
      <c r="D196" s="56" t="str">
        <f>'Secondary cum Calculation'!D333</f>
        <v>Asia-Pacific</v>
      </c>
      <c r="E196" s="55" t="str">
        <f>'Secondary cum Calculation'!E333</f>
        <v>Malaysia</v>
      </c>
      <c r="F196" s="57" t="str">
        <f>'Secondary cum Calculation'!F333</f>
        <v>The number of international arrivals to a country originating from Malaysia</v>
      </c>
      <c r="G196" s="57" t="str">
        <f>'Secondary cum Calculation'!G333</f>
        <v>Tourism Demand &amp; Flows Database</v>
      </c>
      <c r="H196" s="57" t="str">
        <f>'Secondary cum Calculation'!H333</f>
        <v>New</v>
      </c>
      <c r="I196" s="57">
        <f>'Secondary cum Calculation'!I333</f>
        <v>0</v>
      </c>
      <c r="J196" s="57" t="str">
        <f>'Secondary cum Calculation'!J333</f>
        <v>Thousand</v>
      </c>
      <c r="K196" s="58">
        <f>'Secondary cum Calculation'!K333</f>
        <v>0</v>
      </c>
      <c r="L196" s="59"/>
      <c r="M196" s="60" t="e">
        <f>'Final Data-US$'!M139/'Final Data-US$'!L139-1</f>
        <v>#DIV/0!</v>
      </c>
      <c r="N196" s="60" t="e">
        <f>'Final Data-US$'!N139/'Final Data-US$'!M139-1</f>
        <v>#DIV/0!</v>
      </c>
      <c r="O196" s="60" t="e">
        <f>'Final Data-US$'!O139/'Final Data-US$'!N139-1</f>
        <v>#DIV/0!</v>
      </c>
      <c r="P196" s="60" t="e">
        <f>'Final Data-US$'!P139/'Final Data-US$'!O139-1</f>
        <v>#DIV/0!</v>
      </c>
      <c r="Q196" s="60" t="e">
        <f>'Final Data-US$'!Q139/'Final Data-US$'!P139-1</f>
        <v>#DIV/0!</v>
      </c>
      <c r="R196" s="60" t="e">
        <f>'Final Data-US$'!R139/'Final Data-US$'!Q139-1</f>
        <v>#DIV/0!</v>
      </c>
      <c r="S196" s="60" t="e">
        <f>'Final Data-US$'!S139/'Final Data-US$'!R139-1</f>
        <v>#DIV/0!</v>
      </c>
      <c r="T196" s="60" t="e">
        <f>'Final Data-US$'!T139/'Final Data-US$'!S139-1</f>
        <v>#DIV/0!</v>
      </c>
      <c r="U196" s="60" t="e">
        <f>'Final Data-US$'!U139/'Final Data-US$'!T139-1</f>
        <v>#DIV/0!</v>
      </c>
      <c r="V196" s="60" t="e">
        <f>'Final Data-US$'!V139/'Final Data-US$'!U139-1</f>
        <v>#DIV/0!</v>
      </c>
      <c r="W196" s="106" t="e">
        <f>'Final Data-US$'!W139</f>
        <v>#DIV/0!</v>
      </c>
      <c r="X196" s="106" t="e">
        <f>'Final Data-US$'!X139</f>
        <v>#DIV/0!</v>
      </c>
    </row>
    <row r="197" spans="1:24">
      <c r="A197" s="55" t="str">
        <f>'Secondary cum Calculation'!A335</f>
        <v>Poland</v>
      </c>
      <c r="B197" s="56" t="str">
        <f>'Secondary cum Calculation'!B335</f>
        <v>Tourism Flows</v>
      </c>
      <c r="C197" s="56" t="str">
        <f>'Secondary cum Calculation'!C335</f>
        <v>International Arrivals by Place of Origin</v>
      </c>
      <c r="D197" s="56" t="str">
        <f>'Secondary cum Calculation'!D335</f>
        <v>Asia-Pacific</v>
      </c>
      <c r="E197" s="55" t="str">
        <f>'Secondary cum Calculation'!E335</f>
        <v>Maldives</v>
      </c>
      <c r="F197" s="57" t="str">
        <f>'Secondary cum Calculation'!F335</f>
        <v>The number of international arrivals to a country originating from Maldives</v>
      </c>
      <c r="G197" s="57" t="str">
        <f>'Secondary cum Calculation'!G335</f>
        <v>Tourism Demand &amp; Flows Database</v>
      </c>
      <c r="H197" s="57" t="str">
        <f>'Secondary cum Calculation'!H335</f>
        <v>New</v>
      </c>
      <c r="I197" s="57">
        <f>'Secondary cum Calculation'!I335</f>
        <v>0</v>
      </c>
      <c r="J197" s="57" t="str">
        <f>'Secondary cum Calculation'!J335</f>
        <v>Thousand</v>
      </c>
      <c r="K197" s="58">
        <f>'Secondary cum Calculation'!K335</f>
        <v>0</v>
      </c>
      <c r="L197" s="59"/>
      <c r="M197" s="60" t="e">
        <f>'Final Data-US$'!M140/'Final Data-US$'!L140-1</f>
        <v>#DIV/0!</v>
      </c>
      <c r="N197" s="60" t="e">
        <f>'Final Data-US$'!N140/'Final Data-US$'!M140-1</f>
        <v>#DIV/0!</v>
      </c>
      <c r="O197" s="60" t="e">
        <f>'Final Data-US$'!O140/'Final Data-US$'!N140-1</f>
        <v>#DIV/0!</v>
      </c>
      <c r="P197" s="60" t="e">
        <f>'Final Data-US$'!P140/'Final Data-US$'!O140-1</f>
        <v>#DIV/0!</v>
      </c>
      <c r="Q197" s="60" t="e">
        <f>'Final Data-US$'!Q140/'Final Data-US$'!P140-1</f>
        <v>#DIV/0!</v>
      </c>
      <c r="R197" s="60" t="e">
        <f>'Final Data-US$'!R140/'Final Data-US$'!Q140-1</f>
        <v>#DIV/0!</v>
      </c>
      <c r="S197" s="60" t="e">
        <f>'Final Data-US$'!S140/'Final Data-US$'!R140-1</f>
        <v>#DIV/0!</v>
      </c>
      <c r="T197" s="60" t="e">
        <f>'Final Data-US$'!T140/'Final Data-US$'!S140-1</f>
        <v>#DIV/0!</v>
      </c>
      <c r="U197" s="60" t="e">
        <f>'Final Data-US$'!U140/'Final Data-US$'!T140-1</f>
        <v>#DIV/0!</v>
      </c>
      <c r="V197" s="60" t="e">
        <f>'Final Data-US$'!V140/'Final Data-US$'!U140-1</f>
        <v>#DIV/0!</v>
      </c>
      <c r="W197" s="106" t="e">
        <f>'Final Data-US$'!W140</f>
        <v>#DIV/0!</v>
      </c>
      <c r="X197" s="106" t="e">
        <f>'Final Data-US$'!X140</f>
        <v>#DIV/0!</v>
      </c>
    </row>
    <row r="198" spans="1:24">
      <c r="A198" s="55" t="str">
        <f>'Secondary cum Calculation'!A337</f>
        <v>Poland</v>
      </c>
      <c r="B198" s="56" t="str">
        <f>'Secondary cum Calculation'!B337</f>
        <v>Tourism Flows</v>
      </c>
      <c r="C198" s="56" t="str">
        <f>'Secondary cum Calculation'!C337</f>
        <v>International Arrivals by Place of Origin</v>
      </c>
      <c r="D198" s="56" t="str">
        <f>'Secondary cum Calculation'!D337</f>
        <v>Asia-Pacific</v>
      </c>
      <c r="E198" s="55" t="str">
        <f>'Secondary cum Calculation'!E337</f>
        <v>Mauritius</v>
      </c>
      <c r="F198" s="57" t="str">
        <f>'Secondary cum Calculation'!F337</f>
        <v>The number of international arrivals to a country originating from Mauritius</v>
      </c>
      <c r="G198" s="57" t="str">
        <f>'Secondary cum Calculation'!G337</f>
        <v>Tourism Demand &amp; Flows Database</v>
      </c>
      <c r="H198" s="57" t="str">
        <f>'Secondary cum Calculation'!H337</f>
        <v>New</v>
      </c>
      <c r="I198" s="57">
        <f>'Secondary cum Calculation'!I337</f>
        <v>0</v>
      </c>
      <c r="J198" s="57" t="str">
        <f>'Secondary cum Calculation'!J337</f>
        <v>Thousand</v>
      </c>
      <c r="K198" s="58">
        <f>'Secondary cum Calculation'!K337</f>
        <v>0</v>
      </c>
      <c r="L198" s="59"/>
      <c r="M198" s="60" t="e">
        <f>'Final Data-US$'!M141/'Final Data-US$'!L141-1</f>
        <v>#DIV/0!</v>
      </c>
      <c r="N198" s="60" t="e">
        <f>'Final Data-US$'!N141/'Final Data-US$'!M141-1</f>
        <v>#DIV/0!</v>
      </c>
      <c r="O198" s="60" t="e">
        <f>'Final Data-US$'!O141/'Final Data-US$'!N141-1</f>
        <v>#DIV/0!</v>
      </c>
      <c r="P198" s="60" t="e">
        <f>'Final Data-US$'!P141/'Final Data-US$'!O141-1</f>
        <v>#DIV/0!</v>
      </c>
      <c r="Q198" s="60" t="e">
        <f>'Final Data-US$'!Q141/'Final Data-US$'!P141-1</f>
        <v>#DIV/0!</v>
      </c>
      <c r="R198" s="60" t="e">
        <f>'Final Data-US$'!R141/'Final Data-US$'!Q141-1</f>
        <v>#DIV/0!</v>
      </c>
      <c r="S198" s="60" t="e">
        <f>'Final Data-US$'!S141/'Final Data-US$'!R141-1</f>
        <v>#DIV/0!</v>
      </c>
      <c r="T198" s="60" t="e">
        <f>'Final Data-US$'!T141/'Final Data-US$'!S141-1</f>
        <v>#DIV/0!</v>
      </c>
      <c r="U198" s="60" t="e">
        <f>'Final Data-US$'!U141/'Final Data-US$'!T141-1</f>
        <v>#DIV/0!</v>
      </c>
      <c r="V198" s="60" t="e">
        <f>'Final Data-US$'!V141/'Final Data-US$'!U141-1</f>
        <v>#DIV/0!</v>
      </c>
      <c r="W198" s="106" t="e">
        <f>'Final Data-US$'!W141</f>
        <v>#DIV/0!</v>
      </c>
      <c r="X198" s="106" t="e">
        <f>'Final Data-US$'!X141</f>
        <v>#DIV/0!</v>
      </c>
    </row>
    <row r="199" spans="1:24">
      <c r="A199" s="55" t="str">
        <f>'Secondary cum Calculation'!A339</f>
        <v>Poland</v>
      </c>
      <c r="B199" s="56" t="str">
        <f>'Secondary cum Calculation'!B339</f>
        <v>Tourism Flows</v>
      </c>
      <c r="C199" s="56" t="str">
        <f>'Secondary cum Calculation'!C339</f>
        <v>International Arrivals by Place of Origin</v>
      </c>
      <c r="D199" s="56" t="str">
        <f>'Secondary cum Calculation'!D339</f>
        <v>Asia-Pacific</v>
      </c>
      <c r="E199" s="55" t="str">
        <f>'Secondary cum Calculation'!E339</f>
        <v>Micronesia (Fed. States of)</v>
      </c>
      <c r="F199" s="57" t="str">
        <f>'Secondary cum Calculation'!F339</f>
        <v>The number of international arrivals to a country originating from Micronesia (Fed. States of)</v>
      </c>
      <c r="G199" s="57" t="str">
        <f>'Secondary cum Calculation'!G339</f>
        <v>Tourism Demand &amp; Flows Database</v>
      </c>
      <c r="H199" s="57" t="str">
        <f>'Secondary cum Calculation'!H339</f>
        <v>New</v>
      </c>
      <c r="I199" s="57">
        <f>'Secondary cum Calculation'!I339</f>
        <v>0</v>
      </c>
      <c r="J199" s="57" t="str">
        <f>'Secondary cum Calculation'!J339</f>
        <v>Thousand</v>
      </c>
      <c r="K199" s="58">
        <f>'Secondary cum Calculation'!K339</f>
        <v>0</v>
      </c>
      <c r="L199" s="59"/>
      <c r="M199" s="60" t="e">
        <f>'Final Data-US$'!M142/'Final Data-US$'!L142-1</f>
        <v>#DIV/0!</v>
      </c>
      <c r="N199" s="60" t="e">
        <f>'Final Data-US$'!N142/'Final Data-US$'!M142-1</f>
        <v>#DIV/0!</v>
      </c>
      <c r="O199" s="60" t="e">
        <f>'Final Data-US$'!O142/'Final Data-US$'!N142-1</f>
        <v>#DIV/0!</v>
      </c>
      <c r="P199" s="60" t="e">
        <f>'Final Data-US$'!P142/'Final Data-US$'!O142-1</f>
        <v>#DIV/0!</v>
      </c>
      <c r="Q199" s="60" t="e">
        <f>'Final Data-US$'!Q142/'Final Data-US$'!P142-1</f>
        <v>#DIV/0!</v>
      </c>
      <c r="R199" s="60" t="e">
        <f>'Final Data-US$'!R142/'Final Data-US$'!Q142-1</f>
        <v>#DIV/0!</v>
      </c>
      <c r="S199" s="60" t="e">
        <f>'Final Data-US$'!S142/'Final Data-US$'!R142-1</f>
        <v>#DIV/0!</v>
      </c>
      <c r="T199" s="60" t="e">
        <f>'Final Data-US$'!T142/'Final Data-US$'!S142-1</f>
        <v>#DIV/0!</v>
      </c>
      <c r="U199" s="60" t="e">
        <f>'Final Data-US$'!U142/'Final Data-US$'!T142-1</f>
        <v>#DIV/0!</v>
      </c>
      <c r="V199" s="60" t="e">
        <f>'Final Data-US$'!V142/'Final Data-US$'!U142-1</f>
        <v>#DIV/0!</v>
      </c>
      <c r="W199" s="106" t="e">
        <f>'Final Data-US$'!W142</f>
        <v>#DIV/0!</v>
      </c>
      <c r="X199" s="106" t="e">
        <f>'Final Data-US$'!X142</f>
        <v>#DIV/0!</v>
      </c>
    </row>
    <row r="200" spans="1:24">
      <c r="A200" s="55" t="str">
        <f>'Secondary cum Calculation'!A341</f>
        <v>Poland</v>
      </c>
      <c r="B200" s="56" t="str">
        <f>'Secondary cum Calculation'!B341</f>
        <v>Tourism Flows</v>
      </c>
      <c r="C200" s="56" t="str">
        <f>'Secondary cum Calculation'!C341</f>
        <v>International Arrivals by Place of Origin</v>
      </c>
      <c r="D200" s="56" t="str">
        <f>'Secondary cum Calculation'!D341</f>
        <v>Asia-Pacific</v>
      </c>
      <c r="E200" s="55" t="str">
        <f>'Secondary cum Calculation'!E341</f>
        <v>Mongolia</v>
      </c>
      <c r="F200" s="57" t="str">
        <f>'Secondary cum Calculation'!F341</f>
        <v>The number of international arrivals to a country originating from Mongolia</v>
      </c>
      <c r="G200" s="57" t="str">
        <f>'Secondary cum Calculation'!G341</f>
        <v>Tourism Demand &amp; Flows Database</v>
      </c>
      <c r="H200" s="57" t="str">
        <f>'Secondary cum Calculation'!H341</f>
        <v>New</v>
      </c>
      <c r="I200" s="57">
        <f>'Secondary cum Calculation'!I341</f>
        <v>0</v>
      </c>
      <c r="J200" s="57" t="str">
        <f>'Secondary cum Calculation'!J341</f>
        <v>Thousand</v>
      </c>
      <c r="K200" s="58">
        <f>'Secondary cum Calculation'!K341</f>
        <v>0</v>
      </c>
      <c r="L200" s="59"/>
      <c r="M200" s="60" t="e">
        <f>'Final Data-US$'!M143/'Final Data-US$'!L143-1</f>
        <v>#DIV/0!</v>
      </c>
      <c r="N200" s="60" t="e">
        <f>'Final Data-US$'!N143/'Final Data-US$'!M143-1</f>
        <v>#DIV/0!</v>
      </c>
      <c r="O200" s="60" t="e">
        <f>'Final Data-US$'!O143/'Final Data-US$'!N143-1</f>
        <v>#DIV/0!</v>
      </c>
      <c r="P200" s="60" t="e">
        <f>'Final Data-US$'!P143/'Final Data-US$'!O143-1</f>
        <v>#DIV/0!</v>
      </c>
      <c r="Q200" s="60" t="e">
        <f>'Final Data-US$'!Q143/'Final Data-US$'!P143-1</f>
        <v>#DIV/0!</v>
      </c>
      <c r="R200" s="60" t="e">
        <f>'Final Data-US$'!R143/'Final Data-US$'!Q143-1</f>
        <v>#DIV/0!</v>
      </c>
      <c r="S200" s="60" t="e">
        <f>'Final Data-US$'!S143/'Final Data-US$'!R143-1</f>
        <v>#DIV/0!</v>
      </c>
      <c r="T200" s="60" t="e">
        <f>'Final Data-US$'!T143/'Final Data-US$'!S143-1</f>
        <v>#DIV/0!</v>
      </c>
      <c r="U200" s="60" t="e">
        <f>'Final Data-US$'!U143/'Final Data-US$'!T143-1</f>
        <v>#DIV/0!</v>
      </c>
      <c r="V200" s="60" t="e">
        <f>'Final Data-US$'!V143/'Final Data-US$'!U143-1</f>
        <v>#DIV/0!</v>
      </c>
      <c r="W200" s="106" t="e">
        <f>'Final Data-US$'!W143</f>
        <v>#DIV/0!</v>
      </c>
      <c r="X200" s="106" t="e">
        <f>'Final Data-US$'!X143</f>
        <v>#DIV/0!</v>
      </c>
    </row>
    <row r="201" spans="1:24">
      <c r="A201" s="55" t="str">
        <f>'Secondary cum Calculation'!A343</f>
        <v>Poland</v>
      </c>
      <c r="B201" s="56" t="str">
        <f>'Secondary cum Calculation'!B343</f>
        <v>Tourism Flows</v>
      </c>
      <c r="C201" s="56" t="str">
        <f>'Secondary cum Calculation'!C343</f>
        <v>International Arrivals by Place of Origin</v>
      </c>
      <c r="D201" s="56" t="str">
        <f>'Secondary cum Calculation'!D343</f>
        <v>Asia-Pacific</v>
      </c>
      <c r="E201" s="55" t="str">
        <f>'Secondary cum Calculation'!E343</f>
        <v>Myanmar</v>
      </c>
      <c r="F201" s="57" t="str">
        <f>'Secondary cum Calculation'!F343</f>
        <v>The number of international arrivals to a country originating from Myanmar</v>
      </c>
      <c r="G201" s="57" t="str">
        <f>'Secondary cum Calculation'!G343</f>
        <v>Tourism Demand &amp; Flows Database</v>
      </c>
      <c r="H201" s="57" t="str">
        <f>'Secondary cum Calculation'!H343</f>
        <v>New</v>
      </c>
      <c r="I201" s="57">
        <f>'Secondary cum Calculation'!I343</f>
        <v>0</v>
      </c>
      <c r="J201" s="57" t="str">
        <f>'Secondary cum Calculation'!J343</f>
        <v>Thousand</v>
      </c>
      <c r="K201" s="58">
        <f>'Secondary cum Calculation'!K343</f>
        <v>0</v>
      </c>
      <c r="L201" s="59"/>
      <c r="M201" s="60" t="e">
        <f>'Final Data-US$'!M144/'Final Data-US$'!L144-1</f>
        <v>#DIV/0!</v>
      </c>
      <c r="N201" s="60" t="e">
        <f>'Final Data-US$'!N144/'Final Data-US$'!M144-1</f>
        <v>#DIV/0!</v>
      </c>
      <c r="O201" s="60" t="e">
        <f>'Final Data-US$'!O144/'Final Data-US$'!N144-1</f>
        <v>#DIV/0!</v>
      </c>
      <c r="P201" s="60" t="e">
        <f>'Final Data-US$'!P144/'Final Data-US$'!O144-1</f>
        <v>#DIV/0!</v>
      </c>
      <c r="Q201" s="60" t="e">
        <f>'Final Data-US$'!Q144/'Final Data-US$'!P144-1</f>
        <v>#DIV/0!</v>
      </c>
      <c r="R201" s="60" t="e">
        <f>'Final Data-US$'!R144/'Final Data-US$'!Q144-1</f>
        <v>#DIV/0!</v>
      </c>
      <c r="S201" s="60" t="e">
        <f>'Final Data-US$'!S144/'Final Data-US$'!R144-1</f>
        <v>#DIV/0!</v>
      </c>
      <c r="T201" s="60" t="e">
        <f>'Final Data-US$'!T144/'Final Data-US$'!S144-1</f>
        <v>#DIV/0!</v>
      </c>
      <c r="U201" s="60" t="e">
        <f>'Final Data-US$'!U144/'Final Data-US$'!T144-1</f>
        <v>#DIV/0!</v>
      </c>
      <c r="V201" s="60" t="e">
        <f>'Final Data-US$'!V144/'Final Data-US$'!U144-1</f>
        <v>#DIV/0!</v>
      </c>
      <c r="W201" s="106" t="e">
        <f>'Final Data-US$'!W144</f>
        <v>#DIV/0!</v>
      </c>
      <c r="X201" s="106" t="e">
        <f>'Final Data-US$'!X144</f>
        <v>#DIV/0!</v>
      </c>
    </row>
    <row r="202" spans="1:24">
      <c r="A202" s="55" t="str">
        <f>'Secondary cum Calculation'!A345</f>
        <v>Poland</v>
      </c>
      <c r="B202" s="56" t="str">
        <f>'Secondary cum Calculation'!B345</f>
        <v>Tourism Flows</v>
      </c>
      <c r="C202" s="56" t="str">
        <f>'Secondary cum Calculation'!C345</f>
        <v>International Arrivals by Place of Origin</v>
      </c>
      <c r="D202" s="56" t="str">
        <f>'Secondary cum Calculation'!D345</f>
        <v>Asia-Pacific</v>
      </c>
      <c r="E202" s="55" t="str">
        <f>'Secondary cum Calculation'!E345</f>
        <v>Nepal</v>
      </c>
      <c r="F202" s="57" t="str">
        <f>'Secondary cum Calculation'!F345</f>
        <v>The number of international arrivals to a country originating from Nepal</v>
      </c>
      <c r="G202" s="57" t="str">
        <f>'Secondary cum Calculation'!G345</f>
        <v>Tourism Demand &amp; Flows Database</v>
      </c>
      <c r="H202" s="57" t="str">
        <f>'Secondary cum Calculation'!H345</f>
        <v>New</v>
      </c>
      <c r="I202" s="57">
        <f>'Secondary cum Calculation'!I345</f>
        <v>0</v>
      </c>
      <c r="J202" s="57" t="str">
        <f>'Secondary cum Calculation'!J345</f>
        <v>Thousand</v>
      </c>
      <c r="K202" s="58">
        <f>'Secondary cum Calculation'!K345</f>
        <v>0</v>
      </c>
      <c r="L202" s="59"/>
      <c r="M202" s="60" t="e">
        <f>'Final Data-US$'!M145/'Final Data-US$'!L145-1</f>
        <v>#DIV/0!</v>
      </c>
      <c r="N202" s="60" t="e">
        <f>'Final Data-US$'!N145/'Final Data-US$'!M145-1</f>
        <v>#DIV/0!</v>
      </c>
      <c r="O202" s="60" t="e">
        <f>'Final Data-US$'!O145/'Final Data-US$'!N145-1</f>
        <v>#DIV/0!</v>
      </c>
      <c r="P202" s="60" t="e">
        <f>'Final Data-US$'!P145/'Final Data-US$'!O145-1</f>
        <v>#DIV/0!</v>
      </c>
      <c r="Q202" s="60" t="e">
        <f>'Final Data-US$'!Q145/'Final Data-US$'!P145-1</f>
        <v>#DIV/0!</v>
      </c>
      <c r="R202" s="60" t="e">
        <f>'Final Data-US$'!R145/'Final Data-US$'!Q145-1</f>
        <v>#DIV/0!</v>
      </c>
      <c r="S202" s="60" t="e">
        <f>'Final Data-US$'!S145/'Final Data-US$'!R145-1</f>
        <v>#DIV/0!</v>
      </c>
      <c r="T202" s="60" t="e">
        <f>'Final Data-US$'!T145/'Final Data-US$'!S145-1</f>
        <v>#DIV/0!</v>
      </c>
      <c r="U202" s="60" t="e">
        <f>'Final Data-US$'!U145/'Final Data-US$'!T145-1</f>
        <v>#DIV/0!</v>
      </c>
      <c r="V202" s="60" t="e">
        <f>'Final Data-US$'!V145/'Final Data-US$'!U145-1</f>
        <v>#DIV/0!</v>
      </c>
      <c r="W202" s="106" t="e">
        <f>'Final Data-US$'!W145</f>
        <v>#DIV/0!</v>
      </c>
      <c r="X202" s="106" t="e">
        <f>'Final Data-US$'!X145</f>
        <v>#DIV/0!</v>
      </c>
    </row>
    <row r="203" spans="1:24">
      <c r="A203" s="55" t="str">
        <f>'Secondary cum Calculation'!A347</f>
        <v>Poland</v>
      </c>
      <c r="B203" s="56" t="str">
        <f>'Secondary cum Calculation'!B347</f>
        <v>Tourism Flows</v>
      </c>
      <c r="C203" s="56" t="str">
        <f>'Secondary cum Calculation'!C347</f>
        <v>International Arrivals by Place of Origin</v>
      </c>
      <c r="D203" s="56" t="str">
        <f>'Secondary cum Calculation'!D347</f>
        <v>Asia-Pacific</v>
      </c>
      <c r="E203" s="55" t="str">
        <f>'Secondary cum Calculation'!E347</f>
        <v>New Caledonia</v>
      </c>
      <c r="F203" s="57" t="str">
        <f>'Secondary cum Calculation'!F347</f>
        <v>The number of international arrivals to a country originating from New Caledonia</v>
      </c>
      <c r="G203" s="57" t="str">
        <f>'Secondary cum Calculation'!G347</f>
        <v>Tourism Demand &amp; Flows Database</v>
      </c>
      <c r="H203" s="57" t="str">
        <f>'Secondary cum Calculation'!H347</f>
        <v>New</v>
      </c>
      <c r="I203" s="57">
        <f>'Secondary cum Calculation'!I347</f>
        <v>0</v>
      </c>
      <c r="J203" s="57" t="str">
        <f>'Secondary cum Calculation'!J347</f>
        <v>Thousand</v>
      </c>
      <c r="K203" s="58">
        <f>'Secondary cum Calculation'!K347</f>
        <v>0</v>
      </c>
      <c r="L203" s="59"/>
      <c r="M203" s="60" t="e">
        <f>'Final Data-US$'!M146/'Final Data-US$'!L146-1</f>
        <v>#DIV/0!</v>
      </c>
      <c r="N203" s="60" t="e">
        <f>'Final Data-US$'!N146/'Final Data-US$'!M146-1</f>
        <v>#DIV/0!</v>
      </c>
      <c r="O203" s="60" t="e">
        <f>'Final Data-US$'!O146/'Final Data-US$'!N146-1</f>
        <v>#DIV/0!</v>
      </c>
      <c r="P203" s="60" t="e">
        <f>'Final Data-US$'!P146/'Final Data-US$'!O146-1</f>
        <v>#DIV/0!</v>
      </c>
      <c r="Q203" s="60" t="e">
        <f>'Final Data-US$'!Q146/'Final Data-US$'!P146-1</f>
        <v>#DIV/0!</v>
      </c>
      <c r="R203" s="60" t="e">
        <f>'Final Data-US$'!R146/'Final Data-US$'!Q146-1</f>
        <v>#DIV/0!</v>
      </c>
      <c r="S203" s="60" t="e">
        <f>'Final Data-US$'!S146/'Final Data-US$'!R146-1</f>
        <v>#DIV/0!</v>
      </c>
      <c r="T203" s="60" t="e">
        <f>'Final Data-US$'!T146/'Final Data-US$'!S146-1</f>
        <v>#DIV/0!</v>
      </c>
      <c r="U203" s="60" t="e">
        <f>'Final Data-US$'!U146/'Final Data-US$'!T146-1</f>
        <v>#DIV/0!</v>
      </c>
      <c r="V203" s="60" t="e">
        <f>'Final Data-US$'!V146/'Final Data-US$'!U146-1</f>
        <v>#DIV/0!</v>
      </c>
      <c r="W203" s="106" t="e">
        <f>'Final Data-US$'!W146</f>
        <v>#DIV/0!</v>
      </c>
      <c r="X203" s="106" t="e">
        <f>'Final Data-US$'!X146</f>
        <v>#DIV/0!</v>
      </c>
    </row>
    <row r="204" spans="1:24">
      <c r="A204" s="55" t="str">
        <f>'Secondary cum Calculation'!A349</f>
        <v>Poland</v>
      </c>
      <c r="B204" s="56" t="str">
        <f>'Secondary cum Calculation'!B349</f>
        <v>Tourism Flows</v>
      </c>
      <c r="C204" s="56" t="str">
        <f>'Secondary cum Calculation'!C349</f>
        <v>International Arrivals by Place of Origin</v>
      </c>
      <c r="D204" s="56" t="str">
        <f>'Secondary cum Calculation'!D349</f>
        <v>Asia-Pacific</v>
      </c>
      <c r="E204" s="55" t="str">
        <f>'Secondary cum Calculation'!E349</f>
        <v>New Zealand</v>
      </c>
      <c r="F204" s="57" t="str">
        <f>'Secondary cum Calculation'!F349</f>
        <v>The number of international arrivals to a country originating from New Zealand</v>
      </c>
      <c r="G204" s="57" t="str">
        <f>'Secondary cum Calculation'!G349</f>
        <v>Tourism Demand &amp; Flows Database</v>
      </c>
      <c r="H204" s="57" t="str">
        <f>'Secondary cum Calculation'!H349</f>
        <v>New</v>
      </c>
      <c r="I204" s="57">
        <f>'Secondary cum Calculation'!I349</f>
        <v>0</v>
      </c>
      <c r="J204" s="57" t="str">
        <f>'Secondary cum Calculation'!J349</f>
        <v>Thousand</v>
      </c>
      <c r="K204" s="58">
        <f>'Secondary cum Calculation'!K349</f>
        <v>138.48599999999999</v>
      </c>
      <c r="L204" s="59"/>
      <c r="M204" s="60" t="e">
        <f>'Final Data-US$'!M147/'Final Data-US$'!L147-1</f>
        <v>#DIV/0!</v>
      </c>
      <c r="N204" s="60" t="e">
        <f>'Final Data-US$'!N147/'Final Data-US$'!M147-1</f>
        <v>#DIV/0!</v>
      </c>
      <c r="O204" s="60" t="e">
        <f>'Final Data-US$'!O147/'Final Data-US$'!N147-1</f>
        <v>#DIV/0!</v>
      </c>
      <c r="P204" s="60" t="e">
        <f>'Final Data-US$'!P147/'Final Data-US$'!O147-1</f>
        <v>#DIV/0!</v>
      </c>
      <c r="Q204" s="60" t="e">
        <f>'Final Data-US$'!Q147/'Final Data-US$'!P147-1</f>
        <v>#DIV/0!</v>
      </c>
      <c r="R204" s="60" t="e">
        <f>'Final Data-US$'!R147/'Final Data-US$'!Q147-1</f>
        <v>#DIV/0!</v>
      </c>
      <c r="S204" s="60" t="e">
        <f>'Final Data-US$'!S147/'Final Data-US$'!R147-1</f>
        <v>#DIV/0!</v>
      </c>
      <c r="T204" s="60" t="e">
        <f>'Final Data-US$'!T147/'Final Data-US$'!S147-1</f>
        <v>#DIV/0!</v>
      </c>
      <c r="U204" s="60" t="e">
        <f>'Final Data-US$'!U147/'Final Data-US$'!T147-1</f>
        <v>#DIV/0!</v>
      </c>
      <c r="V204" s="60" t="e">
        <f>'Final Data-US$'!V147/'Final Data-US$'!U147-1</f>
        <v>#DIV/0!</v>
      </c>
      <c r="W204" s="106" t="e">
        <f>'Final Data-US$'!W147</f>
        <v>#DIV/0!</v>
      </c>
      <c r="X204" s="106" t="e">
        <f>'Final Data-US$'!X147</f>
        <v>#DIV/0!</v>
      </c>
    </row>
    <row r="205" spans="1:24">
      <c r="A205" s="55" t="str">
        <f>'Secondary cum Calculation'!A351</f>
        <v>Poland</v>
      </c>
      <c r="B205" s="56" t="str">
        <f>'Secondary cum Calculation'!B351</f>
        <v>Tourism Flows</v>
      </c>
      <c r="C205" s="56" t="str">
        <f>'Secondary cum Calculation'!C351</f>
        <v>International Arrivals by Place of Origin</v>
      </c>
      <c r="D205" s="56" t="str">
        <f>'Secondary cum Calculation'!D351</f>
        <v>Asia-Pacific</v>
      </c>
      <c r="E205" s="55" t="str">
        <f>'Secondary cum Calculation'!E351</f>
        <v>Pakistan</v>
      </c>
      <c r="F205" s="57" t="str">
        <f>'Secondary cum Calculation'!F351</f>
        <v>The number of international arrivals to a country originating from Pakistan</v>
      </c>
      <c r="G205" s="57" t="str">
        <f>'Secondary cum Calculation'!G351</f>
        <v>Tourism Demand &amp; Flows Database</v>
      </c>
      <c r="H205" s="57" t="str">
        <f>'Secondary cum Calculation'!H351</f>
        <v>New</v>
      </c>
      <c r="I205" s="57">
        <f>'Secondary cum Calculation'!I351</f>
        <v>0</v>
      </c>
      <c r="J205" s="57" t="str">
        <f>'Secondary cum Calculation'!J351</f>
        <v>Thousand</v>
      </c>
      <c r="K205" s="58">
        <f>'Secondary cum Calculation'!K351</f>
        <v>0</v>
      </c>
      <c r="L205" s="59"/>
      <c r="M205" s="60" t="e">
        <f>'Final Data-US$'!M148/'Final Data-US$'!L148-1</f>
        <v>#DIV/0!</v>
      </c>
      <c r="N205" s="60" t="e">
        <f>'Final Data-US$'!N148/'Final Data-US$'!M148-1</f>
        <v>#DIV/0!</v>
      </c>
      <c r="O205" s="100" t="e">
        <f>'Final Data-US$'!O148/'Final Data-US$'!N148-1</f>
        <v>#DIV/0!</v>
      </c>
      <c r="P205" s="60" t="e">
        <f>'Final Data-US$'!P148/'Final Data-US$'!O148-1</f>
        <v>#DIV/0!</v>
      </c>
      <c r="Q205" s="60" t="e">
        <f>'Final Data-US$'!Q148/'Final Data-US$'!P148-1</f>
        <v>#DIV/0!</v>
      </c>
      <c r="R205" s="60" t="e">
        <f>'Final Data-US$'!R148/'Final Data-US$'!Q148-1</f>
        <v>#DIV/0!</v>
      </c>
      <c r="S205" s="60" t="e">
        <f>'Final Data-US$'!S148/'Final Data-US$'!R148-1</f>
        <v>#DIV/0!</v>
      </c>
      <c r="T205" s="60" t="e">
        <f>'Final Data-US$'!T148/'Final Data-US$'!S148-1</f>
        <v>#DIV/0!</v>
      </c>
      <c r="U205" s="60" t="e">
        <f>'Final Data-US$'!U148/'Final Data-US$'!T148-1</f>
        <v>#DIV/0!</v>
      </c>
      <c r="V205" s="60" t="e">
        <f>'Final Data-US$'!V148/'Final Data-US$'!U148-1</f>
        <v>#DIV/0!</v>
      </c>
      <c r="W205" s="106" t="e">
        <f>'Final Data-US$'!W148</f>
        <v>#DIV/0!</v>
      </c>
      <c r="X205" s="106" t="e">
        <f>'Final Data-US$'!X148</f>
        <v>#DIV/0!</v>
      </c>
    </row>
    <row r="206" spans="1:24">
      <c r="A206" s="55" t="str">
        <f>'Secondary cum Calculation'!A353</f>
        <v>Poland</v>
      </c>
      <c r="B206" s="56" t="str">
        <f>'Secondary cum Calculation'!B353</f>
        <v>Tourism Flows</v>
      </c>
      <c r="C206" s="56" t="str">
        <f>'Secondary cum Calculation'!C353</f>
        <v>International Arrivals by Place of Origin</v>
      </c>
      <c r="D206" s="56" t="str">
        <f>'Secondary cum Calculation'!D353</f>
        <v>Asia-Pacific</v>
      </c>
      <c r="E206" s="55" t="str">
        <f>'Secondary cum Calculation'!E353</f>
        <v>Papua New Guinea</v>
      </c>
      <c r="F206" s="57" t="str">
        <f>'Secondary cum Calculation'!F353</f>
        <v>The number of international arrivals to a country originating from Papua New Guinea</v>
      </c>
      <c r="G206" s="57" t="str">
        <f>'Secondary cum Calculation'!G353</f>
        <v>Tourism Demand &amp; Flows Database</v>
      </c>
      <c r="H206" s="57" t="str">
        <f>'Secondary cum Calculation'!H353</f>
        <v>New</v>
      </c>
      <c r="I206" s="57">
        <f>'Secondary cum Calculation'!I353</f>
        <v>0</v>
      </c>
      <c r="J206" s="57" t="str">
        <f>'Secondary cum Calculation'!J353</f>
        <v>Thousand</v>
      </c>
      <c r="K206" s="58">
        <f>'Secondary cum Calculation'!K353</f>
        <v>0</v>
      </c>
      <c r="L206" s="59"/>
      <c r="M206" s="60" t="e">
        <f>'Final Data-US$'!M149/'Final Data-US$'!L149-1</f>
        <v>#DIV/0!</v>
      </c>
      <c r="N206" s="60" t="e">
        <f>'Final Data-US$'!N149/'Final Data-US$'!M149-1</f>
        <v>#DIV/0!</v>
      </c>
      <c r="O206" s="100" t="e">
        <f>'Final Data-US$'!O149/'Final Data-US$'!N149-1</f>
        <v>#DIV/0!</v>
      </c>
      <c r="P206" s="60" t="e">
        <f>'Final Data-US$'!P149/'Final Data-US$'!O149-1</f>
        <v>#DIV/0!</v>
      </c>
      <c r="Q206" s="60" t="e">
        <f>'Final Data-US$'!Q149/'Final Data-US$'!P149-1</f>
        <v>#DIV/0!</v>
      </c>
      <c r="R206" s="60" t="e">
        <f>'Final Data-US$'!R149/'Final Data-US$'!Q149-1</f>
        <v>#DIV/0!</v>
      </c>
      <c r="S206" s="60" t="e">
        <f>'Final Data-US$'!S149/'Final Data-US$'!R149-1</f>
        <v>#DIV/0!</v>
      </c>
      <c r="T206" s="60" t="e">
        <f>'Final Data-US$'!T149/'Final Data-US$'!S149-1</f>
        <v>#DIV/0!</v>
      </c>
      <c r="U206" s="60" t="e">
        <f>'Final Data-US$'!U149/'Final Data-US$'!T149-1</f>
        <v>#DIV/0!</v>
      </c>
      <c r="V206" s="60" t="e">
        <f>'Final Data-US$'!V149/'Final Data-US$'!U149-1</f>
        <v>#DIV/0!</v>
      </c>
      <c r="W206" s="106" t="e">
        <f>'Final Data-US$'!W149</f>
        <v>#DIV/0!</v>
      </c>
      <c r="X206" s="106" t="e">
        <f>'Final Data-US$'!X149</f>
        <v>#DIV/0!</v>
      </c>
    </row>
    <row r="207" spans="1:24">
      <c r="A207" s="55" t="str">
        <f>'Secondary cum Calculation'!A355</f>
        <v>Poland</v>
      </c>
      <c r="B207" s="56" t="str">
        <f>'Secondary cum Calculation'!B355</f>
        <v>Tourism Flows</v>
      </c>
      <c r="C207" s="56" t="str">
        <f>'Secondary cum Calculation'!C355</f>
        <v>International Arrivals by Place of Origin</v>
      </c>
      <c r="D207" s="56" t="str">
        <f>'Secondary cum Calculation'!D355</f>
        <v>Asia-Pacific</v>
      </c>
      <c r="E207" s="55" t="str">
        <f>'Secondary cum Calculation'!E355</f>
        <v>Philippines</v>
      </c>
      <c r="F207" s="57" t="str">
        <f>'Secondary cum Calculation'!F355</f>
        <v>The number of international arrivals to a country originating from Philippines</v>
      </c>
      <c r="G207" s="57" t="str">
        <f>'Secondary cum Calculation'!G355</f>
        <v>Tourism Demand &amp; Flows Database</v>
      </c>
      <c r="H207" s="57" t="str">
        <f>'Secondary cum Calculation'!H355</f>
        <v>New</v>
      </c>
      <c r="I207" s="57">
        <f>'Secondary cum Calculation'!I355</f>
        <v>0</v>
      </c>
      <c r="J207" s="57" t="str">
        <f>'Secondary cum Calculation'!J355</f>
        <v>Thousand</v>
      </c>
      <c r="K207" s="58">
        <f>'Secondary cum Calculation'!K355</f>
        <v>153.887</v>
      </c>
      <c r="L207" s="59"/>
      <c r="M207" s="60" t="e">
        <f>'Final Data-US$'!M150/'Final Data-US$'!L150-1</f>
        <v>#DIV/0!</v>
      </c>
      <c r="N207" s="60" t="e">
        <f>'Final Data-US$'!N150/'Final Data-US$'!M150-1</f>
        <v>#DIV/0!</v>
      </c>
      <c r="O207" s="60" t="e">
        <f>'Final Data-US$'!O150/'Final Data-US$'!N150-1</f>
        <v>#DIV/0!</v>
      </c>
      <c r="P207" s="60" t="e">
        <f>'Final Data-US$'!P150/'Final Data-US$'!O150-1</f>
        <v>#DIV/0!</v>
      </c>
      <c r="Q207" s="60" t="e">
        <f>'Final Data-US$'!Q150/'Final Data-US$'!P150-1</f>
        <v>#DIV/0!</v>
      </c>
      <c r="R207" s="60" t="e">
        <f>'Final Data-US$'!R150/'Final Data-US$'!Q150-1</f>
        <v>#DIV/0!</v>
      </c>
      <c r="S207" s="60" t="e">
        <f>'Final Data-US$'!S150/'Final Data-US$'!R150-1</f>
        <v>#DIV/0!</v>
      </c>
      <c r="T207" s="60" t="e">
        <f>'Final Data-US$'!T150/'Final Data-US$'!S150-1</f>
        <v>#DIV/0!</v>
      </c>
      <c r="U207" s="60" t="e">
        <f>'Final Data-US$'!U150/'Final Data-US$'!T150-1</f>
        <v>#DIV/0!</v>
      </c>
      <c r="V207" s="60" t="e">
        <f>'Final Data-US$'!V150/'Final Data-US$'!U150-1</f>
        <v>#DIV/0!</v>
      </c>
      <c r="W207" s="106" t="e">
        <f>'Final Data-US$'!W150</f>
        <v>#DIV/0!</v>
      </c>
      <c r="X207" s="106" t="e">
        <f>'Final Data-US$'!X150</f>
        <v>#DIV/0!</v>
      </c>
    </row>
    <row r="208" spans="1:24">
      <c r="A208" s="55" t="str">
        <f>'Secondary cum Calculation'!A357</f>
        <v>Poland</v>
      </c>
      <c r="B208" s="56" t="str">
        <f>'Secondary cum Calculation'!B357</f>
        <v>Tourism Flows</v>
      </c>
      <c r="C208" s="56" t="str">
        <f>'Secondary cum Calculation'!C357</f>
        <v>International Arrivals by Place of Origin</v>
      </c>
      <c r="D208" s="56" t="str">
        <f>'Secondary cum Calculation'!D357</f>
        <v>Asia-Pacific</v>
      </c>
      <c r="E208" s="55" t="str">
        <f>'Secondary cum Calculation'!E357</f>
        <v>Republic of Korea</v>
      </c>
      <c r="F208" s="57" t="str">
        <f>'Secondary cum Calculation'!F357</f>
        <v>The number of international arrivals to a country originating from Republic of Korea</v>
      </c>
      <c r="G208" s="57" t="str">
        <f>'Secondary cum Calculation'!G357</f>
        <v>Tourism Demand &amp; Flows Database</v>
      </c>
      <c r="H208" s="57" t="str">
        <f>'Secondary cum Calculation'!H357</f>
        <v>New</v>
      </c>
      <c r="I208" s="57">
        <f>'Secondary cum Calculation'!I357</f>
        <v>0</v>
      </c>
      <c r="J208" s="57" t="str">
        <f>'Secondary cum Calculation'!J357</f>
        <v>Thousand</v>
      </c>
      <c r="K208" s="58">
        <f>'Secondary cum Calculation'!K357</f>
        <v>757.721</v>
      </c>
      <c r="L208" s="59"/>
      <c r="M208" s="60">
        <f>'Final Data-US$'!M151/'Final Data-US$'!L151-1</f>
        <v>-0.19649152833551831</v>
      </c>
      <c r="N208" s="60">
        <f>'Final Data-US$'!N151/'Final Data-US$'!M151-1</f>
        <v>-0.21606522683373663</v>
      </c>
      <c r="O208" s="60">
        <f>'Final Data-US$'!O151/'Final Data-US$'!N151-1</f>
        <v>0.33216540242109138</v>
      </c>
      <c r="P208" s="60">
        <f>'Final Data-US$'!P151/'Final Data-US$'!O151-1</f>
        <v>1.9765291473189395E-2</v>
      </c>
      <c r="Q208" s="60">
        <f>'Final Data-US$'!Q151/'Final Data-US$'!P151-1</f>
        <v>0.10229402067731508</v>
      </c>
      <c r="R208" s="60">
        <f>'Final Data-US$'!R151/'Final Data-US$'!Q151-1</f>
        <v>-1</v>
      </c>
      <c r="S208" s="60" t="e">
        <f>'Final Data-US$'!S151/'Final Data-US$'!R151-1</f>
        <v>#DIV/0!</v>
      </c>
      <c r="T208" s="60" t="e">
        <f>'Final Data-US$'!T151/'Final Data-US$'!S151-1</f>
        <v>#DIV/0!</v>
      </c>
      <c r="U208" s="60" t="e">
        <f>'Final Data-US$'!U151/'Final Data-US$'!T151-1</f>
        <v>#DIV/0!</v>
      </c>
      <c r="V208" s="60" t="e">
        <f>'Final Data-US$'!V151/'Final Data-US$'!U151-1</f>
        <v>#DIV/0!</v>
      </c>
      <c r="W208" s="106">
        <f>'Final Data-US$'!W151</f>
        <v>4.0899834144072278E-2</v>
      </c>
      <c r="X208" s="106">
        <f>'Final Data-US$'!X151</f>
        <v>-1</v>
      </c>
    </row>
    <row r="209" spans="1:24">
      <c r="A209" s="55" t="str">
        <f>'Secondary cum Calculation'!A359</f>
        <v>Poland</v>
      </c>
      <c r="B209" s="56" t="str">
        <f>'Secondary cum Calculation'!B359</f>
        <v>Tourism Flows</v>
      </c>
      <c r="C209" s="56" t="str">
        <f>'Secondary cum Calculation'!C359</f>
        <v>International Arrivals by Place of Origin</v>
      </c>
      <c r="D209" s="56" t="str">
        <f>'Secondary cum Calculation'!D359</f>
        <v>Asia-Pacific</v>
      </c>
      <c r="E209" s="55" t="str">
        <f>'Secondary cum Calculation'!E359</f>
        <v>Samoa</v>
      </c>
      <c r="F209" s="57" t="str">
        <f>'Secondary cum Calculation'!F359</f>
        <v>The number of international arrivals to a country originating from Samoa</v>
      </c>
      <c r="G209" s="57" t="str">
        <f>'Secondary cum Calculation'!G359</f>
        <v>Tourism Demand &amp; Flows Database</v>
      </c>
      <c r="H209" s="57" t="str">
        <f>'Secondary cum Calculation'!H359</f>
        <v>New</v>
      </c>
      <c r="I209" s="57">
        <f>'Secondary cum Calculation'!I359</f>
        <v>0</v>
      </c>
      <c r="J209" s="57" t="str">
        <f>'Secondary cum Calculation'!J359</f>
        <v>Thousand</v>
      </c>
      <c r="K209" s="58">
        <f>'Secondary cum Calculation'!K359</f>
        <v>0</v>
      </c>
      <c r="L209" s="59"/>
      <c r="M209" s="60" t="e">
        <f>'Final Data-US$'!M152/'Final Data-US$'!L152-1</f>
        <v>#DIV/0!</v>
      </c>
      <c r="N209" s="60" t="e">
        <f>'Final Data-US$'!N152/'Final Data-US$'!M152-1</f>
        <v>#DIV/0!</v>
      </c>
      <c r="O209" s="100" t="e">
        <f>'Final Data-US$'!O152/'Final Data-US$'!N152-1</f>
        <v>#DIV/0!</v>
      </c>
      <c r="P209" s="60" t="e">
        <f>'Final Data-US$'!P152/'Final Data-US$'!O152-1</f>
        <v>#DIV/0!</v>
      </c>
      <c r="Q209" s="60" t="e">
        <f>'Final Data-US$'!Q152/'Final Data-US$'!P152-1</f>
        <v>#DIV/0!</v>
      </c>
      <c r="R209" s="60" t="e">
        <f>'Final Data-US$'!R152/'Final Data-US$'!Q152-1</f>
        <v>#DIV/0!</v>
      </c>
      <c r="S209" s="60" t="e">
        <f>'Final Data-US$'!S152/'Final Data-US$'!R152-1</f>
        <v>#DIV/0!</v>
      </c>
      <c r="T209" s="60" t="e">
        <f>'Final Data-US$'!T152/'Final Data-US$'!S152-1</f>
        <v>#DIV/0!</v>
      </c>
      <c r="U209" s="60" t="e">
        <f>'Final Data-US$'!U152/'Final Data-US$'!T152-1</f>
        <v>#DIV/0!</v>
      </c>
      <c r="V209" s="60" t="e">
        <f>'Final Data-US$'!V152/'Final Data-US$'!U152-1</f>
        <v>#DIV/0!</v>
      </c>
      <c r="W209" s="106" t="e">
        <f>'Final Data-US$'!W152</f>
        <v>#DIV/0!</v>
      </c>
      <c r="X209" s="106" t="e">
        <f>'Final Data-US$'!X152</f>
        <v>#DIV/0!</v>
      </c>
    </row>
    <row r="210" spans="1:24">
      <c r="A210" s="55" t="str">
        <f>'Secondary cum Calculation'!A361</f>
        <v>Poland</v>
      </c>
      <c r="B210" s="56" t="str">
        <f>'Secondary cum Calculation'!B361</f>
        <v>Tourism Flows</v>
      </c>
      <c r="C210" s="56" t="str">
        <f>'Secondary cum Calculation'!C361</f>
        <v>International Arrivals by Place of Origin</v>
      </c>
      <c r="D210" s="56" t="str">
        <f>'Secondary cum Calculation'!D361</f>
        <v>Asia-Pacific</v>
      </c>
      <c r="E210" s="55" t="str">
        <f>'Secondary cum Calculation'!E361</f>
        <v>Singapore</v>
      </c>
      <c r="F210" s="57" t="str">
        <f>'Secondary cum Calculation'!F361</f>
        <v>The number of international arrivals to a country originating from Singapore</v>
      </c>
      <c r="G210" s="57" t="str">
        <f>'Secondary cum Calculation'!G361</f>
        <v>Tourism Demand &amp; Flows Database</v>
      </c>
      <c r="H210" s="57" t="str">
        <f>'Secondary cum Calculation'!H361</f>
        <v>New</v>
      </c>
      <c r="I210" s="57">
        <f>'Secondary cum Calculation'!I361</f>
        <v>0</v>
      </c>
      <c r="J210" s="57" t="str">
        <f>'Secondary cum Calculation'!J361</f>
        <v>Thousand</v>
      </c>
      <c r="K210" s="58">
        <f>'Secondary cum Calculation'!K361</f>
        <v>122.995</v>
      </c>
      <c r="L210" s="59"/>
      <c r="M210" s="60" t="e">
        <f>'Final Data-US$'!M153/'Final Data-US$'!L153-1</f>
        <v>#DIV/0!</v>
      </c>
      <c r="N210" s="60" t="e">
        <f>'Final Data-US$'!N153/'Final Data-US$'!M153-1</f>
        <v>#DIV/0!</v>
      </c>
      <c r="O210" s="60" t="e">
        <f>'Final Data-US$'!O153/'Final Data-US$'!N153-1</f>
        <v>#DIV/0!</v>
      </c>
      <c r="P210" s="60" t="e">
        <f>'Final Data-US$'!P153/'Final Data-US$'!O153-1</f>
        <v>#DIV/0!</v>
      </c>
      <c r="Q210" s="60" t="e">
        <f>'Final Data-US$'!Q153/'Final Data-US$'!P153-1</f>
        <v>#DIV/0!</v>
      </c>
      <c r="R210" s="60" t="e">
        <f>'Final Data-US$'!R153/'Final Data-US$'!Q153-1</f>
        <v>#DIV/0!</v>
      </c>
      <c r="S210" s="60" t="e">
        <f>'Final Data-US$'!S153/'Final Data-US$'!R153-1</f>
        <v>#DIV/0!</v>
      </c>
      <c r="T210" s="60" t="e">
        <f>'Final Data-US$'!T153/'Final Data-US$'!S153-1</f>
        <v>#DIV/0!</v>
      </c>
      <c r="U210" s="60" t="e">
        <f>'Final Data-US$'!U153/'Final Data-US$'!T153-1</f>
        <v>#DIV/0!</v>
      </c>
      <c r="V210" s="60" t="e">
        <f>'Final Data-US$'!V153/'Final Data-US$'!U153-1</f>
        <v>#DIV/0!</v>
      </c>
      <c r="W210" s="106" t="e">
        <f>'Final Data-US$'!W153</f>
        <v>#DIV/0!</v>
      </c>
      <c r="X210" s="106" t="e">
        <f>'Final Data-US$'!X153</f>
        <v>#DIV/0!</v>
      </c>
    </row>
    <row r="211" spans="1:24">
      <c r="A211" s="55" t="str">
        <f>'Secondary cum Calculation'!A363</f>
        <v>Poland</v>
      </c>
      <c r="B211" s="56" t="str">
        <f>'Secondary cum Calculation'!B363</f>
        <v>Tourism Flows</v>
      </c>
      <c r="C211" s="56" t="str">
        <f>'Secondary cum Calculation'!C363</f>
        <v>International Arrivals by Place of Origin</v>
      </c>
      <c r="D211" s="56" t="str">
        <f>'Secondary cum Calculation'!D363</f>
        <v>Asia-Pacific</v>
      </c>
      <c r="E211" s="55" t="str">
        <f>'Secondary cum Calculation'!E363</f>
        <v>Solomon Islands</v>
      </c>
      <c r="F211" s="57" t="str">
        <f>'Secondary cum Calculation'!F363</f>
        <v>The number of international arrivals to a country originating from Solomon Islands</v>
      </c>
      <c r="G211" s="57" t="str">
        <f>'Secondary cum Calculation'!G363</f>
        <v>Tourism Demand &amp; Flows Database</v>
      </c>
      <c r="H211" s="57" t="str">
        <f>'Secondary cum Calculation'!H363</f>
        <v>New</v>
      </c>
      <c r="I211" s="57">
        <f>'Secondary cum Calculation'!I363</f>
        <v>0</v>
      </c>
      <c r="J211" s="57" t="str">
        <f>'Secondary cum Calculation'!J363</f>
        <v>Thousand</v>
      </c>
      <c r="K211" s="58">
        <f>'Secondary cum Calculation'!K363</f>
        <v>0</v>
      </c>
      <c r="L211" s="59"/>
      <c r="M211" s="60" t="e">
        <f>'Final Data-US$'!M154/'Final Data-US$'!L154-1</f>
        <v>#DIV/0!</v>
      </c>
      <c r="N211" s="60" t="e">
        <f>'Final Data-US$'!N154/'Final Data-US$'!M154-1</f>
        <v>#DIV/0!</v>
      </c>
      <c r="O211" s="100" t="e">
        <f>'Final Data-US$'!O154/'Final Data-US$'!N154-1</f>
        <v>#DIV/0!</v>
      </c>
      <c r="P211" s="60" t="e">
        <f>'Final Data-US$'!P154/'Final Data-US$'!O154-1</f>
        <v>#DIV/0!</v>
      </c>
      <c r="Q211" s="60" t="e">
        <f>'Final Data-US$'!Q154/'Final Data-US$'!P154-1</f>
        <v>#DIV/0!</v>
      </c>
      <c r="R211" s="60" t="e">
        <f>'Final Data-US$'!R154/'Final Data-US$'!Q154-1</f>
        <v>#DIV/0!</v>
      </c>
      <c r="S211" s="60" t="e">
        <f>'Final Data-US$'!S154/'Final Data-US$'!R154-1</f>
        <v>#DIV/0!</v>
      </c>
      <c r="T211" s="60" t="e">
        <f>'Final Data-US$'!T154/'Final Data-US$'!S154-1</f>
        <v>#DIV/0!</v>
      </c>
      <c r="U211" s="60" t="e">
        <f>'Final Data-US$'!U154/'Final Data-US$'!T154-1</f>
        <v>#DIV/0!</v>
      </c>
      <c r="V211" s="60" t="e">
        <f>'Final Data-US$'!V154/'Final Data-US$'!U154-1</f>
        <v>#DIV/0!</v>
      </c>
      <c r="W211" s="106" t="e">
        <f>'Final Data-US$'!W154</f>
        <v>#DIV/0!</v>
      </c>
      <c r="X211" s="106" t="e">
        <f>'Final Data-US$'!X154</f>
        <v>#DIV/0!</v>
      </c>
    </row>
    <row r="212" spans="1:24">
      <c r="A212" s="55" t="str">
        <f>'Secondary cum Calculation'!A365</f>
        <v>Poland</v>
      </c>
      <c r="B212" s="56" t="str">
        <f>'Secondary cum Calculation'!B365</f>
        <v>Tourism Flows</v>
      </c>
      <c r="C212" s="56" t="str">
        <f>'Secondary cum Calculation'!C365</f>
        <v>International Arrivals by Place of Origin</v>
      </c>
      <c r="D212" s="56" t="str">
        <f>'Secondary cum Calculation'!D365</f>
        <v>Asia-Pacific</v>
      </c>
      <c r="E212" s="55" t="str">
        <f>'Secondary cum Calculation'!E365</f>
        <v>Sri Lanka</v>
      </c>
      <c r="F212" s="57" t="str">
        <f>'Secondary cum Calculation'!F365</f>
        <v>The number of international arrivals to a country originating from Sri Lanka</v>
      </c>
      <c r="G212" s="57" t="str">
        <f>'Secondary cum Calculation'!G365</f>
        <v>Tourism Demand &amp; Flows Database</v>
      </c>
      <c r="H212" s="57" t="str">
        <f>'Secondary cum Calculation'!H365</f>
        <v>New</v>
      </c>
      <c r="I212" s="57">
        <f>'Secondary cum Calculation'!I365</f>
        <v>0</v>
      </c>
      <c r="J212" s="57" t="str">
        <f>'Secondary cum Calculation'!J365</f>
        <v>Thousand</v>
      </c>
      <c r="K212" s="58">
        <f>'Secondary cum Calculation'!K365</f>
        <v>0</v>
      </c>
      <c r="L212" s="59"/>
      <c r="M212" s="60" t="e">
        <f>'Final Data-US$'!M155/'Final Data-US$'!L155-1</f>
        <v>#DIV/0!</v>
      </c>
      <c r="N212" s="60" t="e">
        <f>'Final Data-US$'!N155/'Final Data-US$'!M155-1</f>
        <v>#DIV/0!</v>
      </c>
      <c r="O212" s="60" t="e">
        <f>'Final Data-US$'!O155/'Final Data-US$'!N155-1</f>
        <v>#DIV/0!</v>
      </c>
      <c r="P212" s="60" t="e">
        <f>'Final Data-US$'!P155/'Final Data-US$'!O155-1</f>
        <v>#DIV/0!</v>
      </c>
      <c r="Q212" s="60" t="e">
        <f>'Final Data-US$'!Q155/'Final Data-US$'!P155-1</f>
        <v>#DIV/0!</v>
      </c>
      <c r="R212" s="60" t="e">
        <f>'Final Data-US$'!R155/'Final Data-US$'!Q155-1</f>
        <v>#DIV/0!</v>
      </c>
      <c r="S212" s="60" t="e">
        <f>'Final Data-US$'!S155/'Final Data-US$'!R155-1</f>
        <v>#DIV/0!</v>
      </c>
      <c r="T212" s="60" t="e">
        <f>'Final Data-US$'!T155/'Final Data-US$'!S155-1</f>
        <v>#DIV/0!</v>
      </c>
      <c r="U212" s="60" t="e">
        <f>'Final Data-US$'!U155/'Final Data-US$'!T155-1</f>
        <v>#DIV/0!</v>
      </c>
      <c r="V212" s="60" t="e">
        <f>'Final Data-US$'!V155/'Final Data-US$'!U155-1</f>
        <v>#DIV/0!</v>
      </c>
      <c r="W212" s="106" t="e">
        <f>'Final Data-US$'!W155</f>
        <v>#DIV/0!</v>
      </c>
      <c r="X212" s="106" t="e">
        <f>'Final Data-US$'!X155</f>
        <v>#DIV/0!</v>
      </c>
    </row>
    <row r="213" spans="1:24">
      <c r="A213" s="55" t="str">
        <f>'Secondary cum Calculation'!A367</f>
        <v>Poland</v>
      </c>
      <c r="B213" s="56" t="str">
        <f>'Secondary cum Calculation'!B367</f>
        <v>Tourism Flows</v>
      </c>
      <c r="C213" s="56" t="str">
        <f>'Secondary cum Calculation'!C367</f>
        <v>International Arrivals by Place of Origin</v>
      </c>
      <c r="D213" s="56" t="str">
        <f>'Secondary cum Calculation'!D367</f>
        <v>Asia-Pacific</v>
      </c>
      <c r="E213" s="55" t="str">
        <f>'Secondary cum Calculation'!E367</f>
        <v>Tajikistan</v>
      </c>
      <c r="F213" s="57" t="str">
        <f>'Secondary cum Calculation'!F367</f>
        <v>The number of international arrivals to a country originating from Tajikistan</v>
      </c>
      <c r="G213" s="57" t="str">
        <f>'Secondary cum Calculation'!G367</f>
        <v>Tourism Demand &amp; Flows Database</v>
      </c>
      <c r="H213" s="57" t="str">
        <f>'Secondary cum Calculation'!H367</f>
        <v>New</v>
      </c>
      <c r="I213" s="57">
        <f>'Secondary cum Calculation'!I367</f>
        <v>0</v>
      </c>
      <c r="J213" s="57" t="str">
        <f>'Secondary cum Calculation'!J367</f>
        <v>Thousand</v>
      </c>
      <c r="K213" s="58">
        <f>'Secondary cum Calculation'!K367</f>
        <v>0</v>
      </c>
      <c r="L213" s="59"/>
      <c r="M213" s="60" t="e">
        <f>'Final Data-US$'!M156/'Final Data-US$'!L156-1</f>
        <v>#DIV/0!</v>
      </c>
      <c r="N213" s="60" t="e">
        <f>'Final Data-US$'!N156/'Final Data-US$'!M156-1</f>
        <v>#DIV/0!</v>
      </c>
      <c r="O213" s="60" t="e">
        <f>'Final Data-US$'!O156/'Final Data-US$'!N156-1</f>
        <v>#DIV/0!</v>
      </c>
      <c r="P213" s="60" t="e">
        <f>'Final Data-US$'!P156/'Final Data-US$'!O156-1</f>
        <v>#DIV/0!</v>
      </c>
      <c r="Q213" s="60" t="e">
        <f>'Final Data-US$'!Q156/'Final Data-US$'!P156-1</f>
        <v>#DIV/0!</v>
      </c>
      <c r="R213" s="60" t="e">
        <f>'Final Data-US$'!R156/'Final Data-US$'!Q156-1</f>
        <v>#DIV/0!</v>
      </c>
      <c r="S213" s="60" t="e">
        <f>'Final Data-US$'!S156/'Final Data-US$'!R156-1</f>
        <v>#DIV/0!</v>
      </c>
      <c r="T213" s="60" t="e">
        <f>'Final Data-US$'!T156/'Final Data-US$'!S156-1</f>
        <v>#DIV/0!</v>
      </c>
      <c r="U213" s="60" t="e">
        <f>'Final Data-US$'!U156/'Final Data-US$'!T156-1</f>
        <v>#DIV/0!</v>
      </c>
      <c r="V213" s="60" t="e">
        <f>'Final Data-US$'!V156/'Final Data-US$'!U156-1</f>
        <v>#DIV/0!</v>
      </c>
      <c r="W213" s="106" t="e">
        <f>'Final Data-US$'!W156</f>
        <v>#DIV/0!</v>
      </c>
      <c r="X213" s="106" t="e">
        <f>'Final Data-US$'!X156</f>
        <v>#DIV/0!</v>
      </c>
    </row>
    <row r="214" spans="1:24">
      <c r="A214" s="55" t="str">
        <f>'Secondary cum Calculation'!A369</f>
        <v>Poland</v>
      </c>
      <c r="B214" s="56" t="str">
        <f>'Secondary cum Calculation'!B369</f>
        <v>Tourism Flows</v>
      </c>
      <c r="C214" s="56" t="str">
        <f>'Secondary cum Calculation'!C369</f>
        <v>International Arrivals by Place of Origin</v>
      </c>
      <c r="D214" s="56" t="str">
        <f>'Secondary cum Calculation'!D369</f>
        <v>Asia-Pacific</v>
      </c>
      <c r="E214" s="55" t="str">
        <f>'Secondary cum Calculation'!E369</f>
        <v>Thailand</v>
      </c>
      <c r="F214" s="57" t="str">
        <f>'Secondary cum Calculation'!F369</f>
        <v>The number of international arrivals to a country originating from Thailand</v>
      </c>
      <c r="G214" s="57" t="str">
        <f>'Secondary cum Calculation'!G369</f>
        <v>Tourism Demand &amp; Flows Database</v>
      </c>
      <c r="H214" s="57" t="str">
        <f>'Secondary cum Calculation'!H369</f>
        <v>New</v>
      </c>
      <c r="I214" s="57">
        <f>'Secondary cum Calculation'!I369</f>
        <v>0</v>
      </c>
      <c r="J214" s="57" t="str">
        <f>'Secondary cum Calculation'!J369</f>
        <v>Thousand</v>
      </c>
      <c r="K214" s="58">
        <f>'Secondary cum Calculation'!K369</f>
        <v>0</v>
      </c>
      <c r="L214" s="59"/>
      <c r="M214" s="60" t="e">
        <f>'Final Data-US$'!M157/'Final Data-US$'!L157-1</f>
        <v>#DIV/0!</v>
      </c>
      <c r="N214" s="60" t="e">
        <f>'Final Data-US$'!N157/'Final Data-US$'!M157-1</f>
        <v>#DIV/0!</v>
      </c>
      <c r="O214" s="60" t="e">
        <f>'Final Data-US$'!O157/'Final Data-US$'!N157-1</f>
        <v>#DIV/0!</v>
      </c>
      <c r="P214" s="60" t="e">
        <f>'Final Data-US$'!P157/'Final Data-US$'!O157-1</f>
        <v>#DIV/0!</v>
      </c>
      <c r="Q214" s="60" t="e">
        <f>'Final Data-US$'!Q157/'Final Data-US$'!P157-1</f>
        <v>#DIV/0!</v>
      </c>
      <c r="R214" s="60" t="e">
        <f>'Final Data-US$'!R157/'Final Data-US$'!Q157-1</f>
        <v>#DIV/0!</v>
      </c>
      <c r="S214" s="60" t="e">
        <f>'Final Data-US$'!S157/'Final Data-US$'!R157-1</f>
        <v>#DIV/0!</v>
      </c>
      <c r="T214" s="60" t="e">
        <f>'Final Data-US$'!T157/'Final Data-US$'!S157-1</f>
        <v>#DIV/0!</v>
      </c>
      <c r="U214" s="60" t="e">
        <f>'Final Data-US$'!U157/'Final Data-US$'!T157-1</f>
        <v>#DIV/0!</v>
      </c>
      <c r="V214" s="60" t="e">
        <f>'Final Data-US$'!V157/'Final Data-US$'!U157-1</f>
        <v>#DIV/0!</v>
      </c>
      <c r="W214" s="106" t="e">
        <f>'Final Data-US$'!W157</f>
        <v>#DIV/0!</v>
      </c>
      <c r="X214" s="106" t="e">
        <f>'Final Data-US$'!X157</f>
        <v>#DIV/0!</v>
      </c>
    </row>
    <row r="215" spans="1:24">
      <c r="A215" s="55" t="str">
        <f>'Secondary cum Calculation'!A371</f>
        <v>Poland</v>
      </c>
      <c r="B215" s="56" t="str">
        <f>'Secondary cum Calculation'!B371</f>
        <v>Tourism Flows</v>
      </c>
      <c r="C215" s="56" t="str">
        <f>'Secondary cum Calculation'!C371</f>
        <v>International Arrivals by Place of Origin</v>
      </c>
      <c r="D215" s="56" t="str">
        <f>'Secondary cum Calculation'!D371</f>
        <v>Asia-Pacific</v>
      </c>
      <c r="E215" s="55" t="str">
        <f>'Secondary cum Calculation'!E371</f>
        <v>Timor-Leste</v>
      </c>
      <c r="F215" s="57" t="str">
        <f>'Secondary cum Calculation'!F371</f>
        <v>The number of international arrivals to a country originating from Timor-Leste</v>
      </c>
      <c r="G215" s="57" t="str">
        <f>'Secondary cum Calculation'!G371</f>
        <v>Tourism Demand &amp; Flows Database</v>
      </c>
      <c r="H215" s="57" t="str">
        <f>'Secondary cum Calculation'!H371</f>
        <v>New</v>
      </c>
      <c r="I215" s="57">
        <f>'Secondary cum Calculation'!I371</f>
        <v>0</v>
      </c>
      <c r="J215" s="57" t="str">
        <f>'Secondary cum Calculation'!J371</f>
        <v>Thousand</v>
      </c>
      <c r="K215" s="58">
        <f>'Secondary cum Calculation'!K371</f>
        <v>0</v>
      </c>
      <c r="L215" s="59"/>
      <c r="M215" s="60" t="e">
        <f>'Final Data-US$'!M158/'Final Data-US$'!L158-1</f>
        <v>#DIV/0!</v>
      </c>
      <c r="N215" s="60" t="e">
        <f>'Final Data-US$'!N158/'Final Data-US$'!M158-1</f>
        <v>#DIV/0!</v>
      </c>
      <c r="O215" s="60" t="e">
        <f>'Final Data-US$'!O158/'Final Data-US$'!N158-1</f>
        <v>#DIV/0!</v>
      </c>
      <c r="P215" s="60" t="e">
        <f>'Final Data-US$'!P158/'Final Data-US$'!O158-1</f>
        <v>#DIV/0!</v>
      </c>
      <c r="Q215" s="60" t="e">
        <f>'Final Data-US$'!Q158/'Final Data-US$'!P158-1</f>
        <v>#DIV/0!</v>
      </c>
      <c r="R215" s="60" t="e">
        <f>'Final Data-US$'!R158/'Final Data-US$'!Q158-1</f>
        <v>#DIV/0!</v>
      </c>
      <c r="S215" s="60" t="e">
        <f>'Final Data-US$'!S158/'Final Data-US$'!R158-1</f>
        <v>#DIV/0!</v>
      </c>
      <c r="T215" s="60" t="e">
        <f>'Final Data-US$'!T158/'Final Data-US$'!S158-1</f>
        <v>#DIV/0!</v>
      </c>
      <c r="U215" s="60" t="e">
        <f>'Final Data-US$'!U158/'Final Data-US$'!T158-1</f>
        <v>#DIV/0!</v>
      </c>
      <c r="V215" s="60" t="e">
        <f>'Final Data-US$'!V158/'Final Data-US$'!U158-1</f>
        <v>#DIV/0!</v>
      </c>
      <c r="W215" s="106" t="e">
        <f>'Final Data-US$'!W158</f>
        <v>#DIV/0!</v>
      </c>
      <c r="X215" s="106" t="e">
        <f>'Final Data-US$'!X158</f>
        <v>#DIV/0!</v>
      </c>
    </row>
    <row r="216" spans="1:24">
      <c r="A216" s="55" t="str">
        <f>'Secondary cum Calculation'!A373</f>
        <v>Poland</v>
      </c>
      <c r="B216" s="56" t="str">
        <f>'Secondary cum Calculation'!B373</f>
        <v>Tourism Flows</v>
      </c>
      <c r="C216" s="56" t="str">
        <f>'Secondary cum Calculation'!C373</f>
        <v>International Arrivals by Place of Origin</v>
      </c>
      <c r="D216" s="56" t="str">
        <f>'Secondary cum Calculation'!D373</f>
        <v>Asia-Pacific</v>
      </c>
      <c r="E216" s="55" t="str">
        <f>'Secondary cum Calculation'!E373</f>
        <v>Turkmenistan</v>
      </c>
      <c r="F216" s="57" t="str">
        <f>'Secondary cum Calculation'!F373</f>
        <v>The number of international arrivals to a country originating from Turkmenistan</v>
      </c>
      <c r="G216" s="57" t="str">
        <f>'Secondary cum Calculation'!G373</f>
        <v>Tourism Demand &amp; Flows Database</v>
      </c>
      <c r="H216" s="57" t="str">
        <f>'Secondary cum Calculation'!H373</f>
        <v>New</v>
      </c>
      <c r="I216" s="57">
        <f>'Secondary cum Calculation'!I373</f>
        <v>0</v>
      </c>
      <c r="J216" s="57" t="str">
        <f>'Secondary cum Calculation'!J373</f>
        <v>Thousand</v>
      </c>
      <c r="K216" s="58">
        <f>'Secondary cum Calculation'!K373</f>
        <v>0</v>
      </c>
      <c r="L216" s="59"/>
      <c r="M216" s="60" t="e">
        <f>'Final Data-US$'!M159/'Final Data-US$'!L159-1</f>
        <v>#DIV/0!</v>
      </c>
      <c r="N216" s="60" t="e">
        <f>'Final Data-US$'!N159/'Final Data-US$'!M159-1</f>
        <v>#DIV/0!</v>
      </c>
      <c r="O216" s="60" t="e">
        <f>'Final Data-US$'!O159/'Final Data-US$'!N159-1</f>
        <v>#DIV/0!</v>
      </c>
      <c r="P216" s="60" t="e">
        <f>'Final Data-US$'!P159/'Final Data-US$'!O159-1</f>
        <v>#DIV/0!</v>
      </c>
      <c r="Q216" s="60" t="e">
        <f>'Final Data-US$'!Q159/'Final Data-US$'!P159-1</f>
        <v>#DIV/0!</v>
      </c>
      <c r="R216" s="60" t="e">
        <f>'Final Data-US$'!R159/'Final Data-US$'!Q159-1</f>
        <v>#DIV/0!</v>
      </c>
      <c r="S216" s="60" t="e">
        <f>'Final Data-US$'!S159/'Final Data-US$'!R159-1</f>
        <v>#DIV/0!</v>
      </c>
      <c r="T216" s="60" t="e">
        <f>'Final Data-US$'!T159/'Final Data-US$'!S159-1</f>
        <v>#DIV/0!</v>
      </c>
      <c r="U216" s="60" t="e">
        <f>'Final Data-US$'!U159/'Final Data-US$'!T159-1</f>
        <v>#DIV/0!</v>
      </c>
      <c r="V216" s="60" t="e">
        <f>'Final Data-US$'!V159/'Final Data-US$'!U159-1</f>
        <v>#DIV/0!</v>
      </c>
      <c r="W216" s="106" t="e">
        <f>'Final Data-US$'!W159</f>
        <v>#DIV/0!</v>
      </c>
      <c r="X216" s="106" t="e">
        <f>'Final Data-US$'!X159</f>
        <v>#DIV/0!</v>
      </c>
    </row>
    <row r="217" spans="1:24">
      <c r="A217" s="55" t="str">
        <f>'Secondary cum Calculation'!A375</f>
        <v>Poland</v>
      </c>
      <c r="B217" s="56" t="str">
        <f>'Secondary cum Calculation'!B375</f>
        <v>Tourism Flows</v>
      </c>
      <c r="C217" s="56" t="str">
        <f>'Secondary cum Calculation'!C375</f>
        <v>International Arrivals by Place of Origin</v>
      </c>
      <c r="D217" s="56" t="str">
        <f>'Secondary cum Calculation'!D375</f>
        <v>Asia-Pacific</v>
      </c>
      <c r="E217" s="55" t="str">
        <f>'Secondary cum Calculation'!E375</f>
        <v>Uzbekistan</v>
      </c>
      <c r="F217" s="57" t="str">
        <f>'Secondary cum Calculation'!F375</f>
        <v>The number of international arrivals to a country originating from Uzbekistan</v>
      </c>
      <c r="G217" s="57" t="str">
        <f>'Secondary cum Calculation'!G375</f>
        <v>Tourism Demand &amp; Flows Database</v>
      </c>
      <c r="H217" s="57" t="str">
        <f>'Secondary cum Calculation'!H375</f>
        <v>New</v>
      </c>
      <c r="I217" s="57">
        <f>'Secondary cum Calculation'!I375</f>
        <v>0</v>
      </c>
      <c r="J217" s="57" t="str">
        <f>'Secondary cum Calculation'!J375</f>
        <v>Thousand</v>
      </c>
      <c r="K217" s="58">
        <f>'Secondary cum Calculation'!K375</f>
        <v>0</v>
      </c>
      <c r="L217" s="59"/>
      <c r="M217" s="60" t="e">
        <f>'Final Data-US$'!M160/'Final Data-US$'!L160-1</f>
        <v>#DIV/0!</v>
      </c>
      <c r="N217" s="60" t="e">
        <f>'Final Data-US$'!N160/'Final Data-US$'!M160-1</f>
        <v>#DIV/0!</v>
      </c>
      <c r="O217" s="60" t="e">
        <f>'Final Data-US$'!O160/'Final Data-US$'!N160-1</f>
        <v>#DIV/0!</v>
      </c>
      <c r="P217" s="60" t="e">
        <f>'Final Data-US$'!P160/'Final Data-US$'!O160-1</f>
        <v>#DIV/0!</v>
      </c>
      <c r="Q217" s="60" t="e">
        <f>'Final Data-US$'!Q160/'Final Data-US$'!P160-1</f>
        <v>#DIV/0!</v>
      </c>
      <c r="R217" s="60" t="e">
        <f>'Final Data-US$'!R160/'Final Data-US$'!Q160-1</f>
        <v>#DIV/0!</v>
      </c>
      <c r="S217" s="60" t="e">
        <f>'Final Data-US$'!S160/'Final Data-US$'!R160-1</f>
        <v>#DIV/0!</v>
      </c>
      <c r="T217" s="60" t="e">
        <f>'Final Data-US$'!T160/'Final Data-US$'!S160-1</f>
        <v>#DIV/0!</v>
      </c>
      <c r="U217" s="60" t="e">
        <f>'Final Data-US$'!U160/'Final Data-US$'!T160-1</f>
        <v>#DIV/0!</v>
      </c>
      <c r="V217" s="60" t="e">
        <f>'Final Data-US$'!V160/'Final Data-US$'!U160-1</f>
        <v>#DIV/0!</v>
      </c>
      <c r="W217" s="106" t="e">
        <f>'Final Data-US$'!W160</f>
        <v>#DIV/0!</v>
      </c>
      <c r="X217" s="106" t="e">
        <f>'Final Data-US$'!X160</f>
        <v>#DIV/0!</v>
      </c>
    </row>
    <row r="218" spans="1:24">
      <c r="A218" s="55" t="str">
        <f>'Secondary cum Calculation'!A377</f>
        <v>Poland</v>
      </c>
      <c r="B218" s="56" t="str">
        <f>'Secondary cum Calculation'!B377</f>
        <v>Tourism Flows</v>
      </c>
      <c r="C218" s="56" t="str">
        <f>'Secondary cum Calculation'!C377</f>
        <v>International Arrivals by Place of Origin</v>
      </c>
      <c r="D218" s="56" t="str">
        <f>'Secondary cum Calculation'!D377</f>
        <v>Asia-Pacific</v>
      </c>
      <c r="E218" s="55" t="str">
        <f>'Secondary cum Calculation'!E377</f>
        <v>Vanuatu</v>
      </c>
      <c r="F218" s="57" t="str">
        <f>'Secondary cum Calculation'!F377</f>
        <v>The number of international arrivals to a country originating from Vanuatu</v>
      </c>
      <c r="G218" s="57" t="str">
        <f>'Secondary cum Calculation'!G377</f>
        <v>Tourism Demand &amp; Flows Database</v>
      </c>
      <c r="H218" s="57" t="str">
        <f>'Secondary cum Calculation'!H377</f>
        <v>New</v>
      </c>
      <c r="I218" s="57">
        <f>'Secondary cum Calculation'!I377</f>
        <v>0</v>
      </c>
      <c r="J218" s="57" t="str">
        <f>'Secondary cum Calculation'!J377</f>
        <v>Thousand</v>
      </c>
      <c r="K218" s="58">
        <f>'Secondary cum Calculation'!K377</f>
        <v>0</v>
      </c>
      <c r="L218" s="59"/>
      <c r="M218" s="60" t="e">
        <f>'Final Data-US$'!M161/'Final Data-US$'!L161-1</f>
        <v>#DIV/0!</v>
      </c>
      <c r="N218" s="60" t="e">
        <f>'Final Data-US$'!N161/'Final Data-US$'!M161-1</f>
        <v>#DIV/0!</v>
      </c>
      <c r="O218" s="60" t="e">
        <f>'Final Data-US$'!O161/'Final Data-US$'!N161-1</f>
        <v>#DIV/0!</v>
      </c>
      <c r="P218" s="60" t="e">
        <f>'Final Data-US$'!P161/'Final Data-US$'!O161-1</f>
        <v>#DIV/0!</v>
      </c>
      <c r="Q218" s="60" t="e">
        <f>'Final Data-US$'!Q161/'Final Data-US$'!P161-1</f>
        <v>#DIV/0!</v>
      </c>
      <c r="R218" s="60" t="e">
        <f>'Final Data-US$'!R161/'Final Data-US$'!Q161-1</f>
        <v>#DIV/0!</v>
      </c>
      <c r="S218" s="60" t="e">
        <f>'Final Data-US$'!S161/'Final Data-US$'!R161-1</f>
        <v>#DIV/0!</v>
      </c>
      <c r="T218" s="60" t="e">
        <f>'Final Data-US$'!T161/'Final Data-US$'!S161-1</f>
        <v>#DIV/0!</v>
      </c>
      <c r="U218" s="60" t="e">
        <f>'Final Data-US$'!U161/'Final Data-US$'!T161-1</f>
        <v>#DIV/0!</v>
      </c>
      <c r="V218" s="60" t="e">
        <f>'Final Data-US$'!V161/'Final Data-US$'!U161-1</f>
        <v>#DIV/0!</v>
      </c>
      <c r="W218" s="106" t="e">
        <f>'Final Data-US$'!W161</f>
        <v>#DIV/0!</v>
      </c>
      <c r="X218" s="106" t="e">
        <f>'Final Data-US$'!X161</f>
        <v>#DIV/0!</v>
      </c>
    </row>
    <row r="219" spans="1:24">
      <c r="A219" s="55" t="str">
        <f>'Secondary cum Calculation'!A379</f>
        <v>Poland</v>
      </c>
      <c r="B219" s="56" t="str">
        <f>'Secondary cum Calculation'!B379</f>
        <v>Tourism Flows</v>
      </c>
      <c r="C219" s="56" t="str">
        <f>'Secondary cum Calculation'!C379</f>
        <v>International Arrivals by Place of Origin</v>
      </c>
      <c r="D219" s="56" t="str">
        <f>'Secondary cum Calculation'!D379</f>
        <v>Asia-Pacific</v>
      </c>
      <c r="E219" s="55" t="str">
        <f>'Secondary cum Calculation'!E379</f>
        <v>Vietnam</v>
      </c>
      <c r="F219" s="57" t="str">
        <f>'Secondary cum Calculation'!F379</f>
        <v>The number of international arrivals to a country originating from Vietnam</v>
      </c>
      <c r="G219" s="57" t="str">
        <f>'Secondary cum Calculation'!G379</f>
        <v>Tourism Demand &amp; Flows Database</v>
      </c>
      <c r="H219" s="57" t="str">
        <f>'Secondary cum Calculation'!H379</f>
        <v>New</v>
      </c>
      <c r="I219" s="57">
        <f>'Secondary cum Calculation'!I379</f>
        <v>0</v>
      </c>
      <c r="J219" s="57" t="str">
        <f>'Secondary cum Calculation'!J379</f>
        <v>Thousand</v>
      </c>
      <c r="K219" s="58">
        <f>'Secondary cum Calculation'!K379</f>
        <v>0</v>
      </c>
      <c r="L219" s="59"/>
      <c r="M219" s="60" t="e">
        <f>'Final Data-US$'!M162/'Final Data-US$'!L162-1</f>
        <v>#DIV/0!</v>
      </c>
      <c r="N219" s="60" t="e">
        <f>'Final Data-US$'!N162/'Final Data-US$'!M162-1</f>
        <v>#DIV/0!</v>
      </c>
      <c r="O219" s="100" t="e">
        <f>'Final Data-US$'!O162/'Final Data-US$'!N162-1</f>
        <v>#DIV/0!</v>
      </c>
      <c r="P219" s="100" t="e">
        <f>'Final Data-US$'!P162/'Final Data-US$'!O162-1</f>
        <v>#DIV/0!</v>
      </c>
      <c r="Q219" s="100" t="e">
        <f>'Final Data-US$'!Q162/'Final Data-US$'!P162-1</f>
        <v>#DIV/0!</v>
      </c>
      <c r="R219" s="100" t="e">
        <f>'Final Data-US$'!R162/'Final Data-US$'!Q162-1</f>
        <v>#DIV/0!</v>
      </c>
      <c r="S219" s="100" t="e">
        <f>'Final Data-US$'!S162/'Final Data-US$'!R162-1</f>
        <v>#DIV/0!</v>
      </c>
      <c r="T219" s="100" t="e">
        <f>'Final Data-US$'!T162/'Final Data-US$'!S162-1</f>
        <v>#DIV/0!</v>
      </c>
      <c r="U219" s="100" t="e">
        <f>'Final Data-US$'!U162/'Final Data-US$'!T162-1</f>
        <v>#DIV/0!</v>
      </c>
      <c r="V219" s="100" t="e">
        <f>'Final Data-US$'!V162/'Final Data-US$'!U162-1</f>
        <v>#DIV/0!</v>
      </c>
      <c r="W219" s="106" t="e">
        <f>'Final Data-US$'!W162</f>
        <v>#DIV/0!</v>
      </c>
      <c r="X219" s="106" t="e">
        <f>'Final Data-US$'!X162</f>
        <v>#DIV/0!</v>
      </c>
    </row>
    <row r="220" spans="1:24">
      <c r="A220" s="55" t="str">
        <f>'Secondary cum Calculation'!A381</f>
        <v>Poland</v>
      </c>
      <c r="B220" s="84" t="str">
        <f>'Secondary cum Calculation'!B381</f>
        <v>Tourism Flows</v>
      </c>
      <c r="C220" s="84" t="str">
        <f>'Secondary cum Calculation'!C381</f>
        <v>International Arrivals by Place of Origin</v>
      </c>
      <c r="D220" s="84" t="str">
        <f>'Secondary cum Calculation'!D381</f>
        <v>Asia-Pacific</v>
      </c>
      <c r="E220" s="97" t="str">
        <f>'Secondary cum Calculation'!E381</f>
        <v>Other Asia-Pacific Countries</v>
      </c>
      <c r="F220" s="84" t="str">
        <f>'Secondary cum Calculation'!F381</f>
        <v>To be defined according to the gaps in the country data above</v>
      </c>
      <c r="G220" s="57">
        <f>'Secondary cum Calculation'!G381</f>
        <v>0</v>
      </c>
      <c r="H220" s="57">
        <f>'Secondary cum Calculation'!H381</f>
        <v>0</v>
      </c>
      <c r="I220" s="57">
        <f>'Secondary cum Calculation'!I381</f>
        <v>0</v>
      </c>
      <c r="J220" s="57" t="str">
        <f>'Secondary cum Calculation'!J381</f>
        <v>Thousand</v>
      </c>
      <c r="K220" s="58">
        <f>'Secondary cum Calculation'!K381</f>
        <v>0</v>
      </c>
      <c r="L220" s="59"/>
      <c r="M220" s="60">
        <f>'Final Data-US$'!M163/'Final Data-US$'!L163-1</f>
        <v>-0.17392315034603745</v>
      </c>
      <c r="N220" s="60">
        <f>'Final Data-US$'!N163/'Final Data-US$'!M163-1</f>
        <v>-0.15907154964406955</v>
      </c>
      <c r="O220" s="100">
        <f>'Final Data-US$'!O163/'Final Data-US$'!N163-1</f>
        <v>0.18760493846515858</v>
      </c>
      <c r="P220" s="100">
        <f>'Final Data-US$'!P163/'Final Data-US$'!O163-1</f>
        <v>4.5205870339723786E-2</v>
      </c>
      <c r="Q220" s="100">
        <f>'Final Data-US$'!Q163/'Final Data-US$'!P163-1</f>
        <v>0.15023288275850821</v>
      </c>
      <c r="R220" s="100">
        <f>'Final Data-US$'!R163/'Final Data-US$'!Q163-1</f>
        <v>-1</v>
      </c>
      <c r="S220" s="100" t="e">
        <f>'Final Data-US$'!S163/'Final Data-US$'!R163-1</f>
        <v>#DIV/0!</v>
      </c>
      <c r="T220" s="100" t="e">
        <f>'Final Data-US$'!T163/'Final Data-US$'!S163-1</f>
        <v>#DIV/0!</v>
      </c>
      <c r="U220" s="100" t="e">
        <f>'Final Data-US$'!U163/'Final Data-US$'!T163-1</f>
        <v>#DIV/0!</v>
      </c>
      <c r="V220" s="100" t="e">
        <f>'Final Data-US$'!V163/'Final Data-US$'!U163-1</f>
        <v>#DIV/0!</v>
      </c>
      <c r="W220" s="106">
        <f>'Final Data-US$'!W163</f>
        <v>4.677818905274278E-2</v>
      </c>
      <c r="X220" s="106">
        <f>'Final Data-US$'!X163</f>
        <v>-1</v>
      </c>
    </row>
    <row r="221" spans="1:24">
      <c r="A221" s="55" t="str">
        <f>'Secondary cum Calculation'!A383</f>
        <v>Poland</v>
      </c>
      <c r="B221" s="56" t="str">
        <f>'Secondary cum Calculation'!B383</f>
        <v>Tourism Flows</v>
      </c>
      <c r="C221" s="56" t="str">
        <f>'Secondary cum Calculation'!C383</f>
        <v>International Arrivals by Place of Origin</v>
      </c>
      <c r="D221" s="55" t="str">
        <f>'Secondary cum Calculation'!D383</f>
        <v>Europe</v>
      </c>
      <c r="E221" s="57"/>
      <c r="F221" s="57" t="str">
        <f>'Secondary cum Calculation'!F383</f>
        <v>The number of international arrivals to a country originating from Europe</v>
      </c>
      <c r="G221" s="57" t="str">
        <f>'Secondary cum Calculation'!G383</f>
        <v>Tourism Demand &amp; Flows Database</v>
      </c>
      <c r="H221" s="57" t="str">
        <f>'Secondary cum Calculation'!H383</f>
        <v>New</v>
      </c>
      <c r="I221" s="57">
        <f>'Secondary cum Calculation'!I383</f>
        <v>0</v>
      </c>
      <c r="J221" s="57" t="str">
        <f>'Secondary cum Calculation'!J383</f>
        <v>Thousand</v>
      </c>
      <c r="K221" s="86">
        <f>'Secondary cum Calculation'!K383</f>
        <v>3701.33</v>
      </c>
      <c r="L221" s="80"/>
      <c r="M221" s="81">
        <f>'Final Data-US$'!M164/'Final Data-US$'!L164-1</f>
        <v>-0.13163618766762764</v>
      </c>
      <c r="N221" s="81">
        <f>'Final Data-US$'!N164/'Final Data-US$'!M164-1</f>
        <v>-7.6239660979847246E-2</v>
      </c>
      <c r="O221" s="81">
        <f>'Final Data-US$'!O164/'Final Data-US$'!N164-1</f>
        <v>3.6489607390300272E-2</v>
      </c>
      <c r="P221" s="81">
        <f>'Final Data-US$'!P164/'Final Data-US$'!O164-1</f>
        <v>7.575757575757569E-2</v>
      </c>
      <c r="Q221" s="81">
        <f>'Final Data-US$'!Q164/'Final Data-US$'!P164-1</f>
        <v>0.10894780447390229</v>
      </c>
      <c r="R221" s="81">
        <f>'Final Data-US$'!R164/'Final Data-US$'!Q164-1</f>
        <v>4.2783509300527101E-2</v>
      </c>
      <c r="S221" s="81">
        <f>'Final Data-US$'!S164/'Final Data-US$'!R164-1</f>
        <v>3.5656032143684735E-2</v>
      </c>
      <c r="T221" s="81">
        <f>'Final Data-US$'!T164/'Final Data-US$'!S164-1</f>
        <v>4.0868685124975768E-2</v>
      </c>
      <c r="U221" s="81">
        <f>'Final Data-US$'!U164/'Final Data-US$'!T164-1</f>
        <v>4.7208411211540513E-2</v>
      </c>
      <c r="V221" s="81">
        <f>'Final Data-US$'!V164/'Final Data-US$'!U164-1</f>
        <v>5.1631205124376134E-2</v>
      </c>
      <c r="W221" s="106">
        <f>'Final Data-US$'!W164</f>
        <v>3.3802184842000926E-2</v>
      </c>
      <c r="X221" s="106">
        <f>'Final Data-US$'!X164</f>
        <v>4.361531699017096E-2</v>
      </c>
    </row>
    <row r="222" spans="1:24">
      <c r="A222" s="55" t="str">
        <f>'Secondary cum Calculation'!A385</f>
        <v>Poland</v>
      </c>
      <c r="B222" s="56" t="str">
        <f>'Secondary cum Calculation'!B385</f>
        <v>Tourism Flows</v>
      </c>
      <c r="C222" s="56" t="str">
        <f>'Secondary cum Calculation'!C385</f>
        <v>International Arrivals by Place of Origin</v>
      </c>
      <c r="D222" s="56" t="str">
        <f>'Secondary cum Calculation'!D385</f>
        <v>Europe</v>
      </c>
      <c r="E222" s="55" t="str">
        <f>'Secondary cum Calculation'!E385</f>
        <v>Albania</v>
      </c>
      <c r="F222" s="57" t="str">
        <f>'Secondary cum Calculation'!F385</f>
        <v>The number of international arrivals to a country originating from Albania</v>
      </c>
      <c r="G222" s="57" t="str">
        <f>'Secondary cum Calculation'!G385</f>
        <v>Tourism Demand &amp; Flows Database</v>
      </c>
      <c r="H222" s="57" t="str">
        <f>'Secondary cum Calculation'!H385</f>
        <v>New</v>
      </c>
      <c r="I222" s="57">
        <f>'Secondary cum Calculation'!I385</f>
        <v>0</v>
      </c>
      <c r="J222" s="57" t="str">
        <f>'Secondary cum Calculation'!J385</f>
        <v>Thousand</v>
      </c>
      <c r="K222" s="58">
        <f>'Secondary cum Calculation'!K385</f>
        <v>0</v>
      </c>
      <c r="L222" s="59"/>
      <c r="M222" s="60" t="e">
        <f>'Final Data-US$'!M165/'Final Data-US$'!L165-1</f>
        <v>#DIV/0!</v>
      </c>
      <c r="N222" s="60" t="e">
        <f>'Final Data-US$'!N165/'Final Data-US$'!M165-1</f>
        <v>#DIV/0!</v>
      </c>
      <c r="O222" s="60" t="e">
        <f>'Final Data-US$'!O165/'Final Data-US$'!N165-1</f>
        <v>#DIV/0!</v>
      </c>
      <c r="P222" s="60" t="e">
        <f>'Final Data-US$'!P165/'Final Data-US$'!O165-1</f>
        <v>#DIV/0!</v>
      </c>
      <c r="Q222" s="60" t="e">
        <f>'Final Data-US$'!Q165/'Final Data-US$'!P165-1</f>
        <v>#DIV/0!</v>
      </c>
      <c r="R222" s="60" t="e">
        <f>'Final Data-US$'!R165/'Final Data-US$'!Q165-1</f>
        <v>#DIV/0!</v>
      </c>
      <c r="S222" s="60" t="e">
        <f>'Final Data-US$'!S165/'Final Data-US$'!R165-1</f>
        <v>#DIV/0!</v>
      </c>
      <c r="T222" s="60" t="e">
        <f>'Final Data-US$'!T165/'Final Data-US$'!S165-1</f>
        <v>#DIV/0!</v>
      </c>
      <c r="U222" s="60" t="e">
        <f>'Final Data-US$'!U165/'Final Data-US$'!T165-1</f>
        <v>#DIV/0!</v>
      </c>
      <c r="V222" s="60" t="e">
        <f>'Final Data-US$'!V165/'Final Data-US$'!U165-1</f>
        <v>#DIV/0!</v>
      </c>
      <c r="W222" s="106" t="e">
        <f>'Final Data-US$'!W165</f>
        <v>#DIV/0!</v>
      </c>
      <c r="X222" s="106" t="e">
        <f>'Final Data-US$'!X165</f>
        <v>#DIV/0!</v>
      </c>
    </row>
    <row r="223" spans="1:24">
      <c r="A223" s="55" t="str">
        <f>'Secondary cum Calculation'!A387</f>
        <v>Poland</v>
      </c>
      <c r="B223" s="56" t="str">
        <f>'Secondary cum Calculation'!B387</f>
        <v>Tourism Flows</v>
      </c>
      <c r="C223" s="56" t="str">
        <f>'Secondary cum Calculation'!C387</f>
        <v>International Arrivals by Place of Origin</v>
      </c>
      <c r="D223" s="56" t="str">
        <f>'Secondary cum Calculation'!D387</f>
        <v>Europe</v>
      </c>
      <c r="E223" s="55" t="str">
        <f>'Secondary cum Calculation'!E387</f>
        <v>Armenia</v>
      </c>
      <c r="F223" s="57" t="str">
        <f>'Secondary cum Calculation'!F387</f>
        <v>The number of international arrivals to a country originating from Armenia</v>
      </c>
      <c r="G223" s="57" t="str">
        <f>'Secondary cum Calculation'!G387</f>
        <v>Tourism Demand &amp; Flows Database</v>
      </c>
      <c r="H223" s="57" t="str">
        <f>'Secondary cum Calculation'!H387</f>
        <v>New</v>
      </c>
      <c r="I223" s="57">
        <f>'Secondary cum Calculation'!I387</f>
        <v>0</v>
      </c>
      <c r="J223" s="57" t="str">
        <f>'Secondary cum Calculation'!J387</f>
        <v>Thousand</v>
      </c>
      <c r="K223" s="58">
        <f>'Secondary cum Calculation'!K387</f>
        <v>0</v>
      </c>
      <c r="L223" s="59"/>
      <c r="M223" s="60" t="e">
        <f>'Final Data-US$'!M166/'Final Data-US$'!L166-1</f>
        <v>#DIV/0!</v>
      </c>
      <c r="N223" s="60" t="e">
        <f>'Final Data-US$'!N166/'Final Data-US$'!M166-1</f>
        <v>#DIV/0!</v>
      </c>
      <c r="O223" s="60" t="e">
        <f>'Final Data-US$'!O166/'Final Data-US$'!N166-1</f>
        <v>#DIV/0!</v>
      </c>
      <c r="P223" s="60" t="e">
        <f>'Final Data-US$'!P166/'Final Data-US$'!O166-1</f>
        <v>#DIV/0!</v>
      </c>
      <c r="Q223" s="60" t="e">
        <f>'Final Data-US$'!Q166/'Final Data-US$'!P166-1</f>
        <v>#DIV/0!</v>
      </c>
      <c r="R223" s="60" t="e">
        <f>'Final Data-US$'!R166/'Final Data-US$'!Q166-1</f>
        <v>#DIV/0!</v>
      </c>
      <c r="S223" s="60" t="e">
        <f>'Final Data-US$'!S166/'Final Data-US$'!R166-1</f>
        <v>#DIV/0!</v>
      </c>
      <c r="T223" s="60" t="e">
        <f>'Final Data-US$'!T166/'Final Data-US$'!S166-1</f>
        <v>#DIV/0!</v>
      </c>
      <c r="U223" s="60" t="e">
        <f>'Final Data-US$'!U166/'Final Data-US$'!T166-1</f>
        <v>#DIV/0!</v>
      </c>
      <c r="V223" s="60" t="e">
        <f>'Final Data-US$'!V166/'Final Data-US$'!U166-1</f>
        <v>#DIV/0!</v>
      </c>
      <c r="W223" s="106" t="e">
        <f>'Final Data-US$'!W166</f>
        <v>#DIV/0!</v>
      </c>
      <c r="X223" s="106" t="e">
        <f>'Final Data-US$'!X166</f>
        <v>#DIV/0!</v>
      </c>
    </row>
    <row r="224" spans="1:24">
      <c r="A224" s="55" t="str">
        <f>'Secondary cum Calculation'!A389</f>
        <v>Poland</v>
      </c>
      <c r="B224" s="56" t="str">
        <f>'Secondary cum Calculation'!B389</f>
        <v>Tourism Flows</v>
      </c>
      <c r="C224" s="56" t="str">
        <f>'Secondary cum Calculation'!C389</f>
        <v>International Arrivals by Place of Origin</v>
      </c>
      <c r="D224" s="56" t="str">
        <f>'Secondary cum Calculation'!D389</f>
        <v>Europe</v>
      </c>
      <c r="E224" s="55" t="str">
        <f>'Secondary cum Calculation'!E389</f>
        <v>Austria</v>
      </c>
      <c r="F224" s="57" t="str">
        <f>'Secondary cum Calculation'!F389</f>
        <v>The number of international arrivals to a country originating from Austria</v>
      </c>
      <c r="G224" s="57" t="str">
        <f>'Secondary cum Calculation'!G389</f>
        <v>Tourism Demand &amp; Flows Database</v>
      </c>
      <c r="H224" s="57" t="str">
        <f>'Secondary cum Calculation'!H389</f>
        <v>New</v>
      </c>
      <c r="I224" s="57">
        <f>'Secondary cum Calculation'!I389</f>
        <v>0</v>
      </c>
      <c r="J224" s="57" t="str">
        <f>'Secondary cum Calculation'!J389</f>
        <v>Thousand</v>
      </c>
      <c r="K224" s="58">
        <f>'Secondary cum Calculation'!K389</f>
        <v>117.191</v>
      </c>
      <c r="L224" s="59"/>
      <c r="M224" s="60">
        <f>'Final Data-US$'!M167/'Final Data-US$'!L167-1</f>
        <v>-7.8186313333533319E-2</v>
      </c>
      <c r="N224" s="60">
        <f>'Final Data-US$'!N167/'Final Data-US$'!M167-1</f>
        <v>-8.2622737732295448E-2</v>
      </c>
      <c r="O224" s="60">
        <f>'Final Data-US$'!O167/'Final Data-US$'!N167-1</f>
        <v>0.10714285714285721</v>
      </c>
      <c r="P224" s="60">
        <f>'Final Data-US$'!P167/'Final Data-US$'!O167-1</f>
        <v>1.6129032258064502E-2</v>
      </c>
      <c r="Q224" s="60">
        <f>'Final Data-US$'!Q167/'Final Data-US$'!P167-1</f>
        <v>3.1746031746031855E-2</v>
      </c>
      <c r="R224" s="60">
        <f>'Final Data-US$'!R167/'Final Data-US$'!Q167-1</f>
        <v>-1</v>
      </c>
      <c r="S224" s="60" t="e">
        <f>'Final Data-US$'!S167/'Final Data-US$'!R167-1</f>
        <v>#DIV/0!</v>
      </c>
      <c r="T224" s="60" t="e">
        <f>'Final Data-US$'!T167/'Final Data-US$'!S167-1</f>
        <v>#DIV/0!</v>
      </c>
      <c r="U224" s="60" t="e">
        <f>'Final Data-US$'!U167/'Final Data-US$'!T167-1</f>
        <v>#DIV/0!</v>
      </c>
      <c r="V224" s="60" t="e">
        <f>'Final Data-US$'!V167/'Final Data-US$'!U167-1</f>
        <v>#DIV/0!</v>
      </c>
      <c r="W224" s="106">
        <f>'Final Data-US$'!W167</f>
        <v>1.5823663215569272E-2</v>
      </c>
      <c r="X224" s="106">
        <f>'Final Data-US$'!X167</f>
        <v>-1</v>
      </c>
    </row>
    <row r="225" spans="1:24">
      <c r="A225" s="55" t="str">
        <f>'Secondary cum Calculation'!A391</f>
        <v>Poland</v>
      </c>
      <c r="B225" s="56" t="str">
        <f>'Secondary cum Calculation'!B391</f>
        <v>Tourism Flows</v>
      </c>
      <c r="C225" s="56" t="str">
        <f>'Secondary cum Calculation'!C391</f>
        <v>International Arrivals by Place of Origin</v>
      </c>
      <c r="D225" s="56" t="str">
        <f>'Secondary cum Calculation'!D391</f>
        <v>Europe</v>
      </c>
      <c r="E225" s="55" t="str">
        <f>'Secondary cum Calculation'!E391</f>
        <v>Belarus</v>
      </c>
      <c r="F225" s="57" t="str">
        <f>'Secondary cum Calculation'!F391</f>
        <v>The number of international arrivals to a country originating from Belarus</v>
      </c>
      <c r="G225" s="57" t="str">
        <f>'Secondary cum Calculation'!G391</f>
        <v>Tourism Demand &amp; Flows Database</v>
      </c>
      <c r="H225" s="57" t="str">
        <f>'Secondary cum Calculation'!H391</f>
        <v>New</v>
      </c>
      <c r="I225" s="57">
        <f>'Secondary cum Calculation'!I391</f>
        <v>0</v>
      </c>
      <c r="J225" s="57" t="str">
        <f>'Secondary cum Calculation'!J391</f>
        <v>Thousand</v>
      </c>
      <c r="K225" s="58">
        <f>'Secondary cum Calculation'!K391</f>
        <v>0</v>
      </c>
      <c r="L225" s="59"/>
      <c r="M225" s="60">
        <f>'Final Data-US$'!M168/'Final Data-US$'!L168-1</f>
        <v>-0.31907616995559462</v>
      </c>
      <c r="N225" s="60">
        <f>'Final Data-US$'!N168/'Final Data-US$'!M168-1</f>
        <v>-0.22932136418614202</v>
      </c>
      <c r="O225" s="100">
        <f>'Final Data-US$'!O168/'Final Data-US$'!N168-1</f>
        <v>0.12138728323699421</v>
      </c>
      <c r="P225" s="100">
        <f>'Final Data-US$'!P168/'Final Data-US$'!O168-1</f>
        <v>0.25773195876288657</v>
      </c>
      <c r="Q225" s="100">
        <f>'Final Data-US$'!Q168/'Final Data-US$'!P168-1</f>
        <v>0.32786885245901631</v>
      </c>
      <c r="R225" s="100">
        <f>'Final Data-US$'!R168/'Final Data-US$'!Q168-1</f>
        <v>-1</v>
      </c>
      <c r="S225" s="100" t="e">
        <f>'Final Data-US$'!S168/'Final Data-US$'!R168-1</f>
        <v>#DIV/0!</v>
      </c>
      <c r="T225" s="100" t="e">
        <f>'Final Data-US$'!T168/'Final Data-US$'!S168-1</f>
        <v>#DIV/0!</v>
      </c>
      <c r="U225" s="100" t="e">
        <f>'Final Data-US$'!U168/'Final Data-US$'!T168-1</f>
        <v>#DIV/0!</v>
      </c>
      <c r="V225" s="100" t="e">
        <f>'Final Data-US$'!V168/'Final Data-US$'!U168-1</f>
        <v>#DIV/0!</v>
      </c>
      <c r="W225" s="106">
        <f>'Final Data-US$'!W168</f>
        <v>9.6082027740405085E-2</v>
      </c>
      <c r="X225" s="106">
        <f>'Final Data-US$'!X168</f>
        <v>-1</v>
      </c>
    </row>
    <row r="226" spans="1:24">
      <c r="A226" s="55" t="str">
        <f>'Secondary cum Calculation'!A393</f>
        <v>Poland</v>
      </c>
      <c r="B226" s="56" t="str">
        <f>'Secondary cum Calculation'!B393</f>
        <v>Tourism Flows</v>
      </c>
      <c r="C226" s="56" t="str">
        <f>'Secondary cum Calculation'!C393</f>
        <v>International Arrivals by Place of Origin</v>
      </c>
      <c r="D226" s="56" t="str">
        <f>'Secondary cum Calculation'!D393</f>
        <v>Europe</v>
      </c>
      <c r="E226" s="55" t="str">
        <f>'Secondary cum Calculation'!E393</f>
        <v>Belgium</v>
      </c>
      <c r="F226" s="57" t="str">
        <f>'Secondary cum Calculation'!F393</f>
        <v>The number of international arrivals to a country originating from Belgium</v>
      </c>
      <c r="G226" s="57" t="str">
        <f>'Secondary cum Calculation'!G393</f>
        <v>Tourism Demand &amp; Flows Database</v>
      </c>
      <c r="H226" s="57" t="str">
        <f>'Secondary cum Calculation'!H393</f>
        <v>New</v>
      </c>
      <c r="I226" s="57">
        <f>'Secondary cum Calculation'!I393</f>
        <v>0</v>
      </c>
      <c r="J226" s="57" t="str">
        <f>'Secondary cum Calculation'!J393</f>
        <v>Thousand</v>
      </c>
      <c r="K226" s="58">
        <f>'Secondary cum Calculation'!K393</f>
        <v>188.31100000000001</v>
      </c>
      <c r="L226" s="59"/>
      <c r="M226" s="60" t="e">
        <f>'Final Data-US$'!M169/'Final Data-US$'!L169-1</f>
        <v>#DIV/0!</v>
      </c>
      <c r="N226" s="60" t="e">
        <f>'Final Data-US$'!N169/'Final Data-US$'!M169-1</f>
        <v>#DIV/0!</v>
      </c>
      <c r="O226" s="60" t="e">
        <f>'Final Data-US$'!O169/'Final Data-US$'!N169-1</f>
        <v>#DIV/0!</v>
      </c>
      <c r="P226" s="60" t="e">
        <f>'Final Data-US$'!P169/'Final Data-US$'!O169-1</f>
        <v>#DIV/0!</v>
      </c>
      <c r="Q226" s="60" t="e">
        <f>'Final Data-US$'!Q169/'Final Data-US$'!P169-1</f>
        <v>#DIV/0!</v>
      </c>
      <c r="R226" s="60" t="e">
        <f>'Final Data-US$'!R169/'Final Data-US$'!Q169-1</f>
        <v>#DIV/0!</v>
      </c>
      <c r="S226" s="60" t="e">
        <f>'Final Data-US$'!S169/'Final Data-US$'!R169-1</f>
        <v>#DIV/0!</v>
      </c>
      <c r="T226" s="60" t="e">
        <f>'Final Data-US$'!T169/'Final Data-US$'!S169-1</f>
        <v>#DIV/0!</v>
      </c>
      <c r="U226" s="60" t="e">
        <f>'Final Data-US$'!U169/'Final Data-US$'!T169-1</f>
        <v>#DIV/0!</v>
      </c>
      <c r="V226" s="60" t="e">
        <f>'Final Data-US$'!V169/'Final Data-US$'!U169-1</f>
        <v>#DIV/0!</v>
      </c>
      <c r="W226" s="106" t="e">
        <f>'Final Data-US$'!W169</f>
        <v>#DIV/0!</v>
      </c>
      <c r="X226" s="106" t="e">
        <f>'Final Data-US$'!X169</f>
        <v>#DIV/0!</v>
      </c>
    </row>
    <row r="227" spans="1:24">
      <c r="A227" s="55" t="str">
        <f>'Secondary cum Calculation'!A395</f>
        <v>Poland</v>
      </c>
      <c r="B227" s="56" t="str">
        <f>'Secondary cum Calculation'!B395</f>
        <v>Tourism Flows</v>
      </c>
      <c r="C227" s="56" t="str">
        <f>'Secondary cum Calculation'!C395</f>
        <v>International Arrivals by Place of Origin</v>
      </c>
      <c r="D227" s="56" t="str">
        <f>'Secondary cum Calculation'!D395</f>
        <v>Europe</v>
      </c>
      <c r="E227" s="55" t="str">
        <f>'Secondary cum Calculation'!E395</f>
        <v>Bosnia and Herzegovina</v>
      </c>
      <c r="F227" s="57" t="str">
        <f>'Secondary cum Calculation'!F395</f>
        <v>The number of international arrivals to a country originating from Bosnia and Herzegovina</v>
      </c>
      <c r="G227" s="57" t="str">
        <f>'Secondary cum Calculation'!G395</f>
        <v>Tourism Demand &amp; Flows Database</v>
      </c>
      <c r="H227" s="57" t="str">
        <f>'Secondary cum Calculation'!H395</f>
        <v>New</v>
      </c>
      <c r="I227" s="57">
        <f>'Secondary cum Calculation'!I395</f>
        <v>0</v>
      </c>
      <c r="J227" s="57" t="str">
        <f>'Secondary cum Calculation'!J395</f>
        <v>Thousand</v>
      </c>
      <c r="K227" s="58">
        <f>'Secondary cum Calculation'!K395</f>
        <v>0</v>
      </c>
      <c r="L227" s="59"/>
      <c r="M227" s="60" t="e">
        <f>'Final Data-US$'!M170/'Final Data-US$'!L170-1</f>
        <v>#DIV/0!</v>
      </c>
      <c r="N227" s="60" t="e">
        <f>'Final Data-US$'!N170/'Final Data-US$'!M170-1</f>
        <v>#DIV/0!</v>
      </c>
      <c r="O227" s="100" t="e">
        <f>'Final Data-US$'!O170/'Final Data-US$'!N170-1</f>
        <v>#DIV/0!</v>
      </c>
      <c r="P227" s="100" t="e">
        <f>'Final Data-US$'!P170/'Final Data-US$'!O170-1</f>
        <v>#DIV/0!</v>
      </c>
      <c r="Q227" s="100" t="e">
        <f>'Final Data-US$'!Q170/'Final Data-US$'!P170-1</f>
        <v>#DIV/0!</v>
      </c>
      <c r="R227" s="100" t="e">
        <f>'Final Data-US$'!R170/'Final Data-US$'!Q170-1</f>
        <v>#DIV/0!</v>
      </c>
      <c r="S227" s="100" t="e">
        <f>'Final Data-US$'!S170/'Final Data-US$'!R170-1</f>
        <v>#DIV/0!</v>
      </c>
      <c r="T227" s="100" t="e">
        <f>'Final Data-US$'!T170/'Final Data-US$'!S170-1</f>
        <v>#DIV/0!</v>
      </c>
      <c r="U227" s="100" t="e">
        <f>'Final Data-US$'!U170/'Final Data-US$'!T170-1</f>
        <v>#DIV/0!</v>
      </c>
      <c r="V227" s="100" t="e">
        <f>'Final Data-US$'!V170/'Final Data-US$'!U170-1</f>
        <v>#DIV/0!</v>
      </c>
      <c r="W227" s="106" t="e">
        <f>'Final Data-US$'!W170</f>
        <v>#DIV/0!</v>
      </c>
      <c r="X227" s="106" t="e">
        <f>'Final Data-US$'!X170</f>
        <v>#DIV/0!</v>
      </c>
    </row>
    <row r="228" spans="1:24">
      <c r="A228" s="55" t="str">
        <f>'Secondary cum Calculation'!A397</f>
        <v>Poland</v>
      </c>
      <c r="B228" s="56" t="str">
        <f>'Secondary cum Calculation'!B397</f>
        <v>Tourism Flows</v>
      </c>
      <c r="C228" s="56" t="str">
        <f>'Secondary cum Calculation'!C397</f>
        <v>International Arrivals by Place of Origin</v>
      </c>
      <c r="D228" s="56" t="str">
        <f>'Secondary cum Calculation'!D397</f>
        <v>Europe</v>
      </c>
      <c r="E228" s="55" t="str">
        <f>'Secondary cum Calculation'!E397</f>
        <v>Bulgaria</v>
      </c>
      <c r="F228" s="57" t="str">
        <f>'Secondary cum Calculation'!F397</f>
        <v>The number of international arrivals to a country originating from Bulgaria</v>
      </c>
      <c r="G228" s="57" t="str">
        <f>'Secondary cum Calculation'!G397</f>
        <v>Tourism Demand &amp; Flows Database</v>
      </c>
      <c r="H228" s="57" t="str">
        <f>'Secondary cum Calculation'!H397</f>
        <v>New</v>
      </c>
      <c r="I228" s="57">
        <f>'Secondary cum Calculation'!I397</f>
        <v>0</v>
      </c>
      <c r="J228" s="57" t="str">
        <f>'Secondary cum Calculation'!J397</f>
        <v>Thousand</v>
      </c>
      <c r="K228" s="58">
        <f>'Secondary cum Calculation'!K397</f>
        <v>0</v>
      </c>
      <c r="L228" s="59"/>
      <c r="M228" s="60" t="e">
        <f>'Final Data-US$'!M171/'Final Data-US$'!L171-1</f>
        <v>#DIV/0!</v>
      </c>
      <c r="N228" s="60" t="e">
        <f>'Final Data-US$'!N171/'Final Data-US$'!M171-1</f>
        <v>#DIV/0!</v>
      </c>
      <c r="O228" s="60" t="e">
        <f>'Final Data-US$'!O171/'Final Data-US$'!N171-1</f>
        <v>#DIV/0!</v>
      </c>
      <c r="P228" s="60" t="e">
        <f>'Final Data-US$'!P171/'Final Data-US$'!O171-1</f>
        <v>#DIV/0!</v>
      </c>
      <c r="Q228" s="60" t="e">
        <f>'Final Data-US$'!Q171/'Final Data-US$'!P171-1</f>
        <v>#DIV/0!</v>
      </c>
      <c r="R228" s="60" t="e">
        <f>'Final Data-US$'!R171/'Final Data-US$'!Q171-1</f>
        <v>#DIV/0!</v>
      </c>
      <c r="S228" s="60" t="e">
        <f>'Final Data-US$'!S171/'Final Data-US$'!R171-1</f>
        <v>#DIV/0!</v>
      </c>
      <c r="T228" s="60" t="e">
        <f>'Final Data-US$'!T171/'Final Data-US$'!S171-1</f>
        <v>#DIV/0!</v>
      </c>
      <c r="U228" s="60" t="e">
        <f>'Final Data-US$'!U171/'Final Data-US$'!T171-1</f>
        <v>#DIV/0!</v>
      </c>
      <c r="V228" s="60" t="e">
        <f>'Final Data-US$'!V171/'Final Data-US$'!U171-1</f>
        <v>#DIV/0!</v>
      </c>
      <c r="W228" s="106" t="e">
        <f>'Final Data-US$'!W171</f>
        <v>#DIV/0!</v>
      </c>
      <c r="X228" s="106" t="e">
        <f>'Final Data-US$'!X171</f>
        <v>#DIV/0!</v>
      </c>
    </row>
    <row r="229" spans="1:24">
      <c r="A229" s="55" t="str">
        <f>'Secondary cum Calculation'!A399</f>
        <v>Poland</v>
      </c>
      <c r="B229" s="56" t="str">
        <f>'Secondary cum Calculation'!B399</f>
        <v>Tourism Flows</v>
      </c>
      <c r="C229" s="56" t="str">
        <f>'Secondary cum Calculation'!C399</f>
        <v>International Arrivals by Place of Origin</v>
      </c>
      <c r="D229" s="56" t="str">
        <f>'Secondary cum Calculation'!D399</f>
        <v>Europe</v>
      </c>
      <c r="E229" s="55" t="str">
        <f>'Secondary cum Calculation'!E399</f>
        <v>Channel Islands</v>
      </c>
      <c r="F229" s="57" t="str">
        <f>'Secondary cum Calculation'!F399</f>
        <v>The number of international arrivals to a country originating from Channel Islands</v>
      </c>
      <c r="G229" s="57" t="str">
        <f>'Secondary cum Calculation'!G399</f>
        <v>Tourism Demand &amp; Flows Database</v>
      </c>
      <c r="H229" s="57" t="str">
        <f>'Secondary cum Calculation'!H399</f>
        <v>New</v>
      </c>
      <c r="I229" s="57">
        <f>'Secondary cum Calculation'!I399</f>
        <v>0</v>
      </c>
      <c r="J229" s="57" t="str">
        <f>'Secondary cum Calculation'!J399</f>
        <v>Thousand</v>
      </c>
      <c r="K229" s="58">
        <f>'Secondary cum Calculation'!K399</f>
        <v>0</v>
      </c>
      <c r="L229" s="59"/>
      <c r="M229" s="60" t="e">
        <f>'Final Data-US$'!M172/'Final Data-US$'!L172-1</f>
        <v>#DIV/0!</v>
      </c>
      <c r="N229" s="60" t="e">
        <f>'Final Data-US$'!N172/'Final Data-US$'!M172-1</f>
        <v>#DIV/0!</v>
      </c>
      <c r="O229" s="60" t="e">
        <f>'Final Data-US$'!O172/'Final Data-US$'!N172-1</f>
        <v>#DIV/0!</v>
      </c>
      <c r="P229" s="60" t="e">
        <f>'Final Data-US$'!P172/'Final Data-US$'!O172-1</f>
        <v>#DIV/0!</v>
      </c>
      <c r="Q229" s="60" t="e">
        <f>'Final Data-US$'!Q172/'Final Data-US$'!P172-1</f>
        <v>#DIV/0!</v>
      </c>
      <c r="R229" s="60" t="e">
        <f>'Final Data-US$'!R172/'Final Data-US$'!Q172-1</f>
        <v>#DIV/0!</v>
      </c>
      <c r="S229" s="60" t="e">
        <f>'Final Data-US$'!S172/'Final Data-US$'!R172-1</f>
        <v>#DIV/0!</v>
      </c>
      <c r="T229" s="60" t="e">
        <f>'Final Data-US$'!T172/'Final Data-US$'!S172-1</f>
        <v>#DIV/0!</v>
      </c>
      <c r="U229" s="60" t="e">
        <f>'Final Data-US$'!U172/'Final Data-US$'!T172-1</f>
        <v>#DIV/0!</v>
      </c>
      <c r="V229" s="60" t="e">
        <f>'Final Data-US$'!V172/'Final Data-US$'!U172-1</f>
        <v>#DIV/0!</v>
      </c>
      <c r="W229" s="106" t="e">
        <f>'Final Data-US$'!W172</f>
        <v>#DIV/0!</v>
      </c>
      <c r="X229" s="106" t="e">
        <f>'Final Data-US$'!X172</f>
        <v>#DIV/0!</v>
      </c>
    </row>
    <row r="230" spans="1:24">
      <c r="A230" s="55" t="str">
        <f>'Secondary cum Calculation'!A401</f>
        <v>Poland</v>
      </c>
      <c r="B230" s="56" t="str">
        <f>'Secondary cum Calculation'!B401</f>
        <v>Tourism Flows</v>
      </c>
      <c r="C230" s="56" t="str">
        <f>'Secondary cum Calculation'!C401</f>
        <v>International Arrivals by Place of Origin</v>
      </c>
      <c r="D230" s="56" t="str">
        <f>'Secondary cum Calculation'!D401</f>
        <v>Europe</v>
      </c>
      <c r="E230" s="55" t="str">
        <f>'Secondary cum Calculation'!E401</f>
        <v>Croatia</v>
      </c>
      <c r="F230" s="57" t="str">
        <f>'Secondary cum Calculation'!F401</f>
        <v>The number of international arrivals to a country originating from Croatia</v>
      </c>
      <c r="G230" s="57" t="str">
        <f>'Secondary cum Calculation'!G401</f>
        <v>Tourism Demand &amp; Flows Database</v>
      </c>
      <c r="H230" s="57" t="str">
        <f>'Secondary cum Calculation'!H401</f>
        <v>New</v>
      </c>
      <c r="I230" s="57">
        <f>'Secondary cum Calculation'!I401</f>
        <v>0</v>
      </c>
      <c r="J230" s="57" t="str">
        <f>'Secondary cum Calculation'!J401</f>
        <v>Thousand</v>
      </c>
      <c r="K230" s="58">
        <f>'Secondary cum Calculation'!K401</f>
        <v>0</v>
      </c>
      <c r="L230" s="59"/>
      <c r="M230" s="60" t="e">
        <f>'Final Data-US$'!M173/'Final Data-US$'!L173-1</f>
        <v>#DIV/0!</v>
      </c>
      <c r="N230" s="60" t="e">
        <f>'Final Data-US$'!N173/'Final Data-US$'!M173-1</f>
        <v>#DIV/0!</v>
      </c>
      <c r="O230" s="60" t="e">
        <f>'Final Data-US$'!O173/'Final Data-US$'!N173-1</f>
        <v>#DIV/0!</v>
      </c>
      <c r="P230" s="60" t="e">
        <f>'Final Data-US$'!P173/'Final Data-US$'!O173-1</f>
        <v>#DIV/0!</v>
      </c>
      <c r="Q230" s="60" t="e">
        <f>'Final Data-US$'!Q173/'Final Data-US$'!P173-1</f>
        <v>#DIV/0!</v>
      </c>
      <c r="R230" s="60" t="e">
        <f>'Final Data-US$'!R173/'Final Data-US$'!Q173-1</f>
        <v>#DIV/0!</v>
      </c>
      <c r="S230" s="60" t="e">
        <f>'Final Data-US$'!S173/'Final Data-US$'!R173-1</f>
        <v>#DIV/0!</v>
      </c>
      <c r="T230" s="60" t="e">
        <f>'Final Data-US$'!T173/'Final Data-US$'!S173-1</f>
        <v>#DIV/0!</v>
      </c>
      <c r="U230" s="60" t="e">
        <f>'Final Data-US$'!U173/'Final Data-US$'!T173-1</f>
        <v>#DIV/0!</v>
      </c>
      <c r="V230" s="60" t="e">
        <f>'Final Data-US$'!V173/'Final Data-US$'!U173-1</f>
        <v>#DIV/0!</v>
      </c>
      <c r="W230" s="106" t="e">
        <f>'Final Data-US$'!W173</f>
        <v>#DIV/0!</v>
      </c>
      <c r="X230" s="106" t="e">
        <f>'Final Data-US$'!X173</f>
        <v>#DIV/0!</v>
      </c>
    </row>
    <row r="231" spans="1:24">
      <c r="A231" s="55" t="str">
        <f>'Secondary cum Calculation'!A403</f>
        <v>Poland</v>
      </c>
      <c r="B231" s="56" t="str">
        <f>'Secondary cum Calculation'!B403</f>
        <v>Tourism Flows</v>
      </c>
      <c r="C231" s="56" t="str">
        <f>'Secondary cum Calculation'!C403</f>
        <v>International Arrivals by Place of Origin</v>
      </c>
      <c r="D231" s="56" t="str">
        <f>'Secondary cum Calculation'!D403</f>
        <v>Europe</v>
      </c>
      <c r="E231" s="55" t="str">
        <f>'Secondary cum Calculation'!E403</f>
        <v>Cyprus</v>
      </c>
      <c r="F231" s="57" t="str">
        <f>'Secondary cum Calculation'!F403</f>
        <v>The number of international arrivals to a country originating from Cyprus</v>
      </c>
      <c r="G231" s="57" t="str">
        <f>'Secondary cum Calculation'!G403</f>
        <v>Tourism Demand &amp; Flows Database</v>
      </c>
      <c r="H231" s="57" t="str">
        <f>'Secondary cum Calculation'!H403</f>
        <v>New</v>
      </c>
      <c r="I231" s="57">
        <f>'Secondary cum Calculation'!I403</f>
        <v>0</v>
      </c>
      <c r="J231" s="57" t="str">
        <f>'Secondary cum Calculation'!J403</f>
        <v>Thousand</v>
      </c>
      <c r="K231" s="58">
        <f>'Secondary cum Calculation'!K403</f>
        <v>0</v>
      </c>
      <c r="L231" s="59"/>
      <c r="M231" s="60" t="e">
        <f>'Final Data-US$'!M174/'Final Data-US$'!L174-1</f>
        <v>#DIV/0!</v>
      </c>
      <c r="N231" s="60" t="e">
        <f>'Final Data-US$'!N174/'Final Data-US$'!M174-1</f>
        <v>#DIV/0!</v>
      </c>
      <c r="O231" s="60" t="e">
        <f>'Final Data-US$'!O174/'Final Data-US$'!N174-1</f>
        <v>#DIV/0!</v>
      </c>
      <c r="P231" s="60" t="e">
        <f>'Final Data-US$'!P174/'Final Data-US$'!O174-1</f>
        <v>#DIV/0!</v>
      </c>
      <c r="Q231" s="60" t="e">
        <f>'Final Data-US$'!Q174/'Final Data-US$'!P174-1</f>
        <v>#DIV/0!</v>
      </c>
      <c r="R231" s="60" t="e">
        <f>'Final Data-US$'!R174/'Final Data-US$'!Q174-1</f>
        <v>#DIV/0!</v>
      </c>
      <c r="S231" s="60" t="e">
        <f>'Final Data-US$'!S174/'Final Data-US$'!R174-1</f>
        <v>#DIV/0!</v>
      </c>
      <c r="T231" s="60" t="e">
        <f>'Final Data-US$'!T174/'Final Data-US$'!S174-1</f>
        <v>#DIV/0!</v>
      </c>
      <c r="U231" s="60" t="e">
        <f>'Final Data-US$'!U174/'Final Data-US$'!T174-1</f>
        <v>#DIV/0!</v>
      </c>
      <c r="V231" s="60" t="e">
        <f>'Final Data-US$'!V174/'Final Data-US$'!U174-1</f>
        <v>#DIV/0!</v>
      </c>
      <c r="W231" s="106" t="e">
        <f>'Final Data-US$'!W174</f>
        <v>#DIV/0!</v>
      </c>
      <c r="X231" s="106" t="e">
        <f>'Final Data-US$'!X174</f>
        <v>#DIV/0!</v>
      </c>
    </row>
    <row r="232" spans="1:24">
      <c r="A232" s="55" t="str">
        <f>'Secondary cum Calculation'!A405</f>
        <v>Poland</v>
      </c>
      <c r="B232" s="56" t="str">
        <f>'Secondary cum Calculation'!B405</f>
        <v>Tourism Flows</v>
      </c>
      <c r="C232" s="56" t="str">
        <f>'Secondary cum Calculation'!C405</f>
        <v>International Arrivals by Place of Origin</v>
      </c>
      <c r="D232" s="56" t="str">
        <f>'Secondary cum Calculation'!D405</f>
        <v>Europe</v>
      </c>
      <c r="E232" s="55" t="str">
        <f>'Secondary cum Calculation'!E405</f>
        <v>Czech Republic</v>
      </c>
      <c r="F232" s="57" t="str">
        <f>'Secondary cum Calculation'!F405</f>
        <v>The number of international arrivals to a country originating from Czech Republic</v>
      </c>
      <c r="G232" s="57" t="str">
        <f>'Secondary cum Calculation'!G405</f>
        <v>Tourism Demand &amp; Flows Database</v>
      </c>
      <c r="H232" s="57" t="str">
        <f>'Secondary cum Calculation'!H405</f>
        <v>New</v>
      </c>
      <c r="I232" s="57">
        <f>'Secondary cum Calculation'!I405</f>
        <v>0</v>
      </c>
      <c r="J232" s="57" t="str">
        <f>'Secondary cum Calculation'!J405</f>
        <v>Thousand</v>
      </c>
      <c r="K232" s="58">
        <f>'Secondary cum Calculation'!K405</f>
        <v>0</v>
      </c>
      <c r="L232" s="59"/>
      <c r="M232" s="60">
        <f>'Final Data-US$'!M175/'Final Data-US$'!L175-1</f>
        <v>-0.10882069441700648</v>
      </c>
      <c r="N232" s="60">
        <f>'Final Data-US$'!N175/'Final Data-US$'!M175-1</f>
        <v>-5.6620226154787234E-2</v>
      </c>
      <c r="O232" s="60">
        <f>'Final Data-US$'!O175/'Final Data-US$'!N175-1</f>
        <v>0</v>
      </c>
      <c r="P232" s="60">
        <f>'Final Data-US$'!P175/'Final Data-US$'!O175-1</f>
        <v>0.11428571428571432</v>
      </c>
      <c r="Q232" s="60">
        <f>'Final Data-US$'!Q175/'Final Data-US$'!P175-1</f>
        <v>5.1282051282051322E-2</v>
      </c>
      <c r="R232" s="60">
        <f>'Final Data-US$'!R175/'Final Data-US$'!Q175-1</f>
        <v>-1</v>
      </c>
      <c r="S232" s="60" t="e">
        <f>'Final Data-US$'!S175/'Final Data-US$'!R175-1</f>
        <v>#DIV/0!</v>
      </c>
      <c r="T232" s="60" t="e">
        <f>'Final Data-US$'!T175/'Final Data-US$'!S175-1</f>
        <v>#DIV/0!</v>
      </c>
      <c r="U232" s="60" t="e">
        <f>'Final Data-US$'!U175/'Final Data-US$'!T175-1</f>
        <v>#DIV/0!</v>
      </c>
      <c r="V232" s="60" t="e">
        <f>'Final Data-US$'!V175/'Final Data-US$'!U175-1</f>
        <v>#DIV/0!</v>
      </c>
      <c r="W232" s="106">
        <f>'Final Data-US$'!W175</f>
        <v>2.5299140398871822E-2</v>
      </c>
      <c r="X232" s="106">
        <f>'Final Data-US$'!X175</f>
        <v>-1</v>
      </c>
    </row>
    <row r="233" spans="1:24">
      <c r="A233" s="55" t="str">
        <f>'Secondary cum Calculation'!A407</f>
        <v>Poland</v>
      </c>
      <c r="B233" s="56" t="str">
        <f>'Secondary cum Calculation'!B407</f>
        <v>Tourism Flows</v>
      </c>
      <c r="C233" s="56" t="str">
        <f>'Secondary cum Calculation'!C407</f>
        <v>International Arrivals by Place of Origin</v>
      </c>
      <c r="D233" s="56" t="str">
        <f>'Secondary cum Calculation'!D407</f>
        <v>Europe</v>
      </c>
      <c r="E233" s="55" t="str">
        <f>'Secondary cum Calculation'!E407</f>
        <v>Denmark</v>
      </c>
      <c r="F233" s="57" t="str">
        <f>'Secondary cum Calculation'!F407</f>
        <v>The number of international arrivals to a country originating from Denmark</v>
      </c>
      <c r="G233" s="57" t="str">
        <f>'Secondary cum Calculation'!G407</f>
        <v>Tourism Demand &amp; Flows Database</v>
      </c>
      <c r="H233" s="57" t="str">
        <f>'Secondary cum Calculation'!H407</f>
        <v>New</v>
      </c>
      <c r="I233" s="57">
        <f>'Secondary cum Calculation'!I407</f>
        <v>0</v>
      </c>
      <c r="J233" s="57" t="str">
        <f>'Secondary cum Calculation'!J407</f>
        <v>Thousand</v>
      </c>
      <c r="K233" s="58">
        <f>'Secondary cum Calculation'!K407</f>
        <v>185.33699999999999</v>
      </c>
      <c r="L233" s="59"/>
      <c r="M233" s="60" t="e">
        <f>'Final Data-US$'!M176/'Final Data-US$'!L176-1</f>
        <v>#DIV/0!</v>
      </c>
      <c r="N233" s="60" t="e">
        <f>'Final Data-US$'!N176/'Final Data-US$'!M176-1</f>
        <v>#DIV/0!</v>
      </c>
      <c r="O233" s="60" t="e">
        <f>'Final Data-US$'!O176/'Final Data-US$'!N176-1</f>
        <v>#DIV/0!</v>
      </c>
      <c r="P233" s="60" t="e">
        <f>'Final Data-US$'!P176/'Final Data-US$'!O176-1</f>
        <v>#DIV/0!</v>
      </c>
      <c r="Q233" s="60" t="e">
        <f>'Final Data-US$'!Q176/'Final Data-US$'!P176-1</f>
        <v>#DIV/0!</v>
      </c>
      <c r="R233" s="60" t="e">
        <f>'Final Data-US$'!R176/'Final Data-US$'!Q176-1</f>
        <v>#DIV/0!</v>
      </c>
      <c r="S233" s="60" t="e">
        <f>'Final Data-US$'!S176/'Final Data-US$'!R176-1</f>
        <v>#DIV/0!</v>
      </c>
      <c r="T233" s="60" t="e">
        <f>'Final Data-US$'!T176/'Final Data-US$'!S176-1</f>
        <v>#DIV/0!</v>
      </c>
      <c r="U233" s="60" t="e">
        <f>'Final Data-US$'!U176/'Final Data-US$'!T176-1</f>
        <v>#DIV/0!</v>
      </c>
      <c r="V233" s="60" t="e">
        <f>'Final Data-US$'!V176/'Final Data-US$'!U176-1</f>
        <v>#DIV/0!</v>
      </c>
      <c r="W233" s="106" t="e">
        <f>'Final Data-US$'!W176</f>
        <v>#DIV/0!</v>
      </c>
      <c r="X233" s="106" t="e">
        <f>'Final Data-US$'!X176</f>
        <v>#DIV/0!</v>
      </c>
    </row>
    <row r="234" spans="1:24">
      <c r="A234" s="55" t="str">
        <f>'Secondary cum Calculation'!A409</f>
        <v>Poland</v>
      </c>
      <c r="B234" s="56" t="str">
        <f>'Secondary cum Calculation'!B409</f>
        <v>Tourism Flows</v>
      </c>
      <c r="C234" s="56" t="str">
        <f>'Secondary cum Calculation'!C409</f>
        <v>International Arrivals by Place of Origin</v>
      </c>
      <c r="D234" s="56" t="str">
        <f>'Secondary cum Calculation'!D409</f>
        <v>Europe</v>
      </c>
      <c r="E234" s="55" t="str">
        <f>'Secondary cum Calculation'!E409</f>
        <v>Estonia</v>
      </c>
      <c r="F234" s="57" t="str">
        <f>'Secondary cum Calculation'!F409</f>
        <v>The number of international arrivals to a country originating from Estonia</v>
      </c>
      <c r="G234" s="57" t="str">
        <f>'Secondary cum Calculation'!G409</f>
        <v>Tourism Demand &amp; Flows Database</v>
      </c>
      <c r="H234" s="57" t="str">
        <f>'Secondary cum Calculation'!H409</f>
        <v>New</v>
      </c>
      <c r="I234" s="57">
        <f>'Secondary cum Calculation'!I409</f>
        <v>0</v>
      </c>
      <c r="J234" s="57" t="str">
        <f>'Secondary cum Calculation'!J409</f>
        <v>Thousand</v>
      </c>
      <c r="K234" s="58">
        <f>'Secondary cum Calculation'!K409</f>
        <v>0</v>
      </c>
      <c r="L234" s="59"/>
      <c r="M234" s="60" t="e">
        <f>'Final Data-US$'!M177/'Final Data-US$'!L177-1</f>
        <v>#DIV/0!</v>
      </c>
      <c r="N234" s="60" t="e">
        <f>'Final Data-US$'!N177/'Final Data-US$'!M177-1</f>
        <v>#DIV/0!</v>
      </c>
      <c r="O234" s="100" t="e">
        <f>'Final Data-US$'!O177/'Final Data-US$'!N177-1</f>
        <v>#DIV/0!</v>
      </c>
      <c r="P234" s="100" t="e">
        <f>'Final Data-US$'!P177/'Final Data-US$'!O177-1</f>
        <v>#DIV/0!</v>
      </c>
      <c r="Q234" s="100" t="e">
        <f>'Final Data-US$'!Q177/'Final Data-US$'!P177-1</f>
        <v>#DIV/0!</v>
      </c>
      <c r="R234" s="100" t="e">
        <f>'Final Data-US$'!R177/'Final Data-US$'!Q177-1</f>
        <v>#DIV/0!</v>
      </c>
      <c r="S234" s="100" t="e">
        <f>'Final Data-US$'!S177/'Final Data-US$'!R177-1</f>
        <v>#DIV/0!</v>
      </c>
      <c r="T234" s="100" t="e">
        <f>'Final Data-US$'!T177/'Final Data-US$'!S177-1</f>
        <v>#DIV/0!</v>
      </c>
      <c r="U234" s="100" t="e">
        <f>'Final Data-US$'!U177/'Final Data-US$'!T177-1</f>
        <v>#DIV/0!</v>
      </c>
      <c r="V234" s="100" t="e">
        <f>'Final Data-US$'!V177/'Final Data-US$'!U177-1</f>
        <v>#DIV/0!</v>
      </c>
      <c r="W234" s="106" t="e">
        <f>'Final Data-US$'!W177</f>
        <v>#DIV/0!</v>
      </c>
      <c r="X234" s="106" t="e">
        <f>'Final Data-US$'!X177</f>
        <v>#DIV/0!</v>
      </c>
    </row>
    <row r="235" spans="1:24">
      <c r="A235" s="55" t="str">
        <f>'Secondary cum Calculation'!A411</f>
        <v>Poland</v>
      </c>
      <c r="B235" s="56" t="str">
        <f>'Secondary cum Calculation'!B411</f>
        <v>Tourism Flows</v>
      </c>
      <c r="C235" s="56" t="str">
        <f>'Secondary cum Calculation'!C411</f>
        <v>International Arrivals by Place of Origin</v>
      </c>
      <c r="D235" s="56" t="str">
        <f>'Secondary cum Calculation'!D411</f>
        <v>Europe</v>
      </c>
      <c r="E235" s="55" t="str">
        <f>'Secondary cum Calculation'!E411</f>
        <v>Finland</v>
      </c>
      <c r="F235" s="57" t="str">
        <f>'Secondary cum Calculation'!F411</f>
        <v>The number of international arrivals to a country originating from Finland</v>
      </c>
      <c r="G235" s="57" t="str">
        <f>'Secondary cum Calculation'!G411</f>
        <v>Tourism Demand &amp; Flows Database</v>
      </c>
      <c r="H235" s="57" t="str">
        <f>'Secondary cum Calculation'!H411</f>
        <v>New</v>
      </c>
      <c r="I235" s="57">
        <f>'Secondary cum Calculation'!I411</f>
        <v>0</v>
      </c>
      <c r="J235" s="57" t="str">
        <f>'Secondary cum Calculation'!J411</f>
        <v>Thousand</v>
      </c>
      <c r="K235" s="58">
        <f>'Secondary cum Calculation'!K411</f>
        <v>87.903999999999996</v>
      </c>
      <c r="L235" s="59"/>
      <c r="M235" s="60" t="e">
        <f>'Final Data-US$'!M178/'Final Data-US$'!L178-1</f>
        <v>#DIV/0!</v>
      </c>
      <c r="N235" s="60" t="e">
        <f>'Final Data-US$'!N178/'Final Data-US$'!M178-1</f>
        <v>#DIV/0!</v>
      </c>
      <c r="O235" s="60" t="e">
        <f>'Final Data-US$'!O178/'Final Data-US$'!N178-1</f>
        <v>#DIV/0!</v>
      </c>
      <c r="P235" s="60" t="e">
        <f>'Final Data-US$'!P178/'Final Data-US$'!O178-1</f>
        <v>#DIV/0!</v>
      </c>
      <c r="Q235" s="60" t="e">
        <f>'Final Data-US$'!Q178/'Final Data-US$'!P178-1</f>
        <v>#DIV/0!</v>
      </c>
      <c r="R235" s="60" t="e">
        <f>'Final Data-US$'!R178/'Final Data-US$'!Q178-1</f>
        <v>#DIV/0!</v>
      </c>
      <c r="S235" s="60" t="e">
        <f>'Final Data-US$'!S178/'Final Data-US$'!R178-1</f>
        <v>#DIV/0!</v>
      </c>
      <c r="T235" s="60" t="e">
        <f>'Final Data-US$'!T178/'Final Data-US$'!S178-1</f>
        <v>#DIV/0!</v>
      </c>
      <c r="U235" s="60" t="e">
        <f>'Final Data-US$'!U178/'Final Data-US$'!T178-1</f>
        <v>#DIV/0!</v>
      </c>
      <c r="V235" s="60" t="e">
        <f>'Final Data-US$'!V178/'Final Data-US$'!U178-1</f>
        <v>#DIV/0!</v>
      </c>
      <c r="W235" s="106" t="e">
        <f>'Final Data-US$'!W178</f>
        <v>#DIV/0!</v>
      </c>
      <c r="X235" s="106" t="e">
        <f>'Final Data-US$'!X178</f>
        <v>#DIV/0!</v>
      </c>
    </row>
    <row r="236" spans="1:24">
      <c r="A236" s="55" t="str">
        <f>'Secondary cum Calculation'!A413</f>
        <v>Poland</v>
      </c>
      <c r="B236" s="56" t="str">
        <f>'Secondary cum Calculation'!B413</f>
        <v>Tourism Flows</v>
      </c>
      <c r="C236" s="56" t="str">
        <f>'Secondary cum Calculation'!C413</f>
        <v>International Arrivals by Place of Origin</v>
      </c>
      <c r="D236" s="56" t="str">
        <f>'Secondary cum Calculation'!D413</f>
        <v>Europe</v>
      </c>
      <c r="E236" s="55" t="str">
        <f>'Secondary cum Calculation'!E413</f>
        <v>France</v>
      </c>
      <c r="F236" s="57" t="str">
        <f>'Secondary cum Calculation'!F413</f>
        <v>The number of international arrivals to a country originating from France</v>
      </c>
      <c r="G236" s="57" t="str">
        <f>'Secondary cum Calculation'!G413</f>
        <v>Tourism Demand &amp; Flows Database</v>
      </c>
      <c r="H236" s="57" t="str">
        <f>'Secondary cum Calculation'!H413</f>
        <v>New</v>
      </c>
      <c r="I236" s="57">
        <f>'Secondary cum Calculation'!I413</f>
        <v>0</v>
      </c>
      <c r="J236" s="57" t="str">
        <f>'Secondary cum Calculation'!J413</f>
        <v>Thousand</v>
      </c>
      <c r="K236" s="58">
        <f>'Secondary cum Calculation'!K413</f>
        <v>789.81500000000005</v>
      </c>
      <c r="L236" s="59"/>
      <c r="M236" s="60">
        <f>'Final Data-US$'!M179/'Final Data-US$'!L179-1</f>
        <v>-6.7210614343026442E-2</v>
      </c>
      <c r="N236" s="60">
        <f>'Final Data-US$'!N179/'Final Data-US$'!M179-1</f>
        <v>-5.9280023762957379E-2</v>
      </c>
      <c r="O236" s="60">
        <f>'Final Data-US$'!O179/'Final Data-US$'!N179-1</f>
        <v>4.6511627906976827E-2</v>
      </c>
      <c r="P236" s="60">
        <f>'Final Data-US$'!P179/'Final Data-US$'!O179-1</f>
        <v>6.6666666666666652E-2</v>
      </c>
      <c r="Q236" s="60">
        <f>'Final Data-US$'!Q179/'Final Data-US$'!P179-1</f>
        <v>0</v>
      </c>
      <c r="R236" s="60">
        <f>'Final Data-US$'!R179/'Final Data-US$'!Q179-1</f>
        <v>-1</v>
      </c>
      <c r="S236" s="60" t="e">
        <f>'Final Data-US$'!S179/'Final Data-US$'!R179-1</f>
        <v>#DIV/0!</v>
      </c>
      <c r="T236" s="60" t="e">
        <f>'Final Data-US$'!T179/'Final Data-US$'!S179-1</f>
        <v>#DIV/0!</v>
      </c>
      <c r="U236" s="60" t="e">
        <f>'Final Data-US$'!U179/'Final Data-US$'!T179-1</f>
        <v>#DIV/0!</v>
      </c>
      <c r="V236" s="60" t="e">
        <f>'Final Data-US$'!V179/'Final Data-US$'!U179-1</f>
        <v>#DIV/0!</v>
      </c>
      <c r="W236" s="106">
        <f>'Final Data-US$'!W179</f>
        <v>1.2297786101481245E-2</v>
      </c>
      <c r="X236" s="106">
        <f>'Final Data-US$'!X179</f>
        <v>-1</v>
      </c>
    </row>
    <row r="237" spans="1:24">
      <c r="A237" s="55" t="str">
        <f>'Secondary cum Calculation'!A415</f>
        <v>Poland</v>
      </c>
      <c r="B237" s="56" t="str">
        <f>'Secondary cum Calculation'!B415</f>
        <v>Tourism Flows</v>
      </c>
      <c r="C237" s="56" t="str">
        <f>'Secondary cum Calculation'!C415</f>
        <v>International Arrivals by Place of Origin</v>
      </c>
      <c r="D237" s="56" t="str">
        <f>'Secondary cum Calculation'!D415</f>
        <v>Europe</v>
      </c>
      <c r="E237" s="55" t="str">
        <f>'Secondary cum Calculation'!E415</f>
        <v>Georgia</v>
      </c>
      <c r="F237" s="57" t="str">
        <f>'Secondary cum Calculation'!F415</f>
        <v>The number of international arrivals to a country originating from Georgia</v>
      </c>
      <c r="G237" s="57" t="str">
        <f>'Secondary cum Calculation'!G415</f>
        <v>Tourism Demand &amp; Flows Database</v>
      </c>
      <c r="H237" s="57" t="str">
        <f>'Secondary cum Calculation'!H415</f>
        <v>New</v>
      </c>
      <c r="I237" s="57">
        <f>'Secondary cum Calculation'!I415</f>
        <v>0</v>
      </c>
      <c r="J237" s="57" t="str">
        <f>'Secondary cum Calculation'!J415</f>
        <v>Thousand</v>
      </c>
      <c r="K237" s="58">
        <f>'Secondary cum Calculation'!K415</f>
        <v>0</v>
      </c>
      <c r="L237" s="59"/>
      <c r="M237" s="60" t="e">
        <f>'Final Data-US$'!M180/'Final Data-US$'!L180-1</f>
        <v>#DIV/0!</v>
      </c>
      <c r="N237" s="60" t="e">
        <f>'Final Data-US$'!N180/'Final Data-US$'!M180-1</f>
        <v>#DIV/0!</v>
      </c>
      <c r="O237" s="100" t="e">
        <f>'Final Data-US$'!O180/'Final Data-US$'!N180-1</f>
        <v>#DIV/0!</v>
      </c>
      <c r="P237" s="100" t="e">
        <f>'Final Data-US$'!P180/'Final Data-US$'!O180-1</f>
        <v>#DIV/0!</v>
      </c>
      <c r="Q237" s="100" t="e">
        <f>'Final Data-US$'!Q180/'Final Data-US$'!P180-1</f>
        <v>#DIV/0!</v>
      </c>
      <c r="R237" s="100" t="e">
        <f>'Final Data-US$'!R180/'Final Data-US$'!Q180-1</f>
        <v>#DIV/0!</v>
      </c>
      <c r="S237" s="100" t="e">
        <f>'Final Data-US$'!S180/'Final Data-US$'!R180-1</f>
        <v>#DIV/0!</v>
      </c>
      <c r="T237" s="100" t="e">
        <f>'Final Data-US$'!T180/'Final Data-US$'!S180-1</f>
        <v>#DIV/0!</v>
      </c>
      <c r="U237" s="100" t="e">
        <f>'Final Data-US$'!U180/'Final Data-US$'!T180-1</f>
        <v>#DIV/0!</v>
      </c>
      <c r="V237" s="100" t="e">
        <f>'Final Data-US$'!V180/'Final Data-US$'!U180-1</f>
        <v>#DIV/0!</v>
      </c>
      <c r="W237" s="106" t="e">
        <f>'Final Data-US$'!W180</f>
        <v>#DIV/0!</v>
      </c>
      <c r="X237" s="106" t="e">
        <f>'Final Data-US$'!X180</f>
        <v>#DIV/0!</v>
      </c>
    </row>
    <row r="238" spans="1:24">
      <c r="A238" s="55" t="str">
        <f>'Secondary cum Calculation'!A417</f>
        <v>Poland</v>
      </c>
      <c r="B238" s="56" t="str">
        <f>'Secondary cum Calculation'!B417</f>
        <v>Tourism Flows</v>
      </c>
      <c r="C238" s="56" t="str">
        <f>'Secondary cum Calculation'!C417</f>
        <v>International Arrivals by Place of Origin</v>
      </c>
      <c r="D238" s="56" t="str">
        <f>'Secondary cum Calculation'!D417</f>
        <v>Europe</v>
      </c>
      <c r="E238" s="55" t="str">
        <f>'Secondary cum Calculation'!E417</f>
        <v>Germany</v>
      </c>
      <c r="F238" s="57" t="str">
        <f>'Secondary cum Calculation'!F417</f>
        <v>The number of international arrivals to a country originating from Germany</v>
      </c>
      <c r="G238" s="57" t="str">
        <f>'Secondary cum Calculation'!G417</f>
        <v>Tourism Demand &amp; Flows Database</v>
      </c>
      <c r="H238" s="57" t="str">
        <f>'Secondary cum Calculation'!H417</f>
        <v>New</v>
      </c>
      <c r="I238" s="57">
        <f>'Secondary cum Calculation'!I417</f>
        <v>0</v>
      </c>
      <c r="J238" s="57" t="str">
        <f>'Secondary cum Calculation'!J417</f>
        <v>Thousand</v>
      </c>
      <c r="K238" s="58">
        <f>'Secondary cum Calculation'!K417</f>
        <v>1385.52</v>
      </c>
      <c r="L238" s="59"/>
      <c r="M238" s="60">
        <f>'Final Data-US$'!M181/'Final Data-US$'!L181-1</f>
        <v>-3.793739019147746E-2</v>
      </c>
      <c r="N238" s="60">
        <f>'Final Data-US$'!N181/'Final Data-US$'!M181-1</f>
        <v>-9.0198053872788675E-3</v>
      </c>
      <c r="O238" s="60">
        <f>'Final Data-US$'!O181/'Final Data-US$'!N181-1</f>
        <v>-8.7719298245614308E-3</v>
      </c>
      <c r="P238" s="60">
        <f>'Final Data-US$'!P181/'Final Data-US$'!O181-1</f>
        <v>1.5486725663716783E-2</v>
      </c>
      <c r="Q238" s="60">
        <f>'Final Data-US$'!Q181/'Final Data-US$'!P181-1</f>
        <v>4.5751633986928164E-2</v>
      </c>
      <c r="R238" s="60">
        <f>'Final Data-US$'!R181/'Final Data-US$'!Q181-1</f>
        <v>-1</v>
      </c>
      <c r="S238" s="60" t="e">
        <f>'Final Data-US$'!S181/'Final Data-US$'!R181-1</f>
        <v>#DIV/0!</v>
      </c>
      <c r="T238" s="60" t="e">
        <f>'Final Data-US$'!T181/'Final Data-US$'!S181-1</f>
        <v>#DIV/0!</v>
      </c>
      <c r="U238" s="60" t="e">
        <f>'Final Data-US$'!U181/'Final Data-US$'!T181-1</f>
        <v>#DIV/0!</v>
      </c>
      <c r="V238" s="60" t="e">
        <f>'Final Data-US$'!V181/'Final Data-US$'!U181-1</f>
        <v>#DIV/0!</v>
      </c>
      <c r="W238" s="106">
        <f>'Final Data-US$'!W181</f>
        <v>1.0614074920884509E-2</v>
      </c>
      <c r="X238" s="106">
        <f>'Final Data-US$'!X181</f>
        <v>-1</v>
      </c>
    </row>
    <row r="239" spans="1:24">
      <c r="A239" s="55" t="str">
        <f>'Secondary cum Calculation'!A419</f>
        <v>Poland</v>
      </c>
      <c r="B239" s="56" t="str">
        <f>'Secondary cum Calculation'!B419</f>
        <v>Tourism Flows</v>
      </c>
      <c r="C239" s="56" t="str">
        <f>'Secondary cum Calculation'!C419</f>
        <v>International Arrivals by Place of Origin</v>
      </c>
      <c r="D239" s="56" t="str">
        <f>'Secondary cum Calculation'!D419</f>
        <v>Europe</v>
      </c>
      <c r="E239" s="55" t="str">
        <f>'Secondary cum Calculation'!E419</f>
        <v>Greece</v>
      </c>
      <c r="F239" s="57" t="str">
        <f>'Secondary cum Calculation'!F419</f>
        <v>The number of international arrivals to a country originating from Greece</v>
      </c>
      <c r="G239" s="57" t="str">
        <f>'Secondary cum Calculation'!G419</f>
        <v>Tourism Demand &amp; Flows Database</v>
      </c>
      <c r="H239" s="57" t="str">
        <f>'Secondary cum Calculation'!H419</f>
        <v>New</v>
      </c>
      <c r="I239" s="57">
        <f>'Secondary cum Calculation'!I419</f>
        <v>0</v>
      </c>
      <c r="J239" s="57" t="str">
        <f>'Secondary cum Calculation'!J419</f>
        <v>Thousand</v>
      </c>
      <c r="K239" s="58">
        <f>'Secondary cum Calculation'!K419</f>
        <v>0</v>
      </c>
      <c r="L239" s="59"/>
      <c r="M239" s="60" t="e">
        <f>'Final Data-US$'!M182/'Final Data-US$'!L182-1</f>
        <v>#DIV/0!</v>
      </c>
      <c r="N239" s="60" t="e">
        <f>'Final Data-US$'!N182/'Final Data-US$'!M182-1</f>
        <v>#DIV/0!</v>
      </c>
      <c r="O239" s="60" t="e">
        <f>'Final Data-US$'!O182/'Final Data-US$'!N182-1</f>
        <v>#DIV/0!</v>
      </c>
      <c r="P239" s="60" t="e">
        <f>'Final Data-US$'!P182/'Final Data-US$'!O182-1</f>
        <v>#DIV/0!</v>
      </c>
      <c r="Q239" s="60" t="e">
        <f>'Final Data-US$'!Q182/'Final Data-US$'!P182-1</f>
        <v>#DIV/0!</v>
      </c>
      <c r="R239" s="60" t="e">
        <f>'Final Data-US$'!R182/'Final Data-US$'!Q182-1</f>
        <v>#DIV/0!</v>
      </c>
      <c r="S239" s="60" t="e">
        <f>'Final Data-US$'!S182/'Final Data-US$'!R182-1</f>
        <v>#DIV/0!</v>
      </c>
      <c r="T239" s="60" t="e">
        <f>'Final Data-US$'!T182/'Final Data-US$'!S182-1</f>
        <v>#DIV/0!</v>
      </c>
      <c r="U239" s="60" t="e">
        <f>'Final Data-US$'!U182/'Final Data-US$'!T182-1</f>
        <v>#DIV/0!</v>
      </c>
      <c r="V239" s="60" t="e">
        <f>'Final Data-US$'!V182/'Final Data-US$'!U182-1</f>
        <v>#DIV/0!</v>
      </c>
      <c r="W239" s="106" t="e">
        <f>'Final Data-US$'!W182</f>
        <v>#DIV/0!</v>
      </c>
      <c r="X239" s="106" t="e">
        <f>'Final Data-US$'!X182</f>
        <v>#DIV/0!</v>
      </c>
    </row>
    <row r="240" spans="1:24">
      <c r="A240" s="55" t="str">
        <f>'Secondary cum Calculation'!A421</f>
        <v>Poland</v>
      </c>
      <c r="B240" s="56" t="str">
        <f>'Secondary cum Calculation'!B421</f>
        <v>Tourism Flows</v>
      </c>
      <c r="C240" s="56" t="str">
        <f>'Secondary cum Calculation'!C421</f>
        <v>International Arrivals by Place of Origin</v>
      </c>
      <c r="D240" s="56" t="str">
        <f>'Secondary cum Calculation'!D421</f>
        <v>Europe</v>
      </c>
      <c r="E240" s="55" t="str">
        <f>'Secondary cum Calculation'!E421</f>
        <v>Hungary</v>
      </c>
      <c r="F240" s="57" t="str">
        <f>'Secondary cum Calculation'!F421</f>
        <v>The number of international arrivals to a country originating from Hungary</v>
      </c>
      <c r="G240" s="57" t="str">
        <f>'Secondary cum Calculation'!G421</f>
        <v>Tourism Demand &amp; Flows Database</v>
      </c>
      <c r="H240" s="57" t="str">
        <f>'Secondary cum Calculation'!H421</f>
        <v>New</v>
      </c>
      <c r="I240" s="57">
        <f>'Secondary cum Calculation'!I421</f>
        <v>0</v>
      </c>
      <c r="J240" s="57" t="str">
        <f>'Secondary cum Calculation'!J421</f>
        <v>Thousand</v>
      </c>
      <c r="K240" s="58">
        <f>'Secondary cum Calculation'!K421</f>
        <v>0</v>
      </c>
      <c r="L240" s="59"/>
      <c r="M240" s="60">
        <f>'Final Data-US$'!M183/'Final Data-US$'!L183-1</f>
        <v>-3.5991304811071489E-2</v>
      </c>
      <c r="N240" s="60">
        <f>'Final Data-US$'!N183/'Final Data-US$'!M183-1</f>
        <v>-2.9404870784740522E-3</v>
      </c>
      <c r="O240" s="60">
        <f>'Final Data-US$'!O183/'Final Data-US$'!N183-1</f>
        <v>-2.5000000000000022E-2</v>
      </c>
      <c r="P240" s="60">
        <f>'Final Data-US$'!P183/'Final Data-US$'!O183-1</f>
        <v>2.564102564102555E-2</v>
      </c>
      <c r="Q240" s="60">
        <f>'Final Data-US$'!Q183/'Final Data-US$'!P183-1</f>
        <v>5.0000000000000044E-2</v>
      </c>
      <c r="R240" s="60">
        <f>'Final Data-US$'!R183/'Final Data-US$'!Q183-1</f>
        <v>-1</v>
      </c>
      <c r="S240" s="60" t="e">
        <f>'Final Data-US$'!S183/'Final Data-US$'!R183-1</f>
        <v>#DIV/0!</v>
      </c>
      <c r="T240" s="60" t="e">
        <f>'Final Data-US$'!T183/'Final Data-US$'!S183-1</f>
        <v>#DIV/0!</v>
      </c>
      <c r="U240" s="60" t="e">
        <f>'Final Data-US$'!U183/'Final Data-US$'!T183-1</f>
        <v>#DIV/0!</v>
      </c>
      <c r="V240" s="60" t="e">
        <f>'Final Data-US$'!V183/'Final Data-US$'!U183-1</f>
        <v>#DIV/0!</v>
      </c>
      <c r="W240" s="106">
        <f>'Final Data-US$'!W183</f>
        <v>1.1527269108423832E-2</v>
      </c>
      <c r="X240" s="106">
        <f>'Final Data-US$'!X183</f>
        <v>-1</v>
      </c>
    </row>
    <row r="241" spans="1:24">
      <c r="A241" s="55" t="str">
        <f>'Secondary cum Calculation'!A423</f>
        <v>Poland</v>
      </c>
      <c r="B241" s="56" t="str">
        <f>'Secondary cum Calculation'!B423</f>
        <v>Tourism Flows</v>
      </c>
      <c r="C241" s="56" t="str">
        <f>'Secondary cum Calculation'!C423</f>
        <v>International Arrivals by Place of Origin</v>
      </c>
      <c r="D241" s="56" t="str">
        <f>'Secondary cum Calculation'!D423</f>
        <v>Europe</v>
      </c>
      <c r="E241" s="55" t="str">
        <f>'Secondary cum Calculation'!E423</f>
        <v>Iceland</v>
      </c>
      <c r="F241" s="57" t="str">
        <f>'Secondary cum Calculation'!F423</f>
        <v>The number of international arrivals to a country originating from Iceland</v>
      </c>
      <c r="G241" s="57" t="str">
        <f>'Secondary cum Calculation'!G423</f>
        <v>Tourism Demand &amp; Flows Database</v>
      </c>
      <c r="H241" s="57" t="str">
        <f>'Secondary cum Calculation'!H423</f>
        <v>New</v>
      </c>
      <c r="I241" s="57">
        <f>'Secondary cum Calculation'!I423</f>
        <v>0</v>
      </c>
      <c r="J241" s="57" t="str">
        <f>'Secondary cum Calculation'!J423</f>
        <v>Thousand</v>
      </c>
      <c r="K241" s="58">
        <f>'Secondary cum Calculation'!K423</f>
        <v>0</v>
      </c>
      <c r="L241" s="59"/>
      <c r="M241" s="60" t="e">
        <f>'Final Data-US$'!M184/'Final Data-US$'!L184-1</f>
        <v>#DIV/0!</v>
      </c>
      <c r="N241" s="60" t="e">
        <f>'Final Data-US$'!N184/'Final Data-US$'!M184-1</f>
        <v>#DIV/0!</v>
      </c>
      <c r="O241" s="100" t="e">
        <f>'Final Data-US$'!O184/'Final Data-US$'!N184-1</f>
        <v>#DIV/0!</v>
      </c>
      <c r="P241" s="100" t="e">
        <f>'Final Data-US$'!P184/'Final Data-US$'!O184-1</f>
        <v>#DIV/0!</v>
      </c>
      <c r="Q241" s="100" t="e">
        <f>'Final Data-US$'!Q184/'Final Data-US$'!P184-1</f>
        <v>#DIV/0!</v>
      </c>
      <c r="R241" s="100" t="e">
        <f>'Final Data-US$'!R184/'Final Data-US$'!Q184-1</f>
        <v>#DIV/0!</v>
      </c>
      <c r="S241" s="100" t="e">
        <f>'Final Data-US$'!S184/'Final Data-US$'!R184-1</f>
        <v>#DIV/0!</v>
      </c>
      <c r="T241" s="100" t="e">
        <f>'Final Data-US$'!T184/'Final Data-US$'!S184-1</f>
        <v>#DIV/0!</v>
      </c>
      <c r="U241" s="100" t="e">
        <f>'Final Data-US$'!U184/'Final Data-US$'!T184-1</f>
        <v>#DIV/0!</v>
      </c>
      <c r="V241" s="100" t="e">
        <f>'Final Data-US$'!V184/'Final Data-US$'!U184-1</f>
        <v>#DIV/0!</v>
      </c>
      <c r="W241" s="106" t="e">
        <f>'Final Data-US$'!W184</f>
        <v>#DIV/0!</v>
      </c>
      <c r="X241" s="106" t="e">
        <f>'Final Data-US$'!X184</f>
        <v>#DIV/0!</v>
      </c>
    </row>
    <row r="242" spans="1:24">
      <c r="A242" s="55" t="str">
        <f>'Secondary cum Calculation'!A425</f>
        <v>Poland</v>
      </c>
      <c r="B242" s="56" t="str">
        <f>'Secondary cum Calculation'!B425</f>
        <v>Tourism Flows</v>
      </c>
      <c r="C242" s="56" t="str">
        <f>'Secondary cum Calculation'!C425</f>
        <v>International Arrivals by Place of Origin</v>
      </c>
      <c r="D242" s="56" t="str">
        <f>'Secondary cum Calculation'!D425</f>
        <v>Europe</v>
      </c>
      <c r="E242" s="55" t="str">
        <f>'Secondary cum Calculation'!E425</f>
        <v>Ireland</v>
      </c>
      <c r="F242" s="57" t="str">
        <f>'Secondary cum Calculation'!F425</f>
        <v>The number of international arrivals to a country originating from Ireland</v>
      </c>
      <c r="G242" s="57" t="str">
        <f>'Secondary cum Calculation'!G425</f>
        <v>Tourism Demand &amp; Flows Database</v>
      </c>
      <c r="H242" s="57" t="str">
        <f>'Secondary cum Calculation'!H425</f>
        <v>New</v>
      </c>
      <c r="I242" s="57">
        <f>'Secondary cum Calculation'!I425</f>
        <v>0</v>
      </c>
      <c r="J242" s="57" t="str">
        <f>'Secondary cum Calculation'!J425</f>
        <v>Thousand</v>
      </c>
      <c r="K242" s="58">
        <f>'Secondary cum Calculation'!K425</f>
        <v>414.423</v>
      </c>
      <c r="L242" s="59"/>
      <c r="M242" s="60" t="e">
        <f>'Final Data-US$'!M185/'Final Data-US$'!L185-1</f>
        <v>#DIV/0!</v>
      </c>
      <c r="N242" s="60" t="e">
        <f>'Final Data-US$'!N185/'Final Data-US$'!M185-1</f>
        <v>#DIV/0!</v>
      </c>
      <c r="O242" s="60" t="e">
        <f>'Final Data-US$'!O185/'Final Data-US$'!N185-1</f>
        <v>#DIV/0!</v>
      </c>
      <c r="P242" s="60" t="e">
        <f>'Final Data-US$'!P185/'Final Data-US$'!O185-1</f>
        <v>#DIV/0!</v>
      </c>
      <c r="Q242" s="60" t="e">
        <f>'Final Data-US$'!Q185/'Final Data-US$'!P185-1</f>
        <v>#DIV/0!</v>
      </c>
      <c r="R242" s="60" t="e">
        <f>'Final Data-US$'!R185/'Final Data-US$'!Q185-1</f>
        <v>#DIV/0!</v>
      </c>
      <c r="S242" s="60" t="e">
        <f>'Final Data-US$'!S185/'Final Data-US$'!R185-1</f>
        <v>#DIV/0!</v>
      </c>
      <c r="T242" s="60" t="e">
        <f>'Final Data-US$'!T185/'Final Data-US$'!S185-1</f>
        <v>#DIV/0!</v>
      </c>
      <c r="U242" s="60" t="e">
        <f>'Final Data-US$'!U185/'Final Data-US$'!T185-1</f>
        <v>#DIV/0!</v>
      </c>
      <c r="V242" s="60" t="e">
        <f>'Final Data-US$'!V185/'Final Data-US$'!U185-1</f>
        <v>#DIV/0!</v>
      </c>
      <c r="W242" s="106" t="e">
        <f>'Final Data-US$'!W185</f>
        <v>#DIV/0!</v>
      </c>
      <c r="X242" s="106" t="e">
        <f>'Final Data-US$'!X185</f>
        <v>#DIV/0!</v>
      </c>
    </row>
    <row r="243" spans="1:24">
      <c r="A243" s="55" t="str">
        <f>'Secondary cum Calculation'!A427</f>
        <v>Poland</v>
      </c>
      <c r="B243" s="56" t="str">
        <f>'Secondary cum Calculation'!B427</f>
        <v>Tourism Flows</v>
      </c>
      <c r="C243" s="56" t="str">
        <f>'Secondary cum Calculation'!C427</f>
        <v>International Arrivals by Place of Origin</v>
      </c>
      <c r="D243" s="56" t="str">
        <f>'Secondary cum Calculation'!D427</f>
        <v>Europe</v>
      </c>
      <c r="E243" s="55" t="str">
        <f>'Secondary cum Calculation'!E427</f>
        <v>Italy</v>
      </c>
      <c r="F243" s="57" t="str">
        <f>'Secondary cum Calculation'!F427</f>
        <v>The number of international arrivals to a country originating from Italy</v>
      </c>
      <c r="G243" s="57" t="str">
        <f>'Secondary cum Calculation'!G427</f>
        <v>Tourism Demand &amp; Flows Database</v>
      </c>
      <c r="H243" s="57" t="str">
        <f>'Secondary cum Calculation'!H427</f>
        <v>New</v>
      </c>
      <c r="I243" s="57">
        <f>'Secondary cum Calculation'!I427</f>
        <v>0</v>
      </c>
      <c r="J243" s="57" t="str">
        <f>'Secondary cum Calculation'!J427</f>
        <v>Thousand</v>
      </c>
      <c r="K243" s="58">
        <f>'Secondary cum Calculation'!K427</f>
        <v>532.82899999999995</v>
      </c>
      <c r="L243" s="59"/>
      <c r="M243" s="60">
        <f>'Final Data-US$'!M186/'Final Data-US$'!L186-1</f>
        <v>-0.10709632116956902</v>
      </c>
      <c r="N243" s="60">
        <f>'Final Data-US$'!N186/'Final Data-US$'!M186-1</f>
        <v>-9.1411414803974522E-2</v>
      </c>
      <c r="O243" s="60">
        <f>'Final Data-US$'!O186/'Final Data-US$'!N186-1</f>
        <v>8.163265306122458E-2</v>
      </c>
      <c r="P243" s="60">
        <f>'Final Data-US$'!P186/'Final Data-US$'!O186-1</f>
        <v>7.547169811320753E-2</v>
      </c>
      <c r="Q243" s="60">
        <f>'Final Data-US$'!Q186/'Final Data-US$'!P186-1</f>
        <v>3.5087719298245723E-2</v>
      </c>
      <c r="R243" s="60">
        <f>'Final Data-US$'!R186/'Final Data-US$'!Q186-1</f>
        <v>-1</v>
      </c>
      <c r="S243" s="60" t="e">
        <f>'Final Data-US$'!S186/'Final Data-US$'!R186-1</f>
        <v>#DIV/0!</v>
      </c>
      <c r="T243" s="60" t="e">
        <f>'Final Data-US$'!T186/'Final Data-US$'!S186-1</f>
        <v>#DIV/0!</v>
      </c>
      <c r="U243" s="60" t="e">
        <f>'Final Data-US$'!U186/'Final Data-US$'!T186-1</f>
        <v>#DIV/0!</v>
      </c>
      <c r="V243" s="60" t="e">
        <f>'Final Data-US$'!V186/'Final Data-US$'!U186-1</f>
        <v>#DIV/0!</v>
      </c>
      <c r="W243" s="106">
        <f>'Final Data-US$'!W186</f>
        <v>2.2717769994264891E-2</v>
      </c>
      <c r="X243" s="106">
        <f>'Final Data-US$'!X186</f>
        <v>-1</v>
      </c>
    </row>
    <row r="244" spans="1:24">
      <c r="A244" s="55" t="str">
        <f>'Secondary cum Calculation'!A429</f>
        <v>Poland</v>
      </c>
      <c r="B244" s="56" t="str">
        <f>'Secondary cum Calculation'!B429</f>
        <v>Tourism Flows</v>
      </c>
      <c r="C244" s="56" t="str">
        <f>'Secondary cum Calculation'!C429</f>
        <v>International Arrivals by Place of Origin</v>
      </c>
      <c r="D244" s="56" t="str">
        <f>'Secondary cum Calculation'!D429</f>
        <v>Europe</v>
      </c>
      <c r="E244" s="55" t="str">
        <f>'Secondary cum Calculation'!E429</f>
        <v>Latvia</v>
      </c>
      <c r="F244" s="57" t="str">
        <f>'Secondary cum Calculation'!F429</f>
        <v>The number of international arrivals to a country originating from Latvia</v>
      </c>
      <c r="G244" s="57" t="str">
        <f>'Secondary cum Calculation'!G429</f>
        <v>Tourism Demand &amp; Flows Database</v>
      </c>
      <c r="H244" s="57" t="str">
        <f>'Secondary cum Calculation'!H429</f>
        <v>New</v>
      </c>
      <c r="I244" s="57">
        <f>'Secondary cum Calculation'!I429</f>
        <v>0</v>
      </c>
      <c r="J244" s="57" t="str">
        <f>'Secondary cum Calculation'!J429</f>
        <v>Thousand</v>
      </c>
      <c r="K244" s="58">
        <f>'Secondary cum Calculation'!K429</f>
        <v>0</v>
      </c>
      <c r="L244" s="59"/>
      <c r="M244" s="60">
        <f>'Final Data-US$'!M187/'Final Data-US$'!L187-1</f>
        <v>-0.18553086662872076</v>
      </c>
      <c r="N244" s="60">
        <f>'Final Data-US$'!N187/'Final Data-US$'!M187-1</f>
        <v>-0.16949213057789847</v>
      </c>
      <c r="O244" s="100">
        <f>'Final Data-US$'!O187/'Final Data-US$'!N187-1</f>
        <v>0.17391304347826098</v>
      </c>
      <c r="P244" s="100">
        <f>'Final Data-US$'!P187/'Final Data-US$'!O187-1</f>
        <v>0.11111111111111116</v>
      </c>
      <c r="Q244" s="100">
        <f>'Final Data-US$'!Q187/'Final Data-US$'!P187-1</f>
        <v>0.10000000000000009</v>
      </c>
      <c r="R244" s="100">
        <f>'Final Data-US$'!R187/'Final Data-US$'!Q187-1</f>
        <v>-1</v>
      </c>
      <c r="S244" s="100" t="e">
        <f>'Final Data-US$'!S187/'Final Data-US$'!R187-1</f>
        <v>#DIV/0!</v>
      </c>
      <c r="T244" s="100" t="e">
        <f>'Final Data-US$'!T187/'Final Data-US$'!S187-1</f>
        <v>#DIV/0!</v>
      </c>
      <c r="U244" s="100" t="e">
        <f>'Final Data-US$'!U187/'Final Data-US$'!T187-1</f>
        <v>#DIV/0!</v>
      </c>
      <c r="V244" s="100" t="e">
        <f>'Final Data-US$'!V187/'Final Data-US$'!U187-1</f>
        <v>#DIV/0!</v>
      </c>
      <c r="W244" s="106">
        <f>'Final Data-US$'!W187</f>
        <v>4.4798316025846052E-2</v>
      </c>
      <c r="X244" s="106">
        <f>'Final Data-US$'!X187</f>
        <v>-1</v>
      </c>
    </row>
    <row r="245" spans="1:24">
      <c r="A245" s="55" t="str">
        <f>'Secondary cum Calculation'!A431</f>
        <v>Poland</v>
      </c>
      <c r="B245" s="56" t="str">
        <f>'Secondary cum Calculation'!B431</f>
        <v>Tourism Flows</v>
      </c>
      <c r="C245" s="56" t="str">
        <f>'Secondary cum Calculation'!C431</f>
        <v>International Arrivals by Place of Origin</v>
      </c>
      <c r="D245" s="56" t="str">
        <f>'Secondary cum Calculation'!D431</f>
        <v>Europe</v>
      </c>
      <c r="E245" s="55" t="str">
        <f>'Secondary cum Calculation'!E431</f>
        <v>Lithuania</v>
      </c>
      <c r="F245" s="57" t="str">
        <f>'Secondary cum Calculation'!F431</f>
        <v>The number of international arrivals to a country originating from Lithuania</v>
      </c>
      <c r="G245" s="57" t="str">
        <f>'Secondary cum Calculation'!G431</f>
        <v>Tourism Demand &amp; Flows Database</v>
      </c>
      <c r="H245" s="57" t="str">
        <f>'Secondary cum Calculation'!H431</f>
        <v>New</v>
      </c>
      <c r="I245" s="57">
        <f>'Secondary cum Calculation'!I431</f>
        <v>0</v>
      </c>
      <c r="J245" s="57" t="str">
        <f>'Secondary cum Calculation'!J431</f>
        <v>Thousand</v>
      </c>
      <c r="K245" s="58">
        <f>'Secondary cum Calculation'!K431</f>
        <v>0</v>
      </c>
      <c r="L245" s="59"/>
      <c r="M245" s="60">
        <f>'Final Data-US$'!M188/'Final Data-US$'!L188-1</f>
        <v>5.3470878983530312E-4</v>
      </c>
      <c r="N245" s="60">
        <f>'Final Data-US$'!N188/'Final Data-US$'!M188-1</f>
        <v>-2.0590877650155104E-3</v>
      </c>
      <c r="O245" s="60">
        <f>'Final Data-US$'!O188/'Final Data-US$'!N188-1</f>
        <v>0</v>
      </c>
      <c r="P245" s="60">
        <f>'Final Data-US$'!P188/'Final Data-US$'!O188-1</f>
        <v>1.6129032258064502E-2</v>
      </c>
      <c r="Q245" s="60">
        <f>'Final Data-US$'!Q188/'Final Data-US$'!P188-1</f>
        <v>-2.3809523809523836E-2</v>
      </c>
      <c r="R245" s="60">
        <f>'Final Data-US$'!R188/'Final Data-US$'!Q188-1</f>
        <v>-1</v>
      </c>
      <c r="S245" s="60" t="e">
        <f>'Final Data-US$'!S188/'Final Data-US$'!R188-1</f>
        <v>#DIV/0!</v>
      </c>
      <c r="T245" s="60" t="e">
        <f>'Final Data-US$'!T188/'Final Data-US$'!S188-1</f>
        <v>#DIV/0!</v>
      </c>
      <c r="U245" s="60" t="e">
        <f>'Final Data-US$'!U188/'Final Data-US$'!T188-1</f>
        <v>#DIV/0!</v>
      </c>
      <c r="V245" s="60" t="e">
        <f>'Final Data-US$'!V188/'Final Data-US$'!U188-1</f>
        <v>#DIV/0!</v>
      </c>
      <c r="W245" s="106">
        <f>'Final Data-US$'!W188</f>
        <v>-2.5363831392188896E-3</v>
      </c>
      <c r="X245" s="106">
        <f>'Final Data-US$'!X188</f>
        <v>-1</v>
      </c>
    </row>
    <row r="246" spans="1:24">
      <c r="A246" s="55" t="str">
        <f>'Secondary cum Calculation'!A433</f>
        <v>Poland</v>
      </c>
      <c r="B246" s="56" t="str">
        <f>'Secondary cum Calculation'!B433</f>
        <v>Tourism Flows</v>
      </c>
      <c r="C246" s="56" t="str">
        <f>'Secondary cum Calculation'!C433</f>
        <v>International Arrivals by Place of Origin</v>
      </c>
      <c r="D246" s="56" t="str">
        <f>'Secondary cum Calculation'!D433</f>
        <v>Europe</v>
      </c>
      <c r="E246" s="55" t="str">
        <f>'Secondary cum Calculation'!E433</f>
        <v>Luxembourg</v>
      </c>
      <c r="F246" s="57" t="str">
        <f>'Secondary cum Calculation'!F433</f>
        <v>The number of international arrivals to a country originating from Luxembourg</v>
      </c>
      <c r="G246" s="57" t="str">
        <f>'Secondary cum Calculation'!G433</f>
        <v>Tourism Demand &amp; Flows Database</v>
      </c>
      <c r="H246" s="57" t="str">
        <f>'Secondary cum Calculation'!H433</f>
        <v>New</v>
      </c>
      <c r="I246" s="57">
        <f>'Secondary cum Calculation'!I433</f>
        <v>0</v>
      </c>
      <c r="J246" s="57" t="str">
        <f>'Secondary cum Calculation'!J433</f>
        <v>Thousand</v>
      </c>
      <c r="K246" s="58">
        <f>'Secondary cum Calculation'!K433</f>
        <v>0</v>
      </c>
      <c r="L246" s="59"/>
      <c r="M246" s="60" t="e">
        <f>'Final Data-US$'!M189/'Final Data-US$'!L189-1</f>
        <v>#DIV/0!</v>
      </c>
      <c r="N246" s="60" t="e">
        <f>'Final Data-US$'!N189/'Final Data-US$'!M189-1</f>
        <v>#DIV/0!</v>
      </c>
      <c r="O246" s="60" t="e">
        <f>'Final Data-US$'!O189/'Final Data-US$'!N189-1</f>
        <v>#DIV/0!</v>
      </c>
      <c r="P246" s="60" t="e">
        <f>'Final Data-US$'!P189/'Final Data-US$'!O189-1</f>
        <v>#DIV/0!</v>
      </c>
      <c r="Q246" s="60" t="e">
        <f>'Final Data-US$'!Q189/'Final Data-US$'!P189-1</f>
        <v>#DIV/0!</v>
      </c>
      <c r="R246" s="60" t="e">
        <f>'Final Data-US$'!R189/'Final Data-US$'!Q189-1</f>
        <v>#DIV/0!</v>
      </c>
      <c r="S246" s="60" t="e">
        <f>'Final Data-US$'!S189/'Final Data-US$'!R189-1</f>
        <v>#DIV/0!</v>
      </c>
      <c r="T246" s="60" t="e">
        <f>'Final Data-US$'!T189/'Final Data-US$'!S189-1</f>
        <v>#DIV/0!</v>
      </c>
      <c r="U246" s="60" t="e">
        <f>'Final Data-US$'!U189/'Final Data-US$'!T189-1</f>
        <v>#DIV/0!</v>
      </c>
      <c r="V246" s="60" t="e">
        <f>'Final Data-US$'!V189/'Final Data-US$'!U189-1</f>
        <v>#DIV/0!</v>
      </c>
      <c r="W246" s="106" t="e">
        <f>'Final Data-US$'!W189</f>
        <v>#DIV/0!</v>
      </c>
      <c r="X246" s="106" t="e">
        <f>'Final Data-US$'!X189</f>
        <v>#DIV/0!</v>
      </c>
    </row>
    <row r="247" spans="1:24">
      <c r="A247" s="55" t="str">
        <f>'Secondary cum Calculation'!A435</f>
        <v>Poland</v>
      </c>
      <c r="B247" s="56" t="str">
        <f>'Secondary cum Calculation'!B435</f>
        <v>Tourism Flows</v>
      </c>
      <c r="C247" s="56" t="str">
        <f>'Secondary cum Calculation'!C435</f>
        <v>International Arrivals by Place of Origin</v>
      </c>
      <c r="D247" s="56" t="str">
        <f>'Secondary cum Calculation'!D435</f>
        <v>Europe</v>
      </c>
      <c r="E247" s="55" t="str">
        <f>'Secondary cum Calculation'!E435</f>
        <v>Malta</v>
      </c>
      <c r="F247" s="57" t="str">
        <f>'Secondary cum Calculation'!F435</f>
        <v>The number of international arrivals to a country originating from Malta</v>
      </c>
      <c r="G247" s="57" t="str">
        <f>'Secondary cum Calculation'!G435</f>
        <v>Tourism Demand &amp; Flows Database</v>
      </c>
      <c r="H247" s="57" t="str">
        <f>'Secondary cum Calculation'!H435</f>
        <v>New</v>
      </c>
      <c r="I247" s="57">
        <f>'Secondary cum Calculation'!I435</f>
        <v>0</v>
      </c>
      <c r="J247" s="57" t="str">
        <f>'Secondary cum Calculation'!J435</f>
        <v>Thousand</v>
      </c>
      <c r="K247" s="58">
        <f>'Secondary cum Calculation'!K435</f>
        <v>0</v>
      </c>
      <c r="L247" s="59"/>
      <c r="M247" s="60" t="e">
        <f>'Final Data-US$'!M190/'Final Data-US$'!L190-1</f>
        <v>#DIV/0!</v>
      </c>
      <c r="N247" s="60" t="e">
        <f>'Final Data-US$'!N190/'Final Data-US$'!M190-1</f>
        <v>#DIV/0!</v>
      </c>
      <c r="O247" s="60" t="e">
        <f>'Final Data-US$'!O190/'Final Data-US$'!N190-1</f>
        <v>#DIV/0!</v>
      </c>
      <c r="P247" s="60" t="e">
        <f>'Final Data-US$'!P190/'Final Data-US$'!O190-1</f>
        <v>#DIV/0!</v>
      </c>
      <c r="Q247" s="60" t="e">
        <f>'Final Data-US$'!Q190/'Final Data-US$'!P190-1</f>
        <v>#DIV/0!</v>
      </c>
      <c r="R247" s="60" t="e">
        <f>'Final Data-US$'!R190/'Final Data-US$'!Q190-1</f>
        <v>#DIV/0!</v>
      </c>
      <c r="S247" s="60" t="e">
        <f>'Final Data-US$'!S190/'Final Data-US$'!R190-1</f>
        <v>#DIV/0!</v>
      </c>
      <c r="T247" s="60" t="e">
        <f>'Final Data-US$'!T190/'Final Data-US$'!S190-1</f>
        <v>#DIV/0!</v>
      </c>
      <c r="U247" s="60" t="e">
        <f>'Final Data-US$'!U190/'Final Data-US$'!T190-1</f>
        <v>#DIV/0!</v>
      </c>
      <c r="V247" s="60" t="e">
        <f>'Final Data-US$'!V190/'Final Data-US$'!U190-1</f>
        <v>#DIV/0!</v>
      </c>
      <c r="W247" s="106" t="e">
        <f>'Final Data-US$'!W190</f>
        <v>#DIV/0!</v>
      </c>
      <c r="X247" s="106" t="e">
        <f>'Final Data-US$'!X190</f>
        <v>#DIV/0!</v>
      </c>
    </row>
    <row r="248" spans="1:24">
      <c r="A248" s="55" t="str">
        <f>'Secondary cum Calculation'!A437</f>
        <v>Poland</v>
      </c>
      <c r="B248" s="56" t="str">
        <f>'Secondary cum Calculation'!B437</f>
        <v>Tourism Flows</v>
      </c>
      <c r="C248" s="56" t="str">
        <f>'Secondary cum Calculation'!C437</f>
        <v>International Arrivals by Place of Origin</v>
      </c>
      <c r="D248" s="56" t="str">
        <f>'Secondary cum Calculation'!D437</f>
        <v>Europe</v>
      </c>
      <c r="E248" s="55" t="str">
        <f>'Secondary cum Calculation'!E437</f>
        <v>Montenegro</v>
      </c>
      <c r="F248" s="57" t="str">
        <f>'Secondary cum Calculation'!F437</f>
        <v>The number of international arrivals to a country originating from Montenegro</v>
      </c>
      <c r="G248" s="57" t="str">
        <f>'Secondary cum Calculation'!G437</f>
        <v>Tourism Demand &amp; Flows Database</v>
      </c>
      <c r="H248" s="57" t="str">
        <f>'Secondary cum Calculation'!H437</f>
        <v>New</v>
      </c>
      <c r="I248" s="57">
        <f>'Secondary cum Calculation'!I437</f>
        <v>0</v>
      </c>
      <c r="J248" s="57" t="str">
        <f>'Secondary cum Calculation'!J437</f>
        <v>Thousand</v>
      </c>
      <c r="K248" s="58">
        <f>'Secondary cum Calculation'!K437</f>
        <v>0</v>
      </c>
      <c r="L248" s="59"/>
      <c r="M248" s="60" t="e">
        <f>'Final Data-US$'!M191/'Final Data-US$'!L191-1</f>
        <v>#DIV/0!</v>
      </c>
      <c r="N248" s="60" t="e">
        <f>'Final Data-US$'!N191/'Final Data-US$'!M191-1</f>
        <v>#DIV/0!</v>
      </c>
      <c r="O248" s="100" t="e">
        <f>'Final Data-US$'!O191/'Final Data-US$'!N191-1</f>
        <v>#DIV/0!</v>
      </c>
      <c r="P248" s="100" t="e">
        <f>'Final Data-US$'!P191/'Final Data-US$'!O191-1</f>
        <v>#DIV/0!</v>
      </c>
      <c r="Q248" s="100" t="e">
        <f>'Final Data-US$'!Q191/'Final Data-US$'!P191-1</f>
        <v>#DIV/0!</v>
      </c>
      <c r="R248" s="100" t="e">
        <f>'Final Data-US$'!R191/'Final Data-US$'!Q191-1</f>
        <v>#DIV/0!</v>
      </c>
      <c r="S248" s="100" t="e">
        <f>'Final Data-US$'!S191/'Final Data-US$'!R191-1</f>
        <v>#DIV/0!</v>
      </c>
      <c r="T248" s="100" t="e">
        <f>'Final Data-US$'!T191/'Final Data-US$'!S191-1</f>
        <v>#DIV/0!</v>
      </c>
      <c r="U248" s="100" t="e">
        <f>'Final Data-US$'!U191/'Final Data-US$'!T191-1</f>
        <v>#DIV/0!</v>
      </c>
      <c r="V248" s="100" t="e">
        <f>'Final Data-US$'!V191/'Final Data-US$'!U191-1</f>
        <v>#DIV/0!</v>
      </c>
      <c r="W248" s="106" t="e">
        <f>'Final Data-US$'!W191</f>
        <v>#DIV/0!</v>
      </c>
      <c r="X248" s="106" t="e">
        <f>'Final Data-US$'!X191</f>
        <v>#DIV/0!</v>
      </c>
    </row>
    <row r="249" spans="1:24">
      <c r="A249" s="55" t="str">
        <f>'Secondary cum Calculation'!A439</f>
        <v>Poland</v>
      </c>
      <c r="B249" s="56" t="str">
        <f>'Secondary cum Calculation'!B439</f>
        <v>Tourism Flows</v>
      </c>
      <c r="C249" s="56" t="str">
        <f>'Secondary cum Calculation'!C439</f>
        <v>International Arrivals by Place of Origin</v>
      </c>
      <c r="D249" s="56" t="str">
        <f>'Secondary cum Calculation'!D439</f>
        <v>Europe</v>
      </c>
      <c r="E249" s="55" t="str">
        <f>'Secondary cum Calculation'!E439</f>
        <v>Netherlands</v>
      </c>
      <c r="F249" s="57" t="str">
        <f>'Secondary cum Calculation'!F439</f>
        <v>The number of international arrivals to a country originating from Netherlands</v>
      </c>
      <c r="G249" s="57" t="str">
        <f>'Secondary cum Calculation'!G439</f>
        <v>Tourism Demand &amp; Flows Database</v>
      </c>
      <c r="H249" s="57" t="str">
        <f>'Secondary cum Calculation'!H439</f>
        <v>New</v>
      </c>
      <c r="I249" s="57">
        <f>'Secondary cum Calculation'!I439</f>
        <v>0</v>
      </c>
      <c r="J249" s="57" t="str">
        <f>'Secondary cum Calculation'!J439</f>
        <v>Thousand</v>
      </c>
      <c r="K249" s="58">
        <f>'Secondary cum Calculation'!K439</f>
        <v>446.78500000000003</v>
      </c>
      <c r="L249" s="59"/>
      <c r="M249" s="60">
        <f>'Final Data-US$'!M192/'Final Data-US$'!L192-1</f>
        <v>-8.9150967760623145E-2</v>
      </c>
      <c r="N249" s="60">
        <f>'Final Data-US$'!N192/'Final Data-US$'!M192-1</f>
        <v>-9.6751070311101639E-2</v>
      </c>
      <c r="O249" s="60">
        <f>'Final Data-US$'!O192/'Final Data-US$'!N192-1</f>
        <v>0.1166666666666667</v>
      </c>
      <c r="P249" s="60">
        <f>'Final Data-US$'!P192/'Final Data-US$'!O192-1</f>
        <v>4.4776119402984982E-2</v>
      </c>
      <c r="Q249" s="60">
        <f>'Final Data-US$'!Q192/'Final Data-US$'!P192-1</f>
        <v>1.4285714285714235E-2</v>
      </c>
      <c r="R249" s="60">
        <f>'Final Data-US$'!R192/'Final Data-US$'!Q192-1</f>
        <v>-1</v>
      </c>
      <c r="S249" s="60" t="e">
        <f>'Final Data-US$'!S192/'Final Data-US$'!R192-1</f>
        <v>#DIV/0!</v>
      </c>
      <c r="T249" s="60" t="e">
        <f>'Final Data-US$'!T192/'Final Data-US$'!S192-1</f>
        <v>#DIV/0!</v>
      </c>
      <c r="U249" s="60" t="e">
        <f>'Final Data-US$'!U192/'Final Data-US$'!T192-1</f>
        <v>#DIV/0!</v>
      </c>
      <c r="V249" s="60" t="e">
        <f>'Final Data-US$'!V192/'Final Data-US$'!U192-1</f>
        <v>#DIV/0!</v>
      </c>
      <c r="W249" s="106">
        <f>'Final Data-US$'!W192</f>
        <v>1.6783847583144329E-2</v>
      </c>
      <c r="X249" s="106">
        <f>'Final Data-US$'!X192</f>
        <v>-1</v>
      </c>
    </row>
    <row r="250" spans="1:24">
      <c r="A250" s="55" t="str">
        <f>'Secondary cum Calculation'!A441</f>
        <v>Poland</v>
      </c>
      <c r="B250" s="56" t="str">
        <f>'Secondary cum Calculation'!B441</f>
        <v>Tourism Flows</v>
      </c>
      <c r="C250" s="56" t="str">
        <f>'Secondary cum Calculation'!C441</f>
        <v>International Arrivals by Place of Origin</v>
      </c>
      <c r="D250" s="56" t="str">
        <f>'Secondary cum Calculation'!D441</f>
        <v>Europe</v>
      </c>
      <c r="E250" s="55" t="str">
        <f>'Secondary cum Calculation'!E441</f>
        <v>Norway</v>
      </c>
      <c r="F250" s="57" t="str">
        <f>'Secondary cum Calculation'!F441</f>
        <v>The number of international arrivals to a country originating from Norway</v>
      </c>
      <c r="G250" s="57" t="str">
        <f>'Secondary cum Calculation'!G441</f>
        <v>Tourism Demand &amp; Flows Database</v>
      </c>
      <c r="H250" s="57" t="str">
        <f>'Secondary cum Calculation'!H441</f>
        <v>New</v>
      </c>
      <c r="I250" s="57">
        <f>'Secondary cum Calculation'!I441</f>
        <v>0</v>
      </c>
      <c r="J250" s="57" t="str">
        <f>'Secondary cum Calculation'!J441</f>
        <v>Thousand</v>
      </c>
      <c r="K250" s="58">
        <f>'Secondary cum Calculation'!K441</f>
        <v>145.35900000000001</v>
      </c>
      <c r="L250" s="59"/>
      <c r="M250" s="60" t="e">
        <f>'Final Data-US$'!M193/'Final Data-US$'!L193-1</f>
        <v>#DIV/0!</v>
      </c>
      <c r="N250" s="60" t="e">
        <f>'Final Data-US$'!N193/'Final Data-US$'!M193-1</f>
        <v>#DIV/0!</v>
      </c>
      <c r="O250" s="60" t="e">
        <f>'Final Data-US$'!O193/'Final Data-US$'!N193-1</f>
        <v>#DIV/0!</v>
      </c>
      <c r="P250" s="60" t="e">
        <f>'Final Data-US$'!P193/'Final Data-US$'!O193-1</f>
        <v>#DIV/0!</v>
      </c>
      <c r="Q250" s="60" t="e">
        <f>'Final Data-US$'!Q193/'Final Data-US$'!P193-1</f>
        <v>#DIV/0!</v>
      </c>
      <c r="R250" s="60" t="e">
        <f>'Final Data-US$'!R193/'Final Data-US$'!Q193-1</f>
        <v>#DIV/0!</v>
      </c>
      <c r="S250" s="60" t="e">
        <f>'Final Data-US$'!S193/'Final Data-US$'!R193-1</f>
        <v>#DIV/0!</v>
      </c>
      <c r="T250" s="60" t="e">
        <f>'Final Data-US$'!T193/'Final Data-US$'!S193-1</f>
        <v>#DIV/0!</v>
      </c>
      <c r="U250" s="60" t="e">
        <f>'Final Data-US$'!U193/'Final Data-US$'!T193-1</f>
        <v>#DIV/0!</v>
      </c>
      <c r="V250" s="60" t="e">
        <f>'Final Data-US$'!V193/'Final Data-US$'!U193-1</f>
        <v>#DIV/0!</v>
      </c>
      <c r="W250" s="106" t="e">
        <f>'Final Data-US$'!W193</f>
        <v>#DIV/0!</v>
      </c>
      <c r="X250" s="106" t="e">
        <f>'Final Data-US$'!X193</f>
        <v>#DIV/0!</v>
      </c>
    </row>
    <row r="251" spans="1:24">
      <c r="A251" s="55" t="str">
        <f>'Secondary cum Calculation'!A443</f>
        <v>Poland</v>
      </c>
      <c r="B251" s="56" t="str">
        <f>'Secondary cum Calculation'!B443</f>
        <v>Tourism Flows</v>
      </c>
      <c r="C251" s="56" t="str">
        <f>'Secondary cum Calculation'!C443</f>
        <v>International Arrivals by Place of Origin</v>
      </c>
      <c r="D251" s="56" t="str">
        <f>'Secondary cum Calculation'!D443</f>
        <v>Europe</v>
      </c>
      <c r="E251" s="55" t="str">
        <f>'Secondary cum Calculation'!E443</f>
        <v>Poland</v>
      </c>
      <c r="F251" s="57" t="str">
        <f>'Secondary cum Calculation'!F443</f>
        <v>The number of international arrivals to a country originating from Poland</v>
      </c>
      <c r="G251" s="57" t="str">
        <f>'Secondary cum Calculation'!G443</f>
        <v>Tourism Demand &amp; Flows Database</v>
      </c>
      <c r="H251" s="57" t="str">
        <f>'Secondary cum Calculation'!H443</f>
        <v>New</v>
      </c>
      <c r="I251" s="57">
        <f>'Secondary cum Calculation'!I443</f>
        <v>0</v>
      </c>
      <c r="J251" s="57" t="str">
        <f>'Secondary cum Calculation'!J443</f>
        <v>Thousand</v>
      </c>
      <c r="K251" s="58">
        <f>'Secondary cum Calculation'!K443</f>
        <v>137.58799999999999</v>
      </c>
      <c r="L251" s="59"/>
      <c r="M251" s="60" t="e">
        <f>'Final Data-US$'!M194/'Final Data-US$'!L194-1</f>
        <v>#DIV/0!</v>
      </c>
      <c r="N251" s="60" t="e">
        <f>'Final Data-US$'!N194/'Final Data-US$'!M194-1</f>
        <v>#DIV/0!</v>
      </c>
      <c r="O251" s="60" t="e">
        <f>'Final Data-US$'!O194/'Final Data-US$'!N194-1</f>
        <v>#DIV/0!</v>
      </c>
      <c r="P251" s="60" t="e">
        <f>'Final Data-US$'!P194/'Final Data-US$'!O194-1</f>
        <v>#DIV/0!</v>
      </c>
      <c r="Q251" s="60" t="e">
        <f>'Final Data-US$'!Q194/'Final Data-US$'!P194-1</f>
        <v>#DIV/0!</v>
      </c>
      <c r="R251" s="60" t="e">
        <f>'Final Data-US$'!R194/'Final Data-US$'!Q194-1</f>
        <v>#DIV/0!</v>
      </c>
      <c r="S251" s="60" t="e">
        <f>'Final Data-US$'!S194/'Final Data-US$'!R194-1</f>
        <v>#DIV/0!</v>
      </c>
      <c r="T251" s="60" t="e">
        <f>'Final Data-US$'!T194/'Final Data-US$'!S194-1</f>
        <v>#DIV/0!</v>
      </c>
      <c r="U251" s="60" t="e">
        <f>'Final Data-US$'!U194/'Final Data-US$'!T194-1</f>
        <v>#DIV/0!</v>
      </c>
      <c r="V251" s="60" t="e">
        <f>'Final Data-US$'!V194/'Final Data-US$'!U194-1</f>
        <v>#DIV/0!</v>
      </c>
      <c r="W251" s="106" t="e">
        <f>'Final Data-US$'!W194</f>
        <v>#DIV/0!</v>
      </c>
      <c r="X251" s="106" t="e">
        <f>'Final Data-US$'!X194</f>
        <v>#DIV/0!</v>
      </c>
    </row>
    <row r="252" spans="1:24">
      <c r="A252" s="55" t="str">
        <f>'Secondary cum Calculation'!A445</f>
        <v>Poland</v>
      </c>
      <c r="B252" s="56" t="str">
        <f>'Secondary cum Calculation'!B445</f>
        <v>Tourism Flows</v>
      </c>
      <c r="C252" s="56" t="str">
        <f>'Secondary cum Calculation'!C445</f>
        <v>International Arrivals by Place of Origin</v>
      </c>
      <c r="D252" s="56" t="str">
        <f>'Secondary cum Calculation'!D445</f>
        <v>Europe</v>
      </c>
      <c r="E252" s="55" t="str">
        <f>'Secondary cum Calculation'!E445</f>
        <v>Portugal</v>
      </c>
      <c r="F252" s="57" t="str">
        <f>'Secondary cum Calculation'!F445</f>
        <v>The number of international arrivals to a country originating from Portugal</v>
      </c>
      <c r="G252" s="57" t="str">
        <f>'Secondary cum Calculation'!G445</f>
        <v>Tourism Demand &amp; Flows Database</v>
      </c>
      <c r="H252" s="57" t="str">
        <f>'Secondary cum Calculation'!H445</f>
        <v>New</v>
      </c>
      <c r="I252" s="57">
        <f>'Secondary cum Calculation'!I445</f>
        <v>0</v>
      </c>
      <c r="J252" s="57" t="str">
        <f>'Secondary cum Calculation'!J445</f>
        <v>Thousand</v>
      </c>
      <c r="K252" s="58">
        <f>'Secondary cum Calculation'!K445</f>
        <v>71.406000000000006</v>
      </c>
      <c r="L252" s="59"/>
      <c r="M252" s="60" t="e">
        <f>'Final Data-US$'!M195/'Final Data-US$'!L195-1</f>
        <v>#DIV/0!</v>
      </c>
      <c r="N252" s="60" t="e">
        <f>'Final Data-US$'!N195/'Final Data-US$'!M195-1</f>
        <v>#DIV/0!</v>
      </c>
      <c r="O252" s="60" t="e">
        <f>'Final Data-US$'!O195/'Final Data-US$'!N195-1</f>
        <v>#DIV/0!</v>
      </c>
      <c r="P252" s="60" t="e">
        <f>'Final Data-US$'!P195/'Final Data-US$'!O195-1</f>
        <v>#DIV/0!</v>
      </c>
      <c r="Q252" s="60" t="e">
        <f>'Final Data-US$'!Q195/'Final Data-US$'!P195-1</f>
        <v>#DIV/0!</v>
      </c>
      <c r="R252" s="60" t="e">
        <f>'Final Data-US$'!R195/'Final Data-US$'!Q195-1</f>
        <v>#DIV/0!</v>
      </c>
      <c r="S252" s="60" t="e">
        <f>'Final Data-US$'!S195/'Final Data-US$'!R195-1</f>
        <v>#DIV/0!</v>
      </c>
      <c r="T252" s="60" t="e">
        <f>'Final Data-US$'!T195/'Final Data-US$'!S195-1</f>
        <v>#DIV/0!</v>
      </c>
      <c r="U252" s="60" t="e">
        <f>'Final Data-US$'!U195/'Final Data-US$'!T195-1</f>
        <v>#DIV/0!</v>
      </c>
      <c r="V252" s="60" t="e">
        <f>'Final Data-US$'!V195/'Final Data-US$'!U195-1</f>
        <v>#DIV/0!</v>
      </c>
      <c r="W252" s="106" t="e">
        <f>'Final Data-US$'!W195</f>
        <v>#DIV/0!</v>
      </c>
      <c r="X252" s="106" t="e">
        <f>'Final Data-US$'!X195</f>
        <v>#DIV/0!</v>
      </c>
    </row>
    <row r="253" spans="1:24">
      <c r="A253" s="55" t="str">
        <f>'Secondary cum Calculation'!A447</f>
        <v>Poland</v>
      </c>
      <c r="B253" s="56" t="str">
        <f>'Secondary cum Calculation'!B447</f>
        <v>Tourism Flows</v>
      </c>
      <c r="C253" s="56" t="str">
        <f>'Secondary cum Calculation'!C447</f>
        <v>International Arrivals by Place of Origin</v>
      </c>
      <c r="D253" s="56" t="str">
        <f>'Secondary cum Calculation'!D447</f>
        <v>Europe</v>
      </c>
      <c r="E253" s="55" t="str">
        <f>'Secondary cum Calculation'!E447</f>
        <v>Republic of Moldova</v>
      </c>
      <c r="F253" s="57" t="str">
        <f>'Secondary cum Calculation'!F447</f>
        <v>The number of international arrivals to a country originating from Republic of Moldova</v>
      </c>
      <c r="G253" s="57" t="str">
        <f>'Secondary cum Calculation'!G447</f>
        <v>Tourism Demand &amp; Flows Database</v>
      </c>
      <c r="H253" s="57" t="str">
        <f>'Secondary cum Calculation'!H447</f>
        <v>New</v>
      </c>
      <c r="I253" s="57">
        <f>'Secondary cum Calculation'!I447</f>
        <v>0</v>
      </c>
      <c r="J253" s="57" t="str">
        <f>'Secondary cum Calculation'!J447</f>
        <v>Thousand</v>
      </c>
      <c r="K253" s="58">
        <f>'Secondary cum Calculation'!K447</f>
        <v>0</v>
      </c>
      <c r="L253" s="59"/>
      <c r="M253" s="60" t="e">
        <f>'Final Data-US$'!M196/'Final Data-US$'!L196-1</f>
        <v>#DIV/0!</v>
      </c>
      <c r="N253" s="60" t="e">
        <f>'Final Data-US$'!N196/'Final Data-US$'!M196-1</f>
        <v>#DIV/0!</v>
      </c>
      <c r="O253" s="100" t="e">
        <f>'Final Data-US$'!O196/'Final Data-US$'!N196-1</f>
        <v>#DIV/0!</v>
      </c>
      <c r="P253" s="100" t="e">
        <f>'Final Data-US$'!P196/'Final Data-US$'!O196-1</f>
        <v>#DIV/0!</v>
      </c>
      <c r="Q253" s="100" t="e">
        <f>'Final Data-US$'!Q196/'Final Data-US$'!P196-1</f>
        <v>#DIV/0!</v>
      </c>
      <c r="R253" s="100" t="e">
        <f>'Final Data-US$'!R196/'Final Data-US$'!Q196-1</f>
        <v>#DIV/0!</v>
      </c>
      <c r="S253" s="100" t="e">
        <f>'Final Data-US$'!S196/'Final Data-US$'!R196-1</f>
        <v>#DIV/0!</v>
      </c>
      <c r="T253" s="100" t="e">
        <f>'Final Data-US$'!T196/'Final Data-US$'!S196-1</f>
        <v>#DIV/0!</v>
      </c>
      <c r="U253" s="100" t="e">
        <f>'Final Data-US$'!U196/'Final Data-US$'!T196-1</f>
        <v>#DIV/0!</v>
      </c>
      <c r="V253" s="100" t="e">
        <f>'Final Data-US$'!V196/'Final Data-US$'!U196-1</f>
        <v>#DIV/0!</v>
      </c>
      <c r="W253" s="106" t="e">
        <f>'Final Data-US$'!W196</f>
        <v>#DIV/0!</v>
      </c>
      <c r="X253" s="106" t="e">
        <f>'Final Data-US$'!X196</f>
        <v>#DIV/0!</v>
      </c>
    </row>
    <row r="254" spans="1:24">
      <c r="A254" s="55" t="str">
        <f>'Secondary cum Calculation'!A449</f>
        <v>Poland</v>
      </c>
      <c r="B254" s="56" t="str">
        <f>'Secondary cum Calculation'!B449</f>
        <v>Tourism Flows</v>
      </c>
      <c r="C254" s="56" t="str">
        <f>'Secondary cum Calculation'!C449</f>
        <v>International Arrivals by Place of Origin</v>
      </c>
      <c r="D254" s="56" t="str">
        <f>'Secondary cum Calculation'!D449</f>
        <v>Europe</v>
      </c>
      <c r="E254" s="55" t="str">
        <f>'Secondary cum Calculation'!E449</f>
        <v>Romania</v>
      </c>
      <c r="F254" s="57" t="str">
        <f>'Secondary cum Calculation'!F449</f>
        <v>The number of international arrivals to a country originating from Romania</v>
      </c>
      <c r="G254" s="57" t="str">
        <f>'Secondary cum Calculation'!G449</f>
        <v>Tourism Demand &amp; Flows Database</v>
      </c>
      <c r="H254" s="57" t="str">
        <f>'Secondary cum Calculation'!H449</f>
        <v>New</v>
      </c>
      <c r="I254" s="57">
        <f>'Secondary cum Calculation'!I449</f>
        <v>0</v>
      </c>
      <c r="J254" s="57" t="str">
        <f>'Secondary cum Calculation'!J449</f>
        <v>Thousand</v>
      </c>
      <c r="K254" s="58">
        <f>'Secondary cum Calculation'!K449</f>
        <v>0</v>
      </c>
      <c r="L254" s="59"/>
      <c r="M254" s="60" t="e">
        <f>'Final Data-US$'!M197/'Final Data-US$'!L197-1</f>
        <v>#DIV/0!</v>
      </c>
      <c r="N254" s="60" t="e">
        <f>'Final Data-US$'!N197/'Final Data-US$'!M197-1</f>
        <v>#DIV/0!</v>
      </c>
      <c r="O254" s="60" t="e">
        <f>'Final Data-US$'!O197/'Final Data-US$'!N197-1</f>
        <v>#DIV/0!</v>
      </c>
      <c r="P254" s="60" t="e">
        <f>'Final Data-US$'!P197/'Final Data-US$'!O197-1</f>
        <v>#DIV/0!</v>
      </c>
      <c r="Q254" s="60" t="e">
        <f>'Final Data-US$'!Q197/'Final Data-US$'!P197-1</f>
        <v>#DIV/0!</v>
      </c>
      <c r="R254" s="60" t="e">
        <f>'Final Data-US$'!R197/'Final Data-US$'!Q197-1</f>
        <v>#DIV/0!</v>
      </c>
      <c r="S254" s="60" t="e">
        <f>'Final Data-US$'!S197/'Final Data-US$'!R197-1</f>
        <v>#DIV/0!</v>
      </c>
      <c r="T254" s="60" t="e">
        <f>'Final Data-US$'!T197/'Final Data-US$'!S197-1</f>
        <v>#DIV/0!</v>
      </c>
      <c r="U254" s="60" t="e">
        <f>'Final Data-US$'!U197/'Final Data-US$'!T197-1</f>
        <v>#DIV/0!</v>
      </c>
      <c r="V254" s="60" t="e">
        <f>'Final Data-US$'!V197/'Final Data-US$'!U197-1</f>
        <v>#DIV/0!</v>
      </c>
      <c r="W254" s="106" t="e">
        <f>'Final Data-US$'!W197</f>
        <v>#DIV/0!</v>
      </c>
      <c r="X254" s="106" t="e">
        <f>'Final Data-US$'!X197</f>
        <v>#DIV/0!</v>
      </c>
    </row>
    <row r="255" spans="1:24">
      <c r="A255" s="55" t="str">
        <f>'Secondary cum Calculation'!A451</f>
        <v>Poland</v>
      </c>
      <c r="B255" s="56" t="str">
        <f>'Secondary cum Calculation'!B451</f>
        <v>Tourism Flows</v>
      </c>
      <c r="C255" s="56" t="str">
        <f>'Secondary cum Calculation'!C451</f>
        <v>International Arrivals by Place of Origin</v>
      </c>
      <c r="D255" s="56" t="str">
        <f>'Secondary cum Calculation'!D451</f>
        <v>Europe</v>
      </c>
      <c r="E255" s="55" t="str">
        <f>'Secondary cum Calculation'!E451</f>
        <v>Russian Federation</v>
      </c>
      <c r="F255" s="57" t="str">
        <f>'Secondary cum Calculation'!F451</f>
        <v>The number of international arrivals to a country originating from Russian Federation</v>
      </c>
      <c r="G255" s="57" t="str">
        <f>'Secondary cum Calculation'!G451</f>
        <v>Tourism Demand &amp; Flows Database</v>
      </c>
      <c r="H255" s="57" t="str">
        <f>'Secondary cum Calculation'!H451</f>
        <v>New</v>
      </c>
      <c r="I255" s="57">
        <f>'Secondary cum Calculation'!I451</f>
        <v>0</v>
      </c>
      <c r="J255" s="57" t="str">
        <f>'Secondary cum Calculation'!J451</f>
        <v>Thousand</v>
      </c>
      <c r="K255" s="58">
        <f>'Secondary cum Calculation'!K451</f>
        <v>94.680999999999997</v>
      </c>
      <c r="L255" s="59"/>
      <c r="M255" s="60">
        <f>'Final Data-US$'!M198/'Final Data-US$'!L198-1</f>
        <v>-0.34251652269984767</v>
      </c>
      <c r="N255" s="60">
        <f>'Final Data-US$'!N198/'Final Data-US$'!M198-1</f>
        <v>-0.29165035600720102</v>
      </c>
      <c r="O255" s="60">
        <f>'Final Data-US$'!O198/'Final Data-US$'!N198-1</f>
        <v>0.25</v>
      </c>
      <c r="P255" s="60">
        <f>'Final Data-US$'!P198/'Final Data-US$'!O198-1</f>
        <v>0.25</v>
      </c>
      <c r="Q255" s="60">
        <f>'Final Data-US$'!Q198/'Final Data-US$'!P198-1</f>
        <v>0.34000000000000008</v>
      </c>
      <c r="R255" s="60">
        <f>'Final Data-US$'!R198/'Final Data-US$'!Q198-1</f>
        <v>-1</v>
      </c>
      <c r="S255" s="60" t="e">
        <f>'Final Data-US$'!S198/'Final Data-US$'!R198-1</f>
        <v>#DIV/0!</v>
      </c>
      <c r="T255" s="60" t="e">
        <f>'Final Data-US$'!T198/'Final Data-US$'!S198-1</f>
        <v>#DIV/0!</v>
      </c>
      <c r="U255" s="60" t="e">
        <f>'Final Data-US$'!U198/'Final Data-US$'!T198-1</f>
        <v>#DIV/0!</v>
      </c>
      <c r="V255" s="60" t="e">
        <f>'Final Data-US$'!V198/'Final Data-US$'!U198-1</f>
        <v>#DIV/0!</v>
      </c>
      <c r="W255" s="106">
        <f>'Final Data-US$'!W198</f>
        <v>0.10355282304749869</v>
      </c>
      <c r="X255" s="106">
        <f>'Final Data-US$'!X198</f>
        <v>-1</v>
      </c>
    </row>
    <row r="256" spans="1:24">
      <c r="A256" s="55" t="str">
        <f>'Secondary cum Calculation'!A453</f>
        <v>Poland</v>
      </c>
      <c r="B256" s="56" t="str">
        <f>'Secondary cum Calculation'!B453</f>
        <v>Tourism Flows</v>
      </c>
      <c r="C256" s="56" t="str">
        <f>'Secondary cum Calculation'!C453</f>
        <v>International Arrivals by Place of Origin</v>
      </c>
      <c r="D256" s="56" t="str">
        <f>'Secondary cum Calculation'!D453</f>
        <v>Europe</v>
      </c>
      <c r="E256" s="55" t="str">
        <f>'Secondary cum Calculation'!E453</f>
        <v>Serbia</v>
      </c>
      <c r="F256" s="57" t="str">
        <f>'Secondary cum Calculation'!F453</f>
        <v>The number of international arrivals to a country originating from Serbia</v>
      </c>
      <c r="G256" s="57" t="str">
        <f>'Secondary cum Calculation'!G453</f>
        <v>Tourism Demand &amp; Flows Database</v>
      </c>
      <c r="H256" s="57" t="str">
        <f>'Secondary cum Calculation'!H453</f>
        <v>New</v>
      </c>
      <c r="I256" s="57">
        <f>'Secondary cum Calculation'!I453</f>
        <v>0</v>
      </c>
      <c r="J256" s="57" t="str">
        <f>'Secondary cum Calculation'!J453</f>
        <v>Thousand</v>
      </c>
      <c r="K256" s="58">
        <f>'Secondary cum Calculation'!K453</f>
        <v>0</v>
      </c>
      <c r="L256" s="59"/>
      <c r="M256" s="60" t="e">
        <f>'Final Data-US$'!M199/'Final Data-US$'!L199-1</f>
        <v>#DIV/0!</v>
      </c>
      <c r="N256" s="60" t="e">
        <f>'Final Data-US$'!N199/'Final Data-US$'!M199-1</f>
        <v>#DIV/0!</v>
      </c>
      <c r="O256" s="100" t="e">
        <f>'Final Data-US$'!O199/'Final Data-US$'!N199-1</f>
        <v>#DIV/0!</v>
      </c>
      <c r="P256" s="100" t="e">
        <f>'Final Data-US$'!P199/'Final Data-US$'!O199-1</f>
        <v>#DIV/0!</v>
      </c>
      <c r="Q256" s="100" t="e">
        <f>'Final Data-US$'!Q199/'Final Data-US$'!P199-1</f>
        <v>#DIV/0!</v>
      </c>
      <c r="R256" s="100" t="e">
        <f>'Final Data-US$'!R199/'Final Data-US$'!Q199-1</f>
        <v>#DIV/0!</v>
      </c>
      <c r="S256" s="100" t="e">
        <f>'Final Data-US$'!S199/'Final Data-US$'!R199-1</f>
        <v>#DIV/0!</v>
      </c>
      <c r="T256" s="100" t="e">
        <f>'Final Data-US$'!T199/'Final Data-US$'!S199-1</f>
        <v>#DIV/0!</v>
      </c>
      <c r="U256" s="100" t="e">
        <f>'Final Data-US$'!U199/'Final Data-US$'!T199-1</f>
        <v>#DIV/0!</v>
      </c>
      <c r="V256" s="100" t="e">
        <f>'Final Data-US$'!V199/'Final Data-US$'!U199-1</f>
        <v>#DIV/0!</v>
      </c>
      <c r="W256" s="106" t="e">
        <f>'Final Data-US$'!W199</f>
        <v>#DIV/0!</v>
      </c>
      <c r="X256" s="106" t="e">
        <f>'Final Data-US$'!X199</f>
        <v>#DIV/0!</v>
      </c>
    </row>
    <row r="257" spans="1:24">
      <c r="A257" s="55" t="str">
        <f>'Secondary cum Calculation'!A455</f>
        <v>Poland</v>
      </c>
      <c r="B257" s="56" t="str">
        <f>'Secondary cum Calculation'!B455</f>
        <v>Tourism Flows</v>
      </c>
      <c r="C257" s="56" t="str">
        <f>'Secondary cum Calculation'!C455</f>
        <v>International Arrivals by Place of Origin</v>
      </c>
      <c r="D257" s="56" t="str">
        <f>'Secondary cum Calculation'!D455</f>
        <v>Europe</v>
      </c>
      <c r="E257" s="55" t="str">
        <f>'Secondary cum Calculation'!E455</f>
        <v>Slovakia</v>
      </c>
      <c r="F257" s="57" t="str">
        <f>'Secondary cum Calculation'!F455</f>
        <v>The number of international arrivals to a country originating from Slovakia</v>
      </c>
      <c r="G257" s="57" t="str">
        <f>'Secondary cum Calculation'!G455</f>
        <v>Tourism Demand &amp; Flows Database</v>
      </c>
      <c r="H257" s="57" t="str">
        <f>'Secondary cum Calculation'!H455</f>
        <v>New</v>
      </c>
      <c r="I257" s="57">
        <f>'Secondary cum Calculation'!I455</f>
        <v>0</v>
      </c>
      <c r="J257" s="57" t="str">
        <f>'Secondary cum Calculation'!J455</f>
        <v>Thousand</v>
      </c>
      <c r="K257" s="58">
        <f>'Secondary cum Calculation'!K455</f>
        <v>0</v>
      </c>
      <c r="L257" s="59"/>
      <c r="M257" s="60">
        <f>'Final Data-US$'!M200/'Final Data-US$'!L200-1</f>
        <v>-0.13590903418743883</v>
      </c>
      <c r="N257" s="60">
        <f>'Final Data-US$'!N200/'Final Data-US$'!M200-1</f>
        <v>-0.1161177471862197</v>
      </c>
      <c r="O257" s="60">
        <f>'Final Data-US$'!O200/'Final Data-US$'!N200-1</f>
        <v>0.11764705882352944</v>
      </c>
      <c r="P257" s="60">
        <f>'Final Data-US$'!P200/'Final Data-US$'!O200-1</f>
        <v>5.2631578947368363E-2</v>
      </c>
      <c r="Q257" s="60">
        <f>'Final Data-US$'!Q200/'Final Data-US$'!P200-1</f>
        <v>0.10000000000000009</v>
      </c>
      <c r="R257" s="60">
        <f>'Final Data-US$'!R200/'Final Data-US$'!Q200-1</f>
        <v>-1</v>
      </c>
      <c r="S257" s="60" t="e">
        <f>'Final Data-US$'!S200/'Final Data-US$'!R200-1</f>
        <v>#DIV/0!</v>
      </c>
      <c r="T257" s="60" t="e">
        <f>'Final Data-US$'!T200/'Final Data-US$'!S200-1</f>
        <v>#DIV/0!</v>
      </c>
      <c r="U257" s="60" t="e">
        <f>'Final Data-US$'!U200/'Final Data-US$'!T200-1</f>
        <v>#DIV/0!</v>
      </c>
      <c r="V257" s="60" t="e">
        <f>'Final Data-US$'!V200/'Final Data-US$'!U200-1</f>
        <v>#DIV/0!</v>
      </c>
      <c r="W257" s="106">
        <f>'Final Data-US$'!W200</f>
        <v>3.4170257350608857E-2</v>
      </c>
      <c r="X257" s="106">
        <f>'Final Data-US$'!X200</f>
        <v>-1</v>
      </c>
    </row>
    <row r="258" spans="1:24">
      <c r="A258" s="55" t="str">
        <f>'Secondary cum Calculation'!A457</f>
        <v>Poland</v>
      </c>
      <c r="B258" s="56" t="str">
        <f>'Secondary cum Calculation'!B457</f>
        <v>Tourism Flows</v>
      </c>
      <c r="C258" s="56" t="str">
        <f>'Secondary cum Calculation'!C457</f>
        <v>International Arrivals by Place of Origin</v>
      </c>
      <c r="D258" s="56" t="str">
        <f>'Secondary cum Calculation'!D457</f>
        <v>Europe</v>
      </c>
      <c r="E258" s="55" t="str">
        <f>'Secondary cum Calculation'!E457</f>
        <v>Slovenia</v>
      </c>
      <c r="F258" s="57" t="str">
        <f>'Secondary cum Calculation'!F457</f>
        <v>The number of international arrivals to a country originating from Slovenia</v>
      </c>
      <c r="G258" s="57" t="str">
        <f>'Secondary cum Calculation'!G457</f>
        <v>Tourism Demand &amp; Flows Database</v>
      </c>
      <c r="H258" s="57" t="str">
        <f>'Secondary cum Calculation'!H457</f>
        <v>New</v>
      </c>
      <c r="I258" s="57">
        <f>'Secondary cum Calculation'!I457</f>
        <v>0</v>
      </c>
      <c r="J258" s="57" t="str">
        <f>'Secondary cum Calculation'!J457</f>
        <v>Thousand</v>
      </c>
      <c r="K258" s="58">
        <f>'Secondary cum Calculation'!K457</f>
        <v>0</v>
      </c>
      <c r="L258" s="59"/>
      <c r="M258" s="60" t="e">
        <f>'Final Data-US$'!M201/'Final Data-US$'!L201-1</f>
        <v>#DIV/0!</v>
      </c>
      <c r="N258" s="60" t="e">
        <f>'Final Data-US$'!N201/'Final Data-US$'!M201-1</f>
        <v>#DIV/0!</v>
      </c>
      <c r="O258" s="100" t="e">
        <f>'Final Data-US$'!O201/'Final Data-US$'!N201-1</f>
        <v>#DIV/0!</v>
      </c>
      <c r="P258" s="100" t="e">
        <f>'Final Data-US$'!P201/'Final Data-US$'!O201-1</f>
        <v>#DIV/0!</v>
      </c>
      <c r="Q258" s="100" t="e">
        <f>'Final Data-US$'!Q201/'Final Data-US$'!P201-1</f>
        <v>#DIV/0!</v>
      </c>
      <c r="R258" s="100" t="e">
        <f>'Final Data-US$'!R201/'Final Data-US$'!Q201-1</f>
        <v>#DIV/0!</v>
      </c>
      <c r="S258" s="100" t="e">
        <f>'Final Data-US$'!S201/'Final Data-US$'!R201-1</f>
        <v>#DIV/0!</v>
      </c>
      <c r="T258" s="100" t="e">
        <f>'Final Data-US$'!T201/'Final Data-US$'!S201-1</f>
        <v>#DIV/0!</v>
      </c>
      <c r="U258" s="100" t="e">
        <f>'Final Data-US$'!U201/'Final Data-US$'!T201-1</f>
        <v>#DIV/0!</v>
      </c>
      <c r="V258" s="100" t="e">
        <f>'Final Data-US$'!V201/'Final Data-US$'!U201-1</f>
        <v>#DIV/0!</v>
      </c>
      <c r="W258" s="106" t="e">
        <f>'Final Data-US$'!W201</f>
        <v>#DIV/0!</v>
      </c>
      <c r="X258" s="106" t="e">
        <f>'Final Data-US$'!X201</f>
        <v>#DIV/0!</v>
      </c>
    </row>
    <row r="259" spans="1:24">
      <c r="A259" s="55" t="str">
        <f>'Secondary cum Calculation'!A459</f>
        <v>Poland</v>
      </c>
      <c r="B259" s="56" t="str">
        <f>'Secondary cum Calculation'!B459</f>
        <v>Tourism Flows</v>
      </c>
      <c r="C259" s="56" t="str">
        <f>'Secondary cum Calculation'!C459</f>
        <v>International Arrivals by Place of Origin</v>
      </c>
      <c r="D259" s="56" t="str">
        <f>'Secondary cum Calculation'!D459</f>
        <v>Europe</v>
      </c>
      <c r="E259" s="55" t="str">
        <f>'Secondary cum Calculation'!E459</f>
        <v>Spain</v>
      </c>
      <c r="F259" s="57" t="str">
        <f>'Secondary cum Calculation'!F459</f>
        <v>The number of international arrivals to a country originating from Spain</v>
      </c>
      <c r="G259" s="57" t="str">
        <f>'Secondary cum Calculation'!G459</f>
        <v>Tourism Demand &amp; Flows Database</v>
      </c>
      <c r="H259" s="57" t="str">
        <f>'Secondary cum Calculation'!H459</f>
        <v>New</v>
      </c>
      <c r="I259" s="57">
        <f>'Secondary cum Calculation'!I459</f>
        <v>0</v>
      </c>
      <c r="J259" s="57" t="str">
        <f>'Secondary cum Calculation'!J459</f>
        <v>Thousand</v>
      </c>
      <c r="K259" s="58">
        <f>'Secondary cum Calculation'!K459</f>
        <v>424.22399999999999</v>
      </c>
      <c r="L259" s="59"/>
      <c r="M259" s="60" t="e">
        <f>'Final Data-US$'!M202/'Final Data-US$'!L202-1</f>
        <v>#DIV/0!</v>
      </c>
      <c r="N259" s="60" t="e">
        <f>'Final Data-US$'!N202/'Final Data-US$'!M202-1</f>
        <v>#DIV/0!</v>
      </c>
      <c r="O259" s="60" t="e">
        <f>'Final Data-US$'!O202/'Final Data-US$'!N202-1</f>
        <v>#DIV/0!</v>
      </c>
      <c r="P259" s="60" t="e">
        <f>'Final Data-US$'!P202/'Final Data-US$'!O202-1</f>
        <v>#DIV/0!</v>
      </c>
      <c r="Q259" s="60" t="e">
        <f>'Final Data-US$'!Q202/'Final Data-US$'!P202-1</f>
        <v>#DIV/0!</v>
      </c>
      <c r="R259" s="60" t="e">
        <f>'Final Data-US$'!R202/'Final Data-US$'!Q202-1</f>
        <v>#DIV/0!</v>
      </c>
      <c r="S259" s="60" t="e">
        <f>'Final Data-US$'!S202/'Final Data-US$'!R202-1</f>
        <v>#DIV/0!</v>
      </c>
      <c r="T259" s="60" t="e">
        <f>'Final Data-US$'!T202/'Final Data-US$'!S202-1</f>
        <v>#DIV/0!</v>
      </c>
      <c r="U259" s="60" t="e">
        <f>'Final Data-US$'!U202/'Final Data-US$'!T202-1</f>
        <v>#DIV/0!</v>
      </c>
      <c r="V259" s="60" t="e">
        <f>'Final Data-US$'!V202/'Final Data-US$'!U202-1</f>
        <v>#DIV/0!</v>
      </c>
      <c r="W259" s="106" t="e">
        <f>'Final Data-US$'!W202</f>
        <v>#DIV/0!</v>
      </c>
      <c r="X259" s="106" t="e">
        <f>'Final Data-US$'!X202</f>
        <v>#DIV/0!</v>
      </c>
    </row>
    <row r="260" spans="1:24">
      <c r="A260" s="55" t="str">
        <f>'Secondary cum Calculation'!A461</f>
        <v>Poland</v>
      </c>
      <c r="B260" s="56" t="str">
        <f>'Secondary cum Calculation'!B461</f>
        <v>Tourism Flows</v>
      </c>
      <c r="C260" s="56" t="str">
        <f>'Secondary cum Calculation'!C461</f>
        <v>International Arrivals by Place of Origin</v>
      </c>
      <c r="D260" s="56" t="str">
        <f>'Secondary cum Calculation'!D461</f>
        <v>Europe</v>
      </c>
      <c r="E260" s="55" t="str">
        <f>'Secondary cum Calculation'!E461</f>
        <v>Sweden</v>
      </c>
      <c r="F260" s="57" t="str">
        <f>'Secondary cum Calculation'!F461</f>
        <v>The number of international arrivals to a country originating from Sweden</v>
      </c>
      <c r="G260" s="57" t="str">
        <f>'Secondary cum Calculation'!G461</f>
        <v>Tourism Demand &amp; Flows Database</v>
      </c>
      <c r="H260" s="57" t="str">
        <f>'Secondary cum Calculation'!H461</f>
        <v>New</v>
      </c>
      <c r="I260" s="57">
        <f>'Secondary cum Calculation'!I461</f>
        <v>0</v>
      </c>
      <c r="J260" s="57" t="str">
        <f>'Secondary cum Calculation'!J461</f>
        <v>Thousand</v>
      </c>
      <c r="K260" s="58">
        <f>'Secondary cum Calculation'!K461</f>
        <v>285.99400000000003</v>
      </c>
      <c r="L260" s="59"/>
      <c r="M260" s="60">
        <f>'Final Data-US$'!M203/'Final Data-US$'!L203-1</f>
        <v>-0.10756986555281312</v>
      </c>
      <c r="N260" s="60">
        <f>'Final Data-US$'!N203/'Final Data-US$'!M203-1</f>
        <v>-2.854612357148556E-2</v>
      </c>
      <c r="O260" s="60">
        <f>'Final Data-US$'!O203/'Final Data-US$'!N203-1</f>
        <v>-3.2258064516129004E-2</v>
      </c>
      <c r="P260" s="60">
        <f>'Final Data-US$'!P203/'Final Data-US$'!O203-1</f>
        <v>6.6666666666666652E-2</v>
      </c>
      <c r="Q260" s="60">
        <f>'Final Data-US$'!Q203/'Final Data-US$'!P203-1</f>
        <v>0.125</v>
      </c>
      <c r="R260" s="60">
        <f>'Final Data-US$'!R203/'Final Data-US$'!Q203-1</f>
        <v>-1</v>
      </c>
      <c r="S260" s="60" t="e">
        <f>'Final Data-US$'!S203/'Final Data-US$'!R203-1</f>
        <v>#DIV/0!</v>
      </c>
      <c r="T260" s="60" t="e">
        <f>'Final Data-US$'!T203/'Final Data-US$'!S203-1</f>
        <v>#DIV/0!</v>
      </c>
      <c r="U260" s="60" t="e">
        <f>'Final Data-US$'!U203/'Final Data-US$'!T203-1</f>
        <v>#DIV/0!</v>
      </c>
      <c r="V260" s="60" t="e">
        <f>'Final Data-US$'!V203/'Final Data-US$'!U203-1</f>
        <v>#DIV/0!</v>
      </c>
      <c r="W260" s="106">
        <f>'Final Data-US$'!W203</f>
        <v>3.06014475753702E-2</v>
      </c>
      <c r="X260" s="106">
        <f>'Final Data-US$'!X203</f>
        <v>-1</v>
      </c>
    </row>
    <row r="261" spans="1:24">
      <c r="A261" s="55" t="str">
        <f>'Secondary cum Calculation'!A463</f>
        <v>Poland</v>
      </c>
      <c r="B261" s="56" t="str">
        <f>'Secondary cum Calculation'!B463</f>
        <v>Tourism Flows</v>
      </c>
      <c r="C261" s="56" t="str">
        <f>'Secondary cum Calculation'!C463</f>
        <v>International Arrivals by Place of Origin</v>
      </c>
      <c r="D261" s="56" t="str">
        <f>'Secondary cum Calculation'!D463</f>
        <v>Europe</v>
      </c>
      <c r="E261" s="55" t="str">
        <f>'Secondary cum Calculation'!E463</f>
        <v>Switzerland</v>
      </c>
      <c r="F261" s="57" t="str">
        <f>'Secondary cum Calculation'!F463</f>
        <v>The number of international arrivals to a country originating from Switzerland</v>
      </c>
      <c r="G261" s="57" t="str">
        <f>'Secondary cum Calculation'!G463</f>
        <v>Tourism Demand &amp; Flows Database</v>
      </c>
      <c r="H261" s="57" t="str">
        <f>'Secondary cum Calculation'!H463</f>
        <v>New</v>
      </c>
      <c r="I261" s="57">
        <f>'Secondary cum Calculation'!I463</f>
        <v>0</v>
      </c>
      <c r="J261" s="57" t="str">
        <f>'Secondary cum Calculation'!J463</f>
        <v>Thousand</v>
      </c>
      <c r="K261" s="58">
        <f>'Secondary cum Calculation'!K463</f>
        <v>270.57100000000003</v>
      </c>
      <c r="L261" s="59"/>
      <c r="M261" s="60" t="e">
        <f>'Final Data-US$'!M204/'Final Data-US$'!L204-1</f>
        <v>#DIV/0!</v>
      </c>
      <c r="N261" s="60" t="e">
        <f>'Final Data-US$'!N204/'Final Data-US$'!M204-1</f>
        <v>#DIV/0!</v>
      </c>
      <c r="O261" s="60" t="e">
        <f>'Final Data-US$'!O204/'Final Data-US$'!N204-1</f>
        <v>#DIV/0!</v>
      </c>
      <c r="P261" s="60" t="e">
        <f>'Final Data-US$'!P204/'Final Data-US$'!O204-1</f>
        <v>#DIV/0!</v>
      </c>
      <c r="Q261" s="60" t="e">
        <f>'Final Data-US$'!Q204/'Final Data-US$'!P204-1</f>
        <v>#DIV/0!</v>
      </c>
      <c r="R261" s="60" t="e">
        <f>'Final Data-US$'!R204/'Final Data-US$'!Q204-1</f>
        <v>#DIV/0!</v>
      </c>
      <c r="S261" s="60" t="e">
        <f>'Final Data-US$'!S204/'Final Data-US$'!R204-1</f>
        <v>#DIV/0!</v>
      </c>
      <c r="T261" s="60" t="e">
        <f>'Final Data-US$'!T204/'Final Data-US$'!S204-1</f>
        <v>#DIV/0!</v>
      </c>
      <c r="U261" s="60" t="e">
        <f>'Final Data-US$'!U204/'Final Data-US$'!T204-1</f>
        <v>#DIV/0!</v>
      </c>
      <c r="V261" s="60" t="e">
        <f>'Final Data-US$'!V204/'Final Data-US$'!U204-1</f>
        <v>#DIV/0!</v>
      </c>
      <c r="W261" s="106" t="e">
        <f>'Final Data-US$'!W204</f>
        <v>#DIV/0!</v>
      </c>
      <c r="X261" s="106" t="e">
        <f>'Final Data-US$'!X204</f>
        <v>#DIV/0!</v>
      </c>
    </row>
    <row r="262" spans="1:24">
      <c r="A262" s="55" t="str">
        <f>'Secondary cum Calculation'!A465</f>
        <v>Poland</v>
      </c>
      <c r="B262" s="56" t="str">
        <f>'Secondary cum Calculation'!B465</f>
        <v>Tourism Flows</v>
      </c>
      <c r="C262" s="56" t="str">
        <f>'Secondary cum Calculation'!C465</f>
        <v>International Arrivals by Place of Origin</v>
      </c>
      <c r="D262" s="56" t="str">
        <f>'Secondary cum Calculation'!D465</f>
        <v>Europe</v>
      </c>
      <c r="E262" s="55" t="str">
        <f>'Secondary cum Calculation'!E465</f>
        <v>TFYR Macedonia</v>
      </c>
      <c r="F262" s="57" t="str">
        <f>'Secondary cum Calculation'!F465</f>
        <v>The number of international arrivals to a country originating from TFYR Macedonia</v>
      </c>
      <c r="G262" s="57" t="str">
        <f>'Secondary cum Calculation'!G465</f>
        <v>Tourism Demand &amp; Flows Database</v>
      </c>
      <c r="H262" s="57" t="str">
        <f>'Secondary cum Calculation'!H465</f>
        <v>New</v>
      </c>
      <c r="I262" s="57">
        <f>'Secondary cum Calculation'!I465</f>
        <v>0</v>
      </c>
      <c r="J262" s="57" t="str">
        <f>'Secondary cum Calculation'!J465</f>
        <v>Thousand</v>
      </c>
      <c r="K262" s="58">
        <f>'Secondary cum Calculation'!K465</f>
        <v>0</v>
      </c>
      <c r="L262" s="59"/>
      <c r="M262" s="60" t="e">
        <f>'Final Data-US$'!M205/'Final Data-US$'!L205-1</f>
        <v>#DIV/0!</v>
      </c>
      <c r="N262" s="60" t="e">
        <f>'Final Data-US$'!N205/'Final Data-US$'!M205-1</f>
        <v>#DIV/0!</v>
      </c>
      <c r="O262" s="100" t="e">
        <f>'Final Data-US$'!O205/'Final Data-US$'!N205-1</f>
        <v>#DIV/0!</v>
      </c>
      <c r="P262" s="100" t="e">
        <f>'Final Data-US$'!P205/'Final Data-US$'!O205-1</f>
        <v>#DIV/0!</v>
      </c>
      <c r="Q262" s="100" t="e">
        <f>'Final Data-US$'!Q205/'Final Data-US$'!P205-1</f>
        <v>#DIV/0!</v>
      </c>
      <c r="R262" s="100" t="e">
        <f>'Final Data-US$'!R205/'Final Data-US$'!Q205-1</f>
        <v>#DIV/0!</v>
      </c>
      <c r="S262" s="100" t="e">
        <f>'Final Data-US$'!S205/'Final Data-US$'!R205-1</f>
        <v>#DIV/0!</v>
      </c>
      <c r="T262" s="100" t="e">
        <f>'Final Data-US$'!T205/'Final Data-US$'!S205-1</f>
        <v>#DIV/0!</v>
      </c>
      <c r="U262" s="100" t="e">
        <f>'Final Data-US$'!U205/'Final Data-US$'!T205-1</f>
        <v>#DIV/0!</v>
      </c>
      <c r="V262" s="100" t="e">
        <f>'Final Data-US$'!V205/'Final Data-US$'!U205-1</f>
        <v>#DIV/0!</v>
      </c>
      <c r="W262" s="106" t="e">
        <f>'Final Data-US$'!W205</f>
        <v>#DIV/0!</v>
      </c>
      <c r="X262" s="106" t="e">
        <f>'Final Data-US$'!X205</f>
        <v>#DIV/0!</v>
      </c>
    </row>
    <row r="263" spans="1:24">
      <c r="A263" s="55" t="str">
        <f>'Secondary cum Calculation'!A467</f>
        <v>Poland</v>
      </c>
      <c r="B263" s="56" t="str">
        <f>'Secondary cum Calculation'!B467</f>
        <v>Tourism Flows</v>
      </c>
      <c r="C263" s="56" t="str">
        <f>'Secondary cum Calculation'!C467</f>
        <v>International Arrivals by Place of Origin</v>
      </c>
      <c r="D263" s="56" t="str">
        <f>'Secondary cum Calculation'!D467</f>
        <v>Europe</v>
      </c>
      <c r="E263" s="55" t="str">
        <f>'Secondary cum Calculation'!E467</f>
        <v>Turkey</v>
      </c>
      <c r="F263" s="57" t="str">
        <f>'Secondary cum Calculation'!F467</f>
        <v>The number of international arrivals to a country originating from Turkey</v>
      </c>
      <c r="G263" s="57" t="str">
        <f>'Secondary cum Calculation'!G467</f>
        <v>Tourism Demand &amp; Flows Database</v>
      </c>
      <c r="H263" s="57" t="str">
        <f>'Secondary cum Calculation'!H467</f>
        <v>New</v>
      </c>
      <c r="I263" s="57">
        <f>'Secondary cum Calculation'!I467</f>
        <v>0</v>
      </c>
      <c r="J263" s="57" t="str">
        <f>'Secondary cum Calculation'!J467</f>
        <v>Thousand</v>
      </c>
      <c r="K263" s="58">
        <f>'Secondary cum Calculation'!K467</f>
        <v>90.122</v>
      </c>
      <c r="L263" s="59"/>
      <c r="M263" s="60" t="e">
        <f>'Final Data-US$'!M206/'Final Data-US$'!L206-1</f>
        <v>#DIV/0!</v>
      </c>
      <c r="N263" s="60" t="e">
        <f>'Final Data-US$'!N206/'Final Data-US$'!M206-1</f>
        <v>#DIV/0!</v>
      </c>
      <c r="O263" s="60" t="e">
        <f>'Final Data-US$'!O206/'Final Data-US$'!N206-1</f>
        <v>#DIV/0!</v>
      </c>
      <c r="P263" s="60" t="e">
        <f>'Final Data-US$'!P206/'Final Data-US$'!O206-1</f>
        <v>#DIV/0!</v>
      </c>
      <c r="Q263" s="60" t="e">
        <f>'Final Data-US$'!Q206/'Final Data-US$'!P206-1</f>
        <v>#DIV/0!</v>
      </c>
      <c r="R263" s="60" t="e">
        <f>'Final Data-US$'!R206/'Final Data-US$'!Q206-1</f>
        <v>#DIV/0!</v>
      </c>
      <c r="S263" s="60" t="e">
        <f>'Final Data-US$'!S206/'Final Data-US$'!R206-1</f>
        <v>#DIV/0!</v>
      </c>
      <c r="T263" s="60" t="e">
        <f>'Final Data-US$'!T206/'Final Data-US$'!S206-1</f>
        <v>#DIV/0!</v>
      </c>
      <c r="U263" s="60" t="e">
        <f>'Final Data-US$'!U206/'Final Data-US$'!T206-1</f>
        <v>#DIV/0!</v>
      </c>
      <c r="V263" s="60" t="e">
        <f>'Final Data-US$'!V206/'Final Data-US$'!U206-1</f>
        <v>#DIV/0!</v>
      </c>
      <c r="W263" s="106" t="e">
        <f>'Final Data-US$'!W206</f>
        <v>#DIV/0!</v>
      </c>
      <c r="X263" s="106" t="e">
        <f>'Final Data-US$'!X206</f>
        <v>#DIV/0!</v>
      </c>
    </row>
    <row r="264" spans="1:24">
      <c r="A264" s="55" t="str">
        <f>'Secondary cum Calculation'!A469</f>
        <v>Poland</v>
      </c>
      <c r="B264" s="56" t="str">
        <f>'Secondary cum Calculation'!B469</f>
        <v>Tourism Flows</v>
      </c>
      <c r="C264" s="56" t="str">
        <f>'Secondary cum Calculation'!C469</f>
        <v>International Arrivals by Place of Origin</v>
      </c>
      <c r="D264" s="56" t="str">
        <f>'Secondary cum Calculation'!D469</f>
        <v>Europe</v>
      </c>
      <c r="E264" s="55" t="str">
        <f>'Secondary cum Calculation'!E469</f>
        <v>Ukraine</v>
      </c>
      <c r="F264" s="57" t="str">
        <f>'Secondary cum Calculation'!F469</f>
        <v>The number of international arrivals to a country originating from Ukraine</v>
      </c>
      <c r="G264" s="57" t="str">
        <f>'Secondary cum Calculation'!G469</f>
        <v>Tourism Demand &amp; Flows Database</v>
      </c>
      <c r="H264" s="57" t="str">
        <f>'Secondary cum Calculation'!H469</f>
        <v>New</v>
      </c>
      <c r="I264" s="57">
        <f>'Secondary cum Calculation'!I469</f>
        <v>0</v>
      </c>
      <c r="J264" s="57" t="str">
        <f>'Secondary cum Calculation'!J469</f>
        <v>Thousand</v>
      </c>
      <c r="K264" s="58">
        <f>'Secondary cum Calculation'!K469</f>
        <v>0</v>
      </c>
      <c r="L264" s="59"/>
      <c r="M264" s="60">
        <f>'Final Data-US$'!M207/'Final Data-US$'!L207-1</f>
        <v>-0.23152106940171069</v>
      </c>
      <c r="N264" s="60">
        <f>'Final Data-US$'!N207/'Final Data-US$'!M207-1</f>
        <v>-0.13605719279588391</v>
      </c>
      <c r="O264" s="100">
        <f>'Final Data-US$'!O207/'Final Data-US$'!N207-1</f>
        <v>4.2471042471042386E-2</v>
      </c>
      <c r="P264" s="100">
        <f>'Final Data-US$'!P207/'Final Data-US$'!O207-1</f>
        <v>0.17037037037037028</v>
      </c>
      <c r="Q264" s="100">
        <f>'Final Data-US$'!Q207/'Final Data-US$'!P207-1</f>
        <v>0.22151898734177222</v>
      </c>
      <c r="R264" s="100">
        <f>'Final Data-US$'!R207/'Final Data-US$'!Q207-1</f>
        <v>-1</v>
      </c>
      <c r="S264" s="100" t="e">
        <f>'Final Data-US$'!S207/'Final Data-US$'!R207-1</f>
        <v>#DIV/0!</v>
      </c>
      <c r="T264" s="100" t="e">
        <f>'Final Data-US$'!T207/'Final Data-US$'!S207-1</f>
        <v>#DIV/0!</v>
      </c>
      <c r="U264" s="100" t="e">
        <f>'Final Data-US$'!U207/'Final Data-US$'!T207-1</f>
        <v>#DIV/0!</v>
      </c>
      <c r="V264" s="100" t="e">
        <f>'Final Data-US$'!V207/'Final Data-US$'!U207-1</f>
        <v>#DIV/0!</v>
      </c>
      <c r="W264" s="106">
        <f>'Final Data-US$'!W207</f>
        <v>6.5229373348253183E-2</v>
      </c>
      <c r="X264" s="106">
        <f>'Final Data-US$'!X207</f>
        <v>-1</v>
      </c>
    </row>
    <row r="265" spans="1:24">
      <c r="A265" s="55" t="str">
        <f>'Secondary cum Calculation'!A471</f>
        <v>Poland</v>
      </c>
      <c r="B265" s="56" t="str">
        <f>'Secondary cum Calculation'!B471</f>
        <v>Tourism Flows</v>
      </c>
      <c r="C265" s="56" t="str">
        <f>'Secondary cum Calculation'!C471</f>
        <v>International Arrivals by Place of Origin</v>
      </c>
      <c r="D265" s="56" t="str">
        <f>'Secondary cum Calculation'!D471</f>
        <v>Europe</v>
      </c>
      <c r="E265" s="55" t="str">
        <f>'Secondary cum Calculation'!E471</f>
        <v>United Kingdom</v>
      </c>
      <c r="F265" s="57" t="str">
        <f>'Secondary cum Calculation'!F471</f>
        <v>The number of international arrivals to a country originating from United Kingdom</v>
      </c>
      <c r="G265" s="57" t="str">
        <f>'Secondary cum Calculation'!G471</f>
        <v>Tourism Demand &amp; Flows Database</v>
      </c>
      <c r="H265" s="57" t="str">
        <f>'Secondary cum Calculation'!H471</f>
        <v>New</v>
      </c>
      <c r="I265" s="57">
        <f>'Secondary cum Calculation'!I471</f>
        <v>0</v>
      </c>
      <c r="J265" s="57" t="str">
        <f>'Secondary cum Calculation'!J471</f>
        <v>Thousand</v>
      </c>
      <c r="K265" s="58">
        <f>'Secondary cum Calculation'!K471</f>
        <v>4176.2110000000002</v>
      </c>
      <c r="L265" s="59"/>
      <c r="M265" s="60">
        <f>'Final Data-US$'!M208/'Final Data-US$'!L208-1</f>
        <v>-5.3435396236179322E-2</v>
      </c>
      <c r="N265" s="60">
        <f>'Final Data-US$'!N208/'Final Data-US$'!M208-1</f>
        <v>-4.5405083910403099E-2</v>
      </c>
      <c r="O265" s="60">
        <f>'Final Data-US$'!O208/'Final Data-US$'!N208-1</f>
        <v>7.7777777777777724E-2</v>
      </c>
      <c r="P265" s="60">
        <f>'Final Data-US$'!P208/'Final Data-US$'!O208-1</f>
        <v>-5.1546391752577359E-2</v>
      </c>
      <c r="Q265" s="60">
        <f>'Final Data-US$'!Q208/'Final Data-US$'!P208-1</f>
        <v>8.6956521739130377E-2</v>
      </c>
      <c r="R265" s="60">
        <f>'Final Data-US$'!R208/'Final Data-US$'!Q208-1</f>
        <v>-1</v>
      </c>
      <c r="S265" s="60" t="e">
        <f>'Final Data-US$'!S208/'Final Data-US$'!R208-1</f>
        <v>#DIV/0!</v>
      </c>
      <c r="T265" s="60" t="e">
        <f>'Final Data-US$'!T208/'Final Data-US$'!S208-1</f>
        <v>#DIV/0!</v>
      </c>
      <c r="U265" s="60" t="e">
        <f>'Final Data-US$'!U208/'Final Data-US$'!T208-1</f>
        <v>#DIV/0!</v>
      </c>
      <c r="V265" s="60" t="e">
        <f>'Final Data-US$'!V208/'Final Data-US$'!U208-1</f>
        <v>#DIV/0!</v>
      </c>
      <c r="W265" s="106">
        <f>'Final Data-US$'!W208</f>
        <v>1.4831997291598675E-2</v>
      </c>
      <c r="X265" s="106">
        <f>'Final Data-US$'!X208</f>
        <v>-1</v>
      </c>
    </row>
    <row r="266" spans="1:24">
      <c r="A266" s="55" t="str">
        <f>'Secondary cum Calculation'!A473</f>
        <v>Poland</v>
      </c>
      <c r="B266" s="84" t="str">
        <f>'Secondary cum Calculation'!B473</f>
        <v>Tourism Flows</v>
      </c>
      <c r="C266" s="84" t="str">
        <f>'Secondary cum Calculation'!C473</f>
        <v>International Arrivals by Place of Origin</v>
      </c>
      <c r="D266" s="84" t="str">
        <f>'Secondary cum Calculation'!D473</f>
        <v>Europe</v>
      </c>
      <c r="E266" s="97" t="str">
        <f>'Secondary cum Calculation'!E473</f>
        <v>Other European Countries</v>
      </c>
      <c r="F266" s="84" t="str">
        <f>'Secondary cum Calculation'!F473</f>
        <v>To be defined according to the gaps in the country data above</v>
      </c>
      <c r="G266" s="57">
        <f>'Secondary cum Calculation'!G473</f>
        <v>0</v>
      </c>
      <c r="H266" s="57">
        <f>'Secondary cum Calculation'!H473</f>
        <v>0</v>
      </c>
      <c r="I266" s="57">
        <f>'Secondary cum Calculation'!I473</f>
        <v>0</v>
      </c>
      <c r="J266" s="57" t="str">
        <f>'Secondary cum Calculation'!J473</f>
        <v>Thousand</v>
      </c>
      <c r="K266" s="58">
        <f>'Secondary cum Calculation'!K473</f>
        <v>0</v>
      </c>
      <c r="L266" s="59"/>
      <c r="M266" s="60">
        <f>'Final Data-US$'!M209/'Final Data-US$'!L209-1</f>
        <v>-0.11888897048386105</v>
      </c>
      <c r="N266" s="60">
        <f>'Final Data-US$'!N209/'Final Data-US$'!M209-1</f>
        <v>-7.4520888625829507E-2</v>
      </c>
      <c r="O266" s="60">
        <f>'Final Data-US$'!O209/'Final Data-US$'!N209-1</f>
        <v>3.0120481927710774E-2</v>
      </c>
      <c r="P266" s="60">
        <f>'Final Data-US$'!P209/'Final Data-US$'!O209-1</f>
        <v>0.10526315789473695</v>
      </c>
      <c r="Q266" s="60">
        <f>'Final Data-US$'!Q209/'Final Data-US$'!P209-1</f>
        <v>5.8201058201058142E-2</v>
      </c>
      <c r="R266" s="60">
        <f>'Final Data-US$'!R209/'Final Data-US$'!Q209-1</f>
        <v>-1</v>
      </c>
      <c r="S266" s="60" t="e">
        <f>'Final Data-US$'!S209/'Final Data-US$'!R209-1</f>
        <v>#DIV/0!</v>
      </c>
      <c r="T266" s="60" t="e">
        <f>'Final Data-US$'!T209/'Final Data-US$'!S209-1</f>
        <v>#DIV/0!</v>
      </c>
      <c r="U266" s="60" t="e">
        <f>'Final Data-US$'!U209/'Final Data-US$'!T209-1</f>
        <v>#DIV/0!</v>
      </c>
      <c r="V266" s="60" t="e">
        <f>'Final Data-US$'!V209/'Final Data-US$'!U209-1</f>
        <v>#DIV/0!</v>
      </c>
      <c r="W266" s="106">
        <f>'Final Data-US$'!W209</f>
        <v>2.7595354193829413E-2</v>
      </c>
      <c r="X266" s="106">
        <f>'Final Data-US$'!X209</f>
        <v>-1</v>
      </c>
    </row>
    <row r="267" spans="1:24">
      <c r="A267" s="55" t="str">
        <f>'Secondary cum Calculation'!A475</f>
        <v>Poland</v>
      </c>
      <c r="B267" s="56" t="str">
        <f>'Secondary cum Calculation'!B475</f>
        <v>Tourism Flows</v>
      </c>
      <c r="C267" s="56" t="str">
        <f>'Secondary cum Calculation'!C475</f>
        <v>International Arrivals by Place of Origin</v>
      </c>
      <c r="D267" s="55" t="str">
        <f>'Secondary cum Calculation'!D475</f>
        <v>Middle East</v>
      </c>
      <c r="E267" s="57"/>
      <c r="F267" s="57" t="str">
        <f>'Secondary cum Calculation'!F475</f>
        <v>The number of international arrivals to a country originating from the Middle East</v>
      </c>
      <c r="G267" s="57" t="str">
        <f>'Secondary cum Calculation'!G475</f>
        <v>Tourism Demand &amp; Flows Database</v>
      </c>
      <c r="H267" s="57" t="str">
        <f>'Secondary cum Calculation'!H475</f>
        <v>New</v>
      </c>
      <c r="I267" s="57">
        <f>'Secondary cum Calculation'!I475</f>
        <v>0</v>
      </c>
      <c r="J267" s="57" t="str">
        <f>'Secondary cum Calculation'!J475</f>
        <v>Thousand</v>
      </c>
      <c r="K267" s="86">
        <f>'Secondary cum Calculation'!K475</f>
        <v>283.88900000000001</v>
      </c>
      <c r="L267" s="80"/>
      <c r="M267" s="81">
        <f>'Final Data-US$'!M210/'Final Data-US$'!L210-1</f>
        <v>-0.1606250748166399</v>
      </c>
      <c r="N267" s="81">
        <f>'Final Data-US$'!N210/'Final Data-US$'!M210-1</f>
        <v>-8.5023814570850176E-2</v>
      </c>
      <c r="O267" s="81">
        <f>'Final Data-US$'!O210/'Final Data-US$'!N210-1</f>
        <v>0.15973840954780982</v>
      </c>
      <c r="P267" s="81">
        <f>'Final Data-US$'!P210/'Final Data-US$'!O210-1</f>
        <v>-4.2005907107333096E-3</v>
      </c>
      <c r="Q267" s="81">
        <f>'Final Data-US$'!Q210/'Final Data-US$'!P210-1</f>
        <v>0.18495921406244342</v>
      </c>
      <c r="R267" s="81">
        <f>'Final Data-US$'!R210/'Final Data-US$'!Q210-1</f>
        <v>5.0205326211844703E-2</v>
      </c>
      <c r="S267" s="81">
        <f>'Final Data-US$'!S210/'Final Data-US$'!R210-1</f>
        <v>5.3124523891363795E-2</v>
      </c>
      <c r="T267" s="81">
        <f>'Final Data-US$'!T210/'Final Data-US$'!S210-1</f>
        <v>4.4776979516997439E-2</v>
      </c>
      <c r="U267" s="81">
        <f>'Final Data-US$'!U210/'Final Data-US$'!T210-1</f>
        <v>5.6316430571876852E-2</v>
      </c>
      <c r="V267" s="81">
        <f>'Final Data-US$'!V210/'Final Data-US$'!U210-1</f>
        <v>6.0694347046462038E-2</v>
      </c>
      <c r="W267" s="106">
        <f>'Final Data-US$'!W210</f>
        <v>5.7818783702454635E-2</v>
      </c>
      <c r="X267" s="106">
        <f>'Final Data-US$'!X210</f>
        <v>5.3009684498946052E-2</v>
      </c>
    </row>
    <row r="268" spans="1:24">
      <c r="A268" s="55" t="str">
        <f>'Secondary cum Calculation'!A477</f>
        <v>Poland</v>
      </c>
      <c r="B268" s="56" t="str">
        <f>'Secondary cum Calculation'!B477</f>
        <v>Tourism Flows</v>
      </c>
      <c r="C268" s="56" t="str">
        <f>'Secondary cum Calculation'!C477</f>
        <v>International Arrivals by Place of Origin</v>
      </c>
      <c r="D268" s="56" t="str">
        <f>'Secondary cum Calculation'!D477</f>
        <v>Middle East</v>
      </c>
      <c r="E268" s="55" t="str">
        <f>'Secondary cum Calculation'!E477</f>
        <v>Bahrain</v>
      </c>
      <c r="F268" s="57" t="str">
        <f>'Secondary cum Calculation'!F477</f>
        <v>The number of international arrivals to a country originating from Bahrain</v>
      </c>
      <c r="G268" s="57" t="str">
        <f>'Secondary cum Calculation'!G477</f>
        <v>Tourism Demand &amp; Flows Database</v>
      </c>
      <c r="H268" s="57" t="str">
        <f>'Secondary cum Calculation'!H477</f>
        <v>New</v>
      </c>
      <c r="I268" s="57">
        <f>'Secondary cum Calculation'!I477</f>
        <v>0</v>
      </c>
      <c r="J268" s="57" t="str">
        <f>'Secondary cum Calculation'!J477</f>
        <v>Thousand</v>
      </c>
      <c r="K268" s="58">
        <f>'Secondary cum Calculation'!K477</f>
        <v>0</v>
      </c>
      <c r="L268" s="59"/>
      <c r="M268" s="60" t="e">
        <f>'Final Data-US$'!M211/'Final Data-US$'!L211-1</f>
        <v>#DIV/0!</v>
      </c>
      <c r="N268" s="60" t="e">
        <f>'Final Data-US$'!N211/'Final Data-US$'!M211-1</f>
        <v>#DIV/0!</v>
      </c>
      <c r="O268" s="60" t="e">
        <f>'Final Data-US$'!O211/'Final Data-US$'!N211-1</f>
        <v>#DIV/0!</v>
      </c>
      <c r="P268" s="60" t="e">
        <f>'Final Data-US$'!P211/'Final Data-US$'!O211-1</f>
        <v>#DIV/0!</v>
      </c>
      <c r="Q268" s="60" t="e">
        <f>'Final Data-US$'!Q211/'Final Data-US$'!P211-1</f>
        <v>#DIV/0!</v>
      </c>
      <c r="R268" s="60" t="e">
        <f>'Final Data-US$'!R211/'Final Data-US$'!Q211-1</f>
        <v>#DIV/0!</v>
      </c>
      <c r="S268" s="60" t="e">
        <f>'Final Data-US$'!S211/'Final Data-US$'!R211-1</f>
        <v>#DIV/0!</v>
      </c>
      <c r="T268" s="60" t="e">
        <f>'Final Data-US$'!T211/'Final Data-US$'!S211-1</f>
        <v>#DIV/0!</v>
      </c>
      <c r="U268" s="60" t="e">
        <f>'Final Data-US$'!U211/'Final Data-US$'!T211-1</f>
        <v>#DIV/0!</v>
      </c>
      <c r="V268" s="60" t="e">
        <f>'Final Data-US$'!V211/'Final Data-US$'!U211-1</f>
        <v>#DIV/0!</v>
      </c>
      <c r="W268" s="106" t="e">
        <f>'Final Data-US$'!W211</f>
        <v>#DIV/0!</v>
      </c>
      <c r="X268" s="106" t="e">
        <f>'Final Data-US$'!X211</f>
        <v>#DIV/0!</v>
      </c>
    </row>
    <row r="269" spans="1:24">
      <c r="A269" s="55" t="str">
        <f>'Secondary cum Calculation'!A479</f>
        <v>Poland</v>
      </c>
      <c r="B269" s="56" t="str">
        <f>'Secondary cum Calculation'!B479</f>
        <v>Tourism Flows</v>
      </c>
      <c r="C269" s="56" t="str">
        <f>'Secondary cum Calculation'!C479</f>
        <v>International Arrivals by Place of Origin</v>
      </c>
      <c r="D269" s="56" t="str">
        <f>'Secondary cum Calculation'!D479</f>
        <v>Middle East</v>
      </c>
      <c r="E269" s="55" t="str">
        <f>'Secondary cum Calculation'!E479</f>
        <v>Iran (Islamic Republic of)</v>
      </c>
      <c r="F269" s="57" t="str">
        <f>'Secondary cum Calculation'!F479</f>
        <v>The number of international arrivals to a country originating from Iran (Islamic Republic of)</v>
      </c>
      <c r="G269" s="57" t="str">
        <f>'Secondary cum Calculation'!G479</f>
        <v>Tourism Demand &amp; Flows Database</v>
      </c>
      <c r="H269" s="57" t="str">
        <f>'Secondary cum Calculation'!H479</f>
        <v>New</v>
      </c>
      <c r="I269" s="57">
        <f>'Secondary cum Calculation'!I479</f>
        <v>0</v>
      </c>
      <c r="J269" s="57" t="str">
        <f>'Secondary cum Calculation'!J479</f>
        <v>Thousand</v>
      </c>
      <c r="K269" s="58">
        <f>'Secondary cum Calculation'!K479</f>
        <v>0</v>
      </c>
      <c r="L269" s="59"/>
      <c r="M269" s="60" t="e">
        <f>'Final Data-US$'!M212/'Final Data-US$'!L212-1</f>
        <v>#DIV/0!</v>
      </c>
      <c r="N269" s="60" t="e">
        <f>'Final Data-US$'!N212/'Final Data-US$'!M212-1</f>
        <v>#DIV/0!</v>
      </c>
      <c r="O269" s="60" t="e">
        <f>'Final Data-US$'!O212/'Final Data-US$'!N212-1</f>
        <v>#DIV/0!</v>
      </c>
      <c r="P269" s="60" t="e">
        <f>'Final Data-US$'!P212/'Final Data-US$'!O212-1</f>
        <v>#DIV/0!</v>
      </c>
      <c r="Q269" s="60" t="e">
        <f>'Final Data-US$'!Q212/'Final Data-US$'!P212-1</f>
        <v>#DIV/0!</v>
      </c>
      <c r="R269" s="60" t="e">
        <f>'Final Data-US$'!R212/'Final Data-US$'!Q212-1</f>
        <v>#DIV/0!</v>
      </c>
      <c r="S269" s="60" t="e">
        <f>'Final Data-US$'!S212/'Final Data-US$'!R212-1</f>
        <v>#DIV/0!</v>
      </c>
      <c r="T269" s="60" t="e">
        <f>'Final Data-US$'!T212/'Final Data-US$'!S212-1</f>
        <v>#DIV/0!</v>
      </c>
      <c r="U269" s="60" t="e">
        <f>'Final Data-US$'!U212/'Final Data-US$'!T212-1</f>
        <v>#DIV/0!</v>
      </c>
      <c r="V269" s="60" t="e">
        <f>'Final Data-US$'!V212/'Final Data-US$'!U212-1</f>
        <v>#DIV/0!</v>
      </c>
      <c r="W269" s="106" t="e">
        <f>'Final Data-US$'!W212</f>
        <v>#DIV/0!</v>
      </c>
      <c r="X269" s="106" t="e">
        <f>'Final Data-US$'!X212</f>
        <v>#DIV/0!</v>
      </c>
    </row>
    <row r="270" spans="1:24">
      <c r="A270" s="55" t="str">
        <f>'Secondary cum Calculation'!A481</f>
        <v>Poland</v>
      </c>
      <c r="B270" s="56" t="str">
        <f>'Secondary cum Calculation'!B481</f>
        <v>Tourism Flows</v>
      </c>
      <c r="C270" s="56" t="str">
        <f>'Secondary cum Calculation'!C481</f>
        <v>International Arrivals by Place of Origin</v>
      </c>
      <c r="D270" s="56" t="str">
        <f>'Secondary cum Calculation'!D481</f>
        <v>Middle East</v>
      </c>
      <c r="E270" s="55" t="str">
        <f>'Secondary cum Calculation'!E481</f>
        <v>Iraq</v>
      </c>
      <c r="F270" s="57" t="str">
        <f>'Secondary cum Calculation'!F481</f>
        <v>The number of international arrivals to a country originating from Iraq</v>
      </c>
      <c r="G270" s="57" t="str">
        <f>'Secondary cum Calculation'!G481</f>
        <v>Tourism Demand &amp; Flows Database</v>
      </c>
      <c r="H270" s="57" t="str">
        <f>'Secondary cum Calculation'!H481</f>
        <v>New</v>
      </c>
      <c r="I270" s="57">
        <f>'Secondary cum Calculation'!I481</f>
        <v>0</v>
      </c>
      <c r="J270" s="57" t="str">
        <f>'Secondary cum Calculation'!J481</f>
        <v>Thousand</v>
      </c>
      <c r="K270" s="58">
        <f>'Secondary cum Calculation'!K481</f>
        <v>0</v>
      </c>
      <c r="L270" s="59"/>
      <c r="M270" s="60" t="e">
        <f>'Final Data-US$'!M213/'Final Data-US$'!L213-1</f>
        <v>#DIV/0!</v>
      </c>
      <c r="N270" s="60" t="e">
        <f>'Final Data-US$'!N213/'Final Data-US$'!M213-1</f>
        <v>#DIV/0!</v>
      </c>
      <c r="O270" s="60" t="e">
        <f>'Final Data-US$'!O213/'Final Data-US$'!N213-1</f>
        <v>#DIV/0!</v>
      </c>
      <c r="P270" s="60" t="e">
        <f>'Final Data-US$'!P213/'Final Data-US$'!O213-1</f>
        <v>#DIV/0!</v>
      </c>
      <c r="Q270" s="60" t="e">
        <f>'Final Data-US$'!Q213/'Final Data-US$'!P213-1</f>
        <v>#DIV/0!</v>
      </c>
      <c r="R270" s="60" t="e">
        <f>'Final Data-US$'!R213/'Final Data-US$'!Q213-1</f>
        <v>#DIV/0!</v>
      </c>
      <c r="S270" s="60" t="e">
        <f>'Final Data-US$'!S213/'Final Data-US$'!R213-1</f>
        <v>#DIV/0!</v>
      </c>
      <c r="T270" s="60" t="e">
        <f>'Final Data-US$'!T213/'Final Data-US$'!S213-1</f>
        <v>#DIV/0!</v>
      </c>
      <c r="U270" s="60" t="e">
        <f>'Final Data-US$'!U213/'Final Data-US$'!T213-1</f>
        <v>#DIV/0!</v>
      </c>
      <c r="V270" s="60" t="e">
        <f>'Final Data-US$'!V213/'Final Data-US$'!U213-1</f>
        <v>#DIV/0!</v>
      </c>
      <c r="W270" s="106" t="e">
        <f>'Final Data-US$'!W213</f>
        <v>#DIV/0!</v>
      </c>
      <c r="X270" s="106" t="e">
        <f>'Final Data-US$'!X213</f>
        <v>#DIV/0!</v>
      </c>
    </row>
    <row r="271" spans="1:24">
      <c r="A271" s="55" t="str">
        <f>'Secondary cum Calculation'!A483</f>
        <v>Poland</v>
      </c>
      <c r="B271" s="56" t="str">
        <f>'Secondary cum Calculation'!B483</f>
        <v>Tourism Flows</v>
      </c>
      <c r="C271" s="56" t="str">
        <f>'Secondary cum Calculation'!C483</f>
        <v>International Arrivals by Place of Origin</v>
      </c>
      <c r="D271" s="56" t="str">
        <f>'Secondary cum Calculation'!D483</f>
        <v>Middle East</v>
      </c>
      <c r="E271" s="55" t="str">
        <f>'Secondary cum Calculation'!E483</f>
        <v>Israel</v>
      </c>
      <c r="F271" s="57" t="str">
        <f>'Secondary cum Calculation'!F483</f>
        <v>The number of international arrivals to a country originating from Israel</v>
      </c>
      <c r="G271" s="57" t="str">
        <f>'Secondary cum Calculation'!G483</f>
        <v>Tourism Demand &amp; Flows Database</v>
      </c>
      <c r="H271" s="57" t="str">
        <f>'Secondary cum Calculation'!H483</f>
        <v>New</v>
      </c>
      <c r="I271" s="57">
        <f>'Secondary cum Calculation'!I483</f>
        <v>0</v>
      </c>
      <c r="J271" s="57" t="str">
        <f>'Secondary cum Calculation'!J483</f>
        <v>Thousand</v>
      </c>
      <c r="K271" s="58">
        <f>'Secondary cum Calculation'!K483</f>
        <v>283.88900000000001</v>
      </c>
      <c r="L271" s="59"/>
      <c r="M271" s="60" t="e">
        <f>'Final Data-US$'!M214/'Final Data-US$'!L214-1</f>
        <v>#DIV/0!</v>
      </c>
      <c r="N271" s="60" t="e">
        <f>'Final Data-US$'!N214/'Final Data-US$'!M214-1</f>
        <v>#DIV/0!</v>
      </c>
      <c r="O271" s="60" t="e">
        <f>'Final Data-US$'!O214/'Final Data-US$'!N214-1</f>
        <v>#DIV/0!</v>
      </c>
      <c r="P271" s="60" t="e">
        <f>'Final Data-US$'!P214/'Final Data-US$'!O214-1</f>
        <v>#DIV/0!</v>
      </c>
      <c r="Q271" s="60" t="e">
        <f>'Final Data-US$'!Q214/'Final Data-US$'!P214-1</f>
        <v>#DIV/0!</v>
      </c>
      <c r="R271" s="60" t="e">
        <f>'Final Data-US$'!R214/'Final Data-US$'!Q214-1</f>
        <v>#DIV/0!</v>
      </c>
      <c r="S271" s="60" t="e">
        <f>'Final Data-US$'!S214/'Final Data-US$'!R214-1</f>
        <v>#DIV/0!</v>
      </c>
      <c r="T271" s="60" t="e">
        <f>'Final Data-US$'!T214/'Final Data-US$'!S214-1</f>
        <v>#DIV/0!</v>
      </c>
      <c r="U271" s="60" t="e">
        <f>'Final Data-US$'!U214/'Final Data-US$'!T214-1</f>
        <v>#DIV/0!</v>
      </c>
      <c r="V271" s="60" t="e">
        <f>'Final Data-US$'!V214/'Final Data-US$'!U214-1</f>
        <v>#DIV/0!</v>
      </c>
      <c r="W271" s="106" t="e">
        <f>'Final Data-US$'!W214</f>
        <v>#DIV/0!</v>
      </c>
      <c r="X271" s="106" t="e">
        <f>'Final Data-US$'!X214</f>
        <v>#DIV/0!</v>
      </c>
    </row>
    <row r="272" spans="1:24">
      <c r="A272" s="55" t="str">
        <f>'Secondary cum Calculation'!A485</f>
        <v>Poland</v>
      </c>
      <c r="B272" s="56" t="str">
        <f>'Secondary cum Calculation'!B485</f>
        <v>Tourism Flows</v>
      </c>
      <c r="C272" s="56" t="str">
        <f>'Secondary cum Calculation'!C485</f>
        <v>International Arrivals by Place of Origin</v>
      </c>
      <c r="D272" s="56" t="str">
        <f>'Secondary cum Calculation'!D485</f>
        <v>Middle East</v>
      </c>
      <c r="E272" s="55" t="str">
        <f>'Secondary cum Calculation'!E485</f>
        <v>Jordan</v>
      </c>
      <c r="F272" s="57" t="str">
        <f>'Secondary cum Calculation'!F485</f>
        <v>The number of international arrivals to a country originating from Jordan</v>
      </c>
      <c r="G272" s="57" t="str">
        <f>'Secondary cum Calculation'!G485</f>
        <v>Tourism Demand &amp; Flows Database</v>
      </c>
      <c r="H272" s="57" t="str">
        <f>'Secondary cum Calculation'!H485</f>
        <v>New</v>
      </c>
      <c r="I272" s="57">
        <f>'Secondary cum Calculation'!I485</f>
        <v>0</v>
      </c>
      <c r="J272" s="57" t="str">
        <f>'Secondary cum Calculation'!J485</f>
        <v>Thousand</v>
      </c>
      <c r="K272" s="58">
        <f>'Secondary cum Calculation'!K485</f>
        <v>0</v>
      </c>
      <c r="L272" s="59"/>
      <c r="M272" s="60" t="e">
        <f>'Final Data-US$'!M215/'Final Data-US$'!L215-1</f>
        <v>#DIV/0!</v>
      </c>
      <c r="N272" s="60" t="e">
        <f>'Final Data-US$'!N215/'Final Data-US$'!M215-1</f>
        <v>#DIV/0!</v>
      </c>
      <c r="O272" s="100" t="e">
        <f>'Final Data-US$'!O215/'Final Data-US$'!N215-1</f>
        <v>#DIV/0!</v>
      </c>
      <c r="P272" s="100" t="e">
        <f>'Final Data-US$'!P215/'Final Data-US$'!O215-1</f>
        <v>#DIV/0!</v>
      </c>
      <c r="Q272" s="100" t="e">
        <f>'Final Data-US$'!Q215/'Final Data-US$'!P215-1</f>
        <v>#DIV/0!</v>
      </c>
      <c r="R272" s="100" t="e">
        <f>'Final Data-US$'!R215/'Final Data-US$'!Q215-1</f>
        <v>#DIV/0!</v>
      </c>
      <c r="S272" s="100" t="e">
        <f>'Final Data-US$'!S215/'Final Data-US$'!R215-1</f>
        <v>#DIV/0!</v>
      </c>
      <c r="T272" s="100" t="e">
        <f>'Final Data-US$'!T215/'Final Data-US$'!S215-1</f>
        <v>#DIV/0!</v>
      </c>
      <c r="U272" s="100" t="e">
        <f>'Final Data-US$'!U215/'Final Data-US$'!T215-1</f>
        <v>#DIV/0!</v>
      </c>
      <c r="V272" s="100" t="e">
        <f>'Final Data-US$'!V215/'Final Data-US$'!U215-1</f>
        <v>#DIV/0!</v>
      </c>
      <c r="W272" s="106" t="e">
        <f>'Final Data-US$'!W215</f>
        <v>#DIV/0!</v>
      </c>
      <c r="X272" s="106" t="e">
        <f>'Final Data-US$'!X215</f>
        <v>#DIV/0!</v>
      </c>
    </row>
    <row r="273" spans="1:26">
      <c r="A273" s="55" t="str">
        <f>'Secondary cum Calculation'!A487</f>
        <v>Poland</v>
      </c>
      <c r="B273" s="56" t="str">
        <f>'Secondary cum Calculation'!B487</f>
        <v>Tourism Flows</v>
      </c>
      <c r="C273" s="56" t="str">
        <f>'Secondary cum Calculation'!C487</f>
        <v>International Arrivals by Place of Origin</v>
      </c>
      <c r="D273" s="56" t="str">
        <f>'Secondary cum Calculation'!D487</f>
        <v>Middle East</v>
      </c>
      <c r="E273" s="55" t="str">
        <f>'Secondary cum Calculation'!E487</f>
        <v>Kuwait</v>
      </c>
      <c r="F273" s="57" t="str">
        <f>'Secondary cum Calculation'!F487</f>
        <v>The number of international arrivals to a country originating from Kuwait</v>
      </c>
      <c r="G273" s="57" t="str">
        <f>'Secondary cum Calculation'!G487</f>
        <v>Tourism Demand &amp; Flows Database</v>
      </c>
      <c r="H273" s="57" t="str">
        <f>'Secondary cum Calculation'!H487</f>
        <v>New</v>
      </c>
      <c r="I273" s="57">
        <f>'Secondary cum Calculation'!I487</f>
        <v>0</v>
      </c>
      <c r="J273" s="57" t="str">
        <f>'Secondary cum Calculation'!J487</f>
        <v>Thousand</v>
      </c>
      <c r="K273" s="58">
        <f>'Secondary cum Calculation'!K487</f>
        <v>0</v>
      </c>
      <c r="L273" s="59"/>
      <c r="M273" s="60" t="e">
        <f>'Final Data-US$'!M216/'Final Data-US$'!L216-1</f>
        <v>#DIV/0!</v>
      </c>
      <c r="N273" s="60" t="e">
        <f>'Final Data-US$'!N216/'Final Data-US$'!M216-1</f>
        <v>#DIV/0!</v>
      </c>
      <c r="O273" s="60" t="e">
        <f>'Final Data-US$'!O216/'Final Data-US$'!N216-1</f>
        <v>#DIV/0!</v>
      </c>
      <c r="P273" s="60" t="e">
        <f>'Final Data-US$'!P216/'Final Data-US$'!O216-1</f>
        <v>#DIV/0!</v>
      </c>
      <c r="Q273" s="60" t="e">
        <f>'Final Data-US$'!Q216/'Final Data-US$'!P216-1</f>
        <v>#DIV/0!</v>
      </c>
      <c r="R273" s="60" t="e">
        <f>'Final Data-US$'!R216/'Final Data-US$'!Q216-1</f>
        <v>#DIV/0!</v>
      </c>
      <c r="S273" s="60" t="e">
        <f>'Final Data-US$'!S216/'Final Data-US$'!R216-1</f>
        <v>#DIV/0!</v>
      </c>
      <c r="T273" s="60" t="e">
        <f>'Final Data-US$'!T216/'Final Data-US$'!S216-1</f>
        <v>#DIV/0!</v>
      </c>
      <c r="U273" s="60" t="e">
        <f>'Final Data-US$'!U216/'Final Data-US$'!T216-1</f>
        <v>#DIV/0!</v>
      </c>
      <c r="V273" s="60" t="e">
        <f>'Final Data-US$'!V216/'Final Data-US$'!U216-1</f>
        <v>#DIV/0!</v>
      </c>
      <c r="W273" s="106" t="e">
        <f>'Final Data-US$'!W216</f>
        <v>#DIV/0!</v>
      </c>
      <c r="X273" s="106" t="e">
        <f>'Final Data-US$'!X216</f>
        <v>#DIV/0!</v>
      </c>
    </row>
    <row r="274" spans="1:26">
      <c r="A274" s="55" t="str">
        <f>'Secondary cum Calculation'!A489</f>
        <v>Poland</v>
      </c>
      <c r="B274" s="56" t="str">
        <f>'Secondary cum Calculation'!B489</f>
        <v>Tourism Flows</v>
      </c>
      <c r="C274" s="56" t="str">
        <f>'Secondary cum Calculation'!C489</f>
        <v>International Arrivals by Place of Origin</v>
      </c>
      <c r="D274" s="56" t="str">
        <f>'Secondary cum Calculation'!D489</f>
        <v>Middle East</v>
      </c>
      <c r="E274" s="55" t="str">
        <f>'Secondary cum Calculation'!E489</f>
        <v>Lebanon</v>
      </c>
      <c r="F274" s="57" t="str">
        <f>'Secondary cum Calculation'!F489</f>
        <v>The number of international arrivals to a country originating from Lebanon</v>
      </c>
      <c r="G274" s="57" t="str">
        <f>'Secondary cum Calculation'!G489</f>
        <v>Tourism Demand &amp; Flows Database</v>
      </c>
      <c r="H274" s="57" t="str">
        <f>'Secondary cum Calculation'!H489</f>
        <v>New</v>
      </c>
      <c r="I274" s="57">
        <f>'Secondary cum Calculation'!I489</f>
        <v>0</v>
      </c>
      <c r="J274" s="57" t="str">
        <f>'Secondary cum Calculation'!J489</f>
        <v>Thousand</v>
      </c>
      <c r="K274" s="58">
        <f>'Secondary cum Calculation'!K489</f>
        <v>0</v>
      </c>
      <c r="L274" s="59"/>
      <c r="M274" s="60" t="e">
        <f>'Final Data-US$'!M217/'Final Data-US$'!L217-1</f>
        <v>#DIV/0!</v>
      </c>
      <c r="N274" s="60" t="e">
        <f>'Final Data-US$'!N217/'Final Data-US$'!M217-1</f>
        <v>#DIV/0!</v>
      </c>
      <c r="O274" s="60" t="e">
        <f>'Final Data-US$'!O217/'Final Data-US$'!N217-1</f>
        <v>#DIV/0!</v>
      </c>
      <c r="P274" s="60" t="e">
        <f>'Final Data-US$'!P217/'Final Data-US$'!O217-1</f>
        <v>#DIV/0!</v>
      </c>
      <c r="Q274" s="60" t="e">
        <f>'Final Data-US$'!Q217/'Final Data-US$'!P217-1</f>
        <v>#DIV/0!</v>
      </c>
      <c r="R274" s="60" t="e">
        <f>'Final Data-US$'!R217/'Final Data-US$'!Q217-1</f>
        <v>#DIV/0!</v>
      </c>
      <c r="S274" s="60" t="e">
        <f>'Final Data-US$'!S217/'Final Data-US$'!R217-1</f>
        <v>#DIV/0!</v>
      </c>
      <c r="T274" s="60" t="e">
        <f>'Final Data-US$'!T217/'Final Data-US$'!S217-1</f>
        <v>#DIV/0!</v>
      </c>
      <c r="U274" s="60" t="e">
        <f>'Final Data-US$'!U217/'Final Data-US$'!T217-1</f>
        <v>#DIV/0!</v>
      </c>
      <c r="V274" s="60" t="e">
        <f>'Final Data-US$'!V217/'Final Data-US$'!U217-1</f>
        <v>#DIV/0!</v>
      </c>
      <c r="W274" s="106" t="e">
        <f>'Final Data-US$'!W217</f>
        <v>#DIV/0!</v>
      </c>
      <c r="X274" s="106" t="e">
        <f>'Final Data-US$'!X217</f>
        <v>#DIV/0!</v>
      </c>
    </row>
    <row r="275" spans="1:26">
      <c r="A275" s="55" t="str">
        <f>'Secondary cum Calculation'!A491</f>
        <v>Poland</v>
      </c>
      <c r="B275" s="56" t="str">
        <f>'Secondary cum Calculation'!B491</f>
        <v>Tourism Flows</v>
      </c>
      <c r="C275" s="56" t="str">
        <f>'Secondary cum Calculation'!C491</f>
        <v>International Arrivals by Place of Origin</v>
      </c>
      <c r="D275" s="56" t="str">
        <f>'Secondary cum Calculation'!D491</f>
        <v>Middle East</v>
      </c>
      <c r="E275" s="55" t="str">
        <f>'Secondary cum Calculation'!E491</f>
        <v>Occupied Palestinian Territory</v>
      </c>
      <c r="F275" s="57" t="str">
        <f>'Secondary cum Calculation'!F491</f>
        <v>The number of international arrivals to a country originating from Occupied Palestinian Territory</v>
      </c>
      <c r="G275" s="57" t="str">
        <f>'Secondary cum Calculation'!G491</f>
        <v>Tourism Demand &amp; Flows Database</v>
      </c>
      <c r="H275" s="57" t="str">
        <f>'Secondary cum Calculation'!H491</f>
        <v>New</v>
      </c>
      <c r="I275" s="57">
        <f>'Secondary cum Calculation'!I491</f>
        <v>0</v>
      </c>
      <c r="J275" s="57" t="str">
        <f>'Secondary cum Calculation'!J491</f>
        <v>Thousand</v>
      </c>
      <c r="K275" s="58">
        <f>'Secondary cum Calculation'!K491</f>
        <v>0</v>
      </c>
      <c r="L275" s="59"/>
      <c r="M275" s="60" t="e">
        <f>'Final Data-US$'!M218/'Final Data-US$'!L218-1</f>
        <v>#DIV/0!</v>
      </c>
      <c r="N275" s="60" t="e">
        <f>'Final Data-US$'!N218/'Final Data-US$'!M218-1</f>
        <v>#DIV/0!</v>
      </c>
      <c r="O275" s="60" t="e">
        <f>'Final Data-US$'!O218/'Final Data-US$'!N218-1</f>
        <v>#DIV/0!</v>
      </c>
      <c r="P275" s="60" t="e">
        <f>'Final Data-US$'!P218/'Final Data-US$'!O218-1</f>
        <v>#DIV/0!</v>
      </c>
      <c r="Q275" s="60" t="e">
        <f>'Final Data-US$'!Q218/'Final Data-US$'!P218-1</f>
        <v>#DIV/0!</v>
      </c>
      <c r="R275" s="60" t="e">
        <f>'Final Data-US$'!R218/'Final Data-US$'!Q218-1</f>
        <v>#DIV/0!</v>
      </c>
      <c r="S275" s="60" t="e">
        <f>'Final Data-US$'!S218/'Final Data-US$'!R218-1</f>
        <v>#DIV/0!</v>
      </c>
      <c r="T275" s="60" t="e">
        <f>'Final Data-US$'!T218/'Final Data-US$'!S218-1</f>
        <v>#DIV/0!</v>
      </c>
      <c r="U275" s="60" t="e">
        <f>'Final Data-US$'!U218/'Final Data-US$'!T218-1</f>
        <v>#DIV/0!</v>
      </c>
      <c r="V275" s="60" t="e">
        <f>'Final Data-US$'!V218/'Final Data-US$'!U218-1</f>
        <v>#DIV/0!</v>
      </c>
      <c r="W275" s="106" t="e">
        <f>'Final Data-US$'!W218</f>
        <v>#DIV/0!</v>
      </c>
      <c r="X275" s="106" t="e">
        <f>'Final Data-US$'!X218</f>
        <v>#DIV/0!</v>
      </c>
    </row>
    <row r="276" spans="1:26">
      <c r="A276" s="55" t="str">
        <f>'Secondary cum Calculation'!A493</f>
        <v>Poland</v>
      </c>
      <c r="B276" s="56" t="str">
        <f>'Secondary cum Calculation'!B493</f>
        <v>Tourism Flows</v>
      </c>
      <c r="C276" s="56" t="str">
        <f>'Secondary cum Calculation'!C493</f>
        <v>International Arrivals by Place of Origin</v>
      </c>
      <c r="D276" s="56" t="str">
        <f>'Secondary cum Calculation'!D493</f>
        <v>Middle East</v>
      </c>
      <c r="E276" s="55" t="str">
        <f>'Secondary cum Calculation'!E493</f>
        <v>Oman</v>
      </c>
      <c r="F276" s="57" t="str">
        <f>'Secondary cum Calculation'!F493</f>
        <v>The number of international arrivals to a country originating from Oman</v>
      </c>
      <c r="G276" s="57" t="str">
        <f>'Secondary cum Calculation'!G493</f>
        <v>Tourism Demand &amp; Flows Database</v>
      </c>
      <c r="H276" s="57" t="str">
        <f>'Secondary cum Calculation'!H493</f>
        <v>New</v>
      </c>
      <c r="I276" s="57">
        <f>'Secondary cum Calculation'!I493</f>
        <v>0</v>
      </c>
      <c r="J276" s="57" t="str">
        <f>'Secondary cum Calculation'!J493</f>
        <v>Thousand</v>
      </c>
      <c r="K276" s="58">
        <f>'Secondary cum Calculation'!K493</f>
        <v>0</v>
      </c>
      <c r="L276" s="59"/>
      <c r="M276" s="60" t="e">
        <f>'Final Data-US$'!M219/'Final Data-US$'!L219-1</f>
        <v>#DIV/0!</v>
      </c>
      <c r="N276" s="60" t="e">
        <f>'Final Data-US$'!N219/'Final Data-US$'!M219-1</f>
        <v>#DIV/0!</v>
      </c>
      <c r="O276" s="60" t="e">
        <f>'Final Data-US$'!O219/'Final Data-US$'!N219-1</f>
        <v>#DIV/0!</v>
      </c>
      <c r="P276" s="60" t="e">
        <f>'Final Data-US$'!P219/'Final Data-US$'!O219-1</f>
        <v>#DIV/0!</v>
      </c>
      <c r="Q276" s="60" t="e">
        <f>'Final Data-US$'!Q219/'Final Data-US$'!P219-1</f>
        <v>#DIV/0!</v>
      </c>
      <c r="R276" s="60" t="e">
        <f>'Final Data-US$'!R219/'Final Data-US$'!Q219-1</f>
        <v>#DIV/0!</v>
      </c>
      <c r="S276" s="60" t="e">
        <f>'Final Data-US$'!S219/'Final Data-US$'!R219-1</f>
        <v>#DIV/0!</v>
      </c>
      <c r="T276" s="60" t="e">
        <f>'Final Data-US$'!T219/'Final Data-US$'!S219-1</f>
        <v>#DIV/0!</v>
      </c>
      <c r="U276" s="60" t="e">
        <f>'Final Data-US$'!U219/'Final Data-US$'!T219-1</f>
        <v>#DIV/0!</v>
      </c>
      <c r="V276" s="60" t="e">
        <f>'Final Data-US$'!V219/'Final Data-US$'!U219-1</f>
        <v>#DIV/0!</v>
      </c>
      <c r="W276" s="106" t="e">
        <f>'Final Data-US$'!W219</f>
        <v>#DIV/0!</v>
      </c>
      <c r="X276" s="106" t="e">
        <f>'Final Data-US$'!X219</f>
        <v>#DIV/0!</v>
      </c>
    </row>
    <row r="277" spans="1:26">
      <c r="A277" s="55" t="str">
        <f>'Secondary cum Calculation'!A495</f>
        <v>Poland</v>
      </c>
      <c r="B277" s="56" t="str">
        <f>'Secondary cum Calculation'!B495</f>
        <v>Tourism Flows</v>
      </c>
      <c r="C277" s="56" t="str">
        <f>'Secondary cum Calculation'!C495</f>
        <v>International Arrivals by Place of Origin</v>
      </c>
      <c r="D277" s="56" t="str">
        <f>'Secondary cum Calculation'!D495</f>
        <v>Middle East</v>
      </c>
      <c r="E277" s="55" t="str">
        <f>'Secondary cum Calculation'!E495</f>
        <v>Qatar</v>
      </c>
      <c r="F277" s="57" t="str">
        <f>'Secondary cum Calculation'!F495</f>
        <v>The number of international arrivals to a country originating from Qatar</v>
      </c>
      <c r="G277" s="57" t="str">
        <f>'Secondary cum Calculation'!G495</f>
        <v>Tourism Demand &amp; Flows Database</v>
      </c>
      <c r="H277" s="57" t="str">
        <f>'Secondary cum Calculation'!H495</f>
        <v>New</v>
      </c>
      <c r="I277" s="57">
        <f>'Secondary cum Calculation'!I495</f>
        <v>0</v>
      </c>
      <c r="J277" s="57" t="str">
        <f>'Secondary cum Calculation'!J495</f>
        <v>Thousand</v>
      </c>
      <c r="K277" s="58">
        <f>'Secondary cum Calculation'!K495</f>
        <v>0</v>
      </c>
      <c r="L277" s="59"/>
      <c r="M277" s="60" t="e">
        <f>'Final Data-US$'!M220/'Final Data-US$'!L220-1</f>
        <v>#DIV/0!</v>
      </c>
      <c r="N277" s="60" t="e">
        <f>'Final Data-US$'!N220/'Final Data-US$'!M220-1</f>
        <v>#DIV/0!</v>
      </c>
      <c r="O277" s="60" t="e">
        <f>'Final Data-US$'!O220/'Final Data-US$'!N220-1</f>
        <v>#DIV/0!</v>
      </c>
      <c r="P277" s="60" t="e">
        <f>'Final Data-US$'!P220/'Final Data-US$'!O220-1</f>
        <v>#DIV/0!</v>
      </c>
      <c r="Q277" s="60" t="e">
        <f>'Final Data-US$'!Q220/'Final Data-US$'!P220-1</f>
        <v>#DIV/0!</v>
      </c>
      <c r="R277" s="60" t="e">
        <f>'Final Data-US$'!R220/'Final Data-US$'!Q220-1</f>
        <v>#DIV/0!</v>
      </c>
      <c r="S277" s="60" t="e">
        <f>'Final Data-US$'!S220/'Final Data-US$'!R220-1</f>
        <v>#DIV/0!</v>
      </c>
      <c r="T277" s="60" t="e">
        <f>'Final Data-US$'!T220/'Final Data-US$'!S220-1</f>
        <v>#DIV/0!</v>
      </c>
      <c r="U277" s="60" t="e">
        <f>'Final Data-US$'!U220/'Final Data-US$'!T220-1</f>
        <v>#DIV/0!</v>
      </c>
      <c r="V277" s="60" t="e">
        <f>'Final Data-US$'!V220/'Final Data-US$'!U220-1</f>
        <v>#DIV/0!</v>
      </c>
      <c r="W277" s="106" t="e">
        <f>'Final Data-US$'!W220</f>
        <v>#DIV/0!</v>
      </c>
      <c r="X277" s="106" t="e">
        <f>'Final Data-US$'!X220</f>
        <v>#DIV/0!</v>
      </c>
    </row>
    <row r="278" spans="1:26">
      <c r="A278" s="55" t="str">
        <f>'Secondary cum Calculation'!A497</f>
        <v>Poland</v>
      </c>
      <c r="B278" s="56" t="str">
        <f>'Secondary cum Calculation'!B497</f>
        <v>Tourism Flows</v>
      </c>
      <c r="C278" s="56" t="str">
        <f>'Secondary cum Calculation'!C497</f>
        <v>International Arrivals by Place of Origin</v>
      </c>
      <c r="D278" s="56" t="str">
        <f>'Secondary cum Calculation'!D497</f>
        <v>Middle East</v>
      </c>
      <c r="E278" s="55" t="str">
        <f>'Secondary cum Calculation'!E497</f>
        <v>Saudi Arabia</v>
      </c>
      <c r="F278" s="57" t="str">
        <f>'Secondary cum Calculation'!F497</f>
        <v>The number of international arrivals to a country originating from Saudi Arabia</v>
      </c>
      <c r="G278" s="57" t="str">
        <f>'Secondary cum Calculation'!G497</f>
        <v>Tourism Demand &amp; Flows Database</v>
      </c>
      <c r="H278" s="57" t="str">
        <f>'Secondary cum Calculation'!H497</f>
        <v>New</v>
      </c>
      <c r="I278" s="57">
        <f>'Secondary cum Calculation'!I497</f>
        <v>0</v>
      </c>
      <c r="J278" s="57" t="str">
        <f>'Secondary cum Calculation'!J497</f>
        <v>Thousand</v>
      </c>
      <c r="K278" s="58">
        <f>'Secondary cum Calculation'!K497</f>
        <v>31.510999999999999</v>
      </c>
      <c r="L278" s="59"/>
      <c r="M278" s="60" t="e">
        <f>'Final Data-US$'!M221/'Final Data-US$'!L221-1</f>
        <v>#DIV/0!</v>
      </c>
      <c r="N278" s="60" t="e">
        <f>'Final Data-US$'!N221/'Final Data-US$'!M221-1</f>
        <v>#DIV/0!</v>
      </c>
      <c r="O278" s="60" t="e">
        <f>'Final Data-US$'!O221/'Final Data-US$'!N221-1</f>
        <v>#DIV/0!</v>
      </c>
      <c r="P278" s="60" t="e">
        <f>'Final Data-US$'!P221/'Final Data-US$'!O221-1</f>
        <v>#DIV/0!</v>
      </c>
      <c r="Q278" s="60" t="e">
        <f>'Final Data-US$'!Q221/'Final Data-US$'!P221-1</f>
        <v>#DIV/0!</v>
      </c>
      <c r="R278" s="60" t="e">
        <f>'Final Data-US$'!R221/'Final Data-US$'!Q221-1</f>
        <v>#DIV/0!</v>
      </c>
      <c r="S278" s="60" t="e">
        <f>'Final Data-US$'!S221/'Final Data-US$'!R221-1</f>
        <v>#DIV/0!</v>
      </c>
      <c r="T278" s="60" t="e">
        <f>'Final Data-US$'!T221/'Final Data-US$'!S221-1</f>
        <v>#DIV/0!</v>
      </c>
      <c r="U278" s="60" t="e">
        <f>'Final Data-US$'!U221/'Final Data-US$'!T221-1</f>
        <v>#DIV/0!</v>
      </c>
      <c r="V278" s="60" t="e">
        <f>'Final Data-US$'!V221/'Final Data-US$'!U221-1</f>
        <v>#DIV/0!</v>
      </c>
      <c r="W278" s="106" t="e">
        <f>'Final Data-US$'!W221</f>
        <v>#DIV/0!</v>
      </c>
      <c r="X278" s="106" t="e">
        <f>'Final Data-US$'!X221</f>
        <v>#DIV/0!</v>
      </c>
    </row>
    <row r="279" spans="1:26">
      <c r="A279" s="55" t="str">
        <f>'Secondary cum Calculation'!A499</f>
        <v>Poland</v>
      </c>
      <c r="B279" s="56" t="str">
        <f>'Secondary cum Calculation'!B499</f>
        <v>Tourism Flows</v>
      </c>
      <c r="C279" s="56" t="str">
        <f>'Secondary cum Calculation'!C499</f>
        <v>International Arrivals by Place of Origin</v>
      </c>
      <c r="D279" s="56" t="str">
        <f>'Secondary cum Calculation'!D499</f>
        <v>Middle East</v>
      </c>
      <c r="E279" s="55" t="str">
        <f>'Secondary cum Calculation'!E499</f>
        <v>Syrian Arab Republic</v>
      </c>
      <c r="F279" s="57" t="str">
        <f>'Secondary cum Calculation'!F499</f>
        <v>The number of international arrivals to a country originating from Syrian Arab Republic</v>
      </c>
      <c r="G279" s="57" t="str">
        <f>'Secondary cum Calculation'!G499</f>
        <v>Tourism Demand &amp; Flows Database</v>
      </c>
      <c r="H279" s="57" t="str">
        <f>'Secondary cum Calculation'!H499</f>
        <v>New</v>
      </c>
      <c r="I279" s="57">
        <f>'Secondary cum Calculation'!I499</f>
        <v>0</v>
      </c>
      <c r="J279" s="57" t="str">
        <f>'Secondary cum Calculation'!J499</f>
        <v>Thousand</v>
      </c>
      <c r="K279" s="58">
        <f>'Secondary cum Calculation'!K499</f>
        <v>0</v>
      </c>
      <c r="L279" s="59"/>
      <c r="M279" s="60" t="e">
        <f>'Final Data-US$'!M222/'Final Data-US$'!L222-1</f>
        <v>#DIV/0!</v>
      </c>
      <c r="N279" s="60" t="e">
        <f>'Final Data-US$'!N222/'Final Data-US$'!M222-1</f>
        <v>#DIV/0!</v>
      </c>
      <c r="O279" s="100" t="e">
        <f>'Final Data-US$'!O222/'Final Data-US$'!N222-1</f>
        <v>#DIV/0!</v>
      </c>
      <c r="P279" s="100" t="e">
        <f>'Final Data-US$'!P222/'Final Data-US$'!O222-1</f>
        <v>#DIV/0!</v>
      </c>
      <c r="Q279" s="100" t="e">
        <f>'Final Data-US$'!Q222/'Final Data-US$'!P222-1</f>
        <v>#DIV/0!</v>
      </c>
      <c r="R279" s="100" t="e">
        <f>'Final Data-US$'!R222/'Final Data-US$'!Q222-1</f>
        <v>#DIV/0!</v>
      </c>
      <c r="S279" s="100" t="e">
        <f>'Final Data-US$'!S222/'Final Data-US$'!R222-1</f>
        <v>#DIV/0!</v>
      </c>
      <c r="T279" s="100" t="e">
        <f>'Final Data-US$'!T222/'Final Data-US$'!S222-1</f>
        <v>#DIV/0!</v>
      </c>
      <c r="U279" s="100" t="e">
        <f>'Final Data-US$'!U222/'Final Data-US$'!T222-1</f>
        <v>#DIV/0!</v>
      </c>
      <c r="V279" s="100" t="e">
        <f>'Final Data-US$'!V222/'Final Data-US$'!U222-1</f>
        <v>#DIV/0!</v>
      </c>
      <c r="W279" s="106" t="e">
        <f>'Final Data-US$'!W222</f>
        <v>#DIV/0!</v>
      </c>
      <c r="X279" s="106" t="e">
        <f>'Final Data-US$'!X222</f>
        <v>#DIV/0!</v>
      </c>
    </row>
    <row r="280" spans="1:26">
      <c r="A280" s="55" t="str">
        <f>'Secondary cum Calculation'!A501</f>
        <v>Poland</v>
      </c>
      <c r="B280" s="56" t="str">
        <f>'Secondary cum Calculation'!B501</f>
        <v>Tourism Flows</v>
      </c>
      <c r="C280" s="56" t="str">
        <f>'Secondary cum Calculation'!C501</f>
        <v>International Arrivals by Place of Origin</v>
      </c>
      <c r="D280" s="56" t="str">
        <f>'Secondary cum Calculation'!D501</f>
        <v>Middle East</v>
      </c>
      <c r="E280" s="55" t="str">
        <f>'Secondary cum Calculation'!E501</f>
        <v>United Arab Emirates</v>
      </c>
      <c r="F280" s="57" t="str">
        <f>'Secondary cum Calculation'!F501</f>
        <v>The number of international arrivals to a country originating from United Arab Emirates</v>
      </c>
      <c r="G280" s="57" t="str">
        <f>'Secondary cum Calculation'!G501</f>
        <v>Tourism Demand &amp; Flows Database</v>
      </c>
      <c r="H280" s="57" t="str">
        <f>'Secondary cum Calculation'!H501</f>
        <v>New</v>
      </c>
      <c r="I280" s="57">
        <f>'Secondary cum Calculation'!I501</f>
        <v>0</v>
      </c>
      <c r="J280" s="57" t="str">
        <f>'Secondary cum Calculation'!J501</f>
        <v>Thousand</v>
      </c>
      <c r="K280" s="58">
        <f>'Secondary cum Calculation'!K501</f>
        <v>0</v>
      </c>
      <c r="L280" s="59"/>
      <c r="M280" s="60" t="e">
        <f>'Final Data-US$'!M223/'Final Data-US$'!L223-1</f>
        <v>#DIV/0!</v>
      </c>
      <c r="N280" s="60" t="e">
        <f>'Final Data-US$'!N223/'Final Data-US$'!M223-1</f>
        <v>#DIV/0!</v>
      </c>
      <c r="O280" s="60" t="e">
        <f>'Final Data-US$'!O223/'Final Data-US$'!N223-1</f>
        <v>#DIV/0!</v>
      </c>
      <c r="P280" s="60" t="e">
        <f>'Final Data-US$'!P223/'Final Data-US$'!O223-1</f>
        <v>#DIV/0!</v>
      </c>
      <c r="Q280" s="60" t="e">
        <f>'Final Data-US$'!Q223/'Final Data-US$'!P223-1</f>
        <v>#DIV/0!</v>
      </c>
      <c r="R280" s="60" t="e">
        <f>'Final Data-US$'!R223/'Final Data-US$'!Q223-1</f>
        <v>#DIV/0!</v>
      </c>
      <c r="S280" s="60" t="e">
        <f>'Final Data-US$'!S223/'Final Data-US$'!R223-1</f>
        <v>#DIV/0!</v>
      </c>
      <c r="T280" s="60" t="e">
        <f>'Final Data-US$'!T223/'Final Data-US$'!S223-1</f>
        <v>#DIV/0!</v>
      </c>
      <c r="U280" s="60" t="e">
        <f>'Final Data-US$'!U223/'Final Data-US$'!T223-1</f>
        <v>#DIV/0!</v>
      </c>
      <c r="V280" s="60" t="e">
        <f>'Final Data-US$'!V223/'Final Data-US$'!U223-1</f>
        <v>#DIV/0!</v>
      </c>
      <c r="W280" s="106" t="e">
        <f>'Final Data-US$'!W223</f>
        <v>#DIV/0!</v>
      </c>
      <c r="X280" s="106" t="e">
        <f>'Final Data-US$'!X223</f>
        <v>#DIV/0!</v>
      </c>
    </row>
    <row r="281" spans="1:26">
      <c r="A281" s="55" t="str">
        <f>'Secondary cum Calculation'!A503</f>
        <v>Poland</v>
      </c>
      <c r="B281" s="56" t="str">
        <f>'Secondary cum Calculation'!B503</f>
        <v>Tourism Flows</v>
      </c>
      <c r="C281" s="56" t="str">
        <f>'Secondary cum Calculation'!C503</f>
        <v>International Arrivals by Place of Origin</v>
      </c>
      <c r="D281" s="56" t="str">
        <f>'Secondary cum Calculation'!D503</f>
        <v>Middle East</v>
      </c>
      <c r="E281" s="55" t="str">
        <f>'Secondary cum Calculation'!E503</f>
        <v>Yemen</v>
      </c>
      <c r="F281" s="57" t="str">
        <f>'Secondary cum Calculation'!F503</f>
        <v>The number of international arrivals to a country originating from Yemen</v>
      </c>
      <c r="G281" s="57" t="str">
        <f>'Secondary cum Calculation'!G503</f>
        <v>Tourism Demand &amp; Flows Database</v>
      </c>
      <c r="H281" s="57" t="str">
        <f>'Secondary cum Calculation'!H503</f>
        <v>New</v>
      </c>
      <c r="I281" s="57">
        <f>'Secondary cum Calculation'!I503</f>
        <v>0</v>
      </c>
      <c r="J281" s="57" t="str">
        <f>'Secondary cum Calculation'!J503</f>
        <v>Thousand</v>
      </c>
      <c r="K281" s="58">
        <f>'Secondary cum Calculation'!K503</f>
        <v>0</v>
      </c>
      <c r="L281" s="59"/>
      <c r="M281" s="60" t="e">
        <f>'Final Data-US$'!M224/'Final Data-US$'!L224-1</f>
        <v>#DIV/0!</v>
      </c>
      <c r="N281" s="60" t="e">
        <f>'Final Data-US$'!N224/'Final Data-US$'!M224-1</f>
        <v>#DIV/0!</v>
      </c>
      <c r="O281" s="100" t="e">
        <f>'Final Data-US$'!O224/'Final Data-US$'!N224-1</f>
        <v>#DIV/0!</v>
      </c>
      <c r="P281" s="100" t="e">
        <f>'Final Data-US$'!P224/'Final Data-US$'!O224-1</f>
        <v>#DIV/0!</v>
      </c>
      <c r="Q281" s="100" t="e">
        <f>'Final Data-US$'!Q224/'Final Data-US$'!P224-1</f>
        <v>#DIV/0!</v>
      </c>
      <c r="R281" s="100" t="e">
        <f>'Final Data-US$'!R224/'Final Data-US$'!Q224-1</f>
        <v>#DIV/0!</v>
      </c>
      <c r="S281" s="100" t="e">
        <f>'Final Data-US$'!S224/'Final Data-US$'!R224-1</f>
        <v>#DIV/0!</v>
      </c>
      <c r="T281" s="100" t="e">
        <f>'Final Data-US$'!T224/'Final Data-US$'!S224-1</f>
        <v>#DIV/0!</v>
      </c>
      <c r="U281" s="100" t="e">
        <f>'Final Data-US$'!U224/'Final Data-US$'!T224-1</f>
        <v>#DIV/0!</v>
      </c>
      <c r="V281" s="100" t="e">
        <f>'Final Data-US$'!V224/'Final Data-US$'!U224-1</f>
        <v>#DIV/0!</v>
      </c>
      <c r="W281" s="106" t="e">
        <f>'Final Data-US$'!W224</f>
        <v>#DIV/0!</v>
      </c>
      <c r="X281" s="106" t="e">
        <f>'Final Data-US$'!X224</f>
        <v>#DIV/0!</v>
      </c>
    </row>
    <row r="282" spans="1:26">
      <c r="A282" s="55" t="str">
        <f>'Secondary cum Calculation'!A505</f>
        <v>Poland</v>
      </c>
      <c r="B282" s="84" t="str">
        <f>'Secondary cum Calculation'!B505</f>
        <v>Tourism Flows</v>
      </c>
      <c r="C282" s="84" t="str">
        <f>'Secondary cum Calculation'!C505</f>
        <v>International Arrivals by Place of Origin</v>
      </c>
      <c r="D282" s="84" t="str">
        <f>'Secondary cum Calculation'!D505</f>
        <v>Middle East</v>
      </c>
      <c r="E282" s="97" t="str">
        <f>'Secondary cum Calculation'!E505</f>
        <v>Other Middle Eastern Countries</v>
      </c>
      <c r="F282" s="84" t="str">
        <f>'Secondary cum Calculation'!F505</f>
        <v>To be defined according to the gaps in the country data above</v>
      </c>
      <c r="G282" s="84">
        <f>'Secondary cum Calculation'!G505</f>
        <v>0</v>
      </c>
      <c r="H282" s="84">
        <f>'Secondary cum Calculation'!H505</f>
        <v>0</v>
      </c>
      <c r="I282" s="84">
        <f>'Secondary cum Calculation'!I505</f>
        <v>0</v>
      </c>
      <c r="J282" s="57" t="str">
        <f>'Secondary cum Calculation'!J505</f>
        <v>Thousand</v>
      </c>
      <c r="K282" s="98">
        <f>'Secondary cum Calculation'!K505</f>
        <v>0</v>
      </c>
      <c r="L282" s="99"/>
      <c r="M282" s="100">
        <f>'Final Data-US$'!M225/'Final Data-US$'!L225-1</f>
        <v>-0.1606250748166399</v>
      </c>
      <c r="N282" s="100">
        <f>'Final Data-US$'!N225/'Final Data-US$'!M225-1</f>
        <v>-8.5023814570850176E-2</v>
      </c>
      <c r="O282" s="100">
        <f>'Final Data-US$'!O225/'Final Data-US$'!N225-1</f>
        <v>0.15973840954780982</v>
      </c>
      <c r="P282" s="100">
        <f>'Final Data-US$'!P225/'Final Data-US$'!O225-1</f>
        <v>-4.2005907107333096E-3</v>
      </c>
      <c r="Q282" s="100">
        <f>'Final Data-US$'!Q225/'Final Data-US$'!P225-1</f>
        <v>0.18495921406244342</v>
      </c>
      <c r="R282" s="100">
        <f>'Final Data-US$'!R225/'Final Data-US$'!Q225-1</f>
        <v>-1</v>
      </c>
      <c r="S282" s="100" t="e">
        <f>'Final Data-US$'!S225/'Final Data-US$'!R225-1</f>
        <v>#DIV/0!</v>
      </c>
      <c r="T282" s="100" t="e">
        <f>'Final Data-US$'!T225/'Final Data-US$'!S225-1</f>
        <v>#DIV/0!</v>
      </c>
      <c r="U282" s="100" t="e">
        <f>'Final Data-US$'!U225/'Final Data-US$'!T225-1</f>
        <v>#DIV/0!</v>
      </c>
      <c r="V282" s="100" t="e">
        <f>'Final Data-US$'!V225/'Final Data-US$'!U225-1</f>
        <v>#DIV/0!</v>
      </c>
      <c r="W282" s="107">
        <f>'Final Data-US$'!W225</f>
        <v>5.7818783702454635E-2</v>
      </c>
      <c r="X282" s="107">
        <f>'Final Data-US$'!X225</f>
        <v>-1</v>
      </c>
      <c r="Y282" s="41"/>
      <c r="Z282" s="41"/>
    </row>
    <row r="283" spans="1:26">
      <c r="A283" s="55" t="str">
        <f>'Secondary cum Calculation'!A507</f>
        <v>Poland</v>
      </c>
      <c r="B283" s="56" t="str">
        <f>'Secondary cum Calculation'!B507</f>
        <v>Tourism Flows</v>
      </c>
      <c r="C283" s="56" t="str">
        <f>'Secondary cum Calculation'!C507</f>
        <v>International Arrivals by Place of Origin</v>
      </c>
      <c r="D283" s="55" t="str">
        <f>'Secondary cum Calculation'!D507</f>
        <v>North America</v>
      </c>
      <c r="E283" s="57"/>
      <c r="F283" s="57" t="str">
        <f>'Secondary cum Calculation'!F507</f>
        <v>The number of international arrivals to a country originating from North America</v>
      </c>
      <c r="G283" s="57" t="str">
        <f>'Secondary cum Calculation'!G507</f>
        <v>Tourism Demand &amp; Flows Database</v>
      </c>
      <c r="H283" s="57" t="str">
        <f>'Secondary cum Calculation'!H507</f>
        <v>New</v>
      </c>
      <c r="I283" s="57">
        <f>'Secondary cum Calculation'!I507</f>
        <v>0</v>
      </c>
      <c r="J283" s="57" t="str">
        <f>'Secondary cum Calculation'!J507</f>
        <v>Thousand</v>
      </c>
      <c r="K283" s="86">
        <f>'Secondary cum Calculation'!K507</f>
        <v>15992</v>
      </c>
      <c r="L283" s="80"/>
      <c r="M283" s="81">
        <f>'Final Data-US$'!M226/'Final Data-US$'!L226-1</f>
        <v>-0.13529601683927461</v>
      </c>
      <c r="N283" s="81">
        <f>'Final Data-US$'!N226/'Final Data-US$'!M226-1</f>
        <v>-0.12404667357087984</v>
      </c>
      <c r="O283" s="81">
        <f>'Final Data-US$'!O226/'Final Data-US$'!N226-1</f>
        <v>0.13048395215190034</v>
      </c>
      <c r="P283" s="81">
        <f>'Final Data-US$'!P226/'Final Data-US$'!O226-1</f>
        <v>2.6517778420872107E-2</v>
      </c>
      <c r="Q283" s="81">
        <f>'Final Data-US$'!Q226/'Final Data-US$'!P226-1</f>
        <v>0.11521740481601106</v>
      </c>
      <c r="R283" s="81">
        <f>'Final Data-US$'!R226/'Final Data-US$'!Q226-1</f>
        <v>3.9425109143821802E-2</v>
      </c>
      <c r="S283" s="81">
        <f>'Final Data-US$'!S226/'Final Data-US$'!R226-1</f>
        <v>4.4269287594626894E-2</v>
      </c>
      <c r="T283" s="81">
        <f>'Final Data-US$'!T226/'Final Data-US$'!S226-1</f>
        <v>4.9038785292512044E-2</v>
      </c>
      <c r="U283" s="81">
        <f>'Final Data-US$'!U226/'Final Data-US$'!T226-1</f>
        <v>3.8356595793558546E-2</v>
      </c>
      <c r="V283" s="81">
        <f>'Final Data-US$'!V226/'Final Data-US$'!U226-1</f>
        <v>4.0003815208990101E-2</v>
      </c>
      <c r="W283" s="106">
        <f>'Final Data-US$'!W226</f>
        <v>3.1853034014171611E-2</v>
      </c>
      <c r="X283" s="106">
        <f>'Final Data-US$'!X226</f>
        <v>4.221121592433108E-2</v>
      </c>
    </row>
    <row r="284" spans="1:26">
      <c r="A284" s="55" t="str">
        <f>'Secondary cum Calculation'!A509</f>
        <v>Poland</v>
      </c>
      <c r="B284" s="56" t="str">
        <f>'Secondary cum Calculation'!B509</f>
        <v>Tourism Flows</v>
      </c>
      <c r="C284" s="56" t="str">
        <f>'Secondary cum Calculation'!C509</f>
        <v>International Arrivals by Place of Origin</v>
      </c>
      <c r="D284" s="56" t="str">
        <f>'Secondary cum Calculation'!D509</f>
        <v>North America</v>
      </c>
      <c r="E284" s="55" t="str">
        <f>'Secondary cum Calculation'!E509</f>
        <v>Canada</v>
      </c>
      <c r="F284" s="57" t="str">
        <f>'Secondary cum Calculation'!F509</f>
        <v>The number of international arrivals to a country originating from Canada</v>
      </c>
      <c r="G284" s="57" t="str">
        <f>'Secondary cum Calculation'!G509</f>
        <v>Tourism Demand &amp; Flows Database</v>
      </c>
      <c r="H284" s="57" t="str">
        <f>'Secondary cum Calculation'!H509</f>
        <v>New</v>
      </c>
      <c r="I284" s="57">
        <f>'Secondary cum Calculation'!I509</f>
        <v>0</v>
      </c>
      <c r="J284" s="57" t="str">
        <f>'Secondary cum Calculation'!J509</f>
        <v>Thousand</v>
      </c>
      <c r="K284" s="58">
        <f>'Secondary cum Calculation'!K509</f>
        <v>15992</v>
      </c>
      <c r="L284" s="59"/>
      <c r="M284" s="60">
        <f>'Final Data-US$'!M227/'Final Data-US$'!L227-1</f>
        <v>-6.8252602599747081E-2</v>
      </c>
      <c r="N284" s="60">
        <f>'Final Data-US$'!N227/'Final Data-US$'!M227-1</f>
        <v>-0.16937487595586398</v>
      </c>
      <c r="O284" s="60">
        <f>'Final Data-US$'!O227/'Final Data-US$'!N227-1</f>
        <v>0.21413115926257409</v>
      </c>
      <c r="P284" s="60">
        <f>'Final Data-US$'!P227/'Final Data-US$'!O227-1</f>
        <v>-2.533886938683505E-2</v>
      </c>
      <c r="Q284" s="60">
        <f>'Final Data-US$'!Q227/'Final Data-US$'!P227-1</f>
        <v>7.4076569408867421E-2</v>
      </c>
      <c r="R284" s="60">
        <f>'Final Data-US$'!R227/'Final Data-US$'!Q227-1</f>
        <v>-1</v>
      </c>
      <c r="S284" s="60" t="e">
        <f>'Final Data-US$'!S227/'Final Data-US$'!R227-1</f>
        <v>#DIV/0!</v>
      </c>
      <c r="T284" s="60" t="e">
        <f>'Final Data-US$'!T227/'Final Data-US$'!S227-1</f>
        <v>#DIV/0!</v>
      </c>
      <c r="U284" s="60" t="e">
        <f>'Final Data-US$'!U227/'Final Data-US$'!T227-1</f>
        <v>#DIV/0!</v>
      </c>
      <c r="V284" s="60" t="e">
        <f>'Final Data-US$'!V227/'Final Data-US$'!U227-1</f>
        <v>#DIV/0!</v>
      </c>
      <c r="W284" s="106">
        <f>'Final Data-US$'!W227</f>
        <v>1.3654352193729125E-2</v>
      </c>
      <c r="X284" s="106">
        <f>'Final Data-US$'!X227</f>
        <v>-1</v>
      </c>
    </row>
    <row r="285" spans="1:26">
      <c r="A285" s="55" t="str">
        <f>'Secondary cum Calculation'!A511</f>
        <v>Poland</v>
      </c>
      <c r="B285" s="56" t="str">
        <f>'Secondary cum Calculation'!B511</f>
        <v>Tourism Flows</v>
      </c>
      <c r="C285" s="56" t="str">
        <f>'Secondary cum Calculation'!C511</f>
        <v>International Arrivals by Place of Origin</v>
      </c>
      <c r="D285" s="56" t="str">
        <f>'Secondary cum Calculation'!D511</f>
        <v>North America</v>
      </c>
      <c r="E285" s="55" t="str">
        <f>'Secondary cum Calculation'!E511</f>
        <v>Mexico</v>
      </c>
      <c r="F285" s="57" t="str">
        <f>'Secondary cum Calculation'!F511</f>
        <v>The number of international arrivals to a country originating from Mexico</v>
      </c>
      <c r="G285" s="57" t="str">
        <f>'Secondary cum Calculation'!G511</f>
        <v>Tourism Demand &amp; Flows Database</v>
      </c>
      <c r="H285" s="57" t="str">
        <f>'Secondary cum Calculation'!H511</f>
        <v>New</v>
      </c>
      <c r="I285" s="57">
        <f>'Secondary cum Calculation'!I511</f>
        <v>0</v>
      </c>
      <c r="J285" s="57" t="str">
        <f>'Secondary cum Calculation'!J511</f>
        <v>Thousand</v>
      </c>
      <c r="K285" s="58">
        <f>'Secondary cum Calculation'!K511</f>
        <v>13317</v>
      </c>
      <c r="L285" s="59"/>
      <c r="M285" s="60">
        <f>'Final Data-US$'!M228/'Final Data-US$'!L228-1</f>
        <v>-0.14539862320080876</v>
      </c>
      <c r="N285" s="60">
        <f>'Final Data-US$'!N228/'Final Data-US$'!M228-1</f>
        <v>-0.16327173169139542</v>
      </c>
      <c r="O285" s="60">
        <f>'Final Data-US$'!O228/'Final Data-US$'!N228-1</f>
        <v>0.13755597407548592</v>
      </c>
      <c r="P285" s="60">
        <f>'Final Data-US$'!P228/'Final Data-US$'!O228-1</f>
        <v>-7.8486183447873503E-2</v>
      </c>
      <c r="Q285" s="60">
        <f>'Final Data-US$'!Q228/'Final Data-US$'!P228-1</f>
        <v>0.1586734958165037</v>
      </c>
      <c r="R285" s="60">
        <f>'Final Data-US$'!R228/'Final Data-US$'!Q228-1</f>
        <v>-1</v>
      </c>
      <c r="S285" s="60" t="e">
        <f>'Final Data-US$'!S228/'Final Data-US$'!R228-1</f>
        <v>#DIV/0!</v>
      </c>
      <c r="T285" s="60" t="e">
        <f>'Final Data-US$'!T228/'Final Data-US$'!S228-1</f>
        <v>#DIV/0!</v>
      </c>
      <c r="U285" s="60" t="e">
        <f>'Final Data-US$'!U228/'Final Data-US$'!T228-1</f>
        <v>#DIV/0!</v>
      </c>
      <c r="V285" s="60" t="e">
        <f>'Final Data-US$'!V228/'Final Data-US$'!U228-1</f>
        <v>#DIV/0!</v>
      </c>
      <c r="W285" s="106">
        <f>'Final Data-US$'!W228</f>
        <v>4.0492943494856437E-3</v>
      </c>
      <c r="X285" s="106">
        <f>'Final Data-US$'!X228</f>
        <v>-1</v>
      </c>
    </row>
    <row r="286" spans="1:26">
      <c r="A286" s="55" t="str">
        <f>'Secondary cum Calculation'!A513</f>
        <v>Poland</v>
      </c>
      <c r="B286" s="56" t="str">
        <f>'Secondary cum Calculation'!B513</f>
        <v>Tourism Flows</v>
      </c>
      <c r="C286" s="56" t="str">
        <f>'Secondary cum Calculation'!C513</f>
        <v>International Arrivals by Place of Origin</v>
      </c>
      <c r="D286" s="56" t="str">
        <f>'Secondary cum Calculation'!D513</f>
        <v>North America</v>
      </c>
      <c r="E286" s="55" t="str">
        <f>'Secondary cum Calculation'!E513</f>
        <v>United States of America</v>
      </c>
      <c r="F286" s="57" t="str">
        <f>'Secondary cum Calculation'!F513</f>
        <v>The number of international arrivals to a country originating from South &amp; Central America</v>
      </c>
      <c r="G286" s="57" t="str">
        <f>'Secondary cum Calculation'!G513</f>
        <v>Tourism Demand &amp; Flows Database</v>
      </c>
      <c r="H286" s="57" t="str">
        <f>'Secondary cum Calculation'!H513</f>
        <v>New</v>
      </c>
      <c r="I286" s="57">
        <f>'Secondary cum Calculation'!I513</f>
        <v>0</v>
      </c>
      <c r="J286" s="57" t="str">
        <f>'Secondary cum Calculation'!J513</f>
        <v>Thousand</v>
      </c>
      <c r="K286" s="58">
        <f>'Secondary cum Calculation'!K513</f>
        <v>0</v>
      </c>
      <c r="L286" s="59"/>
      <c r="M286" s="60">
        <f>'Final Data-US$'!M229/'Final Data-US$'!L229-1</f>
        <v>-0.14555028600585473</v>
      </c>
      <c r="N286" s="60">
        <f>'Final Data-US$'!N229/'Final Data-US$'!M229-1</f>
        <v>-0.11379309674705262</v>
      </c>
      <c r="O286" s="100">
        <f>'Final Data-US$'!O229/'Final Data-US$'!N229-1</f>
        <v>0.11627906976744184</v>
      </c>
      <c r="P286" s="100">
        <f>'Final Data-US$'!P229/'Final Data-US$'!O229-1</f>
        <v>4.1666666666666741E-2</v>
      </c>
      <c r="Q286" s="100">
        <f>'Final Data-US$'!Q229/'Final Data-US$'!P229-1</f>
        <v>0.12000000000000011</v>
      </c>
      <c r="R286" s="100">
        <f>'Final Data-US$'!R229/'Final Data-US$'!Q229-1</f>
        <v>-1</v>
      </c>
      <c r="S286" s="100" t="e">
        <f>'Final Data-US$'!S229/'Final Data-US$'!R229-1</f>
        <v>#DIV/0!</v>
      </c>
      <c r="T286" s="100" t="e">
        <f>'Final Data-US$'!T229/'Final Data-US$'!S229-1</f>
        <v>#DIV/0!</v>
      </c>
      <c r="U286" s="100" t="e">
        <f>'Final Data-US$'!U229/'Final Data-US$'!T229-1</f>
        <v>#DIV/0!</v>
      </c>
      <c r="V286" s="100" t="e">
        <f>'Final Data-US$'!V229/'Final Data-US$'!U229-1</f>
        <v>#DIV/0!</v>
      </c>
      <c r="W286" s="106">
        <f>'Final Data-US$'!W229</f>
        <v>3.6486560036040672E-2</v>
      </c>
      <c r="X286" s="106">
        <f>'Final Data-US$'!X229</f>
        <v>-1</v>
      </c>
    </row>
    <row r="287" spans="1:26">
      <c r="A287" s="55" t="str">
        <f>'Secondary cum Calculation'!A515</f>
        <v>Poland</v>
      </c>
      <c r="B287" s="56" t="str">
        <f>'Secondary cum Calculation'!B515</f>
        <v>Tourism Flows</v>
      </c>
      <c r="C287" s="56" t="str">
        <f>'Secondary cum Calculation'!C515</f>
        <v>International Arrivals by Place of Origin</v>
      </c>
      <c r="D287" s="55" t="str">
        <f>'Secondary cum Calculation'!D515</f>
        <v>South &amp; Central America</v>
      </c>
      <c r="E287" s="57"/>
      <c r="F287" s="57" t="str">
        <f>'Secondary cum Calculation'!F515</f>
        <v xml:space="preserve">The number of international arrivals to a country originating from </v>
      </c>
      <c r="G287" s="57" t="str">
        <f>'Secondary cum Calculation'!G515</f>
        <v>Tourism Demand &amp; Flows Database</v>
      </c>
      <c r="H287" s="57" t="str">
        <f>'Secondary cum Calculation'!H515</f>
        <v>New</v>
      </c>
      <c r="I287" s="57">
        <f>'Secondary cum Calculation'!I515</f>
        <v>0</v>
      </c>
      <c r="J287" s="57" t="str">
        <f>'Secondary cum Calculation'!J515</f>
        <v>Thousand</v>
      </c>
      <c r="K287" s="86">
        <f>'Secondary cum Calculation'!K515</f>
        <v>2266.15</v>
      </c>
      <c r="L287" s="80"/>
      <c r="M287" s="81">
        <f>'Final Data-US$'!M230/'Final Data-US$'!L230-1</f>
        <v>-0.15320323607625086</v>
      </c>
      <c r="N287" s="81">
        <f>'Final Data-US$'!N230/'Final Data-US$'!M230-1</f>
        <v>-0.14800449896477597</v>
      </c>
      <c r="O287" s="81">
        <f>'Final Data-US$'!O230/'Final Data-US$'!N230-1</f>
        <v>0.12964536012782601</v>
      </c>
      <c r="P287" s="81">
        <f>'Final Data-US$'!P230/'Final Data-US$'!O230-1</f>
        <v>-8.6779841601086427E-2</v>
      </c>
      <c r="Q287" s="81">
        <f>'Final Data-US$'!Q230/'Final Data-US$'!P230-1</f>
        <v>0.18924594119402971</v>
      </c>
      <c r="R287" s="81">
        <f>'Final Data-US$'!R230/'Final Data-US$'!Q230-1</f>
        <v>4.5001029274727156E-2</v>
      </c>
      <c r="S287" s="81">
        <f>'Final Data-US$'!S230/'Final Data-US$'!R230-1</f>
        <v>2.5292603050347973E-2</v>
      </c>
      <c r="T287" s="81">
        <f>'Final Data-US$'!T230/'Final Data-US$'!S230-1</f>
        <v>1.6886991576908761E-2</v>
      </c>
      <c r="U287" s="81">
        <f>'Final Data-US$'!U230/'Final Data-US$'!T230-1</f>
        <v>2.9028182668626279E-2</v>
      </c>
      <c r="V287" s="81">
        <f>'Final Data-US$'!V230/'Final Data-US$'!U230-1</f>
        <v>2.1475986426710891E-2</v>
      </c>
      <c r="W287" s="106">
        <f>'Final Data-US$'!W230</f>
        <v>1.1129189632818504E-2</v>
      </c>
      <c r="X287" s="106">
        <f>'Final Data-US$'!X230</f>
        <v>2.7492198201930051E-2</v>
      </c>
    </row>
    <row r="288" spans="1:26">
      <c r="A288" s="55" t="str">
        <f>'Secondary cum Calculation'!A517</f>
        <v>Poland</v>
      </c>
      <c r="B288" s="56" t="str">
        <f>'Secondary cum Calculation'!B517</f>
        <v>Tourism Flows</v>
      </c>
      <c r="C288" s="56" t="str">
        <f>'Secondary cum Calculation'!C517</f>
        <v>International Arrivals by Place of Origin</v>
      </c>
      <c r="D288" s="56" t="str">
        <f>'Secondary cum Calculation'!D517</f>
        <v>South &amp; Central America</v>
      </c>
      <c r="E288" s="55" t="str">
        <f>'Secondary cum Calculation'!E517</f>
        <v>Argentina</v>
      </c>
      <c r="F288" s="57" t="str">
        <f>'Secondary cum Calculation'!F517</f>
        <v>The number of international arrivals to a country originating from Argentina</v>
      </c>
      <c r="G288" s="57" t="str">
        <f>'Secondary cum Calculation'!G517</f>
        <v>Tourism Demand &amp; Flows Database</v>
      </c>
      <c r="H288" s="57" t="str">
        <f>'Secondary cum Calculation'!H517</f>
        <v>New</v>
      </c>
      <c r="I288" s="57">
        <f>'Secondary cum Calculation'!I517</f>
        <v>0</v>
      </c>
      <c r="J288" s="57" t="str">
        <f>'Secondary cum Calculation'!J517</f>
        <v>Thousand</v>
      </c>
      <c r="K288" s="58">
        <f>'Secondary cum Calculation'!K517</f>
        <v>212.096</v>
      </c>
      <c r="L288" s="59"/>
      <c r="M288" s="60" t="e">
        <f>'Final Data-US$'!M231/'Final Data-US$'!L231-1</f>
        <v>#DIV/0!</v>
      </c>
      <c r="N288" s="60" t="e">
        <f>'Final Data-US$'!N231/'Final Data-US$'!M231-1</f>
        <v>#DIV/0!</v>
      </c>
      <c r="O288" s="60" t="e">
        <f>'Final Data-US$'!O231/'Final Data-US$'!N231-1</f>
        <v>#DIV/0!</v>
      </c>
      <c r="P288" s="60" t="e">
        <f>'Final Data-US$'!P231/'Final Data-US$'!O231-1</f>
        <v>#DIV/0!</v>
      </c>
      <c r="Q288" s="60" t="e">
        <f>'Final Data-US$'!Q231/'Final Data-US$'!P231-1</f>
        <v>#DIV/0!</v>
      </c>
      <c r="R288" s="60" t="e">
        <f>'Final Data-US$'!R231/'Final Data-US$'!Q231-1</f>
        <v>#DIV/0!</v>
      </c>
      <c r="S288" s="60" t="e">
        <f>'Final Data-US$'!S231/'Final Data-US$'!R231-1</f>
        <v>#DIV/0!</v>
      </c>
      <c r="T288" s="60" t="e">
        <f>'Final Data-US$'!T231/'Final Data-US$'!S231-1</f>
        <v>#DIV/0!</v>
      </c>
      <c r="U288" s="60" t="e">
        <f>'Final Data-US$'!U231/'Final Data-US$'!T231-1</f>
        <v>#DIV/0!</v>
      </c>
      <c r="V288" s="60" t="e">
        <f>'Final Data-US$'!V231/'Final Data-US$'!U231-1</f>
        <v>#DIV/0!</v>
      </c>
      <c r="W288" s="106" t="e">
        <f>'Final Data-US$'!W231</f>
        <v>#DIV/0!</v>
      </c>
      <c r="X288" s="106" t="e">
        <f>'Final Data-US$'!X231</f>
        <v>#DIV/0!</v>
      </c>
    </row>
    <row r="289" spans="1:24">
      <c r="A289" s="55" t="str">
        <f>'Secondary cum Calculation'!A519</f>
        <v>Poland</v>
      </c>
      <c r="B289" s="56" t="str">
        <f>'Secondary cum Calculation'!B519</f>
        <v>Tourism Flows</v>
      </c>
      <c r="C289" s="56" t="str">
        <f>'Secondary cum Calculation'!C519</f>
        <v>International Arrivals by Place of Origin</v>
      </c>
      <c r="D289" s="56" t="str">
        <f>'Secondary cum Calculation'!D519</f>
        <v>South &amp; Central America</v>
      </c>
      <c r="E289" s="55" t="str">
        <f>'Secondary cum Calculation'!E519</f>
        <v>Aruba</v>
      </c>
      <c r="F289" s="57" t="str">
        <f>'Secondary cum Calculation'!F519</f>
        <v>The number of international arrivals to a country originating from Aruba</v>
      </c>
      <c r="G289" s="57" t="str">
        <f>'Secondary cum Calculation'!G519</f>
        <v>Tourism Demand &amp; Flows Database</v>
      </c>
      <c r="H289" s="57" t="str">
        <f>'Secondary cum Calculation'!H519</f>
        <v>New</v>
      </c>
      <c r="I289" s="57">
        <f>'Secondary cum Calculation'!I519</f>
        <v>0</v>
      </c>
      <c r="J289" s="57" t="str">
        <f>'Secondary cum Calculation'!J519</f>
        <v>Thousand</v>
      </c>
      <c r="K289" s="58">
        <f>'Secondary cum Calculation'!K519</f>
        <v>0</v>
      </c>
      <c r="L289" s="59"/>
      <c r="M289" s="60" t="e">
        <f>'Final Data-US$'!M232/'Final Data-US$'!L232-1</f>
        <v>#DIV/0!</v>
      </c>
      <c r="N289" s="60" t="e">
        <f>'Final Data-US$'!N232/'Final Data-US$'!M232-1</f>
        <v>#DIV/0!</v>
      </c>
      <c r="O289" s="100" t="e">
        <f>'Final Data-US$'!O232/'Final Data-US$'!N232-1</f>
        <v>#DIV/0!</v>
      </c>
      <c r="P289" s="100" t="e">
        <f>'Final Data-US$'!P232/'Final Data-US$'!O232-1</f>
        <v>#DIV/0!</v>
      </c>
      <c r="Q289" s="100" t="e">
        <f>'Final Data-US$'!Q232/'Final Data-US$'!P232-1</f>
        <v>#DIV/0!</v>
      </c>
      <c r="R289" s="100" t="e">
        <f>'Final Data-US$'!R232/'Final Data-US$'!Q232-1</f>
        <v>#DIV/0!</v>
      </c>
      <c r="S289" s="100" t="e">
        <f>'Final Data-US$'!S232/'Final Data-US$'!R232-1</f>
        <v>#DIV/0!</v>
      </c>
      <c r="T289" s="100" t="e">
        <f>'Final Data-US$'!T232/'Final Data-US$'!S232-1</f>
        <v>#DIV/0!</v>
      </c>
      <c r="U289" s="100" t="e">
        <f>'Final Data-US$'!U232/'Final Data-US$'!T232-1</f>
        <v>#DIV/0!</v>
      </c>
      <c r="V289" s="100" t="e">
        <f>'Final Data-US$'!V232/'Final Data-US$'!U232-1</f>
        <v>#DIV/0!</v>
      </c>
      <c r="W289" s="106" t="e">
        <f>'Final Data-US$'!W232</f>
        <v>#DIV/0!</v>
      </c>
      <c r="X289" s="106" t="e">
        <f>'Final Data-US$'!X232</f>
        <v>#DIV/0!</v>
      </c>
    </row>
    <row r="290" spans="1:24">
      <c r="A290" s="55" t="str">
        <f>'Secondary cum Calculation'!A521</f>
        <v>Poland</v>
      </c>
      <c r="B290" s="56" t="str">
        <f>'Secondary cum Calculation'!B521</f>
        <v>Tourism Flows</v>
      </c>
      <c r="C290" s="56" t="str">
        <f>'Secondary cum Calculation'!C521</f>
        <v>International Arrivals by Place of Origin</v>
      </c>
      <c r="D290" s="56" t="str">
        <f>'Secondary cum Calculation'!D521</f>
        <v>South &amp; Central America</v>
      </c>
      <c r="E290" s="55" t="str">
        <f>'Secondary cum Calculation'!E521</f>
        <v>Bahamas</v>
      </c>
      <c r="F290" s="57" t="str">
        <f>'Secondary cum Calculation'!F521</f>
        <v>The number of international arrivals to a country originating from Bahamas</v>
      </c>
      <c r="G290" s="57" t="str">
        <f>'Secondary cum Calculation'!G521</f>
        <v>Tourism Demand &amp; Flows Database</v>
      </c>
      <c r="H290" s="57" t="str">
        <f>'Secondary cum Calculation'!H521</f>
        <v>New</v>
      </c>
      <c r="I290" s="57">
        <f>'Secondary cum Calculation'!I521</f>
        <v>0</v>
      </c>
      <c r="J290" s="57" t="str">
        <f>'Secondary cum Calculation'!J521</f>
        <v>Thousand</v>
      </c>
      <c r="K290" s="58">
        <f>'Secondary cum Calculation'!K521</f>
        <v>243.3</v>
      </c>
      <c r="L290" s="59"/>
      <c r="M290" s="60" t="e">
        <f>'Final Data-US$'!M233/'Final Data-US$'!L233-1</f>
        <v>#DIV/0!</v>
      </c>
      <c r="N290" s="60" t="e">
        <f>'Final Data-US$'!N233/'Final Data-US$'!M233-1</f>
        <v>#DIV/0!</v>
      </c>
      <c r="O290" s="60" t="e">
        <f>'Final Data-US$'!O233/'Final Data-US$'!N233-1</f>
        <v>#DIV/0!</v>
      </c>
      <c r="P290" s="60" t="e">
        <f>'Final Data-US$'!P233/'Final Data-US$'!O233-1</f>
        <v>#DIV/0!</v>
      </c>
      <c r="Q290" s="60" t="e">
        <f>'Final Data-US$'!Q233/'Final Data-US$'!P233-1</f>
        <v>#DIV/0!</v>
      </c>
      <c r="R290" s="60" t="e">
        <f>'Final Data-US$'!R233/'Final Data-US$'!Q233-1</f>
        <v>#DIV/0!</v>
      </c>
      <c r="S290" s="60" t="e">
        <f>'Final Data-US$'!S233/'Final Data-US$'!R233-1</f>
        <v>#DIV/0!</v>
      </c>
      <c r="T290" s="60" t="e">
        <f>'Final Data-US$'!T233/'Final Data-US$'!S233-1</f>
        <v>#DIV/0!</v>
      </c>
      <c r="U290" s="60" t="e">
        <f>'Final Data-US$'!U233/'Final Data-US$'!T233-1</f>
        <v>#DIV/0!</v>
      </c>
      <c r="V290" s="60" t="e">
        <f>'Final Data-US$'!V233/'Final Data-US$'!U233-1</f>
        <v>#DIV/0!</v>
      </c>
      <c r="W290" s="106" t="e">
        <f>'Final Data-US$'!W233</f>
        <v>#DIV/0!</v>
      </c>
      <c r="X290" s="106" t="e">
        <f>'Final Data-US$'!X233</f>
        <v>#DIV/0!</v>
      </c>
    </row>
    <row r="291" spans="1:24">
      <c r="A291" s="55" t="str">
        <f>'Secondary cum Calculation'!A523</f>
        <v>Poland</v>
      </c>
      <c r="B291" s="56" t="str">
        <f>'Secondary cum Calculation'!B523</f>
        <v>Tourism Flows</v>
      </c>
      <c r="C291" s="56" t="str">
        <f>'Secondary cum Calculation'!C523</f>
        <v>International Arrivals by Place of Origin</v>
      </c>
      <c r="D291" s="56" t="str">
        <f>'Secondary cum Calculation'!D523</f>
        <v>South &amp; Central America</v>
      </c>
      <c r="E291" s="55" t="str">
        <f>'Secondary cum Calculation'!E523</f>
        <v>Barbados</v>
      </c>
      <c r="F291" s="57" t="str">
        <f>'Secondary cum Calculation'!F523</f>
        <v>The number of international arrivals to a country originating from Barbados</v>
      </c>
      <c r="G291" s="57" t="str">
        <f>'Secondary cum Calculation'!G523</f>
        <v>Tourism Demand &amp; Flows Database</v>
      </c>
      <c r="H291" s="57" t="str">
        <f>'Secondary cum Calculation'!H523</f>
        <v>New</v>
      </c>
      <c r="I291" s="57">
        <f>'Secondary cum Calculation'!I523</f>
        <v>0</v>
      </c>
      <c r="J291" s="57" t="str">
        <f>'Secondary cum Calculation'!J523</f>
        <v>Thousand</v>
      </c>
      <c r="K291" s="58">
        <f>'Secondary cum Calculation'!K523</f>
        <v>0</v>
      </c>
      <c r="L291" s="59"/>
      <c r="M291" s="60" t="e">
        <f>'Final Data-US$'!M234/'Final Data-US$'!L234-1</f>
        <v>#DIV/0!</v>
      </c>
      <c r="N291" s="60" t="e">
        <f>'Final Data-US$'!N234/'Final Data-US$'!M234-1</f>
        <v>#DIV/0!</v>
      </c>
      <c r="O291" s="100" t="e">
        <f>'Final Data-US$'!O234/'Final Data-US$'!N234-1</f>
        <v>#DIV/0!</v>
      </c>
      <c r="P291" s="100" t="e">
        <f>'Final Data-US$'!P234/'Final Data-US$'!O234-1</f>
        <v>#DIV/0!</v>
      </c>
      <c r="Q291" s="100" t="e">
        <f>'Final Data-US$'!Q234/'Final Data-US$'!P234-1</f>
        <v>#DIV/0!</v>
      </c>
      <c r="R291" s="100" t="e">
        <f>'Final Data-US$'!R234/'Final Data-US$'!Q234-1</f>
        <v>#DIV/0!</v>
      </c>
      <c r="S291" s="100" t="e">
        <f>'Final Data-US$'!S234/'Final Data-US$'!R234-1</f>
        <v>#DIV/0!</v>
      </c>
      <c r="T291" s="100" t="e">
        <f>'Final Data-US$'!T234/'Final Data-US$'!S234-1</f>
        <v>#DIV/0!</v>
      </c>
      <c r="U291" s="100" t="e">
        <f>'Final Data-US$'!U234/'Final Data-US$'!T234-1</f>
        <v>#DIV/0!</v>
      </c>
      <c r="V291" s="100" t="e">
        <f>'Final Data-US$'!V234/'Final Data-US$'!U234-1</f>
        <v>#DIV/0!</v>
      </c>
      <c r="W291" s="106" t="e">
        <f>'Final Data-US$'!W234</f>
        <v>#DIV/0!</v>
      </c>
      <c r="X291" s="106" t="e">
        <f>'Final Data-US$'!X234</f>
        <v>#DIV/0!</v>
      </c>
    </row>
    <row r="292" spans="1:24">
      <c r="A292" s="55" t="str">
        <f>'Secondary cum Calculation'!A525</f>
        <v>Poland</v>
      </c>
      <c r="B292" s="56" t="str">
        <f>'Secondary cum Calculation'!B525</f>
        <v>Tourism Flows</v>
      </c>
      <c r="C292" s="56" t="str">
        <f>'Secondary cum Calculation'!C525</f>
        <v>International Arrivals by Place of Origin</v>
      </c>
      <c r="D292" s="56" t="str">
        <f>'Secondary cum Calculation'!D525</f>
        <v>South &amp; Central America</v>
      </c>
      <c r="E292" s="55" t="str">
        <f>'Secondary cum Calculation'!E525</f>
        <v>Belize</v>
      </c>
      <c r="F292" s="57" t="str">
        <f>'Secondary cum Calculation'!F525</f>
        <v>The number of international arrivals to a country originating from Belize</v>
      </c>
      <c r="G292" s="57" t="str">
        <f>'Secondary cum Calculation'!G525</f>
        <v>Tourism Demand &amp; Flows Database</v>
      </c>
      <c r="H292" s="57" t="str">
        <f>'Secondary cum Calculation'!H525</f>
        <v>New</v>
      </c>
      <c r="I292" s="57">
        <f>'Secondary cum Calculation'!I525</f>
        <v>0</v>
      </c>
      <c r="J292" s="57" t="str">
        <f>'Secondary cum Calculation'!J525</f>
        <v>Thousand</v>
      </c>
      <c r="K292" s="58">
        <f>'Secondary cum Calculation'!K525</f>
        <v>0</v>
      </c>
      <c r="L292" s="59"/>
      <c r="M292" s="60" t="e">
        <f>'Final Data-US$'!M235/'Final Data-US$'!L235-1</f>
        <v>#DIV/0!</v>
      </c>
      <c r="N292" s="60" t="e">
        <f>'Final Data-US$'!N235/'Final Data-US$'!M235-1</f>
        <v>#DIV/0!</v>
      </c>
      <c r="O292" s="60" t="e">
        <f>'Final Data-US$'!O235/'Final Data-US$'!N235-1</f>
        <v>#DIV/0!</v>
      </c>
      <c r="P292" s="60" t="e">
        <f>'Final Data-US$'!P235/'Final Data-US$'!O235-1</f>
        <v>#DIV/0!</v>
      </c>
      <c r="Q292" s="60" t="e">
        <f>'Final Data-US$'!Q235/'Final Data-US$'!P235-1</f>
        <v>#DIV/0!</v>
      </c>
      <c r="R292" s="60" t="e">
        <f>'Final Data-US$'!R235/'Final Data-US$'!Q235-1</f>
        <v>#DIV/0!</v>
      </c>
      <c r="S292" s="60" t="e">
        <f>'Final Data-US$'!S235/'Final Data-US$'!R235-1</f>
        <v>#DIV/0!</v>
      </c>
      <c r="T292" s="60" t="e">
        <f>'Final Data-US$'!T235/'Final Data-US$'!S235-1</f>
        <v>#DIV/0!</v>
      </c>
      <c r="U292" s="60" t="e">
        <f>'Final Data-US$'!U235/'Final Data-US$'!T235-1</f>
        <v>#DIV/0!</v>
      </c>
      <c r="V292" s="60" t="e">
        <f>'Final Data-US$'!V235/'Final Data-US$'!U235-1</f>
        <v>#DIV/0!</v>
      </c>
      <c r="W292" s="106" t="e">
        <f>'Final Data-US$'!W235</f>
        <v>#DIV/0!</v>
      </c>
      <c r="X292" s="106" t="e">
        <f>'Final Data-US$'!X235</f>
        <v>#DIV/0!</v>
      </c>
    </row>
    <row r="293" spans="1:24">
      <c r="A293" s="55" t="str">
        <f>'Secondary cum Calculation'!A527</f>
        <v>Poland</v>
      </c>
      <c r="B293" s="56" t="str">
        <f>'Secondary cum Calculation'!B527</f>
        <v>Tourism Flows</v>
      </c>
      <c r="C293" s="56" t="str">
        <f>'Secondary cum Calculation'!C527</f>
        <v>International Arrivals by Place of Origin</v>
      </c>
      <c r="D293" s="56" t="str">
        <f>'Secondary cum Calculation'!D527</f>
        <v>South &amp; Central America</v>
      </c>
      <c r="E293" s="55" t="str">
        <f>'Secondary cum Calculation'!E527</f>
        <v>Bolivia (Plurinational State of)</v>
      </c>
      <c r="F293" s="57" t="str">
        <f>'Secondary cum Calculation'!F527</f>
        <v>The number of international arrivals to a country originating from Bolivia (Plurinational State of)</v>
      </c>
      <c r="G293" s="57" t="str">
        <f>'Secondary cum Calculation'!G527</f>
        <v>Tourism Demand &amp; Flows Database</v>
      </c>
      <c r="H293" s="57" t="str">
        <f>'Secondary cum Calculation'!H527</f>
        <v>New</v>
      </c>
      <c r="I293" s="57">
        <f>'Secondary cum Calculation'!I527</f>
        <v>0</v>
      </c>
      <c r="J293" s="57" t="str">
        <f>'Secondary cum Calculation'!J527</f>
        <v>Thousand</v>
      </c>
      <c r="K293" s="58">
        <f>'Secondary cum Calculation'!K527</f>
        <v>0</v>
      </c>
      <c r="L293" s="59"/>
      <c r="M293" s="60" t="e">
        <f>'Final Data-US$'!M236/'Final Data-US$'!L236-1</f>
        <v>#DIV/0!</v>
      </c>
      <c r="N293" s="60" t="e">
        <f>'Final Data-US$'!N236/'Final Data-US$'!M236-1</f>
        <v>#DIV/0!</v>
      </c>
      <c r="O293" s="100" t="e">
        <f>'Final Data-US$'!O236/'Final Data-US$'!N236-1</f>
        <v>#DIV/0!</v>
      </c>
      <c r="P293" s="100" t="e">
        <f>'Final Data-US$'!P236/'Final Data-US$'!O236-1</f>
        <v>#DIV/0!</v>
      </c>
      <c r="Q293" s="100" t="e">
        <f>'Final Data-US$'!Q236/'Final Data-US$'!P236-1</f>
        <v>#DIV/0!</v>
      </c>
      <c r="R293" s="100" t="e">
        <f>'Final Data-US$'!R236/'Final Data-US$'!Q236-1</f>
        <v>#DIV/0!</v>
      </c>
      <c r="S293" s="100" t="e">
        <f>'Final Data-US$'!S236/'Final Data-US$'!R236-1</f>
        <v>#DIV/0!</v>
      </c>
      <c r="T293" s="100" t="e">
        <f>'Final Data-US$'!T236/'Final Data-US$'!S236-1</f>
        <v>#DIV/0!</v>
      </c>
      <c r="U293" s="100" t="e">
        <f>'Final Data-US$'!U236/'Final Data-US$'!T236-1</f>
        <v>#DIV/0!</v>
      </c>
      <c r="V293" s="100" t="e">
        <f>'Final Data-US$'!V236/'Final Data-US$'!U236-1</f>
        <v>#DIV/0!</v>
      </c>
      <c r="W293" s="106" t="e">
        <f>'Final Data-US$'!W236</f>
        <v>#DIV/0!</v>
      </c>
      <c r="X293" s="106" t="e">
        <f>'Final Data-US$'!X236</f>
        <v>#DIV/0!</v>
      </c>
    </row>
    <row r="294" spans="1:24">
      <c r="A294" s="55" t="str">
        <f>'Secondary cum Calculation'!A529</f>
        <v>Poland</v>
      </c>
      <c r="B294" s="56" t="str">
        <f>'Secondary cum Calculation'!B529</f>
        <v>Tourism Flows</v>
      </c>
      <c r="C294" s="56" t="str">
        <f>'Secondary cum Calculation'!C529</f>
        <v>International Arrivals by Place of Origin</v>
      </c>
      <c r="D294" s="56" t="str">
        <f>'Secondary cum Calculation'!D529</f>
        <v>South &amp; Central America</v>
      </c>
      <c r="E294" s="55" t="str">
        <f>'Secondary cum Calculation'!E529</f>
        <v>Brazil</v>
      </c>
      <c r="F294" s="57" t="str">
        <f>'Secondary cum Calculation'!F529</f>
        <v>The number of international arrivals to a country originating from Brazil</v>
      </c>
      <c r="G294" s="57" t="str">
        <f>'Secondary cum Calculation'!G529</f>
        <v>Tourism Demand &amp; Flows Database</v>
      </c>
      <c r="H294" s="57" t="str">
        <f>'Secondary cum Calculation'!H529</f>
        <v>New</v>
      </c>
      <c r="I294" s="57">
        <f>'Secondary cum Calculation'!I529</f>
        <v>0</v>
      </c>
      <c r="J294" s="57" t="str">
        <f>'Secondary cum Calculation'!J529</f>
        <v>Thousand</v>
      </c>
      <c r="K294" s="58">
        <f>'Secondary cum Calculation'!K529</f>
        <v>525.27099999999996</v>
      </c>
      <c r="L294" s="59"/>
      <c r="M294" s="60" t="e">
        <f>'Final Data-US$'!M237/'Final Data-US$'!L237-1</f>
        <v>#DIV/0!</v>
      </c>
      <c r="N294" s="60" t="e">
        <f>'Final Data-US$'!N237/'Final Data-US$'!M237-1</f>
        <v>#DIV/0!</v>
      </c>
      <c r="O294" s="60" t="e">
        <f>'Final Data-US$'!O237/'Final Data-US$'!N237-1</f>
        <v>#DIV/0!</v>
      </c>
      <c r="P294" s="60" t="e">
        <f>'Final Data-US$'!P237/'Final Data-US$'!O237-1</f>
        <v>#DIV/0!</v>
      </c>
      <c r="Q294" s="60" t="e">
        <f>'Final Data-US$'!Q237/'Final Data-US$'!P237-1</f>
        <v>#DIV/0!</v>
      </c>
      <c r="R294" s="60" t="e">
        <f>'Final Data-US$'!R237/'Final Data-US$'!Q237-1</f>
        <v>#DIV/0!</v>
      </c>
      <c r="S294" s="60" t="e">
        <f>'Final Data-US$'!S237/'Final Data-US$'!R237-1</f>
        <v>#DIV/0!</v>
      </c>
      <c r="T294" s="60" t="e">
        <f>'Final Data-US$'!T237/'Final Data-US$'!S237-1</f>
        <v>#DIV/0!</v>
      </c>
      <c r="U294" s="60" t="e">
        <f>'Final Data-US$'!U237/'Final Data-US$'!T237-1</f>
        <v>#DIV/0!</v>
      </c>
      <c r="V294" s="60" t="e">
        <f>'Final Data-US$'!V237/'Final Data-US$'!U237-1</f>
        <v>#DIV/0!</v>
      </c>
      <c r="W294" s="106" t="e">
        <f>'Final Data-US$'!W237</f>
        <v>#DIV/0!</v>
      </c>
      <c r="X294" s="106" t="e">
        <f>'Final Data-US$'!X237</f>
        <v>#DIV/0!</v>
      </c>
    </row>
    <row r="295" spans="1:24">
      <c r="A295" s="55" t="str">
        <f>'Secondary cum Calculation'!A531</f>
        <v>Poland</v>
      </c>
      <c r="B295" s="56" t="str">
        <f>'Secondary cum Calculation'!B531</f>
        <v>Tourism Flows</v>
      </c>
      <c r="C295" s="56" t="str">
        <f>'Secondary cum Calculation'!C531</f>
        <v>International Arrivals by Place of Origin</v>
      </c>
      <c r="D295" s="56" t="str">
        <f>'Secondary cum Calculation'!D531</f>
        <v>South &amp; Central America</v>
      </c>
      <c r="E295" s="55" t="str">
        <f>'Secondary cum Calculation'!E531</f>
        <v>Chile</v>
      </c>
      <c r="F295" s="57" t="str">
        <f>'Secondary cum Calculation'!F531</f>
        <v>The number of international arrivals to a country originating from Chile</v>
      </c>
      <c r="G295" s="57" t="str">
        <f>'Secondary cum Calculation'!G531</f>
        <v>Tourism Demand &amp; Flows Database</v>
      </c>
      <c r="H295" s="57" t="str">
        <f>'Secondary cum Calculation'!H531</f>
        <v>New</v>
      </c>
      <c r="I295" s="57">
        <f>'Secondary cum Calculation'!I531</f>
        <v>0</v>
      </c>
      <c r="J295" s="57" t="str">
        <f>'Secondary cum Calculation'!J531</f>
        <v>Thousand</v>
      </c>
      <c r="K295" s="58">
        <f>'Secondary cum Calculation'!K531</f>
        <v>110.143</v>
      </c>
      <c r="L295" s="59"/>
      <c r="M295" s="60" t="e">
        <f>'Final Data-US$'!M238/'Final Data-US$'!L238-1</f>
        <v>#DIV/0!</v>
      </c>
      <c r="N295" s="60" t="e">
        <f>'Final Data-US$'!N238/'Final Data-US$'!M238-1</f>
        <v>#DIV/0!</v>
      </c>
      <c r="O295" s="60" t="e">
        <f>'Final Data-US$'!O238/'Final Data-US$'!N238-1</f>
        <v>#DIV/0!</v>
      </c>
      <c r="P295" s="60" t="e">
        <f>'Final Data-US$'!P238/'Final Data-US$'!O238-1</f>
        <v>#DIV/0!</v>
      </c>
      <c r="Q295" s="60" t="e">
        <f>'Final Data-US$'!Q238/'Final Data-US$'!P238-1</f>
        <v>#DIV/0!</v>
      </c>
      <c r="R295" s="60" t="e">
        <f>'Final Data-US$'!R238/'Final Data-US$'!Q238-1</f>
        <v>#DIV/0!</v>
      </c>
      <c r="S295" s="60" t="e">
        <f>'Final Data-US$'!S238/'Final Data-US$'!R238-1</f>
        <v>#DIV/0!</v>
      </c>
      <c r="T295" s="60" t="e">
        <f>'Final Data-US$'!T238/'Final Data-US$'!S238-1</f>
        <v>#DIV/0!</v>
      </c>
      <c r="U295" s="60" t="e">
        <f>'Final Data-US$'!U238/'Final Data-US$'!T238-1</f>
        <v>#DIV/0!</v>
      </c>
      <c r="V295" s="60" t="e">
        <f>'Final Data-US$'!V238/'Final Data-US$'!U238-1</f>
        <v>#DIV/0!</v>
      </c>
      <c r="W295" s="106" t="e">
        <f>'Final Data-US$'!W238</f>
        <v>#DIV/0!</v>
      </c>
      <c r="X295" s="106" t="e">
        <f>'Final Data-US$'!X238</f>
        <v>#DIV/0!</v>
      </c>
    </row>
    <row r="296" spans="1:24">
      <c r="A296" s="55" t="str">
        <f>'Secondary cum Calculation'!A533</f>
        <v>Poland</v>
      </c>
      <c r="B296" s="56" t="str">
        <f>'Secondary cum Calculation'!B533</f>
        <v>Tourism Flows</v>
      </c>
      <c r="C296" s="56" t="str">
        <f>'Secondary cum Calculation'!C533</f>
        <v>International Arrivals by Place of Origin</v>
      </c>
      <c r="D296" s="56" t="str">
        <f>'Secondary cum Calculation'!D533</f>
        <v>South &amp; Central America</v>
      </c>
      <c r="E296" s="55" t="str">
        <f>'Secondary cum Calculation'!E533</f>
        <v>Colombia</v>
      </c>
      <c r="F296" s="57" t="str">
        <f>'Secondary cum Calculation'!F533</f>
        <v>The number of international arrivals to a country originating from Colombia</v>
      </c>
      <c r="G296" s="57" t="str">
        <f>'Secondary cum Calculation'!G533</f>
        <v>Tourism Demand &amp; Flows Database</v>
      </c>
      <c r="H296" s="57" t="str">
        <f>'Secondary cum Calculation'!H533</f>
        <v>New</v>
      </c>
      <c r="I296" s="57">
        <f>'Secondary cum Calculation'!I533</f>
        <v>0</v>
      </c>
      <c r="J296" s="57" t="str">
        <f>'Secondary cum Calculation'!J533</f>
        <v>Thousand</v>
      </c>
      <c r="K296" s="58">
        <f>'Secondary cum Calculation'!K533</f>
        <v>348.38799999999998</v>
      </c>
      <c r="L296" s="59"/>
      <c r="M296" s="60" t="e">
        <f>'Final Data-US$'!M239/'Final Data-US$'!L239-1</f>
        <v>#DIV/0!</v>
      </c>
      <c r="N296" s="60" t="e">
        <f>'Final Data-US$'!N239/'Final Data-US$'!M239-1</f>
        <v>#DIV/0!</v>
      </c>
      <c r="O296" s="60" t="e">
        <f>'Final Data-US$'!O239/'Final Data-US$'!N239-1</f>
        <v>#DIV/0!</v>
      </c>
      <c r="P296" s="60" t="e">
        <f>'Final Data-US$'!P239/'Final Data-US$'!O239-1</f>
        <v>#DIV/0!</v>
      </c>
      <c r="Q296" s="60" t="e">
        <f>'Final Data-US$'!Q239/'Final Data-US$'!P239-1</f>
        <v>#DIV/0!</v>
      </c>
      <c r="R296" s="60" t="e">
        <f>'Final Data-US$'!R239/'Final Data-US$'!Q239-1</f>
        <v>#DIV/0!</v>
      </c>
      <c r="S296" s="60" t="e">
        <f>'Final Data-US$'!S239/'Final Data-US$'!R239-1</f>
        <v>#DIV/0!</v>
      </c>
      <c r="T296" s="60" t="e">
        <f>'Final Data-US$'!T239/'Final Data-US$'!S239-1</f>
        <v>#DIV/0!</v>
      </c>
      <c r="U296" s="60" t="e">
        <f>'Final Data-US$'!U239/'Final Data-US$'!T239-1</f>
        <v>#DIV/0!</v>
      </c>
      <c r="V296" s="60" t="e">
        <f>'Final Data-US$'!V239/'Final Data-US$'!U239-1</f>
        <v>#DIV/0!</v>
      </c>
      <c r="W296" s="106" t="e">
        <f>'Final Data-US$'!W239</f>
        <v>#DIV/0!</v>
      </c>
      <c r="X296" s="106" t="e">
        <f>'Final Data-US$'!X239</f>
        <v>#DIV/0!</v>
      </c>
    </row>
    <row r="297" spans="1:24">
      <c r="A297" s="55" t="str">
        <f>'Secondary cum Calculation'!A535</f>
        <v>Poland</v>
      </c>
      <c r="B297" s="56" t="str">
        <f>'Secondary cum Calculation'!B535</f>
        <v>Tourism Flows</v>
      </c>
      <c r="C297" s="56" t="str">
        <f>'Secondary cum Calculation'!C535</f>
        <v>International Arrivals by Place of Origin</v>
      </c>
      <c r="D297" s="56" t="str">
        <f>'Secondary cum Calculation'!D535</f>
        <v>South &amp; Central America</v>
      </c>
      <c r="E297" s="55" t="str">
        <f>'Secondary cum Calculation'!E535</f>
        <v>Costa Rica</v>
      </c>
      <c r="F297" s="57" t="str">
        <f>'Secondary cum Calculation'!F535</f>
        <v>The number of international arrivals to a country originating from Costa Rica</v>
      </c>
      <c r="G297" s="57" t="str">
        <f>'Secondary cum Calculation'!G535</f>
        <v>Tourism Demand &amp; Flows Database</v>
      </c>
      <c r="H297" s="57" t="str">
        <f>'Secondary cum Calculation'!H535</f>
        <v>New</v>
      </c>
      <c r="I297" s="57">
        <f>'Secondary cum Calculation'!I535</f>
        <v>0</v>
      </c>
      <c r="J297" s="57" t="str">
        <f>'Secondary cum Calculation'!J535</f>
        <v>Thousand</v>
      </c>
      <c r="K297" s="58">
        <f>'Secondary cum Calculation'!K535</f>
        <v>130.702</v>
      </c>
      <c r="L297" s="59"/>
      <c r="M297" s="60" t="e">
        <f>'Final Data-US$'!M240/'Final Data-US$'!L240-1</f>
        <v>#DIV/0!</v>
      </c>
      <c r="N297" s="60" t="e">
        <f>'Final Data-US$'!N240/'Final Data-US$'!M240-1</f>
        <v>#DIV/0!</v>
      </c>
      <c r="O297" s="60" t="e">
        <f>'Final Data-US$'!O240/'Final Data-US$'!N240-1</f>
        <v>#DIV/0!</v>
      </c>
      <c r="P297" s="60" t="e">
        <f>'Final Data-US$'!P240/'Final Data-US$'!O240-1</f>
        <v>#DIV/0!</v>
      </c>
      <c r="Q297" s="60" t="e">
        <f>'Final Data-US$'!Q240/'Final Data-US$'!P240-1</f>
        <v>#DIV/0!</v>
      </c>
      <c r="R297" s="60" t="e">
        <f>'Final Data-US$'!R240/'Final Data-US$'!Q240-1</f>
        <v>#DIV/0!</v>
      </c>
      <c r="S297" s="60" t="e">
        <f>'Final Data-US$'!S240/'Final Data-US$'!R240-1</f>
        <v>#DIV/0!</v>
      </c>
      <c r="T297" s="60" t="e">
        <f>'Final Data-US$'!T240/'Final Data-US$'!S240-1</f>
        <v>#DIV/0!</v>
      </c>
      <c r="U297" s="60" t="e">
        <f>'Final Data-US$'!U240/'Final Data-US$'!T240-1</f>
        <v>#DIV/0!</v>
      </c>
      <c r="V297" s="60" t="e">
        <f>'Final Data-US$'!V240/'Final Data-US$'!U240-1</f>
        <v>#DIV/0!</v>
      </c>
      <c r="W297" s="106" t="e">
        <f>'Final Data-US$'!W240</f>
        <v>#DIV/0!</v>
      </c>
      <c r="X297" s="106" t="e">
        <f>'Final Data-US$'!X240</f>
        <v>#DIV/0!</v>
      </c>
    </row>
    <row r="298" spans="1:24">
      <c r="A298" s="55" t="str">
        <f>'Secondary cum Calculation'!A537</f>
        <v>Poland</v>
      </c>
      <c r="B298" s="56" t="str">
        <f>'Secondary cum Calculation'!B537</f>
        <v>Tourism Flows</v>
      </c>
      <c r="C298" s="56" t="str">
        <f>'Secondary cum Calculation'!C537</f>
        <v>International Arrivals by Place of Origin</v>
      </c>
      <c r="D298" s="56" t="str">
        <f>'Secondary cum Calculation'!D537</f>
        <v>South &amp; Central America</v>
      </c>
      <c r="E298" s="55" t="str">
        <f>'Secondary cum Calculation'!E537</f>
        <v>Cuba</v>
      </c>
      <c r="F298" s="57" t="str">
        <f>'Secondary cum Calculation'!F537</f>
        <v>The number of international arrivals to a country originating from Cuba</v>
      </c>
      <c r="G298" s="57" t="str">
        <f>'Secondary cum Calculation'!G537</f>
        <v>Tourism Demand &amp; Flows Database</v>
      </c>
      <c r="H298" s="57" t="str">
        <f>'Secondary cum Calculation'!H537</f>
        <v>New</v>
      </c>
      <c r="I298" s="57">
        <f>'Secondary cum Calculation'!I537</f>
        <v>0</v>
      </c>
      <c r="J298" s="57" t="str">
        <f>'Secondary cum Calculation'!J537</f>
        <v>Thousand</v>
      </c>
      <c r="K298" s="58">
        <f>'Secondary cum Calculation'!K537</f>
        <v>0</v>
      </c>
      <c r="L298" s="59"/>
      <c r="M298" s="60" t="e">
        <f>'Final Data-US$'!M241/'Final Data-US$'!L241-1</f>
        <v>#DIV/0!</v>
      </c>
      <c r="N298" s="60" t="e">
        <f>'Final Data-US$'!N241/'Final Data-US$'!M241-1</f>
        <v>#DIV/0!</v>
      </c>
      <c r="O298" s="100" t="e">
        <f>'Final Data-US$'!O241/'Final Data-US$'!N241-1</f>
        <v>#DIV/0!</v>
      </c>
      <c r="P298" s="100" t="e">
        <f>'Final Data-US$'!P241/'Final Data-US$'!O241-1</f>
        <v>#DIV/0!</v>
      </c>
      <c r="Q298" s="100" t="e">
        <f>'Final Data-US$'!Q241/'Final Data-US$'!P241-1</f>
        <v>#DIV/0!</v>
      </c>
      <c r="R298" s="100" t="e">
        <f>'Final Data-US$'!R241/'Final Data-US$'!Q241-1</f>
        <v>#DIV/0!</v>
      </c>
      <c r="S298" s="100" t="e">
        <f>'Final Data-US$'!S241/'Final Data-US$'!R241-1</f>
        <v>#DIV/0!</v>
      </c>
      <c r="T298" s="100" t="e">
        <f>'Final Data-US$'!T241/'Final Data-US$'!S241-1</f>
        <v>#DIV/0!</v>
      </c>
      <c r="U298" s="100" t="e">
        <f>'Final Data-US$'!U241/'Final Data-US$'!T241-1</f>
        <v>#DIV/0!</v>
      </c>
      <c r="V298" s="100" t="e">
        <f>'Final Data-US$'!V241/'Final Data-US$'!U241-1</f>
        <v>#DIV/0!</v>
      </c>
      <c r="W298" s="106" t="e">
        <f>'Final Data-US$'!W241</f>
        <v>#DIV/0!</v>
      </c>
      <c r="X298" s="106" t="e">
        <f>'Final Data-US$'!X241</f>
        <v>#DIV/0!</v>
      </c>
    </row>
    <row r="299" spans="1:24">
      <c r="A299" s="55" t="str">
        <f>'Secondary cum Calculation'!A539</f>
        <v>Poland</v>
      </c>
      <c r="B299" s="56" t="str">
        <f>'Secondary cum Calculation'!B539</f>
        <v>Tourism Flows</v>
      </c>
      <c r="C299" s="56" t="str">
        <f>'Secondary cum Calculation'!C539</f>
        <v>International Arrivals by Place of Origin</v>
      </c>
      <c r="D299" s="56" t="str">
        <f>'Secondary cum Calculation'!D539</f>
        <v>South &amp; Central America</v>
      </c>
      <c r="E299" s="55" t="str">
        <f>'Secondary cum Calculation'!E539</f>
        <v>Dominican Republic</v>
      </c>
      <c r="F299" s="57" t="str">
        <f>'Secondary cum Calculation'!F539</f>
        <v>The number of international arrivals to a country originating from Dominican Republic</v>
      </c>
      <c r="G299" s="57" t="str">
        <f>'Secondary cum Calculation'!G539</f>
        <v>Tourism Demand &amp; Flows Database</v>
      </c>
      <c r="H299" s="57" t="str">
        <f>'Secondary cum Calculation'!H539</f>
        <v>New</v>
      </c>
      <c r="I299" s="57">
        <f>'Secondary cum Calculation'!I539</f>
        <v>0</v>
      </c>
      <c r="J299" s="57" t="str">
        <f>'Secondary cum Calculation'!J539</f>
        <v>Thousand</v>
      </c>
      <c r="K299" s="58">
        <f>'Secondary cum Calculation'!K539</f>
        <v>221.44900000000001</v>
      </c>
      <c r="L299" s="59"/>
      <c r="M299" s="60" t="e">
        <f>'Final Data-US$'!M242/'Final Data-US$'!L242-1</f>
        <v>#DIV/0!</v>
      </c>
      <c r="N299" s="60" t="e">
        <f>'Final Data-US$'!N242/'Final Data-US$'!M242-1</f>
        <v>#DIV/0!</v>
      </c>
      <c r="O299" s="60" t="e">
        <f>'Final Data-US$'!O242/'Final Data-US$'!N242-1</f>
        <v>#DIV/0!</v>
      </c>
      <c r="P299" s="60" t="e">
        <f>'Final Data-US$'!P242/'Final Data-US$'!O242-1</f>
        <v>#DIV/0!</v>
      </c>
      <c r="Q299" s="60" t="e">
        <f>'Final Data-US$'!Q242/'Final Data-US$'!P242-1</f>
        <v>#DIV/0!</v>
      </c>
      <c r="R299" s="60" t="e">
        <f>'Final Data-US$'!R242/'Final Data-US$'!Q242-1</f>
        <v>#DIV/0!</v>
      </c>
      <c r="S299" s="60" t="e">
        <f>'Final Data-US$'!S242/'Final Data-US$'!R242-1</f>
        <v>#DIV/0!</v>
      </c>
      <c r="T299" s="60" t="e">
        <f>'Final Data-US$'!T242/'Final Data-US$'!S242-1</f>
        <v>#DIV/0!</v>
      </c>
      <c r="U299" s="60" t="e">
        <f>'Final Data-US$'!U242/'Final Data-US$'!T242-1</f>
        <v>#DIV/0!</v>
      </c>
      <c r="V299" s="60" t="e">
        <f>'Final Data-US$'!V242/'Final Data-US$'!U242-1</f>
        <v>#DIV/0!</v>
      </c>
      <c r="W299" s="106" t="e">
        <f>'Final Data-US$'!W242</f>
        <v>#DIV/0!</v>
      </c>
      <c r="X299" s="106" t="e">
        <f>'Final Data-US$'!X242</f>
        <v>#DIV/0!</v>
      </c>
    </row>
    <row r="300" spans="1:24">
      <c r="A300" s="55" t="str">
        <f>'Secondary cum Calculation'!A541</f>
        <v>Poland</v>
      </c>
      <c r="B300" s="56" t="str">
        <f>'Secondary cum Calculation'!B541</f>
        <v>Tourism Flows</v>
      </c>
      <c r="C300" s="56" t="str">
        <f>'Secondary cum Calculation'!C541</f>
        <v>International Arrivals by Place of Origin</v>
      </c>
      <c r="D300" s="56" t="str">
        <f>'Secondary cum Calculation'!D541</f>
        <v>South &amp; Central America</v>
      </c>
      <c r="E300" s="55" t="str">
        <f>'Secondary cum Calculation'!E541</f>
        <v>Ecuador</v>
      </c>
      <c r="F300" s="57" t="str">
        <f>'Secondary cum Calculation'!F541</f>
        <v>The number of international arrivals to a country originating from Ecuador</v>
      </c>
      <c r="G300" s="57" t="str">
        <f>'Secondary cum Calculation'!G541</f>
        <v>Tourism Demand &amp; Flows Database</v>
      </c>
      <c r="H300" s="57" t="str">
        <f>'Secondary cum Calculation'!H541</f>
        <v>New</v>
      </c>
      <c r="I300" s="57">
        <f>'Secondary cum Calculation'!I541</f>
        <v>0</v>
      </c>
      <c r="J300" s="57" t="str">
        <f>'Secondary cum Calculation'!J541</f>
        <v>Thousand</v>
      </c>
      <c r="K300" s="58">
        <f>'Secondary cum Calculation'!K541</f>
        <v>147.173</v>
      </c>
      <c r="L300" s="59"/>
      <c r="M300" s="60" t="e">
        <f>'Final Data-US$'!M243/'Final Data-US$'!L243-1</f>
        <v>#DIV/0!</v>
      </c>
      <c r="N300" s="60" t="e">
        <f>'Final Data-US$'!N243/'Final Data-US$'!M243-1</f>
        <v>#DIV/0!</v>
      </c>
      <c r="O300" s="60" t="e">
        <f>'Final Data-US$'!O243/'Final Data-US$'!N243-1</f>
        <v>#DIV/0!</v>
      </c>
      <c r="P300" s="60" t="e">
        <f>'Final Data-US$'!P243/'Final Data-US$'!O243-1</f>
        <v>#DIV/0!</v>
      </c>
      <c r="Q300" s="60" t="e">
        <f>'Final Data-US$'!Q243/'Final Data-US$'!P243-1</f>
        <v>#DIV/0!</v>
      </c>
      <c r="R300" s="60" t="e">
        <f>'Final Data-US$'!R243/'Final Data-US$'!Q243-1</f>
        <v>#DIV/0!</v>
      </c>
      <c r="S300" s="60" t="e">
        <f>'Final Data-US$'!S243/'Final Data-US$'!R243-1</f>
        <v>#DIV/0!</v>
      </c>
      <c r="T300" s="60" t="e">
        <f>'Final Data-US$'!T243/'Final Data-US$'!S243-1</f>
        <v>#DIV/0!</v>
      </c>
      <c r="U300" s="60" t="e">
        <f>'Final Data-US$'!U243/'Final Data-US$'!T243-1</f>
        <v>#DIV/0!</v>
      </c>
      <c r="V300" s="60" t="e">
        <f>'Final Data-US$'!V243/'Final Data-US$'!U243-1</f>
        <v>#DIV/0!</v>
      </c>
      <c r="W300" s="106" t="e">
        <f>'Final Data-US$'!W243</f>
        <v>#DIV/0!</v>
      </c>
      <c r="X300" s="106" t="e">
        <f>'Final Data-US$'!X243</f>
        <v>#DIV/0!</v>
      </c>
    </row>
    <row r="301" spans="1:24">
      <c r="A301" s="55" t="str">
        <f>'Secondary cum Calculation'!A543</f>
        <v>Poland</v>
      </c>
      <c r="B301" s="56" t="str">
        <f>'Secondary cum Calculation'!B543</f>
        <v>Tourism Flows</v>
      </c>
      <c r="C301" s="56" t="str">
        <f>'Secondary cum Calculation'!C543</f>
        <v>International Arrivals by Place of Origin</v>
      </c>
      <c r="D301" s="56" t="str">
        <f>'Secondary cum Calculation'!D543</f>
        <v>South &amp; Central America</v>
      </c>
      <c r="E301" s="55" t="str">
        <f>'Secondary cum Calculation'!E543</f>
        <v>El Salvador</v>
      </c>
      <c r="F301" s="57" t="str">
        <f>'Secondary cum Calculation'!F543</f>
        <v>The number of international arrivals to a country originating from El Salvador</v>
      </c>
      <c r="G301" s="57" t="str">
        <f>'Secondary cum Calculation'!G543</f>
        <v>Tourism Demand &amp; Flows Database</v>
      </c>
      <c r="H301" s="57" t="str">
        <f>'Secondary cum Calculation'!H543</f>
        <v>New</v>
      </c>
      <c r="I301" s="57">
        <f>'Secondary cum Calculation'!I543</f>
        <v>0</v>
      </c>
      <c r="J301" s="57" t="str">
        <f>'Secondary cum Calculation'!J543</f>
        <v>Thousand</v>
      </c>
      <c r="K301" s="58">
        <f>'Secondary cum Calculation'!K543</f>
        <v>153.83500000000001</v>
      </c>
      <c r="L301" s="59"/>
      <c r="M301" s="60" t="e">
        <f>'Final Data-US$'!M244/'Final Data-US$'!L244-1</f>
        <v>#DIV/0!</v>
      </c>
      <c r="N301" s="60" t="e">
        <f>'Final Data-US$'!N244/'Final Data-US$'!M244-1</f>
        <v>#DIV/0!</v>
      </c>
      <c r="O301" s="60" t="e">
        <f>'Final Data-US$'!O244/'Final Data-US$'!N244-1</f>
        <v>#DIV/0!</v>
      </c>
      <c r="P301" s="60" t="e">
        <f>'Final Data-US$'!P244/'Final Data-US$'!O244-1</f>
        <v>#DIV/0!</v>
      </c>
      <c r="Q301" s="60" t="e">
        <f>'Final Data-US$'!Q244/'Final Data-US$'!P244-1</f>
        <v>#DIV/0!</v>
      </c>
      <c r="R301" s="60" t="e">
        <f>'Final Data-US$'!R244/'Final Data-US$'!Q244-1</f>
        <v>#DIV/0!</v>
      </c>
      <c r="S301" s="60" t="e">
        <f>'Final Data-US$'!S244/'Final Data-US$'!R244-1</f>
        <v>#DIV/0!</v>
      </c>
      <c r="T301" s="60" t="e">
        <f>'Final Data-US$'!T244/'Final Data-US$'!S244-1</f>
        <v>#DIV/0!</v>
      </c>
      <c r="U301" s="60" t="e">
        <f>'Final Data-US$'!U244/'Final Data-US$'!T244-1</f>
        <v>#DIV/0!</v>
      </c>
      <c r="V301" s="60" t="e">
        <f>'Final Data-US$'!V244/'Final Data-US$'!U244-1</f>
        <v>#DIV/0!</v>
      </c>
      <c r="W301" s="106" t="e">
        <f>'Final Data-US$'!W244</f>
        <v>#DIV/0!</v>
      </c>
      <c r="X301" s="106" t="e">
        <f>'Final Data-US$'!X244</f>
        <v>#DIV/0!</v>
      </c>
    </row>
    <row r="302" spans="1:24">
      <c r="A302" s="55" t="str">
        <f>'Secondary cum Calculation'!A545</f>
        <v>Poland</v>
      </c>
      <c r="B302" s="56" t="str">
        <f>'Secondary cum Calculation'!B545</f>
        <v>Tourism Flows</v>
      </c>
      <c r="C302" s="56" t="str">
        <f>'Secondary cum Calculation'!C545</f>
        <v>International Arrivals by Place of Origin</v>
      </c>
      <c r="D302" s="56" t="str">
        <f>'Secondary cum Calculation'!D545</f>
        <v>South &amp; Central America</v>
      </c>
      <c r="E302" s="55" t="str">
        <f>'Secondary cum Calculation'!E545</f>
        <v>French Guiana</v>
      </c>
      <c r="F302" s="57" t="str">
        <f>'Secondary cum Calculation'!F545</f>
        <v>The number of international arrivals to a country originating from French Guiana</v>
      </c>
      <c r="G302" s="57" t="str">
        <f>'Secondary cum Calculation'!G545</f>
        <v>Tourism Demand &amp; Flows Database</v>
      </c>
      <c r="H302" s="57" t="str">
        <f>'Secondary cum Calculation'!H545</f>
        <v>New</v>
      </c>
      <c r="I302" s="57">
        <f>'Secondary cum Calculation'!I545</f>
        <v>0</v>
      </c>
      <c r="J302" s="57" t="str">
        <f>'Secondary cum Calculation'!J545</f>
        <v>Thousand</v>
      </c>
      <c r="K302" s="58">
        <f>'Secondary cum Calculation'!K545</f>
        <v>0</v>
      </c>
      <c r="L302" s="59"/>
      <c r="M302" s="60" t="e">
        <f>'Final Data-US$'!M245/'Final Data-US$'!L245-1</f>
        <v>#DIV/0!</v>
      </c>
      <c r="N302" s="60" t="e">
        <f>'Final Data-US$'!N245/'Final Data-US$'!M245-1</f>
        <v>#DIV/0!</v>
      </c>
      <c r="O302" s="60" t="e">
        <f>'Final Data-US$'!O245/'Final Data-US$'!N245-1</f>
        <v>#DIV/0!</v>
      </c>
      <c r="P302" s="60" t="e">
        <f>'Final Data-US$'!P245/'Final Data-US$'!O245-1</f>
        <v>#DIV/0!</v>
      </c>
      <c r="Q302" s="60" t="e">
        <f>'Final Data-US$'!Q245/'Final Data-US$'!P245-1</f>
        <v>#DIV/0!</v>
      </c>
      <c r="R302" s="60" t="e">
        <f>'Final Data-US$'!R245/'Final Data-US$'!Q245-1</f>
        <v>#DIV/0!</v>
      </c>
      <c r="S302" s="60" t="e">
        <f>'Final Data-US$'!S245/'Final Data-US$'!R245-1</f>
        <v>#DIV/0!</v>
      </c>
      <c r="T302" s="60" t="e">
        <f>'Final Data-US$'!T245/'Final Data-US$'!S245-1</f>
        <v>#DIV/0!</v>
      </c>
      <c r="U302" s="60" t="e">
        <f>'Final Data-US$'!U245/'Final Data-US$'!T245-1</f>
        <v>#DIV/0!</v>
      </c>
      <c r="V302" s="60" t="e">
        <f>'Final Data-US$'!V245/'Final Data-US$'!U245-1</f>
        <v>#DIV/0!</v>
      </c>
      <c r="W302" s="106" t="e">
        <f>'Final Data-US$'!W245</f>
        <v>#DIV/0!</v>
      </c>
      <c r="X302" s="106" t="e">
        <f>'Final Data-US$'!X245</f>
        <v>#DIV/0!</v>
      </c>
    </row>
    <row r="303" spans="1:24">
      <c r="A303" s="55" t="str">
        <f>'Secondary cum Calculation'!A547</f>
        <v>Poland</v>
      </c>
      <c r="B303" s="56" t="str">
        <f>'Secondary cum Calculation'!B547</f>
        <v>Tourism Flows</v>
      </c>
      <c r="C303" s="56" t="str">
        <f>'Secondary cum Calculation'!C547</f>
        <v>International Arrivals by Place of Origin</v>
      </c>
      <c r="D303" s="56" t="str">
        <f>'Secondary cum Calculation'!D547</f>
        <v>South &amp; Central America</v>
      </c>
      <c r="E303" s="55" t="str">
        <f>'Secondary cum Calculation'!E547</f>
        <v>Grenada</v>
      </c>
      <c r="F303" s="57" t="str">
        <f>'Secondary cum Calculation'!F547</f>
        <v>The number of international arrivals to a country originating from Grenada</v>
      </c>
      <c r="G303" s="57" t="str">
        <f>'Secondary cum Calculation'!G547</f>
        <v>Tourism Demand &amp; Flows Database</v>
      </c>
      <c r="H303" s="57" t="str">
        <f>'Secondary cum Calculation'!H547</f>
        <v>New</v>
      </c>
      <c r="I303" s="57">
        <f>'Secondary cum Calculation'!I547</f>
        <v>0</v>
      </c>
      <c r="J303" s="57" t="str">
        <f>'Secondary cum Calculation'!J547</f>
        <v>Thousand</v>
      </c>
      <c r="K303" s="58">
        <f>'Secondary cum Calculation'!K547</f>
        <v>0</v>
      </c>
      <c r="L303" s="59"/>
      <c r="M303" s="60" t="e">
        <f>'Final Data-US$'!M246/'Final Data-US$'!L246-1</f>
        <v>#DIV/0!</v>
      </c>
      <c r="N303" s="60" t="e">
        <f>'Final Data-US$'!N246/'Final Data-US$'!M246-1</f>
        <v>#DIV/0!</v>
      </c>
      <c r="O303" s="60" t="e">
        <f>'Final Data-US$'!O246/'Final Data-US$'!N246-1</f>
        <v>#DIV/0!</v>
      </c>
      <c r="P303" s="60" t="e">
        <f>'Final Data-US$'!P246/'Final Data-US$'!O246-1</f>
        <v>#DIV/0!</v>
      </c>
      <c r="Q303" s="60" t="e">
        <f>'Final Data-US$'!Q246/'Final Data-US$'!P246-1</f>
        <v>#DIV/0!</v>
      </c>
      <c r="R303" s="60" t="e">
        <f>'Final Data-US$'!R246/'Final Data-US$'!Q246-1</f>
        <v>#DIV/0!</v>
      </c>
      <c r="S303" s="60" t="e">
        <f>'Final Data-US$'!S246/'Final Data-US$'!R246-1</f>
        <v>#DIV/0!</v>
      </c>
      <c r="T303" s="60" t="e">
        <f>'Final Data-US$'!T246/'Final Data-US$'!S246-1</f>
        <v>#DIV/0!</v>
      </c>
      <c r="U303" s="60" t="e">
        <f>'Final Data-US$'!U246/'Final Data-US$'!T246-1</f>
        <v>#DIV/0!</v>
      </c>
      <c r="V303" s="60" t="e">
        <f>'Final Data-US$'!V246/'Final Data-US$'!U246-1</f>
        <v>#DIV/0!</v>
      </c>
      <c r="W303" s="106" t="e">
        <f>'Final Data-US$'!W246</f>
        <v>#DIV/0!</v>
      </c>
      <c r="X303" s="106" t="e">
        <f>'Final Data-US$'!X246</f>
        <v>#DIV/0!</v>
      </c>
    </row>
    <row r="304" spans="1:24">
      <c r="A304" s="55" t="str">
        <f>'Secondary cum Calculation'!A549</f>
        <v>Poland</v>
      </c>
      <c r="B304" s="56" t="str">
        <f>'Secondary cum Calculation'!B549</f>
        <v>Tourism Flows</v>
      </c>
      <c r="C304" s="56" t="str">
        <f>'Secondary cum Calculation'!C549</f>
        <v>International Arrivals by Place of Origin</v>
      </c>
      <c r="D304" s="56" t="str">
        <f>'Secondary cum Calculation'!D549</f>
        <v>South &amp; Central America</v>
      </c>
      <c r="E304" s="55" t="str">
        <f>'Secondary cum Calculation'!E549</f>
        <v>Guadeloupe</v>
      </c>
      <c r="F304" s="57" t="str">
        <f>'Secondary cum Calculation'!F549</f>
        <v>The number of international arrivals to a country originating from Guadeloupe</v>
      </c>
      <c r="G304" s="57" t="str">
        <f>'Secondary cum Calculation'!G549</f>
        <v>Tourism Demand &amp; Flows Database</v>
      </c>
      <c r="H304" s="57" t="str">
        <f>'Secondary cum Calculation'!H549</f>
        <v>New</v>
      </c>
      <c r="I304" s="57">
        <f>'Secondary cum Calculation'!I549</f>
        <v>0</v>
      </c>
      <c r="J304" s="57" t="str">
        <f>'Secondary cum Calculation'!J549</f>
        <v>Thousand</v>
      </c>
      <c r="K304" s="58">
        <f>'Secondary cum Calculation'!K549</f>
        <v>0</v>
      </c>
      <c r="L304" s="59"/>
      <c r="M304" s="60" t="e">
        <f>'Final Data-US$'!M247/'Final Data-US$'!L247-1</f>
        <v>#DIV/0!</v>
      </c>
      <c r="N304" s="60" t="e">
        <f>'Final Data-US$'!N247/'Final Data-US$'!M247-1</f>
        <v>#DIV/0!</v>
      </c>
      <c r="O304" s="100" t="e">
        <f>'Final Data-US$'!O247/'Final Data-US$'!N247-1</f>
        <v>#DIV/0!</v>
      </c>
      <c r="P304" s="100" t="e">
        <f>'Final Data-US$'!P247/'Final Data-US$'!O247-1</f>
        <v>#DIV/0!</v>
      </c>
      <c r="Q304" s="100" t="e">
        <f>'Final Data-US$'!Q247/'Final Data-US$'!P247-1</f>
        <v>#DIV/0!</v>
      </c>
      <c r="R304" s="100" t="e">
        <f>'Final Data-US$'!R247/'Final Data-US$'!Q247-1</f>
        <v>#DIV/0!</v>
      </c>
      <c r="S304" s="100" t="e">
        <f>'Final Data-US$'!S247/'Final Data-US$'!R247-1</f>
        <v>#DIV/0!</v>
      </c>
      <c r="T304" s="100" t="e">
        <f>'Final Data-US$'!T247/'Final Data-US$'!S247-1</f>
        <v>#DIV/0!</v>
      </c>
      <c r="U304" s="100" t="e">
        <f>'Final Data-US$'!U247/'Final Data-US$'!T247-1</f>
        <v>#DIV/0!</v>
      </c>
      <c r="V304" s="100" t="e">
        <f>'Final Data-US$'!V247/'Final Data-US$'!U247-1</f>
        <v>#DIV/0!</v>
      </c>
      <c r="W304" s="106" t="e">
        <f>'Final Data-US$'!W247</f>
        <v>#DIV/0!</v>
      </c>
      <c r="X304" s="106" t="e">
        <f>'Final Data-US$'!X247</f>
        <v>#DIV/0!</v>
      </c>
    </row>
    <row r="305" spans="1:24">
      <c r="A305" s="55" t="str">
        <f>'Secondary cum Calculation'!A551</f>
        <v>Poland</v>
      </c>
      <c r="B305" s="56" t="str">
        <f>'Secondary cum Calculation'!B551</f>
        <v>Tourism Flows</v>
      </c>
      <c r="C305" s="56" t="str">
        <f>'Secondary cum Calculation'!C551</f>
        <v>International Arrivals by Place of Origin</v>
      </c>
      <c r="D305" s="56" t="str">
        <f>'Secondary cum Calculation'!D551</f>
        <v>South &amp; Central America</v>
      </c>
      <c r="E305" s="55" t="str">
        <f>'Secondary cum Calculation'!E551</f>
        <v>Guatemala</v>
      </c>
      <c r="F305" s="57" t="str">
        <f>'Secondary cum Calculation'!F551</f>
        <v>The number of international arrivals to a country originating from Guatemala</v>
      </c>
      <c r="G305" s="57" t="str">
        <f>'Secondary cum Calculation'!G551</f>
        <v>Tourism Demand &amp; Flows Database</v>
      </c>
      <c r="H305" s="57" t="str">
        <f>'Secondary cum Calculation'!H551</f>
        <v>New</v>
      </c>
      <c r="I305" s="57">
        <f>'Secondary cum Calculation'!I551</f>
        <v>0</v>
      </c>
      <c r="J305" s="57" t="str">
        <f>'Secondary cum Calculation'!J551</f>
        <v>Thousand</v>
      </c>
      <c r="K305" s="58">
        <f>'Secondary cum Calculation'!K551</f>
        <v>173.79300000000001</v>
      </c>
      <c r="L305" s="59"/>
      <c r="M305" s="60" t="e">
        <f>'Final Data-US$'!M248/'Final Data-US$'!L248-1</f>
        <v>#DIV/0!</v>
      </c>
      <c r="N305" s="60" t="e">
        <f>'Final Data-US$'!N248/'Final Data-US$'!M248-1</f>
        <v>#DIV/0!</v>
      </c>
      <c r="O305" s="60" t="e">
        <f>'Final Data-US$'!O248/'Final Data-US$'!N248-1</f>
        <v>#DIV/0!</v>
      </c>
      <c r="P305" s="60" t="e">
        <f>'Final Data-US$'!P248/'Final Data-US$'!O248-1</f>
        <v>#DIV/0!</v>
      </c>
      <c r="Q305" s="60" t="e">
        <f>'Final Data-US$'!Q248/'Final Data-US$'!P248-1</f>
        <v>#DIV/0!</v>
      </c>
      <c r="R305" s="60" t="e">
        <f>'Final Data-US$'!R248/'Final Data-US$'!Q248-1</f>
        <v>#DIV/0!</v>
      </c>
      <c r="S305" s="60" t="e">
        <f>'Final Data-US$'!S248/'Final Data-US$'!R248-1</f>
        <v>#DIV/0!</v>
      </c>
      <c r="T305" s="60" t="e">
        <f>'Final Data-US$'!T248/'Final Data-US$'!S248-1</f>
        <v>#DIV/0!</v>
      </c>
      <c r="U305" s="60" t="e">
        <f>'Final Data-US$'!U248/'Final Data-US$'!T248-1</f>
        <v>#DIV/0!</v>
      </c>
      <c r="V305" s="60" t="e">
        <f>'Final Data-US$'!V248/'Final Data-US$'!U248-1</f>
        <v>#DIV/0!</v>
      </c>
      <c r="W305" s="106" t="e">
        <f>'Final Data-US$'!W248</f>
        <v>#DIV/0!</v>
      </c>
      <c r="X305" s="106" t="e">
        <f>'Final Data-US$'!X248</f>
        <v>#DIV/0!</v>
      </c>
    </row>
    <row r="306" spans="1:24">
      <c r="A306" s="55" t="str">
        <f>'Secondary cum Calculation'!A553</f>
        <v>Poland</v>
      </c>
      <c r="B306" s="56" t="str">
        <f>'Secondary cum Calculation'!B553</f>
        <v>Tourism Flows</v>
      </c>
      <c r="C306" s="56" t="str">
        <f>'Secondary cum Calculation'!C553</f>
        <v>International Arrivals by Place of Origin</v>
      </c>
      <c r="D306" s="56" t="str">
        <f>'Secondary cum Calculation'!D553</f>
        <v>South &amp; Central America</v>
      </c>
      <c r="E306" s="55" t="str">
        <f>'Secondary cum Calculation'!E553</f>
        <v>Guyana</v>
      </c>
      <c r="F306" s="57" t="str">
        <f>'Secondary cum Calculation'!F553</f>
        <v>The number of international arrivals to a country originating from Guyana</v>
      </c>
      <c r="G306" s="57" t="str">
        <f>'Secondary cum Calculation'!G553</f>
        <v>Tourism Demand &amp; Flows Database</v>
      </c>
      <c r="H306" s="57" t="str">
        <f>'Secondary cum Calculation'!H553</f>
        <v>New</v>
      </c>
      <c r="I306" s="57">
        <f>'Secondary cum Calculation'!I553</f>
        <v>0</v>
      </c>
      <c r="J306" s="57" t="str">
        <f>'Secondary cum Calculation'!J553</f>
        <v>Thousand</v>
      </c>
      <c r="K306" s="58">
        <f>'Secondary cum Calculation'!K553</f>
        <v>0</v>
      </c>
      <c r="L306" s="59"/>
      <c r="M306" s="60" t="e">
        <f>'Final Data-US$'!M249/'Final Data-US$'!L249-1</f>
        <v>#DIV/0!</v>
      </c>
      <c r="N306" s="60" t="e">
        <f>'Final Data-US$'!N249/'Final Data-US$'!M249-1</f>
        <v>#DIV/0!</v>
      </c>
      <c r="O306" s="100" t="e">
        <f>'Final Data-US$'!O249/'Final Data-US$'!N249-1</f>
        <v>#DIV/0!</v>
      </c>
      <c r="P306" s="100" t="e">
        <f>'Final Data-US$'!P249/'Final Data-US$'!O249-1</f>
        <v>#DIV/0!</v>
      </c>
      <c r="Q306" s="100" t="e">
        <f>'Final Data-US$'!Q249/'Final Data-US$'!P249-1</f>
        <v>#DIV/0!</v>
      </c>
      <c r="R306" s="100" t="e">
        <f>'Final Data-US$'!R249/'Final Data-US$'!Q249-1</f>
        <v>#DIV/0!</v>
      </c>
      <c r="S306" s="100" t="e">
        <f>'Final Data-US$'!S249/'Final Data-US$'!R249-1</f>
        <v>#DIV/0!</v>
      </c>
      <c r="T306" s="100" t="e">
        <f>'Final Data-US$'!T249/'Final Data-US$'!S249-1</f>
        <v>#DIV/0!</v>
      </c>
      <c r="U306" s="100" t="e">
        <f>'Final Data-US$'!U249/'Final Data-US$'!T249-1</f>
        <v>#DIV/0!</v>
      </c>
      <c r="V306" s="100" t="e">
        <f>'Final Data-US$'!V249/'Final Data-US$'!U249-1</f>
        <v>#DIV/0!</v>
      </c>
      <c r="W306" s="106" t="e">
        <f>'Final Data-US$'!W249</f>
        <v>#DIV/0!</v>
      </c>
      <c r="X306" s="106" t="e">
        <f>'Final Data-US$'!X249</f>
        <v>#DIV/0!</v>
      </c>
    </row>
    <row r="307" spans="1:24">
      <c r="A307" s="55" t="str">
        <f>'Secondary cum Calculation'!A555</f>
        <v>Poland</v>
      </c>
      <c r="B307" s="56" t="str">
        <f>'Secondary cum Calculation'!B555</f>
        <v>Tourism Flows</v>
      </c>
      <c r="C307" s="56" t="str">
        <f>'Secondary cum Calculation'!C555</f>
        <v>International Arrivals by Place of Origin</v>
      </c>
      <c r="D307" s="56" t="str">
        <f>'Secondary cum Calculation'!D555</f>
        <v>South &amp; Central America</v>
      </c>
      <c r="E307" s="55" t="str">
        <f>'Secondary cum Calculation'!E555</f>
        <v>Haiti</v>
      </c>
      <c r="F307" s="57" t="str">
        <f>'Secondary cum Calculation'!F555</f>
        <v>The number of international arrivals to a country originating from Haiti</v>
      </c>
      <c r="G307" s="57" t="str">
        <f>'Secondary cum Calculation'!G555</f>
        <v>Tourism Demand &amp; Flows Database</v>
      </c>
      <c r="H307" s="57" t="str">
        <f>'Secondary cum Calculation'!H555</f>
        <v>New</v>
      </c>
      <c r="I307" s="57">
        <f>'Secondary cum Calculation'!I555</f>
        <v>0</v>
      </c>
      <c r="J307" s="57" t="str">
        <f>'Secondary cum Calculation'!J555</f>
        <v>Thousand</v>
      </c>
      <c r="K307" s="58">
        <f>'Secondary cum Calculation'!K555</f>
        <v>58.917999999999999</v>
      </c>
      <c r="L307" s="59"/>
      <c r="M307" s="60" t="e">
        <f>'Final Data-US$'!M250/'Final Data-US$'!L250-1</f>
        <v>#DIV/0!</v>
      </c>
      <c r="N307" s="60" t="e">
        <f>'Final Data-US$'!N250/'Final Data-US$'!M250-1</f>
        <v>#DIV/0!</v>
      </c>
      <c r="O307" s="60" t="e">
        <f>'Final Data-US$'!O250/'Final Data-US$'!N250-1</f>
        <v>#DIV/0!</v>
      </c>
      <c r="P307" s="60" t="e">
        <f>'Final Data-US$'!P250/'Final Data-US$'!O250-1</f>
        <v>#DIV/0!</v>
      </c>
      <c r="Q307" s="60" t="e">
        <f>'Final Data-US$'!Q250/'Final Data-US$'!P250-1</f>
        <v>#DIV/0!</v>
      </c>
      <c r="R307" s="60" t="e">
        <f>'Final Data-US$'!R250/'Final Data-US$'!Q250-1</f>
        <v>#DIV/0!</v>
      </c>
      <c r="S307" s="60" t="e">
        <f>'Final Data-US$'!S250/'Final Data-US$'!R250-1</f>
        <v>#DIV/0!</v>
      </c>
      <c r="T307" s="60" t="e">
        <f>'Final Data-US$'!T250/'Final Data-US$'!S250-1</f>
        <v>#DIV/0!</v>
      </c>
      <c r="U307" s="60" t="e">
        <f>'Final Data-US$'!U250/'Final Data-US$'!T250-1</f>
        <v>#DIV/0!</v>
      </c>
      <c r="V307" s="60" t="e">
        <f>'Final Data-US$'!V250/'Final Data-US$'!U250-1</f>
        <v>#DIV/0!</v>
      </c>
      <c r="W307" s="106" t="e">
        <f>'Final Data-US$'!W250</f>
        <v>#DIV/0!</v>
      </c>
      <c r="X307" s="106" t="e">
        <f>'Final Data-US$'!X250</f>
        <v>#DIV/0!</v>
      </c>
    </row>
    <row r="308" spans="1:24">
      <c r="A308" s="55" t="str">
        <f>'Secondary cum Calculation'!A557</f>
        <v>Poland</v>
      </c>
      <c r="B308" s="56" t="str">
        <f>'Secondary cum Calculation'!B557</f>
        <v>Tourism Flows</v>
      </c>
      <c r="C308" s="56" t="str">
        <f>'Secondary cum Calculation'!C557</f>
        <v>International Arrivals by Place of Origin</v>
      </c>
      <c r="D308" s="56" t="str">
        <f>'Secondary cum Calculation'!D557</f>
        <v>South &amp; Central America</v>
      </c>
      <c r="E308" s="55" t="str">
        <f>'Secondary cum Calculation'!E557</f>
        <v>Honduras</v>
      </c>
      <c r="F308" s="57" t="str">
        <f>'Secondary cum Calculation'!F557</f>
        <v>The number of international arrivals to a country originating from Honduras</v>
      </c>
      <c r="G308" s="57" t="str">
        <f>'Secondary cum Calculation'!G557</f>
        <v>Tourism Demand &amp; Flows Database</v>
      </c>
      <c r="H308" s="57" t="str">
        <f>'Secondary cum Calculation'!H557</f>
        <v>New</v>
      </c>
      <c r="I308" s="57">
        <f>'Secondary cum Calculation'!I557</f>
        <v>0</v>
      </c>
      <c r="J308" s="57" t="str">
        <f>'Secondary cum Calculation'!J557</f>
        <v>Thousand</v>
      </c>
      <c r="K308" s="58">
        <f>'Secondary cum Calculation'!K557</f>
        <v>92.444999999999993</v>
      </c>
      <c r="L308" s="59"/>
      <c r="M308" s="60" t="e">
        <f>'Final Data-US$'!M251/'Final Data-US$'!L251-1</f>
        <v>#DIV/0!</v>
      </c>
      <c r="N308" s="60" t="e">
        <f>'Final Data-US$'!N251/'Final Data-US$'!M251-1</f>
        <v>#DIV/0!</v>
      </c>
      <c r="O308" s="60" t="e">
        <f>'Final Data-US$'!O251/'Final Data-US$'!N251-1</f>
        <v>#DIV/0!</v>
      </c>
      <c r="P308" s="60" t="e">
        <f>'Final Data-US$'!P251/'Final Data-US$'!O251-1</f>
        <v>#DIV/0!</v>
      </c>
      <c r="Q308" s="60" t="e">
        <f>'Final Data-US$'!Q251/'Final Data-US$'!P251-1</f>
        <v>#DIV/0!</v>
      </c>
      <c r="R308" s="60" t="e">
        <f>'Final Data-US$'!R251/'Final Data-US$'!Q251-1</f>
        <v>#DIV/0!</v>
      </c>
      <c r="S308" s="60" t="e">
        <f>'Final Data-US$'!S251/'Final Data-US$'!R251-1</f>
        <v>#DIV/0!</v>
      </c>
      <c r="T308" s="60" t="e">
        <f>'Final Data-US$'!T251/'Final Data-US$'!S251-1</f>
        <v>#DIV/0!</v>
      </c>
      <c r="U308" s="60" t="e">
        <f>'Final Data-US$'!U251/'Final Data-US$'!T251-1</f>
        <v>#DIV/0!</v>
      </c>
      <c r="V308" s="60" t="e">
        <f>'Final Data-US$'!V251/'Final Data-US$'!U251-1</f>
        <v>#DIV/0!</v>
      </c>
      <c r="W308" s="106" t="e">
        <f>'Final Data-US$'!W251</f>
        <v>#DIV/0!</v>
      </c>
      <c r="X308" s="106" t="e">
        <f>'Final Data-US$'!X251</f>
        <v>#DIV/0!</v>
      </c>
    </row>
    <row r="309" spans="1:24">
      <c r="A309" s="55" t="str">
        <f>'Secondary cum Calculation'!A559</f>
        <v>Poland</v>
      </c>
      <c r="B309" s="56" t="str">
        <f>'Secondary cum Calculation'!B559</f>
        <v>Tourism Flows</v>
      </c>
      <c r="C309" s="56" t="str">
        <f>'Secondary cum Calculation'!C559</f>
        <v>International Arrivals by Place of Origin</v>
      </c>
      <c r="D309" s="56" t="str">
        <f>'Secondary cum Calculation'!D559</f>
        <v>South &amp; Central America</v>
      </c>
      <c r="E309" s="55" t="str">
        <f>'Secondary cum Calculation'!E559</f>
        <v>Jamaica</v>
      </c>
      <c r="F309" s="57" t="str">
        <f>'Secondary cum Calculation'!F559</f>
        <v>The number of international arrivals to a country originating from Jamaica</v>
      </c>
      <c r="G309" s="57" t="str">
        <f>'Secondary cum Calculation'!G559</f>
        <v>Tourism Demand &amp; Flows Database</v>
      </c>
      <c r="H309" s="57" t="str">
        <f>'Secondary cum Calculation'!H559</f>
        <v>New</v>
      </c>
      <c r="I309" s="57">
        <f>'Secondary cum Calculation'!I559</f>
        <v>0</v>
      </c>
      <c r="J309" s="57" t="str">
        <f>'Secondary cum Calculation'!J559</f>
        <v>Thousand</v>
      </c>
      <c r="K309" s="58">
        <f>'Secondary cum Calculation'!K559</f>
        <v>204.91200000000001</v>
      </c>
      <c r="L309" s="59"/>
      <c r="M309" s="60" t="e">
        <f>'Final Data-US$'!M252/'Final Data-US$'!L252-1</f>
        <v>#DIV/0!</v>
      </c>
      <c r="N309" s="60" t="e">
        <f>'Final Data-US$'!N252/'Final Data-US$'!M252-1</f>
        <v>#DIV/0!</v>
      </c>
      <c r="O309" s="60" t="e">
        <f>'Final Data-US$'!O252/'Final Data-US$'!N252-1</f>
        <v>#DIV/0!</v>
      </c>
      <c r="P309" s="60" t="e">
        <f>'Final Data-US$'!P252/'Final Data-US$'!O252-1</f>
        <v>#DIV/0!</v>
      </c>
      <c r="Q309" s="60" t="e">
        <f>'Final Data-US$'!Q252/'Final Data-US$'!P252-1</f>
        <v>#DIV/0!</v>
      </c>
      <c r="R309" s="60" t="e">
        <f>'Final Data-US$'!R252/'Final Data-US$'!Q252-1</f>
        <v>#DIV/0!</v>
      </c>
      <c r="S309" s="60" t="e">
        <f>'Final Data-US$'!S252/'Final Data-US$'!R252-1</f>
        <v>#DIV/0!</v>
      </c>
      <c r="T309" s="60" t="e">
        <f>'Final Data-US$'!T252/'Final Data-US$'!S252-1</f>
        <v>#DIV/0!</v>
      </c>
      <c r="U309" s="60" t="e">
        <f>'Final Data-US$'!U252/'Final Data-US$'!T252-1</f>
        <v>#DIV/0!</v>
      </c>
      <c r="V309" s="60" t="e">
        <f>'Final Data-US$'!V252/'Final Data-US$'!U252-1</f>
        <v>#DIV/0!</v>
      </c>
      <c r="W309" s="106" t="e">
        <f>'Final Data-US$'!W252</f>
        <v>#DIV/0!</v>
      </c>
      <c r="X309" s="106" t="e">
        <f>'Final Data-US$'!X252</f>
        <v>#DIV/0!</v>
      </c>
    </row>
    <row r="310" spans="1:24">
      <c r="A310" s="55" t="str">
        <f>'Secondary cum Calculation'!A561</f>
        <v>Poland</v>
      </c>
      <c r="B310" s="56" t="str">
        <f>'Secondary cum Calculation'!B561</f>
        <v>Tourism Flows</v>
      </c>
      <c r="C310" s="56" t="str">
        <f>'Secondary cum Calculation'!C561</f>
        <v>International Arrivals by Place of Origin</v>
      </c>
      <c r="D310" s="56" t="str">
        <f>'Secondary cum Calculation'!D561</f>
        <v>South &amp; Central America</v>
      </c>
      <c r="E310" s="55" t="str">
        <f>'Secondary cum Calculation'!E561</f>
        <v>Martinique</v>
      </c>
      <c r="F310" s="57" t="str">
        <f>'Secondary cum Calculation'!F561</f>
        <v>The number of international arrivals to a country originating from Martinique</v>
      </c>
      <c r="G310" s="57" t="str">
        <f>'Secondary cum Calculation'!G561</f>
        <v>Tourism Demand &amp; Flows Database</v>
      </c>
      <c r="H310" s="57" t="str">
        <f>'Secondary cum Calculation'!H561</f>
        <v>New</v>
      </c>
      <c r="I310" s="57">
        <f>'Secondary cum Calculation'!I561</f>
        <v>0</v>
      </c>
      <c r="J310" s="57" t="str">
        <f>'Secondary cum Calculation'!J561</f>
        <v>Thousand</v>
      </c>
      <c r="K310" s="58">
        <f>'Secondary cum Calculation'!K561</f>
        <v>0</v>
      </c>
      <c r="L310" s="59"/>
      <c r="M310" s="60" t="e">
        <f>'Final Data-US$'!M253/'Final Data-US$'!L253-1</f>
        <v>#DIV/0!</v>
      </c>
      <c r="N310" s="60" t="e">
        <f>'Final Data-US$'!N253/'Final Data-US$'!M253-1</f>
        <v>#DIV/0!</v>
      </c>
      <c r="O310" s="60" t="e">
        <f>'Final Data-US$'!O253/'Final Data-US$'!N253-1</f>
        <v>#DIV/0!</v>
      </c>
      <c r="P310" s="60" t="e">
        <f>'Final Data-US$'!P253/'Final Data-US$'!O253-1</f>
        <v>#DIV/0!</v>
      </c>
      <c r="Q310" s="60" t="e">
        <f>'Final Data-US$'!Q253/'Final Data-US$'!P253-1</f>
        <v>#DIV/0!</v>
      </c>
      <c r="R310" s="60" t="e">
        <f>'Final Data-US$'!R253/'Final Data-US$'!Q253-1</f>
        <v>#DIV/0!</v>
      </c>
      <c r="S310" s="60" t="e">
        <f>'Final Data-US$'!S253/'Final Data-US$'!R253-1</f>
        <v>#DIV/0!</v>
      </c>
      <c r="T310" s="60" t="e">
        <f>'Final Data-US$'!T253/'Final Data-US$'!S253-1</f>
        <v>#DIV/0!</v>
      </c>
      <c r="U310" s="60" t="e">
        <f>'Final Data-US$'!U253/'Final Data-US$'!T253-1</f>
        <v>#DIV/0!</v>
      </c>
      <c r="V310" s="60" t="e">
        <f>'Final Data-US$'!V253/'Final Data-US$'!U253-1</f>
        <v>#DIV/0!</v>
      </c>
      <c r="W310" s="106" t="e">
        <f>'Final Data-US$'!W253</f>
        <v>#DIV/0!</v>
      </c>
      <c r="X310" s="106" t="e">
        <f>'Final Data-US$'!X253</f>
        <v>#DIV/0!</v>
      </c>
    </row>
    <row r="311" spans="1:24">
      <c r="A311" s="55" t="str">
        <f>'Secondary cum Calculation'!A563</f>
        <v>Poland</v>
      </c>
      <c r="B311" s="56" t="str">
        <f>'Secondary cum Calculation'!B563</f>
        <v>Tourism Flows</v>
      </c>
      <c r="C311" s="56" t="str">
        <f>'Secondary cum Calculation'!C563</f>
        <v>International Arrivals by Place of Origin</v>
      </c>
      <c r="D311" s="56" t="str">
        <f>'Secondary cum Calculation'!D563</f>
        <v>South &amp; Central America</v>
      </c>
      <c r="E311" s="55" t="str">
        <f>'Secondary cum Calculation'!E563</f>
        <v>Netherlands Antilles</v>
      </c>
      <c r="F311" s="57" t="str">
        <f>'Secondary cum Calculation'!F563</f>
        <v>The number of international arrivals to a country originating from Netherlands Antilles</v>
      </c>
      <c r="G311" s="57" t="str">
        <f>'Secondary cum Calculation'!G563</f>
        <v>Tourism Demand &amp; Flows Database</v>
      </c>
      <c r="H311" s="57" t="str">
        <f>'Secondary cum Calculation'!H563</f>
        <v>New</v>
      </c>
      <c r="I311" s="57">
        <f>'Secondary cum Calculation'!I563</f>
        <v>0</v>
      </c>
      <c r="J311" s="57" t="str">
        <f>'Secondary cum Calculation'!J563</f>
        <v>Thousand</v>
      </c>
      <c r="K311" s="58">
        <f>'Secondary cum Calculation'!K563</f>
        <v>0</v>
      </c>
      <c r="L311" s="59"/>
      <c r="M311" s="60" t="e">
        <f>'Final Data-US$'!M254/'Final Data-US$'!L254-1</f>
        <v>#DIV/0!</v>
      </c>
      <c r="N311" s="60" t="e">
        <f>'Final Data-US$'!N254/'Final Data-US$'!M254-1</f>
        <v>#DIV/0!</v>
      </c>
      <c r="O311" s="60" t="e">
        <f>'Final Data-US$'!O254/'Final Data-US$'!N254-1</f>
        <v>#DIV/0!</v>
      </c>
      <c r="P311" s="60" t="e">
        <f>'Final Data-US$'!P254/'Final Data-US$'!O254-1</f>
        <v>#DIV/0!</v>
      </c>
      <c r="Q311" s="60" t="e">
        <f>'Final Data-US$'!Q254/'Final Data-US$'!P254-1</f>
        <v>#DIV/0!</v>
      </c>
      <c r="R311" s="60" t="e">
        <f>'Final Data-US$'!R254/'Final Data-US$'!Q254-1</f>
        <v>#DIV/0!</v>
      </c>
      <c r="S311" s="60" t="e">
        <f>'Final Data-US$'!S254/'Final Data-US$'!R254-1</f>
        <v>#DIV/0!</v>
      </c>
      <c r="T311" s="60" t="e">
        <f>'Final Data-US$'!T254/'Final Data-US$'!S254-1</f>
        <v>#DIV/0!</v>
      </c>
      <c r="U311" s="60" t="e">
        <f>'Final Data-US$'!U254/'Final Data-US$'!T254-1</f>
        <v>#DIV/0!</v>
      </c>
      <c r="V311" s="60" t="e">
        <f>'Final Data-US$'!V254/'Final Data-US$'!U254-1</f>
        <v>#DIV/0!</v>
      </c>
      <c r="W311" s="106" t="e">
        <f>'Final Data-US$'!W254</f>
        <v>#DIV/0!</v>
      </c>
      <c r="X311" s="106" t="e">
        <f>'Final Data-US$'!X254</f>
        <v>#DIV/0!</v>
      </c>
    </row>
    <row r="312" spans="1:24">
      <c r="A312" s="55" t="str">
        <f>'Secondary cum Calculation'!A565</f>
        <v>Poland</v>
      </c>
      <c r="B312" s="56" t="str">
        <f>'Secondary cum Calculation'!B565</f>
        <v>Tourism Flows</v>
      </c>
      <c r="C312" s="56" t="str">
        <f>'Secondary cum Calculation'!C565</f>
        <v>International Arrivals by Place of Origin</v>
      </c>
      <c r="D312" s="56" t="str">
        <f>'Secondary cum Calculation'!D565</f>
        <v>South &amp; Central America</v>
      </c>
      <c r="E312" s="55" t="str">
        <f>'Secondary cum Calculation'!E565</f>
        <v>Nicaragua</v>
      </c>
      <c r="F312" s="57" t="str">
        <f>'Secondary cum Calculation'!F565</f>
        <v>The number of international arrivals to a country originating from Nicaragua</v>
      </c>
      <c r="G312" s="57" t="str">
        <f>'Secondary cum Calculation'!G565</f>
        <v>Tourism Demand &amp; Flows Database</v>
      </c>
      <c r="H312" s="57" t="str">
        <f>'Secondary cum Calculation'!H565</f>
        <v>New</v>
      </c>
      <c r="I312" s="57">
        <f>'Secondary cum Calculation'!I565</f>
        <v>0</v>
      </c>
      <c r="J312" s="57" t="str">
        <f>'Secondary cum Calculation'!J565</f>
        <v>Thousand</v>
      </c>
      <c r="K312" s="58">
        <f>'Secondary cum Calculation'!K565</f>
        <v>0</v>
      </c>
      <c r="L312" s="59"/>
      <c r="M312" s="60" t="e">
        <f>'Final Data-US$'!M255/'Final Data-US$'!L255-1</f>
        <v>#DIV/0!</v>
      </c>
      <c r="N312" s="60" t="e">
        <f>'Final Data-US$'!N255/'Final Data-US$'!M255-1</f>
        <v>#DIV/0!</v>
      </c>
      <c r="O312" s="100" t="e">
        <f>'Final Data-US$'!O255/'Final Data-US$'!N255-1</f>
        <v>#DIV/0!</v>
      </c>
      <c r="P312" s="100" t="e">
        <f>'Final Data-US$'!P255/'Final Data-US$'!O255-1</f>
        <v>#DIV/0!</v>
      </c>
      <c r="Q312" s="100" t="e">
        <f>'Final Data-US$'!Q255/'Final Data-US$'!P255-1</f>
        <v>#DIV/0!</v>
      </c>
      <c r="R312" s="100" t="e">
        <f>'Final Data-US$'!R255/'Final Data-US$'!Q255-1</f>
        <v>#DIV/0!</v>
      </c>
      <c r="S312" s="100" t="e">
        <f>'Final Data-US$'!S255/'Final Data-US$'!R255-1</f>
        <v>#DIV/0!</v>
      </c>
      <c r="T312" s="100" t="e">
        <f>'Final Data-US$'!T255/'Final Data-US$'!S255-1</f>
        <v>#DIV/0!</v>
      </c>
      <c r="U312" s="100" t="e">
        <f>'Final Data-US$'!U255/'Final Data-US$'!T255-1</f>
        <v>#DIV/0!</v>
      </c>
      <c r="V312" s="100" t="e">
        <f>'Final Data-US$'!V255/'Final Data-US$'!U255-1</f>
        <v>#DIV/0!</v>
      </c>
      <c r="W312" s="106" t="e">
        <f>'Final Data-US$'!W255</f>
        <v>#DIV/0!</v>
      </c>
      <c r="X312" s="106" t="e">
        <f>'Final Data-US$'!X255</f>
        <v>#DIV/0!</v>
      </c>
    </row>
    <row r="313" spans="1:24">
      <c r="A313" s="55" t="str">
        <f>'Secondary cum Calculation'!A567</f>
        <v>Poland</v>
      </c>
      <c r="B313" s="56" t="str">
        <f>'Secondary cum Calculation'!B567</f>
        <v>Tourism Flows</v>
      </c>
      <c r="C313" s="56" t="str">
        <f>'Secondary cum Calculation'!C567</f>
        <v>International Arrivals by Place of Origin</v>
      </c>
      <c r="D313" s="56" t="str">
        <f>'Secondary cum Calculation'!D567</f>
        <v>South &amp; Central America</v>
      </c>
      <c r="E313" s="55" t="str">
        <f>'Secondary cum Calculation'!E567</f>
        <v>Panama</v>
      </c>
      <c r="F313" s="57" t="str">
        <f>'Secondary cum Calculation'!F567</f>
        <v>The number of international arrivals to a country originating from Panama</v>
      </c>
      <c r="G313" s="57" t="str">
        <f>'Secondary cum Calculation'!G567</f>
        <v>Tourism Demand &amp; Flows Database</v>
      </c>
      <c r="H313" s="57" t="str">
        <f>'Secondary cum Calculation'!H567</f>
        <v>New</v>
      </c>
      <c r="I313" s="57">
        <f>'Secondary cum Calculation'!I567</f>
        <v>0</v>
      </c>
      <c r="J313" s="57" t="str">
        <f>'Secondary cum Calculation'!J567</f>
        <v>Thousand</v>
      </c>
      <c r="K313" s="58">
        <f>'Secondary cum Calculation'!K567</f>
        <v>81.358000000000004</v>
      </c>
      <c r="L313" s="59"/>
      <c r="M313" s="60" t="e">
        <f>'Final Data-US$'!M256/'Final Data-US$'!L256-1</f>
        <v>#DIV/0!</v>
      </c>
      <c r="N313" s="60" t="e">
        <f>'Final Data-US$'!N256/'Final Data-US$'!M256-1</f>
        <v>#DIV/0!</v>
      </c>
      <c r="O313" s="60" t="e">
        <f>'Final Data-US$'!O256/'Final Data-US$'!N256-1</f>
        <v>#DIV/0!</v>
      </c>
      <c r="P313" s="60" t="e">
        <f>'Final Data-US$'!P256/'Final Data-US$'!O256-1</f>
        <v>#DIV/0!</v>
      </c>
      <c r="Q313" s="60" t="e">
        <f>'Final Data-US$'!Q256/'Final Data-US$'!P256-1</f>
        <v>#DIV/0!</v>
      </c>
      <c r="R313" s="60" t="e">
        <f>'Final Data-US$'!R256/'Final Data-US$'!Q256-1</f>
        <v>#DIV/0!</v>
      </c>
      <c r="S313" s="60" t="e">
        <f>'Final Data-US$'!S256/'Final Data-US$'!R256-1</f>
        <v>#DIV/0!</v>
      </c>
      <c r="T313" s="60" t="e">
        <f>'Final Data-US$'!T256/'Final Data-US$'!S256-1</f>
        <v>#DIV/0!</v>
      </c>
      <c r="U313" s="60" t="e">
        <f>'Final Data-US$'!U256/'Final Data-US$'!T256-1</f>
        <v>#DIV/0!</v>
      </c>
      <c r="V313" s="60" t="e">
        <f>'Final Data-US$'!V256/'Final Data-US$'!U256-1</f>
        <v>#DIV/0!</v>
      </c>
      <c r="W313" s="106" t="e">
        <f>'Final Data-US$'!W256</f>
        <v>#DIV/0!</v>
      </c>
      <c r="X313" s="106" t="e">
        <f>'Final Data-US$'!X256</f>
        <v>#DIV/0!</v>
      </c>
    </row>
    <row r="314" spans="1:24">
      <c r="A314" s="55" t="str">
        <f>'Secondary cum Calculation'!A569</f>
        <v>Poland</v>
      </c>
      <c r="B314" s="56" t="str">
        <f>'Secondary cum Calculation'!B569</f>
        <v>Tourism Flows</v>
      </c>
      <c r="C314" s="56" t="str">
        <f>'Secondary cum Calculation'!C569</f>
        <v>International Arrivals by Place of Origin</v>
      </c>
      <c r="D314" s="56" t="str">
        <f>'Secondary cum Calculation'!D569</f>
        <v>South &amp; Central America</v>
      </c>
      <c r="E314" s="55" t="str">
        <f>'Secondary cum Calculation'!E569</f>
        <v>Paraguay</v>
      </c>
      <c r="F314" s="57" t="str">
        <f>'Secondary cum Calculation'!F569</f>
        <v>The number of international arrivals to a country originating from Paraguay</v>
      </c>
      <c r="G314" s="57" t="str">
        <f>'Secondary cum Calculation'!G569</f>
        <v>Tourism Demand &amp; Flows Database</v>
      </c>
      <c r="H314" s="57" t="str">
        <f>'Secondary cum Calculation'!H569</f>
        <v>New</v>
      </c>
      <c r="I314" s="57">
        <f>'Secondary cum Calculation'!I569</f>
        <v>0</v>
      </c>
      <c r="J314" s="57" t="str">
        <f>'Secondary cum Calculation'!J569</f>
        <v>Thousand</v>
      </c>
      <c r="K314" s="58">
        <f>'Secondary cum Calculation'!K569</f>
        <v>0</v>
      </c>
      <c r="L314" s="59"/>
      <c r="M314" s="60" t="e">
        <f>'Final Data-US$'!M257/'Final Data-US$'!L257-1</f>
        <v>#DIV/0!</v>
      </c>
      <c r="N314" s="60" t="e">
        <f>'Final Data-US$'!N257/'Final Data-US$'!M257-1</f>
        <v>#DIV/0!</v>
      </c>
      <c r="O314" s="100" t="e">
        <f>'Final Data-US$'!O257/'Final Data-US$'!N257-1</f>
        <v>#DIV/0!</v>
      </c>
      <c r="P314" s="100" t="e">
        <f>'Final Data-US$'!P257/'Final Data-US$'!O257-1</f>
        <v>#DIV/0!</v>
      </c>
      <c r="Q314" s="100" t="e">
        <f>'Final Data-US$'!Q257/'Final Data-US$'!P257-1</f>
        <v>#DIV/0!</v>
      </c>
      <c r="R314" s="100" t="e">
        <f>'Final Data-US$'!R257/'Final Data-US$'!Q257-1</f>
        <v>#DIV/0!</v>
      </c>
      <c r="S314" s="100" t="e">
        <f>'Final Data-US$'!S257/'Final Data-US$'!R257-1</f>
        <v>#DIV/0!</v>
      </c>
      <c r="T314" s="100" t="e">
        <f>'Final Data-US$'!T257/'Final Data-US$'!S257-1</f>
        <v>#DIV/0!</v>
      </c>
      <c r="U314" s="100" t="e">
        <f>'Final Data-US$'!U257/'Final Data-US$'!T257-1</f>
        <v>#DIV/0!</v>
      </c>
      <c r="V314" s="100" t="e">
        <f>'Final Data-US$'!V257/'Final Data-US$'!U257-1</f>
        <v>#DIV/0!</v>
      </c>
      <c r="W314" s="106" t="e">
        <f>'Final Data-US$'!W257</f>
        <v>#DIV/0!</v>
      </c>
      <c r="X314" s="106" t="e">
        <f>'Final Data-US$'!X257</f>
        <v>#DIV/0!</v>
      </c>
    </row>
    <row r="315" spans="1:24">
      <c r="A315" s="55" t="str">
        <f>'Secondary cum Calculation'!A571</f>
        <v>Poland</v>
      </c>
      <c r="B315" s="56" t="str">
        <f>'Secondary cum Calculation'!B571</f>
        <v>Tourism Flows</v>
      </c>
      <c r="C315" s="56" t="str">
        <f>'Secondary cum Calculation'!C571</f>
        <v>International Arrivals by Place of Origin</v>
      </c>
      <c r="D315" s="56" t="str">
        <f>'Secondary cum Calculation'!D571</f>
        <v>South &amp; Central America</v>
      </c>
      <c r="E315" s="55" t="str">
        <f>'Secondary cum Calculation'!E571</f>
        <v>Peru</v>
      </c>
      <c r="F315" s="57" t="str">
        <f>'Secondary cum Calculation'!F571</f>
        <v>The number of international arrivals to a country originating from Peru</v>
      </c>
      <c r="G315" s="57" t="str">
        <f>'Secondary cum Calculation'!G571</f>
        <v>Tourism Demand &amp; Flows Database</v>
      </c>
      <c r="H315" s="57" t="str">
        <f>'Secondary cum Calculation'!H571</f>
        <v>New</v>
      </c>
      <c r="I315" s="57">
        <f>'Secondary cum Calculation'!I571</f>
        <v>0</v>
      </c>
      <c r="J315" s="57" t="str">
        <f>'Secondary cum Calculation'!J571</f>
        <v>Thousand</v>
      </c>
      <c r="K315" s="58">
        <f>'Secondary cum Calculation'!K571</f>
        <v>133.398</v>
      </c>
      <c r="L315" s="59"/>
      <c r="M315" s="60" t="e">
        <f>'Final Data-US$'!M258/'Final Data-US$'!L258-1</f>
        <v>#DIV/0!</v>
      </c>
      <c r="N315" s="60" t="e">
        <f>'Final Data-US$'!N258/'Final Data-US$'!M258-1</f>
        <v>#DIV/0!</v>
      </c>
      <c r="O315" s="60" t="e">
        <f>'Final Data-US$'!O258/'Final Data-US$'!N258-1</f>
        <v>#DIV/0!</v>
      </c>
      <c r="P315" s="60" t="e">
        <f>'Final Data-US$'!P258/'Final Data-US$'!O258-1</f>
        <v>#DIV/0!</v>
      </c>
      <c r="Q315" s="60" t="e">
        <f>'Final Data-US$'!Q258/'Final Data-US$'!P258-1</f>
        <v>#DIV/0!</v>
      </c>
      <c r="R315" s="60" t="e">
        <f>'Final Data-US$'!R258/'Final Data-US$'!Q258-1</f>
        <v>#DIV/0!</v>
      </c>
      <c r="S315" s="60" t="e">
        <f>'Final Data-US$'!S258/'Final Data-US$'!R258-1</f>
        <v>#DIV/0!</v>
      </c>
      <c r="T315" s="60" t="e">
        <f>'Final Data-US$'!T258/'Final Data-US$'!S258-1</f>
        <v>#DIV/0!</v>
      </c>
      <c r="U315" s="60" t="e">
        <f>'Final Data-US$'!U258/'Final Data-US$'!T258-1</f>
        <v>#DIV/0!</v>
      </c>
      <c r="V315" s="60" t="e">
        <f>'Final Data-US$'!V258/'Final Data-US$'!U258-1</f>
        <v>#DIV/0!</v>
      </c>
      <c r="W315" s="106" t="e">
        <f>'Final Data-US$'!W258</f>
        <v>#DIV/0!</v>
      </c>
      <c r="X315" s="106" t="e">
        <f>'Final Data-US$'!X258</f>
        <v>#DIV/0!</v>
      </c>
    </row>
    <row r="316" spans="1:24">
      <c r="A316" s="55" t="str">
        <f>'Secondary cum Calculation'!A573</f>
        <v>Poland</v>
      </c>
      <c r="B316" s="56" t="str">
        <f>'Secondary cum Calculation'!B573</f>
        <v>Tourism Flows</v>
      </c>
      <c r="C316" s="56" t="str">
        <f>'Secondary cum Calculation'!C573</f>
        <v>International Arrivals by Place of Origin</v>
      </c>
      <c r="D316" s="56" t="str">
        <f>'Secondary cum Calculation'!D573</f>
        <v>South &amp; Central America</v>
      </c>
      <c r="E316" s="55" t="str">
        <f>'Secondary cum Calculation'!E573</f>
        <v>Puerto Rico</v>
      </c>
      <c r="F316" s="57" t="str">
        <f>'Secondary cum Calculation'!F573</f>
        <v>The number of international arrivals to a country originating from Puerto Rico</v>
      </c>
      <c r="G316" s="57" t="str">
        <f>'Secondary cum Calculation'!G573</f>
        <v>Tourism Demand &amp; Flows Database</v>
      </c>
      <c r="H316" s="57" t="str">
        <f>'Secondary cum Calculation'!H573</f>
        <v>New</v>
      </c>
      <c r="I316" s="57">
        <f>'Secondary cum Calculation'!I573</f>
        <v>0</v>
      </c>
      <c r="J316" s="57" t="str">
        <f>'Secondary cum Calculation'!J573</f>
        <v>Thousand</v>
      </c>
      <c r="K316" s="58">
        <f>'Secondary cum Calculation'!K573</f>
        <v>0</v>
      </c>
      <c r="L316" s="59"/>
      <c r="M316" s="60" t="e">
        <f>'Final Data-US$'!M259/'Final Data-US$'!L259-1</f>
        <v>#DIV/0!</v>
      </c>
      <c r="N316" s="60" t="e">
        <f>'Final Data-US$'!N259/'Final Data-US$'!M259-1</f>
        <v>#DIV/0!</v>
      </c>
      <c r="O316" s="60" t="e">
        <f>'Final Data-US$'!O259/'Final Data-US$'!N259-1</f>
        <v>#DIV/0!</v>
      </c>
      <c r="P316" s="60" t="e">
        <f>'Final Data-US$'!P259/'Final Data-US$'!O259-1</f>
        <v>#DIV/0!</v>
      </c>
      <c r="Q316" s="60" t="e">
        <f>'Final Data-US$'!Q259/'Final Data-US$'!P259-1</f>
        <v>#DIV/0!</v>
      </c>
      <c r="R316" s="60" t="e">
        <f>'Final Data-US$'!R259/'Final Data-US$'!Q259-1</f>
        <v>#DIV/0!</v>
      </c>
      <c r="S316" s="60" t="e">
        <f>'Final Data-US$'!S259/'Final Data-US$'!R259-1</f>
        <v>#DIV/0!</v>
      </c>
      <c r="T316" s="60" t="e">
        <f>'Final Data-US$'!T259/'Final Data-US$'!S259-1</f>
        <v>#DIV/0!</v>
      </c>
      <c r="U316" s="60" t="e">
        <f>'Final Data-US$'!U259/'Final Data-US$'!T259-1</f>
        <v>#DIV/0!</v>
      </c>
      <c r="V316" s="60" t="e">
        <f>'Final Data-US$'!V259/'Final Data-US$'!U259-1</f>
        <v>#DIV/0!</v>
      </c>
      <c r="W316" s="106" t="e">
        <f>'Final Data-US$'!W259</f>
        <v>#DIV/0!</v>
      </c>
      <c r="X316" s="106" t="e">
        <f>'Final Data-US$'!X259</f>
        <v>#DIV/0!</v>
      </c>
    </row>
    <row r="317" spans="1:24">
      <c r="A317" s="55" t="str">
        <f>'Secondary cum Calculation'!A575</f>
        <v>Poland</v>
      </c>
      <c r="B317" s="56" t="str">
        <f>'Secondary cum Calculation'!B575</f>
        <v>Tourism Flows</v>
      </c>
      <c r="C317" s="56" t="str">
        <f>'Secondary cum Calculation'!C575</f>
        <v>International Arrivals by Place of Origin</v>
      </c>
      <c r="D317" s="56" t="str">
        <f>'Secondary cum Calculation'!D575</f>
        <v>South &amp; Central America</v>
      </c>
      <c r="E317" s="55" t="str">
        <f>'Secondary cum Calculation'!E575</f>
        <v>Saint Lucia</v>
      </c>
      <c r="F317" s="57" t="str">
        <f>'Secondary cum Calculation'!F575</f>
        <v>The number of international arrivals to a country originating from Saint Lucia</v>
      </c>
      <c r="G317" s="57" t="str">
        <f>'Secondary cum Calculation'!G575</f>
        <v>Tourism Demand &amp; Flows Database</v>
      </c>
      <c r="H317" s="57" t="str">
        <f>'Secondary cum Calculation'!H575</f>
        <v>New</v>
      </c>
      <c r="I317" s="57">
        <f>'Secondary cum Calculation'!I575</f>
        <v>0</v>
      </c>
      <c r="J317" s="57" t="str">
        <f>'Secondary cum Calculation'!J575</f>
        <v>Thousand</v>
      </c>
      <c r="K317" s="58">
        <f>'Secondary cum Calculation'!K575</f>
        <v>0</v>
      </c>
      <c r="L317" s="59"/>
      <c r="M317" s="60" t="e">
        <f>'Final Data-US$'!M260/'Final Data-US$'!L260-1</f>
        <v>#DIV/0!</v>
      </c>
      <c r="N317" s="60" t="e">
        <f>'Final Data-US$'!N260/'Final Data-US$'!M260-1</f>
        <v>#DIV/0!</v>
      </c>
      <c r="O317" s="60" t="e">
        <f>'Final Data-US$'!O260/'Final Data-US$'!N260-1</f>
        <v>#DIV/0!</v>
      </c>
      <c r="P317" s="60" t="e">
        <f>'Final Data-US$'!P260/'Final Data-US$'!O260-1</f>
        <v>#DIV/0!</v>
      </c>
      <c r="Q317" s="60" t="e">
        <f>'Final Data-US$'!Q260/'Final Data-US$'!P260-1</f>
        <v>#DIV/0!</v>
      </c>
      <c r="R317" s="60" t="e">
        <f>'Final Data-US$'!R260/'Final Data-US$'!Q260-1</f>
        <v>#DIV/0!</v>
      </c>
      <c r="S317" s="60" t="e">
        <f>'Final Data-US$'!S260/'Final Data-US$'!R260-1</f>
        <v>#DIV/0!</v>
      </c>
      <c r="T317" s="60" t="e">
        <f>'Final Data-US$'!T260/'Final Data-US$'!S260-1</f>
        <v>#DIV/0!</v>
      </c>
      <c r="U317" s="60" t="e">
        <f>'Final Data-US$'!U260/'Final Data-US$'!T260-1</f>
        <v>#DIV/0!</v>
      </c>
      <c r="V317" s="60" t="e">
        <f>'Final Data-US$'!V260/'Final Data-US$'!U260-1</f>
        <v>#DIV/0!</v>
      </c>
      <c r="W317" s="106" t="e">
        <f>'Final Data-US$'!W260</f>
        <v>#DIV/0!</v>
      </c>
      <c r="X317" s="106" t="e">
        <f>'Final Data-US$'!X260</f>
        <v>#DIV/0!</v>
      </c>
    </row>
    <row r="318" spans="1:24">
      <c r="A318" s="55" t="str">
        <f>'Secondary cum Calculation'!A577</f>
        <v>Poland</v>
      </c>
      <c r="B318" s="56" t="str">
        <f>'Secondary cum Calculation'!B577</f>
        <v>Tourism Flows</v>
      </c>
      <c r="C318" s="56" t="str">
        <f>'Secondary cum Calculation'!C577</f>
        <v>International Arrivals by Place of Origin</v>
      </c>
      <c r="D318" s="56" t="str">
        <f>'Secondary cum Calculation'!D577</f>
        <v>South &amp; Central America</v>
      </c>
      <c r="E318" s="55" t="str">
        <f>'Secondary cum Calculation'!E577</f>
        <v>Sao Tome and Principe</v>
      </c>
      <c r="F318" s="57" t="str">
        <f>'Secondary cum Calculation'!F577</f>
        <v>The number of international arrivals to a country originating from Sao Tome and Principe</v>
      </c>
      <c r="G318" s="57" t="str">
        <f>'Secondary cum Calculation'!G577</f>
        <v>Tourism Demand &amp; Flows Database</v>
      </c>
      <c r="H318" s="57" t="str">
        <f>'Secondary cum Calculation'!H577</f>
        <v>New</v>
      </c>
      <c r="I318" s="57">
        <f>'Secondary cum Calculation'!I577</f>
        <v>0</v>
      </c>
      <c r="J318" s="57" t="str">
        <f>'Secondary cum Calculation'!J577</f>
        <v>Thousand</v>
      </c>
      <c r="K318" s="58">
        <f>'Secondary cum Calculation'!K577</f>
        <v>0</v>
      </c>
      <c r="L318" s="59"/>
      <c r="M318" s="60" t="e">
        <f>'Final Data-US$'!M261/'Final Data-US$'!L261-1</f>
        <v>#DIV/0!</v>
      </c>
      <c r="N318" s="60" t="e">
        <f>'Final Data-US$'!N261/'Final Data-US$'!M261-1</f>
        <v>#DIV/0!</v>
      </c>
      <c r="O318" s="60" t="e">
        <f>'Final Data-US$'!O261/'Final Data-US$'!N261-1</f>
        <v>#DIV/0!</v>
      </c>
      <c r="P318" s="60" t="e">
        <f>'Final Data-US$'!P261/'Final Data-US$'!O261-1</f>
        <v>#DIV/0!</v>
      </c>
      <c r="Q318" s="60" t="e">
        <f>'Final Data-US$'!Q261/'Final Data-US$'!P261-1</f>
        <v>#DIV/0!</v>
      </c>
      <c r="R318" s="60" t="e">
        <f>'Final Data-US$'!R261/'Final Data-US$'!Q261-1</f>
        <v>#DIV/0!</v>
      </c>
      <c r="S318" s="60" t="e">
        <f>'Final Data-US$'!S261/'Final Data-US$'!R261-1</f>
        <v>#DIV/0!</v>
      </c>
      <c r="T318" s="60" t="e">
        <f>'Final Data-US$'!T261/'Final Data-US$'!S261-1</f>
        <v>#DIV/0!</v>
      </c>
      <c r="U318" s="60" t="e">
        <f>'Final Data-US$'!U261/'Final Data-US$'!T261-1</f>
        <v>#DIV/0!</v>
      </c>
      <c r="V318" s="60" t="e">
        <f>'Final Data-US$'!V261/'Final Data-US$'!U261-1</f>
        <v>#DIV/0!</v>
      </c>
      <c r="W318" s="106" t="e">
        <f>'Final Data-US$'!W261</f>
        <v>#DIV/0!</v>
      </c>
      <c r="X318" s="106" t="e">
        <f>'Final Data-US$'!X261</f>
        <v>#DIV/0!</v>
      </c>
    </row>
    <row r="319" spans="1:24">
      <c r="A319" s="55" t="str">
        <f>'Secondary cum Calculation'!A579</f>
        <v>Poland</v>
      </c>
      <c r="B319" s="56" t="str">
        <f>'Secondary cum Calculation'!B579</f>
        <v>Tourism Flows</v>
      </c>
      <c r="C319" s="56" t="str">
        <f>'Secondary cum Calculation'!C579</f>
        <v>International Arrivals by Place of Origin</v>
      </c>
      <c r="D319" s="56" t="str">
        <f>'Secondary cum Calculation'!D579</f>
        <v>South &amp; Central America</v>
      </c>
      <c r="E319" s="55" t="str">
        <f>'Secondary cum Calculation'!E579</f>
        <v>St. Vincent and the Grenadines</v>
      </c>
      <c r="F319" s="57" t="str">
        <f>'Secondary cum Calculation'!F579</f>
        <v>The number of international arrivals to a country originating from St. Vincent and the Grenadines</v>
      </c>
      <c r="G319" s="57" t="str">
        <f>'Secondary cum Calculation'!G579</f>
        <v>Tourism Demand &amp; Flows Database</v>
      </c>
      <c r="H319" s="57" t="str">
        <f>'Secondary cum Calculation'!H579</f>
        <v>New</v>
      </c>
      <c r="I319" s="57">
        <f>'Secondary cum Calculation'!I579</f>
        <v>0</v>
      </c>
      <c r="J319" s="57" t="str">
        <f>'Secondary cum Calculation'!J579</f>
        <v>Thousand</v>
      </c>
      <c r="K319" s="58">
        <f>'Secondary cum Calculation'!K579</f>
        <v>0</v>
      </c>
      <c r="L319" s="59"/>
      <c r="M319" s="60" t="e">
        <f>'Final Data-US$'!M262/'Final Data-US$'!L262-1</f>
        <v>#DIV/0!</v>
      </c>
      <c r="N319" s="60" t="e">
        <f>'Final Data-US$'!N262/'Final Data-US$'!M262-1</f>
        <v>#DIV/0!</v>
      </c>
      <c r="O319" s="60" t="e">
        <f>'Final Data-US$'!O262/'Final Data-US$'!N262-1</f>
        <v>#DIV/0!</v>
      </c>
      <c r="P319" s="60" t="e">
        <f>'Final Data-US$'!P262/'Final Data-US$'!O262-1</f>
        <v>#DIV/0!</v>
      </c>
      <c r="Q319" s="60" t="e">
        <f>'Final Data-US$'!Q262/'Final Data-US$'!P262-1</f>
        <v>#DIV/0!</v>
      </c>
      <c r="R319" s="60" t="e">
        <f>'Final Data-US$'!R262/'Final Data-US$'!Q262-1</f>
        <v>#DIV/0!</v>
      </c>
      <c r="S319" s="60" t="e">
        <f>'Final Data-US$'!S262/'Final Data-US$'!R262-1</f>
        <v>#DIV/0!</v>
      </c>
      <c r="T319" s="60" t="e">
        <f>'Final Data-US$'!T262/'Final Data-US$'!S262-1</f>
        <v>#DIV/0!</v>
      </c>
      <c r="U319" s="60" t="e">
        <f>'Final Data-US$'!U262/'Final Data-US$'!T262-1</f>
        <v>#DIV/0!</v>
      </c>
      <c r="V319" s="60" t="e">
        <f>'Final Data-US$'!V262/'Final Data-US$'!U262-1</f>
        <v>#DIV/0!</v>
      </c>
      <c r="W319" s="106" t="e">
        <f>'Final Data-US$'!W262</f>
        <v>#DIV/0!</v>
      </c>
      <c r="X319" s="106" t="e">
        <f>'Final Data-US$'!X262</f>
        <v>#DIV/0!</v>
      </c>
    </row>
    <row r="320" spans="1:24">
      <c r="A320" s="55" t="str">
        <f>'Secondary cum Calculation'!A581</f>
        <v>Poland</v>
      </c>
      <c r="B320" s="56" t="str">
        <f>'Secondary cum Calculation'!B581</f>
        <v>Tourism Flows</v>
      </c>
      <c r="C320" s="56" t="str">
        <f>'Secondary cum Calculation'!C581</f>
        <v>International Arrivals by Place of Origin</v>
      </c>
      <c r="D320" s="56" t="str">
        <f>'Secondary cum Calculation'!D581</f>
        <v>South &amp; Central America</v>
      </c>
      <c r="E320" s="55" t="str">
        <f>'Secondary cum Calculation'!E581</f>
        <v>Suriname</v>
      </c>
      <c r="F320" s="57" t="str">
        <f>'Secondary cum Calculation'!F581</f>
        <v>The number of international arrivals to a country originating from Suriname</v>
      </c>
      <c r="G320" s="57" t="str">
        <f>'Secondary cum Calculation'!G581</f>
        <v>Tourism Demand &amp; Flows Database</v>
      </c>
      <c r="H320" s="57" t="str">
        <f>'Secondary cum Calculation'!H581</f>
        <v>New</v>
      </c>
      <c r="I320" s="57">
        <f>'Secondary cum Calculation'!I581</f>
        <v>0</v>
      </c>
      <c r="J320" s="57" t="str">
        <f>'Secondary cum Calculation'!J581</f>
        <v>Thousand</v>
      </c>
      <c r="K320" s="58">
        <f>'Secondary cum Calculation'!K581</f>
        <v>0</v>
      </c>
      <c r="L320" s="59"/>
      <c r="M320" s="60" t="e">
        <f>'Final Data-US$'!M263/'Final Data-US$'!L263-1</f>
        <v>#DIV/0!</v>
      </c>
      <c r="N320" s="60" t="e">
        <f>'Final Data-US$'!N263/'Final Data-US$'!M263-1</f>
        <v>#DIV/0!</v>
      </c>
      <c r="O320" s="100" t="e">
        <f>'Final Data-US$'!O263/'Final Data-US$'!N263-1</f>
        <v>#DIV/0!</v>
      </c>
      <c r="P320" s="100" t="e">
        <f>'Final Data-US$'!P263/'Final Data-US$'!O263-1</f>
        <v>#DIV/0!</v>
      </c>
      <c r="Q320" s="100" t="e">
        <f>'Final Data-US$'!Q263/'Final Data-US$'!P263-1</f>
        <v>#DIV/0!</v>
      </c>
      <c r="R320" s="100" t="e">
        <f>'Final Data-US$'!R263/'Final Data-US$'!Q263-1</f>
        <v>#DIV/0!</v>
      </c>
      <c r="S320" s="100" t="e">
        <f>'Final Data-US$'!S263/'Final Data-US$'!R263-1</f>
        <v>#DIV/0!</v>
      </c>
      <c r="T320" s="100" t="e">
        <f>'Final Data-US$'!T263/'Final Data-US$'!S263-1</f>
        <v>#DIV/0!</v>
      </c>
      <c r="U320" s="100" t="e">
        <f>'Final Data-US$'!U263/'Final Data-US$'!T263-1</f>
        <v>#DIV/0!</v>
      </c>
      <c r="V320" s="100" t="e">
        <f>'Final Data-US$'!V263/'Final Data-US$'!U263-1</f>
        <v>#DIV/0!</v>
      </c>
      <c r="W320" s="106" t="e">
        <f>'Final Data-US$'!W263</f>
        <v>#DIV/0!</v>
      </c>
      <c r="X320" s="106" t="e">
        <f>'Final Data-US$'!X263</f>
        <v>#DIV/0!</v>
      </c>
    </row>
    <row r="321" spans="1:26">
      <c r="A321" s="55" t="str">
        <f>'Secondary cum Calculation'!A583</f>
        <v>Poland</v>
      </c>
      <c r="B321" s="56" t="str">
        <f>'Secondary cum Calculation'!B583</f>
        <v>Tourism Flows</v>
      </c>
      <c r="C321" s="56" t="str">
        <f>'Secondary cum Calculation'!C583</f>
        <v>International Arrivals by Place of Origin</v>
      </c>
      <c r="D321" s="56" t="str">
        <f>'Secondary cum Calculation'!D583</f>
        <v>South &amp; Central America</v>
      </c>
      <c r="E321" s="55" t="str">
        <f>'Secondary cum Calculation'!E583</f>
        <v>Trinidad and Tobago</v>
      </c>
      <c r="F321" s="57" t="str">
        <f>'Secondary cum Calculation'!F583</f>
        <v>The number of international arrivals to a country originating from Trinidad and Tobago</v>
      </c>
      <c r="G321" s="57" t="str">
        <f>'Secondary cum Calculation'!G583</f>
        <v>Tourism Demand &amp; Flows Database</v>
      </c>
      <c r="H321" s="57" t="str">
        <f>'Secondary cum Calculation'!H583</f>
        <v>New</v>
      </c>
      <c r="I321" s="57">
        <f>'Secondary cum Calculation'!I583</f>
        <v>0</v>
      </c>
      <c r="J321" s="57" t="str">
        <f>'Secondary cum Calculation'!J583</f>
        <v>Thousand</v>
      </c>
      <c r="K321" s="58">
        <f>'Secondary cum Calculation'!K583</f>
        <v>133.90600000000001</v>
      </c>
      <c r="L321" s="59"/>
      <c r="M321" s="60" t="e">
        <f>'Final Data-US$'!M264/'Final Data-US$'!L264-1</f>
        <v>#DIV/0!</v>
      </c>
      <c r="N321" s="60" t="e">
        <f>'Final Data-US$'!N264/'Final Data-US$'!M264-1</f>
        <v>#DIV/0!</v>
      </c>
      <c r="O321" s="60" t="e">
        <f>'Final Data-US$'!O264/'Final Data-US$'!N264-1</f>
        <v>#DIV/0!</v>
      </c>
      <c r="P321" s="60" t="e">
        <f>'Final Data-US$'!P264/'Final Data-US$'!O264-1</f>
        <v>#DIV/0!</v>
      </c>
      <c r="Q321" s="60" t="e">
        <f>'Final Data-US$'!Q264/'Final Data-US$'!P264-1</f>
        <v>#DIV/0!</v>
      </c>
      <c r="R321" s="60" t="e">
        <f>'Final Data-US$'!R264/'Final Data-US$'!Q264-1</f>
        <v>#DIV/0!</v>
      </c>
      <c r="S321" s="60" t="e">
        <f>'Final Data-US$'!S264/'Final Data-US$'!R264-1</f>
        <v>#DIV/0!</v>
      </c>
      <c r="T321" s="60" t="e">
        <f>'Final Data-US$'!T264/'Final Data-US$'!S264-1</f>
        <v>#DIV/0!</v>
      </c>
      <c r="U321" s="60" t="e">
        <f>'Final Data-US$'!U264/'Final Data-US$'!T264-1</f>
        <v>#DIV/0!</v>
      </c>
      <c r="V321" s="60" t="e">
        <f>'Final Data-US$'!V264/'Final Data-US$'!U264-1</f>
        <v>#DIV/0!</v>
      </c>
      <c r="W321" s="106" t="e">
        <f>'Final Data-US$'!W264</f>
        <v>#DIV/0!</v>
      </c>
      <c r="X321" s="106" t="e">
        <f>'Final Data-US$'!X264</f>
        <v>#DIV/0!</v>
      </c>
    </row>
    <row r="322" spans="1:26">
      <c r="A322" s="55" t="str">
        <f>'Secondary cum Calculation'!A585</f>
        <v>Poland</v>
      </c>
      <c r="B322" s="56" t="str">
        <f>'Secondary cum Calculation'!B585</f>
        <v>Tourism Flows</v>
      </c>
      <c r="C322" s="56" t="str">
        <f>'Secondary cum Calculation'!C585</f>
        <v>International Arrivals by Place of Origin</v>
      </c>
      <c r="D322" s="56" t="str">
        <f>'Secondary cum Calculation'!D585</f>
        <v>South &amp; Central America</v>
      </c>
      <c r="E322" s="55" t="str">
        <f>'Secondary cum Calculation'!E585</f>
        <v>United States Virgin Islands</v>
      </c>
      <c r="F322" s="57" t="str">
        <f>'Secondary cum Calculation'!F585</f>
        <v>The number of international arrivals to a country originating from United States Virgin Islands</v>
      </c>
      <c r="G322" s="57" t="str">
        <f>'Secondary cum Calculation'!G585</f>
        <v>Tourism Demand &amp; Flows Database</v>
      </c>
      <c r="H322" s="57" t="str">
        <f>'Secondary cum Calculation'!H585</f>
        <v>New</v>
      </c>
      <c r="I322" s="57">
        <f>'Secondary cum Calculation'!I585</f>
        <v>0</v>
      </c>
      <c r="J322" s="57" t="str">
        <f>'Secondary cum Calculation'!J585</f>
        <v>Thousand</v>
      </c>
      <c r="K322" s="58">
        <f>'Secondary cum Calculation'!K585</f>
        <v>0</v>
      </c>
      <c r="L322" s="59"/>
      <c r="M322" s="60" t="e">
        <f>'Final Data-US$'!M265/'Final Data-US$'!L265-1</f>
        <v>#DIV/0!</v>
      </c>
      <c r="N322" s="60" t="e">
        <f>'Final Data-US$'!N265/'Final Data-US$'!M265-1</f>
        <v>#DIV/0!</v>
      </c>
      <c r="O322" s="60" t="e">
        <f>'Final Data-US$'!O265/'Final Data-US$'!N265-1</f>
        <v>#DIV/0!</v>
      </c>
      <c r="P322" s="60" t="e">
        <f>'Final Data-US$'!P265/'Final Data-US$'!O265-1</f>
        <v>#DIV/0!</v>
      </c>
      <c r="Q322" s="60" t="e">
        <f>'Final Data-US$'!Q265/'Final Data-US$'!P265-1</f>
        <v>#DIV/0!</v>
      </c>
      <c r="R322" s="60" t="e">
        <f>'Final Data-US$'!R265/'Final Data-US$'!Q265-1</f>
        <v>#DIV/0!</v>
      </c>
      <c r="S322" s="60" t="e">
        <f>'Final Data-US$'!S265/'Final Data-US$'!R265-1</f>
        <v>#DIV/0!</v>
      </c>
      <c r="T322" s="60" t="e">
        <f>'Final Data-US$'!T265/'Final Data-US$'!S265-1</f>
        <v>#DIV/0!</v>
      </c>
      <c r="U322" s="60" t="e">
        <f>'Final Data-US$'!U265/'Final Data-US$'!T265-1</f>
        <v>#DIV/0!</v>
      </c>
      <c r="V322" s="60" t="e">
        <f>'Final Data-US$'!V265/'Final Data-US$'!U265-1</f>
        <v>#DIV/0!</v>
      </c>
      <c r="W322" s="106" t="e">
        <f>'Final Data-US$'!W265</f>
        <v>#DIV/0!</v>
      </c>
      <c r="X322" s="106" t="e">
        <f>'Final Data-US$'!X265</f>
        <v>#DIV/0!</v>
      </c>
    </row>
    <row r="323" spans="1:26">
      <c r="A323" s="55" t="str">
        <f>'Secondary cum Calculation'!A587</f>
        <v>Poland</v>
      </c>
      <c r="B323" s="56" t="str">
        <f>'Secondary cum Calculation'!B587</f>
        <v>Tourism Flows</v>
      </c>
      <c r="C323" s="56" t="str">
        <f>'Secondary cum Calculation'!C587</f>
        <v>International Arrivals by Place of Origin</v>
      </c>
      <c r="D323" s="56" t="str">
        <f>'Secondary cum Calculation'!D587</f>
        <v>South &amp; Central America</v>
      </c>
      <c r="E323" s="55" t="str">
        <f>'Secondary cum Calculation'!E587</f>
        <v>Uruguay</v>
      </c>
      <c r="F323" s="57" t="str">
        <f>'Secondary cum Calculation'!F587</f>
        <v>The number of international arrivals to a country originating from Uruguay</v>
      </c>
      <c r="G323" s="57" t="str">
        <f>'Secondary cum Calculation'!G587</f>
        <v>Tourism Demand &amp; Flows Database</v>
      </c>
      <c r="H323" s="57" t="str">
        <f>'Secondary cum Calculation'!H587</f>
        <v>New</v>
      </c>
      <c r="I323" s="57">
        <f>'Secondary cum Calculation'!I587</f>
        <v>0</v>
      </c>
      <c r="J323" s="57" t="str">
        <f>'Secondary cum Calculation'!J587</f>
        <v>Thousand</v>
      </c>
      <c r="K323" s="58">
        <f>'Secondary cum Calculation'!K587</f>
        <v>0</v>
      </c>
      <c r="L323" s="59"/>
      <c r="M323" s="60" t="e">
        <f>'Final Data-US$'!M266/'Final Data-US$'!L266-1</f>
        <v>#DIV/0!</v>
      </c>
      <c r="N323" s="60" t="e">
        <f>'Final Data-US$'!N266/'Final Data-US$'!M266-1</f>
        <v>#DIV/0!</v>
      </c>
      <c r="O323" s="100" t="e">
        <f>'Final Data-US$'!O266/'Final Data-US$'!N266-1</f>
        <v>#DIV/0!</v>
      </c>
      <c r="P323" s="100" t="e">
        <f>'Final Data-US$'!P266/'Final Data-US$'!O266-1</f>
        <v>#DIV/0!</v>
      </c>
      <c r="Q323" s="100" t="e">
        <f>'Final Data-US$'!Q266/'Final Data-US$'!P266-1</f>
        <v>#DIV/0!</v>
      </c>
      <c r="R323" s="100" t="e">
        <f>'Final Data-US$'!R266/'Final Data-US$'!Q266-1</f>
        <v>#DIV/0!</v>
      </c>
      <c r="S323" s="100" t="e">
        <f>'Final Data-US$'!S266/'Final Data-US$'!R266-1</f>
        <v>#DIV/0!</v>
      </c>
      <c r="T323" s="100" t="e">
        <f>'Final Data-US$'!T266/'Final Data-US$'!S266-1</f>
        <v>#DIV/0!</v>
      </c>
      <c r="U323" s="100" t="e">
        <f>'Final Data-US$'!U266/'Final Data-US$'!T266-1</f>
        <v>#DIV/0!</v>
      </c>
      <c r="V323" s="100" t="e">
        <f>'Final Data-US$'!V266/'Final Data-US$'!U266-1</f>
        <v>#DIV/0!</v>
      </c>
      <c r="W323" s="106" t="e">
        <f>'Final Data-US$'!W266</f>
        <v>#DIV/0!</v>
      </c>
      <c r="X323" s="106" t="e">
        <f>'Final Data-US$'!X266</f>
        <v>#DIV/0!</v>
      </c>
    </row>
    <row r="324" spans="1:26">
      <c r="A324" s="55" t="str">
        <f>'Secondary cum Calculation'!A589</f>
        <v>Poland</v>
      </c>
      <c r="B324" s="56" t="str">
        <f>'Secondary cum Calculation'!B589</f>
        <v>Tourism Flows</v>
      </c>
      <c r="C324" s="56" t="str">
        <f>'Secondary cum Calculation'!C589</f>
        <v>International Arrivals by Place of Origin</v>
      </c>
      <c r="D324" s="56" t="str">
        <f>'Secondary cum Calculation'!D589</f>
        <v>South &amp; Central America</v>
      </c>
      <c r="E324" s="55" t="str">
        <f>'Secondary cum Calculation'!E589</f>
        <v>Venezuela</v>
      </c>
      <c r="F324" s="57" t="str">
        <f>'Secondary cum Calculation'!F589</f>
        <v>The number of international arrivals to a country originating from Venezuela</v>
      </c>
      <c r="G324" s="57" t="str">
        <f>'Secondary cum Calculation'!G589</f>
        <v>Tourism Demand &amp; Flows Database</v>
      </c>
      <c r="H324" s="57" t="str">
        <f>'Secondary cum Calculation'!H589</f>
        <v>New</v>
      </c>
      <c r="I324" s="57">
        <f>'Secondary cum Calculation'!I589</f>
        <v>0</v>
      </c>
      <c r="J324" s="57" t="str">
        <f>'Secondary cum Calculation'!J589</f>
        <v>Thousand</v>
      </c>
      <c r="K324" s="58">
        <f>'Secondary cum Calculation'!K589</f>
        <v>369.03699999999998</v>
      </c>
      <c r="L324" s="59"/>
      <c r="M324" s="60" t="e">
        <f>'Final Data-US$'!M267/'Final Data-US$'!L267-1</f>
        <v>#DIV/0!</v>
      </c>
      <c r="N324" s="60" t="e">
        <f>'Final Data-US$'!N267/'Final Data-US$'!M267-1</f>
        <v>#DIV/0!</v>
      </c>
      <c r="O324" s="60" t="e">
        <f>'Final Data-US$'!O267/'Final Data-US$'!N267-1</f>
        <v>#DIV/0!</v>
      </c>
      <c r="P324" s="60" t="e">
        <f>'Final Data-US$'!P267/'Final Data-US$'!O267-1</f>
        <v>#DIV/0!</v>
      </c>
      <c r="Q324" s="60" t="e">
        <f>'Final Data-US$'!Q267/'Final Data-US$'!P267-1</f>
        <v>#DIV/0!</v>
      </c>
      <c r="R324" s="60" t="e">
        <f>'Final Data-US$'!R267/'Final Data-US$'!Q267-1</f>
        <v>#DIV/0!</v>
      </c>
      <c r="S324" s="60" t="e">
        <f>'Final Data-US$'!S267/'Final Data-US$'!R267-1</f>
        <v>#DIV/0!</v>
      </c>
      <c r="T324" s="60" t="e">
        <f>'Final Data-US$'!T267/'Final Data-US$'!S267-1</f>
        <v>#DIV/0!</v>
      </c>
      <c r="U324" s="60" t="e">
        <f>'Final Data-US$'!U267/'Final Data-US$'!T267-1</f>
        <v>#DIV/0!</v>
      </c>
      <c r="V324" s="60" t="e">
        <f>'Final Data-US$'!V267/'Final Data-US$'!U267-1</f>
        <v>#DIV/0!</v>
      </c>
      <c r="W324" s="106" t="e">
        <f>'Final Data-US$'!W267</f>
        <v>#DIV/0!</v>
      </c>
      <c r="X324" s="106" t="e">
        <f>'Final Data-US$'!X267</f>
        <v>#DIV/0!</v>
      </c>
    </row>
    <row r="325" spans="1:26">
      <c r="A325" s="55" t="str">
        <f>'Secondary cum Calculation'!A591</f>
        <v>Poland</v>
      </c>
      <c r="B325" s="84" t="str">
        <f>'Secondary cum Calculation'!B591</f>
        <v>Tourism Flows</v>
      </c>
      <c r="C325" s="84" t="str">
        <f>'Secondary cum Calculation'!C591</f>
        <v>International Arrivals by Place of Origin</v>
      </c>
      <c r="D325" s="84" t="str">
        <f>'Secondary cum Calculation'!D591</f>
        <v>South &amp; Central America</v>
      </c>
      <c r="E325" s="97" t="str">
        <f>'Secondary cum Calculation'!E591</f>
        <v>Other South American Countries</v>
      </c>
      <c r="F325" s="84" t="str">
        <f>'Secondary cum Calculation'!F591</f>
        <v>To be defined according to the gaps in the country data above</v>
      </c>
      <c r="G325" s="84" t="str">
        <f>'Secondary cum Calculation'!G591</f>
        <v>Tourism Demand &amp; Flows Database</v>
      </c>
      <c r="H325" s="84" t="str">
        <f>'Secondary cum Calculation'!H591</f>
        <v>New</v>
      </c>
      <c r="I325" s="84">
        <f>'Secondary cum Calculation'!I591</f>
        <v>0</v>
      </c>
      <c r="J325" s="57" t="str">
        <f>'Secondary cum Calculation'!J591</f>
        <v>Thousand</v>
      </c>
      <c r="K325" s="101">
        <f>'Secondary cum Calculation'!K591</f>
        <v>0</v>
      </c>
      <c r="L325" s="99"/>
      <c r="M325" s="100">
        <f>'Final Data-US$'!M268/'Final Data-US$'!L268-1</f>
        <v>-0.15320323607625086</v>
      </c>
      <c r="N325" s="100">
        <f>'Final Data-US$'!N268/'Final Data-US$'!M268-1</f>
        <v>-0.14800449896477597</v>
      </c>
      <c r="O325" s="100">
        <f>'Final Data-US$'!O268/'Final Data-US$'!N268-1</f>
        <v>0.12964536012782601</v>
      </c>
      <c r="P325" s="100">
        <f>'Final Data-US$'!P268/'Final Data-US$'!O268-1</f>
        <v>-8.6779841601086427E-2</v>
      </c>
      <c r="Q325" s="100">
        <f>'Final Data-US$'!Q268/'Final Data-US$'!P268-1</f>
        <v>0.18924594119402971</v>
      </c>
      <c r="R325" s="100">
        <f>'Final Data-US$'!R268/'Final Data-US$'!Q268-1</f>
        <v>-1</v>
      </c>
      <c r="S325" s="100" t="e">
        <f>'Final Data-US$'!S268/'Final Data-US$'!R268-1</f>
        <v>#DIV/0!</v>
      </c>
      <c r="T325" s="100" t="e">
        <f>'Final Data-US$'!T268/'Final Data-US$'!S268-1</f>
        <v>#DIV/0!</v>
      </c>
      <c r="U325" s="100" t="e">
        <f>'Final Data-US$'!U268/'Final Data-US$'!T268-1</f>
        <v>#DIV/0!</v>
      </c>
      <c r="V325" s="100" t="e">
        <f>'Final Data-US$'!V268/'Final Data-US$'!U268-1</f>
        <v>#DIV/0!</v>
      </c>
      <c r="W325" s="107">
        <f>'Final Data-US$'!W268</f>
        <v>1.1129189632818504E-2</v>
      </c>
      <c r="X325" s="107">
        <f>'Final Data-US$'!X268</f>
        <v>-1</v>
      </c>
      <c r="Y325" s="41"/>
      <c r="Z325" s="41"/>
    </row>
    <row r="326" spans="1:26">
      <c r="A326" s="46" t="str">
        <f>'Secondary cum Calculation'!A593</f>
        <v>Poland</v>
      </c>
      <c r="B326" s="47" t="str">
        <f>'Secondary cum Calculation'!B593</f>
        <v>Tourism Flows</v>
      </c>
      <c r="C326" s="46" t="str">
        <f>'Secondary cum Calculation'!C593</f>
        <v>International Arrivals by Purpose of Visit</v>
      </c>
      <c r="D326" s="48"/>
      <c r="E326" s="48"/>
      <c r="F326" s="48" t="str">
        <f>'Secondary cum Calculation'!F593</f>
        <v>The total number of international arrivals to a country, segmented by the purpose of the visit and the mode of transport used to get to and from the destination.</v>
      </c>
      <c r="G326" s="48" t="str">
        <f>'Secondary cum Calculation'!G593</f>
        <v>Tourism Demand &amp; Flows Database</v>
      </c>
      <c r="H326" s="48" t="str">
        <f>'Secondary cum Calculation'!H593</f>
        <v>Exists</v>
      </c>
      <c r="I326" s="48">
        <f>'Secondary cum Calculation'!I593</f>
        <v>0</v>
      </c>
      <c r="J326" s="48" t="str">
        <f>'Secondary cum Calculation'!J593</f>
        <v>Thousand</v>
      </c>
      <c r="K326" s="49">
        <f>'Secondary cum Calculation'!K593</f>
        <v>0</v>
      </c>
      <c r="L326" s="53"/>
      <c r="M326" s="51">
        <f>'Final Data-US$'!M269/'Final Data-US$'!L269-1</f>
        <v>-0.13457518339065755</v>
      </c>
      <c r="N326" s="51">
        <f>'Final Data-US$'!N269/'Final Data-US$'!M269-1</f>
        <v>-8.2551125793853486E-2</v>
      </c>
      <c r="O326" s="51">
        <f>'Final Data-US$'!O269/'Final Data-US$'!N269-1</f>
        <v>4.8780487804878092E-2</v>
      </c>
      <c r="P326" s="51">
        <f>'Final Data-US$'!P269/'Final Data-US$'!O269-1</f>
        <v>7.0569366479551032E-2</v>
      </c>
      <c r="Q326" s="51">
        <f>'Final Data-US$'!Q269/'Final Data-US$'!P269-1</f>
        <v>0.11161048689138586</v>
      </c>
      <c r="R326" s="51">
        <f>'Final Data-US$'!R269/'Final Data-US$'!Q269-1</f>
        <v>4.3894520703811502E-2</v>
      </c>
      <c r="S326" s="51">
        <f>'Final Data-US$'!S269/'Final Data-US$'!R269-1</f>
        <v>3.7730057894765245E-2</v>
      </c>
      <c r="T326" s="51">
        <f>'Final Data-US$'!T269/'Final Data-US$'!S269-1</f>
        <v>4.1529713635074961E-2</v>
      </c>
      <c r="U326" s="51">
        <f>'Final Data-US$'!U269/'Final Data-US$'!T269-1</f>
        <v>4.7028513561989227E-2</v>
      </c>
      <c r="V326" s="51">
        <f>'Final Data-US$'!V269/'Final Data-US$'!U269-1</f>
        <v>5.0596535090138284E-2</v>
      </c>
      <c r="W326" s="102">
        <f>'Final Data-US$'!W269</f>
        <v>3.4447560113938902E-2</v>
      </c>
      <c r="X326" s="102">
        <f>'Final Data-US$'!X269</f>
        <v>4.4146483873642506E-2</v>
      </c>
    </row>
    <row r="327" spans="1:26">
      <c r="A327" s="46" t="str">
        <f>'Secondary cum Calculation'!A595</f>
        <v>Poland</v>
      </c>
      <c r="B327" s="47" t="str">
        <f>'Secondary cum Calculation'!B595</f>
        <v>Tourism Flows</v>
      </c>
      <c r="C327" s="47" t="str">
        <f>'Secondary cum Calculation'!C595</f>
        <v>International Arrivals by Purpose of Visit</v>
      </c>
      <c r="D327" s="46" t="str">
        <f>'Secondary cum Calculation'!D595</f>
        <v>Business</v>
      </c>
      <c r="E327" s="48"/>
      <c r="F327" s="48" t="str">
        <f>'Secondary cum Calculation'!F595</f>
        <v>The number of international arrivals to a country who are engaging in travel &amp; tourism activities on behalf of their business or employer.</v>
      </c>
      <c r="G327" s="48" t="str">
        <f>'Secondary cum Calculation'!G595</f>
        <v>Tourism Demand &amp; Flows Database</v>
      </c>
      <c r="H327" s="48" t="str">
        <f>'Secondary cum Calculation'!H595</f>
        <v>Exists</v>
      </c>
      <c r="I327" s="48" t="str">
        <f>'Secondary cum Calculation'!I595</f>
        <v>UNWTO</v>
      </c>
      <c r="J327" s="48" t="str">
        <f>'Secondary cum Calculation'!J595</f>
        <v>Thousand</v>
      </c>
      <c r="K327" s="49" t="e">
        <f>'Secondary cum Calculation'!K595</f>
        <v>#REF!</v>
      </c>
      <c r="L327" s="53"/>
      <c r="M327" s="51">
        <f>'Final Data-US$'!M270/'Final Data-US$'!L270-1</f>
        <v>-0.15569158669383265</v>
      </c>
      <c r="N327" s="51">
        <f>'Final Data-US$'!N270/'Final Data-US$'!M270-1</f>
        <v>-0.1153171570155016</v>
      </c>
      <c r="O327" s="51">
        <f>'Final Data-US$'!O270/'Final Data-US$'!N270-1</f>
        <v>-2.8906955736224038E-2</v>
      </c>
      <c r="P327" s="51">
        <f>'Final Data-US$'!P270/'Final Data-US$'!O270-1</f>
        <v>0.11339214113873286</v>
      </c>
      <c r="Q327" s="51">
        <f>'Final Data-US$'!Q270/'Final Data-US$'!P270-1</f>
        <v>0.10617688533645753</v>
      </c>
      <c r="R327" s="51">
        <f>'Final Data-US$'!R270/'Final Data-US$'!Q270-1</f>
        <v>2.4501292533902097E-2</v>
      </c>
      <c r="S327" s="51">
        <f>'Final Data-US$'!S270/'Final Data-US$'!R270-1</f>
        <v>2.2026551633857361E-2</v>
      </c>
      <c r="T327" s="51">
        <f>'Final Data-US$'!T270/'Final Data-US$'!S270-1</f>
        <v>2.0780769183167624E-2</v>
      </c>
      <c r="U327" s="51">
        <f>'Final Data-US$'!U270/'Final Data-US$'!T270-1</f>
        <v>3.1898468007610203E-2</v>
      </c>
      <c r="V327" s="51">
        <f>'Final Data-US$'!V270/'Final Data-US$'!U270-1</f>
        <v>3.3744659408366795E-2</v>
      </c>
      <c r="W327" s="102">
        <f>'Final Data-US$'!W270</f>
        <v>1.4215619747853347E-2</v>
      </c>
      <c r="X327" s="102">
        <f>'Final Data-US$'!X270</f>
        <v>2.6576889481508159E-2</v>
      </c>
      <c r="Y327" s="13"/>
    </row>
    <row r="328" spans="1:26">
      <c r="A328" s="46" t="str">
        <f>'Secondary cum Calculation'!A597</f>
        <v>Poland</v>
      </c>
      <c r="B328" s="47" t="str">
        <f>'Secondary cum Calculation'!B597</f>
        <v>Tourism Flows</v>
      </c>
      <c r="C328" s="47" t="str">
        <f>'Secondary cum Calculation'!C597</f>
        <v>International Arrivals by Purpose of Visit</v>
      </c>
      <c r="D328" s="46" t="str">
        <f>'Secondary cum Calculation'!D597</f>
        <v>Leisure</v>
      </c>
      <c r="E328" s="48"/>
      <c r="F328" s="48" t="str">
        <f>'Secondary cum Calculation'!F597</f>
        <v>The number of international arrivals to a country who are engaging in travel &amp; tourism activities for personal reasons related to leisure.</v>
      </c>
      <c r="G328" s="48" t="str">
        <f>'Secondary cum Calculation'!G597</f>
        <v>Tourism Demand &amp; Flows Database</v>
      </c>
      <c r="H328" s="48" t="str">
        <f>'Secondary cum Calculation'!H597</f>
        <v>Exists</v>
      </c>
      <c r="I328" s="48" t="str">
        <f>'Secondary cum Calculation'!I597</f>
        <v>UNWTO</v>
      </c>
      <c r="J328" s="48" t="str">
        <f>'Secondary cum Calculation'!J597</f>
        <v>Thousand</v>
      </c>
      <c r="K328" s="49" t="e">
        <f>'Secondary cum Calculation'!K597</f>
        <v>#REF!</v>
      </c>
      <c r="L328" s="53"/>
      <c r="M328" s="51">
        <f>'Final Data-US$'!M271/'Final Data-US$'!L271-1</f>
        <v>-0.13791696672993459</v>
      </c>
      <c r="N328" s="51">
        <f>'Final Data-US$'!N271/'Final Data-US$'!M271-1</f>
        <v>-9.7841940363956215E-2</v>
      </c>
      <c r="O328" s="51">
        <f>'Final Data-US$'!O271/'Final Data-US$'!N271-1</f>
        <v>8.4332368747416453E-2</v>
      </c>
      <c r="P328" s="51">
        <f>'Final Data-US$'!P271/'Final Data-US$'!O271-1</f>
        <v>5.3019048996279849E-2</v>
      </c>
      <c r="Q328" s="51">
        <f>'Final Data-US$'!Q271/'Final Data-US$'!P271-1</f>
        <v>0.11634130083662608</v>
      </c>
      <c r="R328" s="51">
        <f>'Final Data-US$'!R271/'Final Data-US$'!Q271-1</f>
        <v>4.6048412716085396E-2</v>
      </c>
      <c r="S328" s="51">
        <f>'Final Data-US$'!S271/'Final Data-US$'!R271-1</f>
        <v>3.7481762988116341E-2</v>
      </c>
      <c r="T328" s="51">
        <f>'Final Data-US$'!T271/'Final Data-US$'!S271-1</f>
        <v>4.7119988917660782E-2</v>
      </c>
      <c r="U328" s="51">
        <f>'Final Data-US$'!U271/'Final Data-US$'!T271-1</f>
        <v>5.1072522098142503E-2</v>
      </c>
      <c r="V328" s="51">
        <f>'Final Data-US$'!V271/'Final Data-US$'!U271-1</f>
        <v>5.455100993874451E-2</v>
      </c>
      <c r="W328" s="102">
        <f>'Final Data-US$'!W271</f>
        <v>3.5546413577605351E-2</v>
      </c>
      <c r="X328" s="102">
        <f>'Final Data-US$'!X271</f>
        <v>4.7238973115547367E-2</v>
      </c>
      <c r="Y328" s="13"/>
    </row>
    <row r="329" spans="1:26">
      <c r="A329" s="46" t="str">
        <f>'Secondary cum Calculation'!A599</f>
        <v>Poland</v>
      </c>
      <c r="B329" s="47" t="str">
        <f>'Secondary cum Calculation'!B599</f>
        <v>Tourism Flows</v>
      </c>
      <c r="C329" s="47" t="str">
        <f>'Secondary cum Calculation'!C599</f>
        <v>International Arrivals by Purpose of Visit</v>
      </c>
      <c r="D329" s="46" t="str">
        <f>'Secondary cum Calculation'!D599</f>
        <v>Other Personal</v>
      </c>
      <c r="E329" s="46"/>
      <c r="F329" s="48" t="str">
        <f>'Secondary cum Calculation'!F599</f>
        <v>The number of international arrivals to a country who are engaging in travel &amp; tourism activities for non-business or non-leisure related personal reasons, including for the purpose of pilgrimage, health and medical, education and training, transit, volunteer work (not included elsewhere), investigative work and migration possibilities, and the undertaking any other temporary non-remunerated activities not included elsewhere.</v>
      </c>
      <c r="G329" s="48" t="str">
        <f>'Secondary cum Calculation'!G599</f>
        <v>Tourism Demand &amp; Flows Database</v>
      </c>
      <c r="H329" s="48" t="str">
        <f>'Secondary cum Calculation'!H599</f>
        <v>Exists</v>
      </c>
      <c r="I329" s="48" t="str">
        <f>'Secondary cum Calculation'!I599</f>
        <v>UNWTO</v>
      </c>
      <c r="J329" s="48" t="str">
        <f>'Secondary cum Calculation'!J599</f>
        <v>Thousand</v>
      </c>
      <c r="K329" s="49" t="e">
        <f>'Secondary cum Calculation'!K599</f>
        <v>#REF!</v>
      </c>
      <c r="L329" s="53"/>
      <c r="M329" s="51">
        <f>'Final Data-US$'!M272/'Final Data-US$'!L272-1</f>
        <v>-6.1626614095145915E-2</v>
      </c>
      <c r="N329" s="51">
        <f>'Final Data-US$'!N272/'Final Data-US$'!M272-1</f>
        <v>7.0357019907172136E-2</v>
      </c>
      <c r="O329" s="51">
        <f>'Final Data-US$'!O272/'Final Data-US$'!N272-1</f>
        <v>4.8780487804878092E-2</v>
      </c>
      <c r="P329" s="51">
        <f>'Final Data-US$'!P272/'Final Data-US$'!O272-1</f>
        <v>7.0569366479549922E-2</v>
      </c>
      <c r="Q329" s="51">
        <f>'Final Data-US$'!Q272/'Final Data-US$'!P272-1</f>
        <v>0.10142654429951015</v>
      </c>
      <c r="R329" s="51">
        <f>'Final Data-US$'!R272/'Final Data-US$'!Q272-1</f>
        <v>7.0709884091494812E-2</v>
      </c>
      <c r="S329" s="51">
        <f>'Final Data-US$'!S272/'Final Data-US$'!R272-1</f>
        <v>6.6809138115267563E-2</v>
      </c>
      <c r="T329" s="51">
        <f>'Final Data-US$'!T272/'Final Data-US$'!S272-1</f>
        <v>5.393377495226126E-2</v>
      </c>
      <c r="U329" s="51">
        <f>'Final Data-US$'!U272/'Final Data-US$'!T272-1</f>
        <v>5.5501380603474093E-2</v>
      </c>
      <c r="V329" s="51">
        <f>'Final Data-US$'!V272/'Final Data-US$'!U272-1</f>
        <v>6.1731810525415209E-2</v>
      </c>
      <c r="W329" s="102">
        <f>'Final Data-US$'!W272</f>
        <v>7.2620030516287182E-2</v>
      </c>
      <c r="X329" s="102">
        <f>'Final Data-US$'!X272</f>
        <v>6.1717801969430441E-2</v>
      </c>
      <c r="Y329" s="13"/>
    </row>
    <row r="330" spans="1:26">
      <c r="A330" s="55" t="e">
        <f>'Secondary cum Calculation'!#REF!</f>
        <v>#REF!</v>
      </c>
      <c r="B330" s="56" t="e">
        <f>'Secondary cum Calculation'!#REF!</f>
        <v>#REF!</v>
      </c>
      <c r="C330" s="55" t="e">
        <f>'Secondary cum Calculation'!#REF!</f>
        <v>#REF!</v>
      </c>
      <c r="D330" s="57"/>
      <c r="E330" s="57"/>
      <c r="F330" s="57" t="e">
        <f>'Secondary cum Calculation'!#REF!</f>
        <v>#REF!</v>
      </c>
      <c r="G330" s="57" t="e">
        <f>'Secondary cum Calculation'!#REF!</f>
        <v>#REF!</v>
      </c>
      <c r="H330" s="57" t="e">
        <f>'Secondary cum Calculation'!#REF!</f>
        <v>#REF!</v>
      </c>
      <c r="I330" s="57" t="e">
        <f>'Secondary cum Calculation'!#REF!</f>
        <v>#REF!</v>
      </c>
      <c r="J330" s="57" t="e">
        <f>'Secondary cum Calculation'!#REF!</f>
        <v>#REF!</v>
      </c>
      <c r="K330" s="58" t="e">
        <f>'Secondary cum Calculation'!#REF!</f>
        <v>#REF!</v>
      </c>
      <c r="L330" s="80"/>
      <c r="M330" s="81" t="e">
        <f>'Final Data-US$'!#REF!/'Final Data-US$'!#REF!-1</f>
        <v>#REF!</v>
      </c>
      <c r="N330" s="81" t="e">
        <f>'Final Data-US$'!#REF!/'Final Data-US$'!#REF!-1</f>
        <v>#REF!</v>
      </c>
      <c r="O330" s="81" t="e">
        <f>'Final Data-US$'!#REF!/'Final Data-US$'!#REF!-1</f>
        <v>#REF!</v>
      </c>
      <c r="P330" s="81" t="e">
        <f>'Final Data-US$'!#REF!/'Final Data-US$'!#REF!-1</f>
        <v>#REF!</v>
      </c>
      <c r="Q330" s="81" t="e">
        <f>'Final Data-US$'!#REF!/'Final Data-US$'!#REF!-1</f>
        <v>#REF!</v>
      </c>
      <c r="R330" s="81" t="e">
        <f>'Final Data-US$'!#REF!/'Final Data-US$'!#REF!-1</f>
        <v>#REF!</v>
      </c>
      <c r="S330" s="81" t="e">
        <f>'Final Data-US$'!#REF!/'Final Data-US$'!#REF!-1</f>
        <v>#REF!</v>
      </c>
      <c r="T330" s="81" t="e">
        <f>'Final Data-US$'!#REF!/'Final Data-US$'!#REF!-1</f>
        <v>#REF!</v>
      </c>
      <c r="U330" s="81" t="e">
        <f>'Final Data-US$'!#REF!/'Final Data-US$'!#REF!-1</f>
        <v>#REF!</v>
      </c>
      <c r="V330" s="81" t="e">
        <f>'Final Data-US$'!#REF!/'Final Data-US$'!#REF!-1</f>
        <v>#REF!</v>
      </c>
      <c r="W330" s="106" t="e">
        <f>'Final Data-US$'!#REF!</f>
        <v>#REF!</v>
      </c>
      <c r="X330" s="106" t="e">
        <f>'Final Data-US$'!#REF!</f>
        <v>#REF!</v>
      </c>
    </row>
    <row r="331" spans="1:26">
      <c r="A331" s="55" t="e">
        <f>'Secondary cum Calculation'!#REF!</f>
        <v>#REF!</v>
      </c>
      <c r="B331" s="56" t="e">
        <f>'Secondary cum Calculation'!#REF!</f>
        <v>#REF!</v>
      </c>
      <c r="C331" s="56" t="e">
        <f>'Secondary cum Calculation'!#REF!</f>
        <v>#REF!</v>
      </c>
      <c r="D331" s="55" t="e">
        <f>'Secondary cum Calculation'!#REF!</f>
        <v>#REF!</v>
      </c>
      <c r="E331" s="57"/>
      <c r="F331" s="57" t="e">
        <f>'Secondary cum Calculation'!#REF!</f>
        <v>#REF!</v>
      </c>
      <c r="G331" s="57" t="e">
        <f>'Secondary cum Calculation'!#REF!</f>
        <v>#REF!</v>
      </c>
      <c r="H331" s="57" t="e">
        <f>'Secondary cum Calculation'!#REF!</f>
        <v>#REF!</v>
      </c>
      <c r="I331" s="57" t="e">
        <f>'Secondary cum Calculation'!#REF!</f>
        <v>#REF!</v>
      </c>
      <c r="J331" s="57" t="e">
        <f>'Secondary cum Calculation'!#REF!</f>
        <v>#REF!</v>
      </c>
      <c r="K331" s="58" t="e">
        <f>'Secondary cum Calculation'!#REF!</f>
        <v>#REF!</v>
      </c>
      <c r="L331" s="59"/>
      <c r="M331" s="60" t="e">
        <f>'Final Data-US$'!#REF!/'Final Data-US$'!#REF!-1</f>
        <v>#REF!</v>
      </c>
      <c r="N331" s="60" t="e">
        <f>'Final Data-US$'!#REF!/'Final Data-US$'!#REF!-1</f>
        <v>#REF!</v>
      </c>
      <c r="O331" s="60" t="e">
        <f>'Final Data-US$'!#REF!/'Final Data-US$'!#REF!-1</f>
        <v>#REF!</v>
      </c>
      <c r="P331" s="60" t="e">
        <f>'Final Data-US$'!#REF!/'Final Data-US$'!#REF!-1</f>
        <v>#REF!</v>
      </c>
      <c r="Q331" s="60" t="e">
        <f>'Final Data-US$'!#REF!/'Final Data-US$'!#REF!-1</f>
        <v>#REF!</v>
      </c>
      <c r="R331" s="60" t="e">
        <f>'Final Data-US$'!#REF!/'Final Data-US$'!#REF!-1</f>
        <v>#REF!</v>
      </c>
      <c r="S331" s="60" t="e">
        <f>'Final Data-US$'!#REF!/'Final Data-US$'!#REF!-1</f>
        <v>#REF!</v>
      </c>
      <c r="T331" s="60" t="e">
        <f>'Final Data-US$'!#REF!/'Final Data-US$'!#REF!-1</f>
        <v>#REF!</v>
      </c>
      <c r="U331" s="60" t="e">
        <f>'Final Data-US$'!#REF!/'Final Data-US$'!#REF!-1</f>
        <v>#REF!</v>
      </c>
      <c r="V331" s="60" t="e">
        <f>'Final Data-US$'!#REF!/'Final Data-US$'!#REF!-1</f>
        <v>#REF!</v>
      </c>
      <c r="W331" s="106" t="e">
        <f>'Final Data-US$'!#REF!</f>
        <v>#REF!</v>
      </c>
      <c r="X331" s="106" t="e">
        <f>'Final Data-US$'!#REF!</f>
        <v>#REF!</v>
      </c>
      <c r="Y331" s="13"/>
    </row>
    <row r="332" spans="1:26">
      <c r="A332" s="55" t="e">
        <f>'Secondary cum Calculation'!#REF!</f>
        <v>#REF!</v>
      </c>
      <c r="B332" s="56" t="e">
        <f>'Secondary cum Calculation'!#REF!</f>
        <v>#REF!</v>
      </c>
      <c r="C332" s="56" t="e">
        <f>'Secondary cum Calculation'!#REF!</f>
        <v>#REF!</v>
      </c>
      <c r="D332" s="55" t="e">
        <f>'Secondary cum Calculation'!#REF!</f>
        <v>#REF!</v>
      </c>
      <c r="E332" s="57"/>
      <c r="F332" s="57" t="e">
        <f>'Secondary cum Calculation'!#REF!</f>
        <v>#REF!</v>
      </c>
      <c r="G332" s="57" t="e">
        <f>'Secondary cum Calculation'!#REF!</f>
        <v>#REF!</v>
      </c>
      <c r="H332" s="57" t="e">
        <f>'Secondary cum Calculation'!#REF!</f>
        <v>#REF!</v>
      </c>
      <c r="I332" s="57" t="e">
        <f>'Secondary cum Calculation'!#REF!</f>
        <v>#REF!</v>
      </c>
      <c r="J332" s="57" t="e">
        <f>'Secondary cum Calculation'!#REF!</f>
        <v>#REF!</v>
      </c>
      <c r="K332" s="58" t="e">
        <f>'Secondary cum Calculation'!#REF!</f>
        <v>#REF!</v>
      </c>
      <c r="L332" s="59"/>
      <c r="M332" s="60" t="e">
        <f>'Final Data-US$'!#REF!/'Final Data-US$'!#REF!-1</f>
        <v>#REF!</v>
      </c>
      <c r="N332" s="60" t="e">
        <f>'Final Data-US$'!#REF!/'Final Data-US$'!#REF!-1</f>
        <v>#REF!</v>
      </c>
      <c r="O332" s="60" t="e">
        <f>'Final Data-US$'!#REF!/'Final Data-US$'!#REF!-1</f>
        <v>#REF!</v>
      </c>
      <c r="P332" s="60" t="e">
        <f>'Final Data-US$'!#REF!/'Final Data-US$'!#REF!-1</f>
        <v>#REF!</v>
      </c>
      <c r="Q332" s="60" t="e">
        <f>'Final Data-US$'!#REF!/'Final Data-US$'!#REF!-1</f>
        <v>#REF!</v>
      </c>
      <c r="R332" s="60" t="e">
        <f>'Final Data-US$'!#REF!/'Final Data-US$'!#REF!-1</f>
        <v>#REF!</v>
      </c>
      <c r="S332" s="60" t="e">
        <f>'Final Data-US$'!#REF!/'Final Data-US$'!#REF!-1</f>
        <v>#REF!</v>
      </c>
      <c r="T332" s="60" t="e">
        <f>'Final Data-US$'!#REF!/'Final Data-US$'!#REF!-1</f>
        <v>#REF!</v>
      </c>
      <c r="U332" s="60" t="e">
        <f>'Final Data-US$'!#REF!/'Final Data-US$'!#REF!-1</f>
        <v>#REF!</v>
      </c>
      <c r="V332" s="60" t="e">
        <f>'Final Data-US$'!#REF!/'Final Data-US$'!#REF!-1</f>
        <v>#REF!</v>
      </c>
      <c r="W332" s="106" t="e">
        <f>'Final Data-US$'!#REF!</f>
        <v>#REF!</v>
      </c>
      <c r="X332" s="106" t="e">
        <f>'Final Data-US$'!#REF!</f>
        <v>#REF!</v>
      </c>
      <c r="Y332" s="13"/>
    </row>
    <row r="333" spans="1:26">
      <c r="A333" s="55" t="e">
        <f>'Secondary cum Calculation'!#REF!</f>
        <v>#REF!</v>
      </c>
      <c r="B333" s="56" t="e">
        <f>'Secondary cum Calculation'!#REF!</f>
        <v>#REF!</v>
      </c>
      <c r="C333" s="56" t="e">
        <f>'Secondary cum Calculation'!#REF!</f>
        <v>#REF!</v>
      </c>
      <c r="D333" s="55" t="e">
        <f>'Secondary cum Calculation'!#REF!</f>
        <v>#REF!</v>
      </c>
      <c r="E333" s="57"/>
      <c r="F333" s="57" t="e">
        <f>'Secondary cum Calculation'!#REF!</f>
        <v>#REF!</v>
      </c>
      <c r="G333" s="57" t="e">
        <f>'Secondary cum Calculation'!#REF!</f>
        <v>#REF!</v>
      </c>
      <c r="H333" s="57" t="e">
        <f>'Secondary cum Calculation'!#REF!</f>
        <v>#REF!</v>
      </c>
      <c r="I333" s="57" t="e">
        <f>'Secondary cum Calculation'!#REF!</f>
        <v>#REF!</v>
      </c>
      <c r="J333" s="57" t="e">
        <f>'Secondary cum Calculation'!#REF!</f>
        <v>#REF!</v>
      </c>
      <c r="K333" s="58" t="e">
        <f>'Secondary cum Calculation'!#REF!</f>
        <v>#REF!</v>
      </c>
      <c r="L333" s="59"/>
      <c r="M333" s="60" t="e">
        <f>'Final Data-US$'!#REF!/'Final Data-US$'!#REF!-1</f>
        <v>#REF!</v>
      </c>
      <c r="N333" s="60" t="e">
        <f>'Final Data-US$'!#REF!/'Final Data-US$'!#REF!-1</f>
        <v>#REF!</v>
      </c>
      <c r="O333" s="60" t="e">
        <f>'Final Data-US$'!#REF!/'Final Data-US$'!#REF!-1</f>
        <v>#REF!</v>
      </c>
      <c r="P333" s="60" t="e">
        <f>'Final Data-US$'!#REF!/'Final Data-US$'!#REF!-1</f>
        <v>#REF!</v>
      </c>
      <c r="Q333" s="60" t="e">
        <f>'Final Data-US$'!#REF!/'Final Data-US$'!#REF!-1</f>
        <v>#REF!</v>
      </c>
      <c r="R333" s="60" t="e">
        <f>'Final Data-US$'!#REF!/'Final Data-US$'!#REF!-1</f>
        <v>#REF!</v>
      </c>
      <c r="S333" s="60" t="e">
        <f>'Final Data-US$'!#REF!/'Final Data-US$'!#REF!-1</f>
        <v>#REF!</v>
      </c>
      <c r="T333" s="60" t="e">
        <f>'Final Data-US$'!#REF!/'Final Data-US$'!#REF!-1</f>
        <v>#REF!</v>
      </c>
      <c r="U333" s="60" t="e">
        <f>'Final Data-US$'!#REF!/'Final Data-US$'!#REF!-1</f>
        <v>#REF!</v>
      </c>
      <c r="V333" s="60" t="e">
        <f>'Final Data-US$'!#REF!/'Final Data-US$'!#REF!-1</f>
        <v>#REF!</v>
      </c>
      <c r="W333" s="106" t="e">
        <f>'Final Data-US$'!#REF!</f>
        <v>#REF!</v>
      </c>
      <c r="X333" s="106" t="e">
        <f>'Final Data-US$'!#REF!</f>
        <v>#REF!</v>
      </c>
      <c r="Y333" s="13"/>
    </row>
    <row r="334" spans="1:26">
      <c r="A334" s="55" t="e">
        <f>'Secondary cum Calculation'!#REF!</f>
        <v>#REF!</v>
      </c>
      <c r="B334" s="56" t="e">
        <f>'Secondary cum Calculation'!#REF!</f>
        <v>#REF!</v>
      </c>
      <c r="C334" s="56" t="e">
        <f>'Secondary cum Calculation'!#REF!</f>
        <v>#REF!</v>
      </c>
      <c r="D334" s="55" t="e">
        <f>'Secondary cum Calculation'!#REF!</f>
        <v>#REF!</v>
      </c>
      <c r="E334" s="57"/>
      <c r="F334" s="57" t="e">
        <f>'Secondary cum Calculation'!#REF!</f>
        <v>#REF!</v>
      </c>
      <c r="G334" s="57" t="e">
        <f>'Secondary cum Calculation'!#REF!</f>
        <v>#REF!</v>
      </c>
      <c r="H334" s="57" t="e">
        <f>'Secondary cum Calculation'!#REF!</f>
        <v>#REF!</v>
      </c>
      <c r="I334" s="57" t="e">
        <f>'Secondary cum Calculation'!#REF!</f>
        <v>#REF!</v>
      </c>
      <c r="J334" s="57" t="e">
        <f>'Secondary cum Calculation'!#REF!</f>
        <v>#REF!</v>
      </c>
      <c r="K334" s="58" t="e">
        <f>'Secondary cum Calculation'!#REF!</f>
        <v>#REF!</v>
      </c>
      <c r="L334" s="59"/>
      <c r="M334" s="60" t="e">
        <f>'Final Data-US$'!#REF!/'Final Data-US$'!#REF!-1</f>
        <v>#REF!</v>
      </c>
      <c r="N334" s="60" t="e">
        <f>'Final Data-US$'!#REF!/'Final Data-US$'!#REF!-1</f>
        <v>#REF!</v>
      </c>
      <c r="O334" s="60" t="e">
        <f>'Final Data-US$'!#REF!/'Final Data-US$'!#REF!-1</f>
        <v>#REF!</v>
      </c>
      <c r="P334" s="60" t="e">
        <f>'Final Data-US$'!#REF!/'Final Data-US$'!#REF!-1</f>
        <v>#REF!</v>
      </c>
      <c r="Q334" s="60" t="e">
        <f>'Final Data-US$'!#REF!/'Final Data-US$'!#REF!-1</f>
        <v>#REF!</v>
      </c>
      <c r="R334" s="60" t="e">
        <f>'Final Data-US$'!#REF!/'Final Data-US$'!#REF!-1</f>
        <v>#REF!</v>
      </c>
      <c r="S334" s="60" t="e">
        <f>'Final Data-US$'!#REF!/'Final Data-US$'!#REF!-1</f>
        <v>#REF!</v>
      </c>
      <c r="T334" s="60" t="e">
        <f>'Final Data-US$'!#REF!/'Final Data-US$'!#REF!-1</f>
        <v>#REF!</v>
      </c>
      <c r="U334" s="60" t="e">
        <f>'Final Data-US$'!#REF!/'Final Data-US$'!#REF!-1</f>
        <v>#REF!</v>
      </c>
      <c r="V334" s="60" t="e">
        <f>'Final Data-US$'!#REF!/'Final Data-US$'!#REF!-1</f>
        <v>#REF!</v>
      </c>
      <c r="W334" s="106" t="e">
        <f>'Final Data-US$'!#REF!</f>
        <v>#REF!</v>
      </c>
      <c r="X334" s="106" t="e">
        <f>'Final Data-US$'!#REF!</f>
        <v>#REF!</v>
      </c>
      <c r="Y334" s="13"/>
    </row>
    <row r="335" spans="1:26">
      <c r="A335" s="55" t="e">
        <f>'Secondary cum Calculation'!#REF!</f>
        <v>#REF!</v>
      </c>
      <c r="B335" s="56" t="e">
        <f>'Secondary cum Calculation'!#REF!</f>
        <v>#REF!</v>
      </c>
      <c r="C335" s="56" t="e">
        <f>'Secondary cum Calculation'!#REF!</f>
        <v>#REF!</v>
      </c>
      <c r="D335" s="55" t="e">
        <f>'Secondary cum Calculation'!#REF!</f>
        <v>#REF!</v>
      </c>
      <c r="E335" s="57"/>
      <c r="F335" s="57" t="e">
        <f>'Secondary cum Calculation'!#REF!</f>
        <v>#REF!</v>
      </c>
      <c r="G335" s="57" t="e">
        <f>'Secondary cum Calculation'!#REF!</f>
        <v>#REF!</v>
      </c>
      <c r="H335" s="57" t="e">
        <f>'Secondary cum Calculation'!#REF!</f>
        <v>#REF!</v>
      </c>
      <c r="I335" s="57" t="e">
        <f>'Secondary cum Calculation'!#REF!</f>
        <v>#REF!</v>
      </c>
      <c r="J335" s="57" t="e">
        <f>'Secondary cum Calculation'!#REF!</f>
        <v>#REF!</v>
      </c>
      <c r="K335" s="58" t="e">
        <f>'Secondary cum Calculation'!#REF!</f>
        <v>#REF!</v>
      </c>
      <c r="L335" s="59"/>
      <c r="M335" s="60" t="e">
        <f>'Final Data-US$'!#REF!/'Final Data-US$'!#REF!-1</f>
        <v>#REF!</v>
      </c>
      <c r="N335" s="60" t="e">
        <f>'Final Data-US$'!#REF!/'Final Data-US$'!#REF!-1</f>
        <v>#REF!</v>
      </c>
      <c r="O335" s="60" t="e">
        <f>'Final Data-US$'!#REF!/'Final Data-US$'!#REF!-1</f>
        <v>#REF!</v>
      </c>
      <c r="P335" s="60" t="e">
        <f>'Final Data-US$'!#REF!/'Final Data-US$'!#REF!-1</f>
        <v>#REF!</v>
      </c>
      <c r="Q335" s="60" t="e">
        <f>'Final Data-US$'!#REF!/'Final Data-US$'!#REF!-1</f>
        <v>#REF!</v>
      </c>
      <c r="R335" s="60" t="e">
        <f>'Final Data-US$'!#REF!/'Final Data-US$'!#REF!-1</f>
        <v>#REF!</v>
      </c>
      <c r="S335" s="60" t="e">
        <f>'Final Data-US$'!#REF!/'Final Data-US$'!#REF!-1</f>
        <v>#REF!</v>
      </c>
      <c r="T335" s="60" t="e">
        <f>'Final Data-US$'!#REF!/'Final Data-US$'!#REF!-1</f>
        <v>#REF!</v>
      </c>
      <c r="U335" s="60" t="e">
        <f>'Final Data-US$'!#REF!/'Final Data-US$'!#REF!-1</f>
        <v>#REF!</v>
      </c>
      <c r="V335" s="60" t="e">
        <f>'Final Data-US$'!#REF!/'Final Data-US$'!#REF!-1</f>
        <v>#REF!</v>
      </c>
      <c r="W335" s="106" t="e">
        <f>'Final Data-US$'!#REF!</f>
        <v>#REF!</v>
      </c>
      <c r="X335" s="106" t="e">
        <f>'Final Data-US$'!#REF!</f>
        <v>#REF!</v>
      </c>
      <c r="Y335" s="13"/>
    </row>
    <row r="336" spans="1:26">
      <c r="A336" s="55" t="e">
        <f>'Secondary cum Calculation'!#REF!</f>
        <v>#REF!</v>
      </c>
      <c r="B336" s="56" t="e">
        <f>'Secondary cum Calculation'!#REF!</f>
        <v>#REF!</v>
      </c>
      <c r="C336" s="56" t="e">
        <f>'Secondary cum Calculation'!#REF!</f>
        <v>#REF!</v>
      </c>
      <c r="D336" s="55" t="e">
        <f>'Secondary cum Calculation'!#REF!</f>
        <v>#REF!</v>
      </c>
      <c r="E336" s="57"/>
      <c r="F336" s="57" t="e">
        <f>'Secondary cum Calculation'!#REF!</f>
        <v>#REF!</v>
      </c>
      <c r="G336" s="57" t="e">
        <f>'Secondary cum Calculation'!#REF!</f>
        <v>#REF!</v>
      </c>
      <c r="H336" s="57" t="e">
        <f>'Secondary cum Calculation'!#REF!</f>
        <v>#REF!</v>
      </c>
      <c r="I336" s="57" t="e">
        <f>'Secondary cum Calculation'!#REF!</f>
        <v>#REF!</v>
      </c>
      <c r="J336" s="57" t="e">
        <f>'Secondary cum Calculation'!#REF!</f>
        <v>#REF!</v>
      </c>
      <c r="K336" s="58" t="e">
        <f>'Secondary cum Calculation'!#REF!</f>
        <v>#REF!</v>
      </c>
      <c r="L336" s="59"/>
      <c r="M336" s="60" t="e">
        <f>'Final Data-US$'!#REF!/'Final Data-US$'!#REF!-1</f>
        <v>#REF!</v>
      </c>
      <c r="N336" s="60" t="e">
        <f>'Final Data-US$'!#REF!/'Final Data-US$'!#REF!-1</f>
        <v>#REF!</v>
      </c>
      <c r="O336" s="60" t="e">
        <f>'Final Data-US$'!#REF!/'Final Data-US$'!#REF!-1</f>
        <v>#REF!</v>
      </c>
      <c r="P336" s="60" t="e">
        <f>'Final Data-US$'!#REF!/'Final Data-US$'!#REF!-1</f>
        <v>#REF!</v>
      </c>
      <c r="Q336" s="60" t="e">
        <f>'Final Data-US$'!#REF!/'Final Data-US$'!#REF!-1</f>
        <v>#REF!</v>
      </c>
      <c r="R336" s="60" t="e">
        <f>'Final Data-US$'!#REF!/'Final Data-US$'!#REF!-1</f>
        <v>#REF!</v>
      </c>
      <c r="S336" s="60" t="e">
        <f>'Final Data-US$'!#REF!/'Final Data-US$'!#REF!-1</f>
        <v>#REF!</v>
      </c>
      <c r="T336" s="60" t="e">
        <f>'Final Data-US$'!#REF!/'Final Data-US$'!#REF!-1</f>
        <v>#REF!</v>
      </c>
      <c r="U336" s="60" t="e">
        <f>'Final Data-US$'!#REF!/'Final Data-US$'!#REF!-1</f>
        <v>#REF!</v>
      </c>
      <c r="V336" s="60" t="e">
        <f>'Final Data-US$'!#REF!/'Final Data-US$'!#REF!-1</f>
        <v>#REF!</v>
      </c>
      <c r="W336" s="106" t="e">
        <f>'Final Data-US$'!#REF!</f>
        <v>#REF!</v>
      </c>
      <c r="X336" s="106" t="e">
        <f>'Final Data-US$'!#REF!</f>
        <v>#REF!</v>
      </c>
      <c r="Y336" s="13"/>
    </row>
    <row r="337" spans="1:25">
      <c r="A337" s="55" t="e">
        <f>'Secondary cum Calculation'!#REF!</f>
        <v>#REF!</v>
      </c>
      <c r="B337" s="56" t="e">
        <f>'Secondary cum Calculation'!#REF!</f>
        <v>#REF!</v>
      </c>
      <c r="C337" s="56" t="e">
        <f>'Secondary cum Calculation'!#REF!</f>
        <v>#REF!</v>
      </c>
      <c r="D337" s="55" t="e">
        <f>'Secondary cum Calculation'!#REF!</f>
        <v>#REF!</v>
      </c>
      <c r="E337" s="57"/>
      <c r="F337" s="57" t="e">
        <f>'Secondary cum Calculation'!#REF!</f>
        <v>#REF!</v>
      </c>
      <c r="G337" s="57" t="e">
        <f>'Secondary cum Calculation'!#REF!</f>
        <v>#REF!</v>
      </c>
      <c r="H337" s="57" t="e">
        <f>'Secondary cum Calculation'!#REF!</f>
        <v>#REF!</v>
      </c>
      <c r="I337" s="57" t="e">
        <f>'Secondary cum Calculation'!#REF!</f>
        <v>#REF!</v>
      </c>
      <c r="J337" s="57" t="e">
        <f>'Secondary cum Calculation'!#REF!</f>
        <v>#REF!</v>
      </c>
      <c r="K337" s="58" t="e">
        <f>'Secondary cum Calculation'!#REF!</f>
        <v>#REF!</v>
      </c>
      <c r="L337" s="59"/>
      <c r="M337" s="60" t="e">
        <f>'Final Data-US$'!#REF!/'Final Data-US$'!#REF!-1</f>
        <v>#REF!</v>
      </c>
      <c r="N337" s="60" t="e">
        <f>'Final Data-US$'!#REF!/'Final Data-US$'!#REF!-1</f>
        <v>#REF!</v>
      </c>
      <c r="O337" s="60" t="e">
        <f>'Final Data-US$'!#REF!/'Final Data-US$'!#REF!-1</f>
        <v>#REF!</v>
      </c>
      <c r="P337" s="60" t="e">
        <f>'Final Data-US$'!#REF!/'Final Data-US$'!#REF!-1</f>
        <v>#REF!</v>
      </c>
      <c r="Q337" s="60" t="e">
        <f>'Final Data-US$'!#REF!/'Final Data-US$'!#REF!-1</f>
        <v>#REF!</v>
      </c>
      <c r="R337" s="60" t="e">
        <f>'Final Data-US$'!#REF!/'Final Data-US$'!#REF!-1</f>
        <v>#REF!</v>
      </c>
      <c r="S337" s="60" t="e">
        <f>'Final Data-US$'!#REF!/'Final Data-US$'!#REF!-1</f>
        <v>#REF!</v>
      </c>
      <c r="T337" s="60" t="e">
        <f>'Final Data-US$'!#REF!/'Final Data-US$'!#REF!-1</f>
        <v>#REF!</v>
      </c>
      <c r="U337" s="60" t="e">
        <f>'Final Data-US$'!#REF!/'Final Data-US$'!#REF!-1</f>
        <v>#REF!</v>
      </c>
      <c r="V337" s="60" t="e">
        <f>'Final Data-US$'!#REF!/'Final Data-US$'!#REF!-1</f>
        <v>#REF!</v>
      </c>
      <c r="W337" s="106" t="e">
        <f>'Final Data-US$'!#REF!</f>
        <v>#REF!</v>
      </c>
      <c r="X337" s="106" t="e">
        <f>'Final Data-US$'!#REF!</f>
        <v>#REF!</v>
      </c>
      <c r="Y337" s="13"/>
    </row>
    <row r="338" spans="1:25">
      <c r="A338" s="55" t="e">
        <f>'Secondary cum Calculation'!#REF!</f>
        <v>#REF!</v>
      </c>
      <c r="B338" s="56" t="e">
        <f>'Secondary cum Calculation'!#REF!</f>
        <v>#REF!</v>
      </c>
      <c r="C338" s="56" t="e">
        <f>'Secondary cum Calculation'!#REF!</f>
        <v>#REF!</v>
      </c>
      <c r="D338" s="55" t="e">
        <f>'Secondary cum Calculation'!#REF!</f>
        <v>#REF!</v>
      </c>
      <c r="E338" s="57"/>
      <c r="F338" s="57" t="e">
        <f>'Secondary cum Calculation'!#REF!</f>
        <v>#REF!</v>
      </c>
      <c r="G338" s="57" t="e">
        <f>'Secondary cum Calculation'!#REF!</f>
        <v>#REF!</v>
      </c>
      <c r="H338" s="57" t="e">
        <f>'Secondary cum Calculation'!#REF!</f>
        <v>#REF!</v>
      </c>
      <c r="I338" s="57" t="e">
        <f>'Secondary cum Calculation'!#REF!</f>
        <v>#REF!</v>
      </c>
      <c r="J338" s="57" t="e">
        <f>'Secondary cum Calculation'!#REF!</f>
        <v>#REF!</v>
      </c>
      <c r="K338" s="58" t="e">
        <f>'Secondary cum Calculation'!#REF!</f>
        <v>#REF!</v>
      </c>
      <c r="L338" s="59"/>
      <c r="M338" s="60" t="e">
        <f>'Final Data-US$'!#REF!/'Final Data-US$'!#REF!-1</f>
        <v>#REF!</v>
      </c>
      <c r="N338" s="60" t="e">
        <f>'Final Data-US$'!#REF!/'Final Data-US$'!#REF!-1</f>
        <v>#REF!</v>
      </c>
      <c r="O338" s="60" t="e">
        <f>'Final Data-US$'!#REF!/'Final Data-US$'!#REF!-1</f>
        <v>#REF!</v>
      </c>
      <c r="P338" s="60" t="e">
        <f>'Final Data-US$'!#REF!/'Final Data-US$'!#REF!-1</f>
        <v>#REF!</v>
      </c>
      <c r="Q338" s="60" t="e">
        <f>'Final Data-US$'!#REF!/'Final Data-US$'!#REF!-1</f>
        <v>#REF!</v>
      </c>
      <c r="R338" s="60" t="e">
        <f>'Final Data-US$'!#REF!/'Final Data-US$'!#REF!-1</f>
        <v>#REF!</v>
      </c>
      <c r="S338" s="60" t="e">
        <f>'Final Data-US$'!#REF!/'Final Data-US$'!#REF!-1</f>
        <v>#REF!</v>
      </c>
      <c r="T338" s="60" t="e">
        <f>'Final Data-US$'!#REF!/'Final Data-US$'!#REF!-1</f>
        <v>#REF!</v>
      </c>
      <c r="U338" s="60" t="e">
        <f>'Final Data-US$'!#REF!/'Final Data-US$'!#REF!-1</f>
        <v>#REF!</v>
      </c>
      <c r="V338" s="60" t="e">
        <f>'Final Data-US$'!#REF!/'Final Data-US$'!#REF!-1</f>
        <v>#REF!</v>
      </c>
      <c r="W338" s="106" t="e">
        <f>'Final Data-US$'!#REF!</f>
        <v>#REF!</v>
      </c>
      <c r="X338" s="106" t="e">
        <f>'Final Data-US$'!#REF!</f>
        <v>#REF!</v>
      </c>
      <c r="Y338" s="13"/>
    </row>
    <row r="339" spans="1:25">
      <c r="A339" s="46" t="str">
        <f>'Secondary cum Calculation'!A606</f>
        <v>Poland</v>
      </c>
      <c r="B339" s="47" t="str">
        <f>'Secondary cum Calculation'!B606</f>
        <v>Tourism Flows</v>
      </c>
      <c r="C339" s="46" t="str">
        <f>'Secondary cum Calculation'!C606</f>
        <v>International Departures by Destination</v>
      </c>
      <c r="D339" s="48"/>
      <c r="E339" s="48"/>
      <c r="F339" s="48" t="str">
        <f>'Secondary cum Calculation'!F606</f>
        <v>The number of international departures from a country, segmented by their destination region and/or country.</v>
      </c>
      <c r="G339" s="48" t="str">
        <f>'Secondary cum Calculation'!G606</f>
        <v>Tourism Demand &amp; Flows Database</v>
      </c>
      <c r="H339" s="48" t="str">
        <f>'Secondary cum Calculation'!H606</f>
        <v>N/A</v>
      </c>
      <c r="I339" s="48">
        <f>'Secondary cum Calculation'!I606</f>
        <v>0</v>
      </c>
      <c r="J339" s="48" t="str">
        <f>'Secondary cum Calculation'!J606</f>
        <v>Thousand</v>
      </c>
      <c r="K339" s="76">
        <f>'Secondary cum Calculation'!K606</f>
        <v>0</v>
      </c>
      <c r="L339" s="91"/>
      <c r="M339" s="78">
        <f>'Final Data-US$'!M273/'Final Data-US$'!L273-1</f>
        <v>9.498337429521464E-2</v>
      </c>
      <c r="N339" s="78">
        <f>'Final Data-US$'!N273/'Final Data-US$'!M273-1</f>
        <v>-0.16583047266965933</v>
      </c>
      <c r="O339" s="78">
        <f>'Final Data-US$'!O273/'Final Data-US$'!N273-1</f>
        <v>0.12717632162076598</v>
      </c>
      <c r="P339" s="78">
        <f>'Final Data-US$'!P273/'Final Data-US$'!O273-1</f>
        <v>-0.11161974303166478</v>
      </c>
      <c r="Q339" s="78">
        <f>'Final Data-US$'!Q273/'Final Data-US$'!P273-1</f>
        <v>-2.077873173221978E-2</v>
      </c>
      <c r="R339" s="78">
        <f>'Final Data-US$'!R273/'Final Data-US$'!Q273-1</f>
        <v>1.2221781307566015E-2</v>
      </c>
      <c r="S339" s="78">
        <f>'Final Data-US$'!S273/'Final Data-US$'!R273-1</f>
        <v>1.6112723645614002E-2</v>
      </c>
      <c r="T339" s="78">
        <f>'Final Data-US$'!T273/'Final Data-US$'!S273-1</f>
        <v>7.9871617005085049E-3</v>
      </c>
      <c r="U339" s="78">
        <f>'Final Data-US$'!U273/'Final Data-US$'!T273-1</f>
        <v>1.2535622877926311E-2</v>
      </c>
      <c r="V339" s="78">
        <f>'Final Data-US$'!V273/'Final Data-US$'!U273-1</f>
        <v>1.1655343339074031E-2</v>
      </c>
      <c r="W339" s="102">
        <f>'Final Data-US$'!W273</f>
        <v>-4.8997894506850437E-2</v>
      </c>
      <c r="X339" s="102">
        <f>'Final Data-US$'!X273</f>
        <v>1.209922420888665E-2</v>
      </c>
    </row>
    <row r="340" spans="1:25">
      <c r="A340" s="46" t="str">
        <f>'Secondary cum Calculation'!A608</f>
        <v>Poland</v>
      </c>
      <c r="B340" s="47" t="str">
        <f>'Secondary cum Calculation'!B608</f>
        <v>Tourism Flows</v>
      </c>
      <c r="C340" s="47" t="str">
        <f>'Secondary cum Calculation'!C608</f>
        <v>International Departures by Destination</v>
      </c>
      <c r="D340" s="46" t="str">
        <f>'Secondary cum Calculation'!D608</f>
        <v>Africa</v>
      </c>
      <c r="E340" s="48"/>
      <c r="F340" s="48" t="str">
        <f>'Secondary cum Calculation'!F608</f>
        <v>The number of international departures from a country to Africa</v>
      </c>
      <c r="G340" s="48" t="str">
        <f>'Secondary cum Calculation'!G608</f>
        <v>Tourism Demand &amp; Flows Database</v>
      </c>
      <c r="H340" s="48" t="str">
        <f>'Secondary cum Calculation'!H608</f>
        <v>New</v>
      </c>
      <c r="I340" s="48">
        <f>'Secondary cum Calculation'!I608</f>
        <v>0</v>
      </c>
      <c r="J340" s="48" t="str">
        <f>'Secondary cum Calculation'!J608</f>
        <v>Thousand</v>
      </c>
      <c r="K340" s="76">
        <f>'Secondary cum Calculation'!K608</f>
        <v>0</v>
      </c>
      <c r="L340" s="91"/>
      <c r="M340" s="78">
        <f>'Final Data-US$'!M274/'Final Data-US$'!L274-1</f>
        <v>4.1350081200146604E-2</v>
      </c>
      <c r="N340" s="78">
        <f>'Final Data-US$'!N274/'Final Data-US$'!M274-1</f>
        <v>-8.1954712567215093E-2</v>
      </c>
      <c r="O340" s="78">
        <f>'Final Data-US$'!O274/'Final Data-US$'!N274-1</f>
        <v>4.6314207610101299E-2</v>
      </c>
      <c r="P340" s="78">
        <f>'Final Data-US$'!P274/'Final Data-US$'!O274-1</f>
        <v>-7.8328981723237545E-2</v>
      </c>
      <c r="Q340" s="78">
        <f>'Final Data-US$'!Q274/'Final Data-US$'!P274-1</f>
        <v>-2.0115859369619571E-2</v>
      </c>
      <c r="R340" s="78">
        <f>'Final Data-US$'!R274/'Final Data-US$'!Q274-1</f>
        <v>1.482229218474318E-2</v>
      </c>
      <c r="S340" s="78">
        <f>'Final Data-US$'!S274/'Final Data-US$'!R274-1</f>
        <v>1.1066691145489527E-2</v>
      </c>
      <c r="T340" s="78">
        <f>'Final Data-US$'!T274/'Final Data-US$'!S274-1</f>
        <v>8.6237764784826698E-3</v>
      </c>
      <c r="U340" s="78">
        <f>'Final Data-US$'!U274/'Final Data-US$'!T274-1</f>
        <v>1.2640169949215574E-2</v>
      </c>
      <c r="V340" s="78">
        <f>'Final Data-US$'!V274/'Final Data-US$'!U274-1</f>
        <v>1.8124281624716687E-2</v>
      </c>
      <c r="W340" s="102">
        <f>'Final Data-US$'!W274</f>
        <v>-3.490687456807684E-2</v>
      </c>
      <c r="X340" s="102">
        <f>'Final Data-US$'!X274</f>
        <v>1.305025443728991E-2</v>
      </c>
    </row>
    <row r="341" spans="1:25">
      <c r="A341" s="46" t="str">
        <f>'Secondary cum Calculation'!A610</f>
        <v>Poland</v>
      </c>
      <c r="B341" s="47" t="str">
        <f>'Secondary cum Calculation'!B610</f>
        <v>Tourism Flows</v>
      </c>
      <c r="C341" s="47" t="str">
        <f>'Secondary cum Calculation'!C610</f>
        <v>International Departures by Destination</v>
      </c>
      <c r="D341" s="47" t="str">
        <f>'Secondary cum Calculation'!D610</f>
        <v>Africa</v>
      </c>
      <c r="E341" s="46" t="str">
        <f>'Secondary cum Calculation'!E610</f>
        <v>Algeria</v>
      </c>
      <c r="F341" s="48" t="str">
        <f>'Secondary cum Calculation'!F610</f>
        <v>The number of international departures from a country to Algeria</v>
      </c>
      <c r="G341" s="48" t="str">
        <f>'Secondary cum Calculation'!G610</f>
        <v>Tourism Demand &amp; Flows Database</v>
      </c>
      <c r="H341" s="48" t="str">
        <f>'Secondary cum Calculation'!H610</f>
        <v>New</v>
      </c>
      <c r="I341" s="48">
        <f>'Secondary cum Calculation'!I610</f>
        <v>0</v>
      </c>
      <c r="J341" s="48" t="str">
        <f>'Secondary cum Calculation'!J610</f>
        <v>Thousand</v>
      </c>
      <c r="K341" s="49">
        <f>'Secondary cum Calculation'!K610</f>
        <v>0</v>
      </c>
      <c r="L341" s="92"/>
      <c r="M341" s="104" t="e">
        <f>'Final Data-US$'!M275/'Final Data-US$'!L275-1</f>
        <v>#DIV/0!</v>
      </c>
      <c r="N341" s="104" t="e">
        <f>'Final Data-US$'!N275/'Final Data-US$'!M275-1</f>
        <v>#DIV/0!</v>
      </c>
      <c r="O341" s="103" t="e">
        <f>'Final Data-US$'!O275/'Final Data-US$'!N275-1</f>
        <v>#DIV/0!</v>
      </c>
      <c r="P341" s="78" t="e">
        <f>'Final Data-US$'!P275/'Final Data-US$'!O275-1</f>
        <v>#DIV/0!</v>
      </c>
      <c r="Q341" s="78" t="e">
        <f>'Final Data-US$'!Q275/'Final Data-US$'!P275-1</f>
        <v>#DIV/0!</v>
      </c>
      <c r="R341" s="103" t="e">
        <f>'Final Data-US$'!R275/'Final Data-US$'!Q275-1</f>
        <v>#DIV/0!</v>
      </c>
      <c r="S341" s="103" t="e">
        <f>'Final Data-US$'!S275/'Final Data-US$'!R275-1</f>
        <v>#DIV/0!</v>
      </c>
      <c r="T341" s="103" t="e">
        <f>'Final Data-US$'!T275/'Final Data-US$'!S275-1</f>
        <v>#DIV/0!</v>
      </c>
      <c r="U341" s="103" t="e">
        <f>'Final Data-US$'!U275/'Final Data-US$'!T275-1</f>
        <v>#DIV/0!</v>
      </c>
      <c r="V341" s="103" t="e">
        <f>'Final Data-US$'!V275/'Final Data-US$'!U275-1</f>
        <v>#DIV/0!</v>
      </c>
      <c r="W341" s="102" t="e">
        <f>'Final Data-US$'!W275</f>
        <v>#DIV/0!</v>
      </c>
      <c r="X341" s="102" t="e">
        <f>'Final Data-US$'!X275</f>
        <v>#DIV/0!</v>
      </c>
    </row>
    <row r="342" spans="1:25">
      <c r="A342" s="46" t="str">
        <f>'Secondary cum Calculation'!A612</f>
        <v>Poland</v>
      </c>
      <c r="B342" s="47" t="str">
        <f>'Secondary cum Calculation'!B612</f>
        <v>Tourism Flows</v>
      </c>
      <c r="C342" s="47" t="str">
        <f>'Secondary cum Calculation'!C612</f>
        <v>International Departures by Destination</v>
      </c>
      <c r="D342" s="47" t="str">
        <f>'Secondary cum Calculation'!D612</f>
        <v>Africa</v>
      </c>
      <c r="E342" s="46" t="str">
        <f>'Secondary cum Calculation'!E612</f>
        <v>Angola</v>
      </c>
      <c r="F342" s="48" t="str">
        <f>'Secondary cum Calculation'!F612</f>
        <v>The number of international departures from a country to Angola</v>
      </c>
      <c r="G342" s="48" t="str">
        <f>'Secondary cum Calculation'!G612</f>
        <v>Tourism Demand &amp; Flows Database</v>
      </c>
      <c r="H342" s="48" t="str">
        <f>'Secondary cum Calculation'!H612</f>
        <v>New</v>
      </c>
      <c r="I342" s="48">
        <f>'Secondary cum Calculation'!I612</f>
        <v>0</v>
      </c>
      <c r="J342" s="48" t="str">
        <f>'Secondary cum Calculation'!J612</f>
        <v>Thousand</v>
      </c>
      <c r="K342" s="49">
        <f>'Secondary cum Calculation'!K612</f>
        <v>0</v>
      </c>
      <c r="L342" s="92"/>
      <c r="M342" s="104" t="e">
        <f>'Final Data-US$'!M276/'Final Data-US$'!L276-1</f>
        <v>#DIV/0!</v>
      </c>
      <c r="N342" s="104" t="e">
        <f>'Final Data-US$'!N276/'Final Data-US$'!M276-1</f>
        <v>#DIV/0!</v>
      </c>
      <c r="O342" s="51" t="e">
        <f>'Final Data-US$'!O276/'Final Data-US$'!N276-1</f>
        <v>#DIV/0!</v>
      </c>
      <c r="P342" s="51" t="e">
        <f>'Final Data-US$'!P276/'Final Data-US$'!O276-1</f>
        <v>#DIV/0!</v>
      </c>
      <c r="Q342" s="51" t="e">
        <f>'Final Data-US$'!Q276/'Final Data-US$'!P276-1</f>
        <v>#DIV/0!</v>
      </c>
      <c r="R342" s="51" t="e">
        <f>'Final Data-US$'!R276/'Final Data-US$'!Q276-1</f>
        <v>#DIV/0!</v>
      </c>
      <c r="S342" s="51" t="e">
        <f>'Final Data-US$'!S276/'Final Data-US$'!R276-1</f>
        <v>#DIV/0!</v>
      </c>
      <c r="T342" s="51" t="e">
        <f>'Final Data-US$'!T276/'Final Data-US$'!S276-1</f>
        <v>#DIV/0!</v>
      </c>
      <c r="U342" s="51" t="e">
        <f>'Final Data-US$'!U276/'Final Data-US$'!T276-1</f>
        <v>#DIV/0!</v>
      </c>
      <c r="V342" s="51" t="e">
        <f>'Final Data-US$'!V276/'Final Data-US$'!U276-1</f>
        <v>#DIV/0!</v>
      </c>
      <c r="W342" s="102" t="e">
        <f>'Final Data-US$'!W276</f>
        <v>#DIV/0!</v>
      </c>
      <c r="X342" s="102" t="e">
        <f>'Final Data-US$'!X276</f>
        <v>#DIV/0!</v>
      </c>
    </row>
    <row r="343" spans="1:25">
      <c r="A343" s="46" t="str">
        <f>'Secondary cum Calculation'!A614</f>
        <v>Poland</v>
      </c>
      <c r="B343" s="47" t="str">
        <f>'Secondary cum Calculation'!B614</f>
        <v>Tourism Flows</v>
      </c>
      <c r="C343" s="47" t="str">
        <f>'Secondary cum Calculation'!C614</f>
        <v>International Departures by Destination</v>
      </c>
      <c r="D343" s="47" t="str">
        <f>'Secondary cum Calculation'!D614</f>
        <v>Africa</v>
      </c>
      <c r="E343" s="46" t="str">
        <f>'Secondary cum Calculation'!E614</f>
        <v>Benin</v>
      </c>
      <c r="F343" s="48" t="str">
        <f>'Secondary cum Calculation'!F614</f>
        <v>The number of international departures from a country to Benin</v>
      </c>
      <c r="G343" s="48" t="str">
        <f>'Secondary cum Calculation'!G614</f>
        <v>Tourism Demand &amp; Flows Database</v>
      </c>
      <c r="H343" s="48" t="str">
        <f>'Secondary cum Calculation'!H614</f>
        <v>New</v>
      </c>
      <c r="I343" s="48">
        <f>'Secondary cum Calculation'!I614</f>
        <v>0</v>
      </c>
      <c r="J343" s="48" t="str">
        <f>'Secondary cum Calculation'!J614</f>
        <v>Thousand</v>
      </c>
      <c r="K343" s="49">
        <f>'Secondary cum Calculation'!K614</f>
        <v>0</v>
      </c>
      <c r="L343" s="92"/>
      <c r="M343" s="104" t="e">
        <f>'Final Data-US$'!M277/'Final Data-US$'!L277-1</f>
        <v>#DIV/0!</v>
      </c>
      <c r="N343" s="104" t="e">
        <f>'Final Data-US$'!N277/'Final Data-US$'!M277-1</f>
        <v>#DIV/0!</v>
      </c>
      <c r="O343" s="51" t="e">
        <f>'Final Data-US$'!O277/'Final Data-US$'!N277-1</f>
        <v>#DIV/0!</v>
      </c>
      <c r="P343" s="51" t="e">
        <f>'Final Data-US$'!P277/'Final Data-US$'!O277-1</f>
        <v>#DIV/0!</v>
      </c>
      <c r="Q343" s="51" t="e">
        <f>'Final Data-US$'!Q277/'Final Data-US$'!P277-1</f>
        <v>#DIV/0!</v>
      </c>
      <c r="R343" s="51" t="e">
        <f>'Final Data-US$'!R277/'Final Data-US$'!Q277-1</f>
        <v>#DIV/0!</v>
      </c>
      <c r="S343" s="51" t="e">
        <f>'Final Data-US$'!S277/'Final Data-US$'!R277-1</f>
        <v>#DIV/0!</v>
      </c>
      <c r="T343" s="51" t="e">
        <f>'Final Data-US$'!T277/'Final Data-US$'!S277-1</f>
        <v>#DIV/0!</v>
      </c>
      <c r="U343" s="51" t="e">
        <f>'Final Data-US$'!U277/'Final Data-US$'!T277-1</f>
        <v>#DIV/0!</v>
      </c>
      <c r="V343" s="51" t="e">
        <f>'Final Data-US$'!V277/'Final Data-US$'!U277-1</f>
        <v>#DIV/0!</v>
      </c>
      <c r="W343" s="102" t="e">
        <f>'Final Data-US$'!W277</f>
        <v>#DIV/0!</v>
      </c>
      <c r="X343" s="102" t="e">
        <f>'Final Data-US$'!X277</f>
        <v>#DIV/0!</v>
      </c>
    </row>
    <row r="344" spans="1:25">
      <c r="A344" s="46" t="str">
        <f>'Secondary cum Calculation'!A616</f>
        <v>Poland</v>
      </c>
      <c r="B344" s="47" t="str">
        <f>'Secondary cum Calculation'!B616</f>
        <v>Tourism Flows</v>
      </c>
      <c r="C344" s="47" t="str">
        <f>'Secondary cum Calculation'!C616</f>
        <v>International Departures by Destination</v>
      </c>
      <c r="D344" s="47" t="str">
        <f>'Secondary cum Calculation'!D616</f>
        <v>Africa</v>
      </c>
      <c r="E344" s="46" t="str">
        <f>'Secondary cum Calculation'!E616</f>
        <v>Botswana</v>
      </c>
      <c r="F344" s="48" t="str">
        <f>'Secondary cum Calculation'!F616</f>
        <v>The number of international departures from a country to Botswana</v>
      </c>
      <c r="G344" s="48" t="str">
        <f>'Secondary cum Calculation'!G616</f>
        <v>Tourism Demand &amp; Flows Database</v>
      </c>
      <c r="H344" s="48" t="str">
        <f>'Secondary cum Calculation'!H616</f>
        <v>New</v>
      </c>
      <c r="I344" s="48">
        <f>'Secondary cum Calculation'!I616</f>
        <v>0</v>
      </c>
      <c r="J344" s="48" t="str">
        <f>'Secondary cum Calculation'!J616</f>
        <v>Thousand</v>
      </c>
      <c r="K344" s="49">
        <f>'Secondary cum Calculation'!K616</f>
        <v>0</v>
      </c>
      <c r="L344" s="92"/>
      <c r="M344" s="104" t="e">
        <f>'Final Data-US$'!M278/'Final Data-US$'!L278-1</f>
        <v>#DIV/0!</v>
      </c>
      <c r="N344" s="104" t="e">
        <f>'Final Data-US$'!N278/'Final Data-US$'!M278-1</f>
        <v>#DIV/0!</v>
      </c>
      <c r="O344" s="51" t="e">
        <f>'Final Data-US$'!O278/'Final Data-US$'!N278-1</f>
        <v>#DIV/0!</v>
      </c>
      <c r="P344" s="51" t="e">
        <f>'Final Data-US$'!P278/'Final Data-US$'!O278-1</f>
        <v>#DIV/0!</v>
      </c>
      <c r="Q344" s="51" t="e">
        <f>'Final Data-US$'!Q278/'Final Data-US$'!P278-1</f>
        <v>#DIV/0!</v>
      </c>
      <c r="R344" s="51" t="e">
        <f>'Final Data-US$'!R278/'Final Data-US$'!Q278-1</f>
        <v>#DIV/0!</v>
      </c>
      <c r="S344" s="51" t="e">
        <f>'Final Data-US$'!S278/'Final Data-US$'!R278-1</f>
        <v>#DIV/0!</v>
      </c>
      <c r="T344" s="51" t="e">
        <f>'Final Data-US$'!T278/'Final Data-US$'!S278-1</f>
        <v>#DIV/0!</v>
      </c>
      <c r="U344" s="51" t="e">
        <f>'Final Data-US$'!U278/'Final Data-US$'!T278-1</f>
        <v>#DIV/0!</v>
      </c>
      <c r="V344" s="51" t="e">
        <f>'Final Data-US$'!V278/'Final Data-US$'!U278-1</f>
        <v>#DIV/0!</v>
      </c>
      <c r="W344" s="102" t="e">
        <f>'Final Data-US$'!W278</f>
        <v>#DIV/0!</v>
      </c>
      <c r="X344" s="102" t="e">
        <f>'Final Data-US$'!X278</f>
        <v>#DIV/0!</v>
      </c>
    </row>
    <row r="345" spans="1:25">
      <c r="A345" s="46" t="str">
        <f>'Secondary cum Calculation'!A618</f>
        <v>Poland</v>
      </c>
      <c r="B345" s="47" t="str">
        <f>'Secondary cum Calculation'!B618</f>
        <v>Tourism Flows</v>
      </c>
      <c r="C345" s="47" t="str">
        <f>'Secondary cum Calculation'!C618</f>
        <v>International Departures by Destination</v>
      </c>
      <c r="D345" s="47" t="str">
        <f>'Secondary cum Calculation'!D618</f>
        <v>Africa</v>
      </c>
      <c r="E345" s="46" t="str">
        <f>'Secondary cum Calculation'!E618</f>
        <v>Burkina Faso</v>
      </c>
      <c r="F345" s="48" t="str">
        <f>'Secondary cum Calculation'!F618</f>
        <v>The number of international departures from a country to Burkina Faso</v>
      </c>
      <c r="G345" s="48" t="str">
        <f>'Secondary cum Calculation'!G618</f>
        <v>Tourism Demand &amp; Flows Database</v>
      </c>
      <c r="H345" s="48" t="str">
        <f>'Secondary cum Calculation'!H618</f>
        <v>New</v>
      </c>
      <c r="I345" s="48">
        <f>'Secondary cum Calculation'!I618</f>
        <v>0</v>
      </c>
      <c r="J345" s="48" t="str">
        <f>'Secondary cum Calculation'!J618</f>
        <v>Thousand</v>
      </c>
      <c r="K345" s="49">
        <f>'Secondary cum Calculation'!K618</f>
        <v>0</v>
      </c>
      <c r="L345" s="92"/>
      <c r="M345" s="104" t="e">
        <f>'Final Data-US$'!M279/'Final Data-US$'!L279-1</f>
        <v>#DIV/0!</v>
      </c>
      <c r="N345" s="104" t="e">
        <f>'Final Data-US$'!N279/'Final Data-US$'!M279-1</f>
        <v>#DIV/0!</v>
      </c>
      <c r="O345" s="51" t="e">
        <f>'Final Data-US$'!O279/'Final Data-US$'!N279-1</f>
        <v>#DIV/0!</v>
      </c>
      <c r="P345" s="51" t="e">
        <f>'Final Data-US$'!P279/'Final Data-US$'!O279-1</f>
        <v>#DIV/0!</v>
      </c>
      <c r="Q345" s="51" t="e">
        <f>'Final Data-US$'!Q279/'Final Data-US$'!P279-1</f>
        <v>#DIV/0!</v>
      </c>
      <c r="R345" s="51" t="e">
        <f>'Final Data-US$'!R279/'Final Data-US$'!Q279-1</f>
        <v>#DIV/0!</v>
      </c>
      <c r="S345" s="51" t="e">
        <f>'Final Data-US$'!S279/'Final Data-US$'!R279-1</f>
        <v>#DIV/0!</v>
      </c>
      <c r="T345" s="51" t="e">
        <f>'Final Data-US$'!T279/'Final Data-US$'!S279-1</f>
        <v>#DIV/0!</v>
      </c>
      <c r="U345" s="51" t="e">
        <f>'Final Data-US$'!U279/'Final Data-US$'!T279-1</f>
        <v>#DIV/0!</v>
      </c>
      <c r="V345" s="51" t="e">
        <f>'Final Data-US$'!V279/'Final Data-US$'!U279-1</f>
        <v>#DIV/0!</v>
      </c>
      <c r="W345" s="102" t="e">
        <f>'Final Data-US$'!W279</f>
        <v>#DIV/0!</v>
      </c>
      <c r="X345" s="102" t="e">
        <f>'Final Data-US$'!X279</f>
        <v>#DIV/0!</v>
      </c>
    </row>
    <row r="346" spans="1:25">
      <c r="A346" s="46" t="str">
        <f>'Secondary cum Calculation'!A620</f>
        <v>Poland</v>
      </c>
      <c r="B346" s="47" t="str">
        <f>'Secondary cum Calculation'!B620</f>
        <v>Tourism Flows</v>
      </c>
      <c r="C346" s="47" t="str">
        <f>'Secondary cum Calculation'!C620</f>
        <v>International Departures by Destination</v>
      </c>
      <c r="D346" s="47" t="str">
        <f>'Secondary cum Calculation'!D620</f>
        <v>Africa</v>
      </c>
      <c r="E346" s="46" t="str">
        <f>'Secondary cum Calculation'!E620</f>
        <v>Burundi</v>
      </c>
      <c r="F346" s="48" t="str">
        <f>'Secondary cum Calculation'!F620</f>
        <v>The number of international departures from a country to Burundi</v>
      </c>
      <c r="G346" s="48" t="str">
        <f>'Secondary cum Calculation'!G620</f>
        <v>Tourism Demand &amp; Flows Database</v>
      </c>
      <c r="H346" s="48" t="str">
        <f>'Secondary cum Calculation'!H620</f>
        <v>New</v>
      </c>
      <c r="I346" s="48">
        <f>'Secondary cum Calculation'!I620</f>
        <v>0</v>
      </c>
      <c r="J346" s="48" t="str">
        <f>'Secondary cum Calculation'!J620</f>
        <v>Thousand</v>
      </c>
      <c r="K346" s="49">
        <f>'Secondary cum Calculation'!K620</f>
        <v>0</v>
      </c>
      <c r="L346" s="92"/>
      <c r="M346" s="104" t="e">
        <f>'Final Data-US$'!M280/'Final Data-US$'!L280-1</f>
        <v>#DIV/0!</v>
      </c>
      <c r="N346" s="104" t="e">
        <f>'Final Data-US$'!N280/'Final Data-US$'!M280-1</f>
        <v>#DIV/0!</v>
      </c>
      <c r="O346" s="51" t="e">
        <f>'Final Data-US$'!O280/'Final Data-US$'!N280-1</f>
        <v>#DIV/0!</v>
      </c>
      <c r="P346" s="51" t="e">
        <f>'Final Data-US$'!P280/'Final Data-US$'!O280-1</f>
        <v>#DIV/0!</v>
      </c>
      <c r="Q346" s="51" t="e">
        <f>'Final Data-US$'!Q280/'Final Data-US$'!P280-1</f>
        <v>#DIV/0!</v>
      </c>
      <c r="R346" s="51" t="e">
        <f>'Final Data-US$'!R280/'Final Data-US$'!Q280-1</f>
        <v>#DIV/0!</v>
      </c>
      <c r="S346" s="51" t="e">
        <f>'Final Data-US$'!S280/'Final Data-US$'!R280-1</f>
        <v>#DIV/0!</v>
      </c>
      <c r="T346" s="51" t="e">
        <f>'Final Data-US$'!T280/'Final Data-US$'!S280-1</f>
        <v>#DIV/0!</v>
      </c>
      <c r="U346" s="51" t="e">
        <f>'Final Data-US$'!U280/'Final Data-US$'!T280-1</f>
        <v>#DIV/0!</v>
      </c>
      <c r="V346" s="51" t="e">
        <f>'Final Data-US$'!V280/'Final Data-US$'!U280-1</f>
        <v>#DIV/0!</v>
      </c>
      <c r="W346" s="102" t="e">
        <f>'Final Data-US$'!W280</f>
        <v>#DIV/0!</v>
      </c>
      <c r="X346" s="102" t="e">
        <f>'Final Data-US$'!X280</f>
        <v>#DIV/0!</v>
      </c>
    </row>
    <row r="347" spans="1:25">
      <c r="A347" s="46" t="str">
        <f>'Secondary cum Calculation'!A622</f>
        <v>Poland</v>
      </c>
      <c r="B347" s="47" t="str">
        <f>'Secondary cum Calculation'!B622</f>
        <v>Tourism Flows</v>
      </c>
      <c r="C347" s="47" t="str">
        <f>'Secondary cum Calculation'!C622</f>
        <v>International Departures by Destination</v>
      </c>
      <c r="D347" s="47" t="str">
        <f>'Secondary cum Calculation'!D622</f>
        <v>Africa</v>
      </c>
      <c r="E347" s="46" t="str">
        <f>'Secondary cum Calculation'!E622</f>
        <v>Cameroon</v>
      </c>
      <c r="F347" s="48" t="str">
        <f>'Secondary cum Calculation'!F622</f>
        <v>The number of international departures from a country to Cameroon</v>
      </c>
      <c r="G347" s="48" t="str">
        <f>'Secondary cum Calculation'!G622</f>
        <v>Tourism Demand &amp; Flows Database</v>
      </c>
      <c r="H347" s="48" t="str">
        <f>'Secondary cum Calculation'!H622</f>
        <v>New</v>
      </c>
      <c r="I347" s="48">
        <f>'Secondary cum Calculation'!I622</f>
        <v>0</v>
      </c>
      <c r="J347" s="48" t="str">
        <f>'Secondary cum Calculation'!J622</f>
        <v>Thousand</v>
      </c>
      <c r="K347" s="49">
        <f>'Secondary cum Calculation'!K622</f>
        <v>0</v>
      </c>
      <c r="L347" s="92"/>
      <c r="M347" s="104" t="e">
        <f>'Final Data-US$'!M281/'Final Data-US$'!L281-1</f>
        <v>#DIV/0!</v>
      </c>
      <c r="N347" s="104" t="e">
        <f>'Final Data-US$'!N281/'Final Data-US$'!M281-1</f>
        <v>#DIV/0!</v>
      </c>
      <c r="O347" s="51" t="e">
        <f>'Final Data-US$'!O281/'Final Data-US$'!N281-1</f>
        <v>#DIV/0!</v>
      </c>
      <c r="P347" s="51" t="e">
        <f>'Final Data-US$'!P281/'Final Data-US$'!O281-1</f>
        <v>#DIV/0!</v>
      </c>
      <c r="Q347" s="51" t="e">
        <f>'Final Data-US$'!Q281/'Final Data-US$'!P281-1</f>
        <v>#DIV/0!</v>
      </c>
      <c r="R347" s="51" t="e">
        <f>'Final Data-US$'!R281/'Final Data-US$'!Q281-1</f>
        <v>#DIV/0!</v>
      </c>
      <c r="S347" s="51" t="e">
        <f>'Final Data-US$'!S281/'Final Data-US$'!R281-1</f>
        <v>#DIV/0!</v>
      </c>
      <c r="T347" s="51" t="e">
        <f>'Final Data-US$'!T281/'Final Data-US$'!S281-1</f>
        <v>#DIV/0!</v>
      </c>
      <c r="U347" s="51" t="e">
        <f>'Final Data-US$'!U281/'Final Data-US$'!T281-1</f>
        <v>#DIV/0!</v>
      </c>
      <c r="V347" s="51" t="e">
        <f>'Final Data-US$'!V281/'Final Data-US$'!U281-1</f>
        <v>#DIV/0!</v>
      </c>
      <c r="W347" s="102" t="e">
        <f>'Final Data-US$'!W281</f>
        <v>#DIV/0!</v>
      </c>
      <c r="X347" s="102" t="e">
        <f>'Final Data-US$'!X281</f>
        <v>#DIV/0!</v>
      </c>
    </row>
    <row r="348" spans="1:25">
      <c r="A348" s="46" t="str">
        <f>'Secondary cum Calculation'!A624</f>
        <v>Poland</v>
      </c>
      <c r="B348" s="47" t="str">
        <f>'Secondary cum Calculation'!B624</f>
        <v>Tourism Flows</v>
      </c>
      <c r="C348" s="47" t="str">
        <f>'Secondary cum Calculation'!C624</f>
        <v>International Departures by Destination</v>
      </c>
      <c r="D348" s="47" t="str">
        <f>'Secondary cum Calculation'!D624</f>
        <v>Africa</v>
      </c>
      <c r="E348" s="46" t="str">
        <f>'Secondary cum Calculation'!E624</f>
        <v>Cape Verde</v>
      </c>
      <c r="F348" s="48" t="str">
        <f>'Secondary cum Calculation'!F624</f>
        <v>The number of international departures from a country to Cape Verde</v>
      </c>
      <c r="G348" s="48" t="str">
        <f>'Secondary cum Calculation'!G624</f>
        <v>Tourism Demand &amp; Flows Database</v>
      </c>
      <c r="H348" s="48" t="str">
        <f>'Secondary cum Calculation'!H624</f>
        <v>New</v>
      </c>
      <c r="I348" s="48">
        <f>'Secondary cum Calculation'!I624</f>
        <v>0</v>
      </c>
      <c r="J348" s="48" t="str">
        <f>'Secondary cum Calculation'!J624</f>
        <v>Thousand</v>
      </c>
      <c r="K348" s="49">
        <f>'Secondary cum Calculation'!K624</f>
        <v>0</v>
      </c>
      <c r="L348" s="92"/>
      <c r="M348" s="104" t="e">
        <f>'Final Data-US$'!M282/'Final Data-US$'!L282-1</f>
        <v>#DIV/0!</v>
      </c>
      <c r="N348" s="104" t="e">
        <f>'Final Data-US$'!N282/'Final Data-US$'!M282-1</f>
        <v>#DIV/0!</v>
      </c>
      <c r="O348" s="51" t="e">
        <f>'Final Data-US$'!O282/'Final Data-US$'!N282-1</f>
        <v>#DIV/0!</v>
      </c>
      <c r="P348" s="51" t="e">
        <f>'Final Data-US$'!P282/'Final Data-US$'!O282-1</f>
        <v>#DIV/0!</v>
      </c>
      <c r="Q348" s="51" t="e">
        <f>'Final Data-US$'!Q282/'Final Data-US$'!P282-1</f>
        <v>#DIV/0!</v>
      </c>
      <c r="R348" s="51" t="e">
        <f>'Final Data-US$'!R282/'Final Data-US$'!Q282-1</f>
        <v>#DIV/0!</v>
      </c>
      <c r="S348" s="51" t="e">
        <f>'Final Data-US$'!S282/'Final Data-US$'!R282-1</f>
        <v>#DIV/0!</v>
      </c>
      <c r="T348" s="51" t="e">
        <f>'Final Data-US$'!T282/'Final Data-US$'!S282-1</f>
        <v>#DIV/0!</v>
      </c>
      <c r="U348" s="51" t="e">
        <f>'Final Data-US$'!U282/'Final Data-US$'!T282-1</f>
        <v>#DIV/0!</v>
      </c>
      <c r="V348" s="51" t="e">
        <f>'Final Data-US$'!V282/'Final Data-US$'!U282-1</f>
        <v>#DIV/0!</v>
      </c>
      <c r="W348" s="102" t="e">
        <f>'Final Data-US$'!W282</f>
        <v>#DIV/0!</v>
      </c>
      <c r="X348" s="102" t="e">
        <f>'Final Data-US$'!X282</f>
        <v>#DIV/0!</v>
      </c>
    </row>
    <row r="349" spans="1:25">
      <c r="A349" s="46" t="str">
        <f>'Secondary cum Calculation'!A626</f>
        <v>Poland</v>
      </c>
      <c r="B349" s="47" t="str">
        <f>'Secondary cum Calculation'!B626</f>
        <v>Tourism Flows</v>
      </c>
      <c r="C349" s="47" t="str">
        <f>'Secondary cum Calculation'!C626</f>
        <v>International Departures by Destination</v>
      </c>
      <c r="D349" s="47" t="str">
        <f>'Secondary cum Calculation'!D626</f>
        <v>Africa</v>
      </c>
      <c r="E349" s="46" t="str">
        <f>'Secondary cum Calculation'!E626</f>
        <v>Central African Republic</v>
      </c>
      <c r="F349" s="48" t="str">
        <f>'Secondary cum Calculation'!F626</f>
        <v>The number of international departures from a country to Central African Republic</v>
      </c>
      <c r="G349" s="48" t="str">
        <f>'Secondary cum Calculation'!G626</f>
        <v>Tourism Demand &amp; Flows Database</v>
      </c>
      <c r="H349" s="48" t="str">
        <f>'Secondary cum Calculation'!H626</f>
        <v>New</v>
      </c>
      <c r="I349" s="48">
        <f>'Secondary cum Calculation'!I626</f>
        <v>0</v>
      </c>
      <c r="J349" s="48" t="str">
        <f>'Secondary cum Calculation'!J626</f>
        <v>Thousand</v>
      </c>
      <c r="K349" s="49">
        <f>'Secondary cum Calculation'!K626</f>
        <v>0</v>
      </c>
      <c r="L349" s="92"/>
      <c r="M349" s="104" t="e">
        <f>'Final Data-US$'!M283/'Final Data-US$'!L283-1</f>
        <v>#DIV/0!</v>
      </c>
      <c r="N349" s="104" t="e">
        <f>'Final Data-US$'!N283/'Final Data-US$'!M283-1</f>
        <v>#DIV/0!</v>
      </c>
      <c r="O349" s="51" t="e">
        <f>'Final Data-US$'!O283/'Final Data-US$'!N283-1</f>
        <v>#DIV/0!</v>
      </c>
      <c r="P349" s="51" t="e">
        <f>'Final Data-US$'!P283/'Final Data-US$'!O283-1</f>
        <v>#DIV/0!</v>
      </c>
      <c r="Q349" s="51" t="e">
        <f>'Final Data-US$'!Q283/'Final Data-US$'!P283-1</f>
        <v>#DIV/0!</v>
      </c>
      <c r="R349" s="51" t="e">
        <f>'Final Data-US$'!R283/'Final Data-US$'!Q283-1</f>
        <v>#DIV/0!</v>
      </c>
      <c r="S349" s="51" t="e">
        <f>'Final Data-US$'!S283/'Final Data-US$'!R283-1</f>
        <v>#DIV/0!</v>
      </c>
      <c r="T349" s="51" t="e">
        <f>'Final Data-US$'!T283/'Final Data-US$'!S283-1</f>
        <v>#DIV/0!</v>
      </c>
      <c r="U349" s="51" t="e">
        <f>'Final Data-US$'!U283/'Final Data-US$'!T283-1</f>
        <v>#DIV/0!</v>
      </c>
      <c r="V349" s="51" t="e">
        <f>'Final Data-US$'!V283/'Final Data-US$'!U283-1</f>
        <v>#DIV/0!</v>
      </c>
      <c r="W349" s="102" t="e">
        <f>'Final Data-US$'!W283</f>
        <v>#DIV/0!</v>
      </c>
      <c r="X349" s="102" t="e">
        <f>'Final Data-US$'!X283</f>
        <v>#DIV/0!</v>
      </c>
    </row>
    <row r="350" spans="1:25">
      <c r="A350" s="46" t="str">
        <f>'Secondary cum Calculation'!A628</f>
        <v>Poland</v>
      </c>
      <c r="B350" s="47" t="str">
        <f>'Secondary cum Calculation'!B628</f>
        <v>Tourism Flows</v>
      </c>
      <c r="C350" s="47" t="str">
        <f>'Secondary cum Calculation'!C628</f>
        <v>International Departures by Destination</v>
      </c>
      <c r="D350" s="47" t="str">
        <f>'Secondary cum Calculation'!D628</f>
        <v>Africa</v>
      </c>
      <c r="E350" s="46" t="str">
        <f>'Secondary cum Calculation'!E628</f>
        <v>Chad</v>
      </c>
      <c r="F350" s="48" t="str">
        <f>'Secondary cum Calculation'!F628</f>
        <v>The number of international departures from a country to Chad</v>
      </c>
      <c r="G350" s="48" t="str">
        <f>'Secondary cum Calculation'!G628</f>
        <v>Tourism Demand &amp; Flows Database</v>
      </c>
      <c r="H350" s="48" t="str">
        <f>'Secondary cum Calculation'!H628</f>
        <v>New</v>
      </c>
      <c r="I350" s="48">
        <f>'Secondary cum Calculation'!I628</f>
        <v>0</v>
      </c>
      <c r="J350" s="48" t="str">
        <f>'Secondary cum Calculation'!J628</f>
        <v>Thousand</v>
      </c>
      <c r="K350" s="49">
        <f>'Secondary cum Calculation'!K628</f>
        <v>0</v>
      </c>
      <c r="L350" s="92"/>
      <c r="M350" s="104" t="e">
        <f>'Final Data-US$'!M284/'Final Data-US$'!L284-1</f>
        <v>#DIV/0!</v>
      </c>
      <c r="N350" s="104" t="e">
        <f>'Final Data-US$'!N284/'Final Data-US$'!M284-1</f>
        <v>#DIV/0!</v>
      </c>
      <c r="O350" s="51" t="e">
        <f>'Final Data-US$'!O284/'Final Data-US$'!N284-1</f>
        <v>#DIV/0!</v>
      </c>
      <c r="P350" s="51" t="e">
        <f>'Final Data-US$'!P284/'Final Data-US$'!O284-1</f>
        <v>#DIV/0!</v>
      </c>
      <c r="Q350" s="51" t="e">
        <f>'Final Data-US$'!Q284/'Final Data-US$'!P284-1</f>
        <v>#DIV/0!</v>
      </c>
      <c r="R350" s="51" t="e">
        <f>'Final Data-US$'!R284/'Final Data-US$'!Q284-1</f>
        <v>#DIV/0!</v>
      </c>
      <c r="S350" s="51" t="e">
        <f>'Final Data-US$'!S284/'Final Data-US$'!R284-1</f>
        <v>#DIV/0!</v>
      </c>
      <c r="T350" s="51" t="e">
        <f>'Final Data-US$'!T284/'Final Data-US$'!S284-1</f>
        <v>#DIV/0!</v>
      </c>
      <c r="U350" s="51" t="e">
        <f>'Final Data-US$'!U284/'Final Data-US$'!T284-1</f>
        <v>#DIV/0!</v>
      </c>
      <c r="V350" s="51" t="e">
        <f>'Final Data-US$'!V284/'Final Data-US$'!U284-1</f>
        <v>#DIV/0!</v>
      </c>
      <c r="W350" s="102" t="e">
        <f>'Final Data-US$'!W284</f>
        <v>#DIV/0!</v>
      </c>
      <c r="X350" s="102" t="e">
        <f>'Final Data-US$'!X284</f>
        <v>#DIV/0!</v>
      </c>
    </row>
    <row r="351" spans="1:25">
      <c r="A351" s="46" t="str">
        <f>'Secondary cum Calculation'!A630</f>
        <v>Poland</v>
      </c>
      <c r="B351" s="47" t="str">
        <f>'Secondary cum Calculation'!B630</f>
        <v>Tourism Flows</v>
      </c>
      <c r="C351" s="47" t="str">
        <f>'Secondary cum Calculation'!C630</f>
        <v>International Departures by Destination</v>
      </c>
      <c r="D351" s="47" t="str">
        <f>'Secondary cum Calculation'!D630</f>
        <v>Africa</v>
      </c>
      <c r="E351" s="46" t="str">
        <f>'Secondary cum Calculation'!E630</f>
        <v>Comoros</v>
      </c>
      <c r="F351" s="48" t="str">
        <f>'Secondary cum Calculation'!F630</f>
        <v>The number of international departures from a country to Comoros</v>
      </c>
      <c r="G351" s="48" t="str">
        <f>'Secondary cum Calculation'!G630</f>
        <v>Tourism Demand &amp; Flows Database</v>
      </c>
      <c r="H351" s="48" t="str">
        <f>'Secondary cum Calculation'!H630</f>
        <v>New</v>
      </c>
      <c r="I351" s="48">
        <f>'Secondary cum Calculation'!I630</f>
        <v>0</v>
      </c>
      <c r="J351" s="48" t="str">
        <f>'Secondary cum Calculation'!J630</f>
        <v>Thousand</v>
      </c>
      <c r="K351" s="49">
        <f>'Secondary cum Calculation'!K630</f>
        <v>0</v>
      </c>
      <c r="L351" s="92"/>
      <c r="M351" s="104" t="e">
        <f>'Final Data-US$'!M285/'Final Data-US$'!L285-1</f>
        <v>#DIV/0!</v>
      </c>
      <c r="N351" s="104" t="e">
        <f>'Final Data-US$'!N285/'Final Data-US$'!M285-1</f>
        <v>#DIV/0!</v>
      </c>
      <c r="O351" s="51" t="e">
        <f>'Final Data-US$'!O285/'Final Data-US$'!N285-1</f>
        <v>#DIV/0!</v>
      </c>
      <c r="P351" s="51" t="e">
        <f>'Final Data-US$'!P285/'Final Data-US$'!O285-1</f>
        <v>#DIV/0!</v>
      </c>
      <c r="Q351" s="51" t="e">
        <f>'Final Data-US$'!Q285/'Final Data-US$'!P285-1</f>
        <v>#DIV/0!</v>
      </c>
      <c r="R351" s="51" t="e">
        <f>'Final Data-US$'!R285/'Final Data-US$'!Q285-1</f>
        <v>#DIV/0!</v>
      </c>
      <c r="S351" s="51" t="e">
        <f>'Final Data-US$'!S285/'Final Data-US$'!R285-1</f>
        <v>#DIV/0!</v>
      </c>
      <c r="T351" s="51" t="e">
        <f>'Final Data-US$'!T285/'Final Data-US$'!S285-1</f>
        <v>#DIV/0!</v>
      </c>
      <c r="U351" s="51" t="e">
        <f>'Final Data-US$'!U285/'Final Data-US$'!T285-1</f>
        <v>#DIV/0!</v>
      </c>
      <c r="V351" s="51" t="e">
        <f>'Final Data-US$'!V285/'Final Data-US$'!U285-1</f>
        <v>#DIV/0!</v>
      </c>
      <c r="W351" s="102" t="e">
        <f>'Final Data-US$'!W285</f>
        <v>#DIV/0!</v>
      </c>
      <c r="X351" s="102" t="e">
        <f>'Final Data-US$'!X285</f>
        <v>#DIV/0!</v>
      </c>
    </row>
    <row r="352" spans="1:25">
      <c r="A352" s="46" t="str">
        <f>'Secondary cum Calculation'!A632</f>
        <v>Poland</v>
      </c>
      <c r="B352" s="47" t="str">
        <f>'Secondary cum Calculation'!B632</f>
        <v>Tourism Flows</v>
      </c>
      <c r="C352" s="47" t="str">
        <f>'Secondary cum Calculation'!C632</f>
        <v>International Departures by Destination</v>
      </c>
      <c r="D352" s="47" t="str">
        <f>'Secondary cum Calculation'!D632</f>
        <v>Africa</v>
      </c>
      <c r="E352" s="46" t="str">
        <f>'Secondary cum Calculation'!E632</f>
        <v>Congo</v>
      </c>
      <c r="F352" s="48" t="str">
        <f>'Secondary cum Calculation'!F632</f>
        <v>The number of international departures from a country to Congo</v>
      </c>
      <c r="G352" s="48" t="str">
        <f>'Secondary cum Calculation'!G632</f>
        <v>Tourism Demand &amp; Flows Database</v>
      </c>
      <c r="H352" s="48" t="str">
        <f>'Secondary cum Calculation'!H632</f>
        <v>New</v>
      </c>
      <c r="I352" s="48">
        <f>'Secondary cum Calculation'!I632</f>
        <v>0</v>
      </c>
      <c r="J352" s="48" t="str">
        <f>'Secondary cum Calculation'!J632</f>
        <v>Thousand</v>
      </c>
      <c r="K352" s="49">
        <f>'Secondary cum Calculation'!K632</f>
        <v>0</v>
      </c>
      <c r="L352" s="92"/>
      <c r="M352" s="104" t="e">
        <f>'Final Data-US$'!M286/'Final Data-US$'!L286-1</f>
        <v>#DIV/0!</v>
      </c>
      <c r="N352" s="104" t="e">
        <f>'Final Data-US$'!N286/'Final Data-US$'!M286-1</f>
        <v>#DIV/0!</v>
      </c>
      <c r="O352" s="51" t="e">
        <f>'Final Data-US$'!O286/'Final Data-US$'!N286-1</f>
        <v>#DIV/0!</v>
      </c>
      <c r="P352" s="51" t="e">
        <f>'Final Data-US$'!P286/'Final Data-US$'!O286-1</f>
        <v>#DIV/0!</v>
      </c>
      <c r="Q352" s="51" t="e">
        <f>'Final Data-US$'!Q286/'Final Data-US$'!P286-1</f>
        <v>#DIV/0!</v>
      </c>
      <c r="R352" s="51" t="e">
        <f>'Final Data-US$'!R286/'Final Data-US$'!Q286-1</f>
        <v>#DIV/0!</v>
      </c>
      <c r="S352" s="51" t="e">
        <f>'Final Data-US$'!S286/'Final Data-US$'!R286-1</f>
        <v>#DIV/0!</v>
      </c>
      <c r="T352" s="51" t="e">
        <f>'Final Data-US$'!T286/'Final Data-US$'!S286-1</f>
        <v>#DIV/0!</v>
      </c>
      <c r="U352" s="51" t="e">
        <f>'Final Data-US$'!U286/'Final Data-US$'!T286-1</f>
        <v>#DIV/0!</v>
      </c>
      <c r="V352" s="51" t="e">
        <f>'Final Data-US$'!V286/'Final Data-US$'!U286-1</f>
        <v>#DIV/0!</v>
      </c>
      <c r="W352" s="102" t="e">
        <f>'Final Data-US$'!W286</f>
        <v>#DIV/0!</v>
      </c>
      <c r="X352" s="102" t="e">
        <f>'Final Data-US$'!X286</f>
        <v>#DIV/0!</v>
      </c>
    </row>
    <row r="353" spans="1:24">
      <c r="A353" s="46" t="str">
        <f>'Secondary cum Calculation'!A634</f>
        <v>Poland</v>
      </c>
      <c r="B353" s="47" t="str">
        <f>'Secondary cum Calculation'!B634</f>
        <v>Tourism Flows</v>
      </c>
      <c r="C353" s="47" t="str">
        <f>'Secondary cum Calculation'!C634</f>
        <v>International Departures by Destination</v>
      </c>
      <c r="D353" s="47" t="str">
        <f>'Secondary cum Calculation'!D634</f>
        <v>Africa</v>
      </c>
      <c r="E353" s="46" t="str">
        <f>'Secondary cum Calculation'!E634</f>
        <v>Côte d'Ivoire</v>
      </c>
      <c r="F353" s="48" t="str">
        <f>'Secondary cum Calculation'!F634</f>
        <v>The number of international departures from a country to Côte d'Ivoire</v>
      </c>
      <c r="G353" s="48" t="str">
        <f>'Secondary cum Calculation'!G634</f>
        <v>Tourism Demand &amp; Flows Database</v>
      </c>
      <c r="H353" s="48" t="str">
        <f>'Secondary cum Calculation'!H634</f>
        <v>New</v>
      </c>
      <c r="I353" s="48">
        <f>'Secondary cum Calculation'!I634</f>
        <v>0</v>
      </c>
      <c r="J353" s="48" t="str">
        <f>'Secondary cum Calculation'!J634</f>
        <v>Thousand</v>
      </c>
      <c r="K353" s="49">
        <f>'Secondary cum Calculation'!K634</f>
        <v>0</v>
      </c>
      <c r="L353" s="92"/>
      <c r="M353" s="104" t="e">
        <f>'Final Data-US$'!M287/'Final Data-US$'!L287-1</f>
        <v>#DIV/0!</v>
      </c>
      <c r="N353" s="104" t="e">
        <f>'Final Data-US$'!N287/'Final Data-US$'!M287-1</f>
        <v>#DIV/0!</v>
      </c>
      <c r="O353" s="51" t="e">
        <f>'Final Data-US$'!O287/'Final Data-US$'!N287-1</f>
        <v>#DIV/0!</v>
      </c>
      <c r="P353" s="51" t="e">
        <f>'Final Data-US$'!P287/'Final Data-US$'!O287-1</f>
        <v>#DIV/0!</v>
      </c>
      <c r="Q353" s="51" t="e">
        <f>'Final Data-US$'!Q287/'Final Data-US$'!P287-1</f>
        <v>#DIV/0!</v>
      </c>
      <c r="R353" s="51" t="e">
        <f>'Final Data-US$'!R287/'Final Data-US$'!Q287-1</f>
        <v>#DIV/0!</v>
      </c>
      <c r="S353" s="51" t="e">
        <f>'Final Data-US$'!S287/'Final Data-US$'!R287-1</f>
        <v>#DIV/0!</v>
      </c>
      <c r="T353" s="51" t="e">
        <f>'Final Data-US$'!T287/'Final Data-US$'!S287-1</f>
        <v>#DIV/0!</v>
      </c>
      <c r="U353" s="51" t="e">
        <f>'Final Data-US$'!U287/'Final Data-US$'!T287-1</f>
        <v>#DIV/0!</v>
      </c>
      <c r="V353" s="51" t="e">
        <f>'Final Data-US$'!V287/'Final Data-US$'!U287-1</f>
        <v>#DIV/0!</v>
      </c>
      <c r="W353" s="102" t="e">
        <f>'Final Data-US$'!W287</f>
        <v>#DIV/0!</v>
      </c>
      <c r="X353" s="102" t="e">
        <f>'Final Data-US$'!X287</f>
        <v>#DIV/0!</v>
      </c>
    </row>
    <row r="354" spans="1:24">
      <c r="A354" s="46" t="str">
        <f>'Secondary cum Calculation'!A636</f>
        <v>Poland</v>
      </c>
      <c r="B354" s="47" t="str">
        <f>'Secondary cum Calculation'!B636</f>
        <v>Tourism Flows</v>
      </c>
      <c r="C354" s="47" t="str">
        <f>'Secondary cum Calculation'!C636</f>
        <v>International Departures by Destination</v>
      </c>
      <c r="D354" s="47" t="str">
        <f>'Secondary cum Calculation'!D636</f>
        <v>Africa</v>
      </c>
      <c r="E354" s="46" t="str">
        <f>'Secondary cum Calculation'!E636</f>
        <v>Dem. Republic of the Congo</v>
      </c>
      <c r="F354" s="48" t="str">
        <f>'Secondary cum Calculation'!F636</f>
        <v>The number of international departures from a country to Dem. Republic of the Congo</v>
      </c>
      <c r="G354" s="48" t="str">
        <f>'Secondary cum Calculation'!G636</f>
        <v>Tourism Demand &amp; Flows Database</v>
      </c>
      <c r="H354" s="48" t="str">
        <f>'Secondary cum Calculation'!H636</f>
        <v>New</v>
      </c>
      <c r="I354" s="48">
        <f>'Secondary cum Calculation'!I636</f>
        <v>0</v>
      </c>
      <c r="J354" s="48" t="str">
        <f>'Secondary cum Calculation'!J636</f>
        <v>Thousand</v>
      </c>
      <c r="K354" s="49">
        <f>'Secondary cum Calculation'!K636</f>
        <v>0</v>
      </c>
      <c r="L354" s="92"/>
      <c r="M354" s="104" t="e">
        <f>'Final Data-US$'!M288/'Final Data-US$'!L288-1</f>
        <v>#DIV/0!</v>
      </c>
      <c r="N354" s="104" t="e">
        <f>'Final Data-US$'!N288/'Final Data-US$'!M288-1</f>
        <v>#DIV/0!</v>
      </c>
      <c r="O354" s="51" t="e">
        <f>'Final Data-US$'!O288/'Final Data-US$'!N288-1</f>
        <v>#DIV/0!</v>
      </c>
      <c r="P354" s="51" t="e">
        <f>'Final Data-US$'!P288/'Final Data-US$'!O288-1</f>
        <v>#DIV/0!</v>
      </c>
      <c r="Q354" s="51" t="e">
        <f>'Final Data-US$'!Q288/'Final Data-US$'!P288-1</f>
        <v>#DIV/0!</v>
      </c>
      <c r="R354" s="51" t="e">
        <f>'Final Data-US$'!R288/'Final Data-US$'!Q288-1</f>
        <v>#DIV/0!</v>
      </c>
      <c r="S354" s="51" t="e">
        <f>'Final Data-US$'!S288/'Final Data-US$'!R288-1</f>
        <v>#DIV/0!</v>
      </c>
      <c r="T354" s="51" t="e">
        <f>'Final Data-US$'!T288/'Final Data-US$'!S288-1</f>
        <v>#DIV/0!</v>
      </c>
      <c r="U354" s="51" t="e">
        <f>'Final Data-US$'!U288/'Final Data-US$'!T288-1</f>
        <v>#DIV/0!</v>
      </c>
      <c r="V354" s="51" t="e">
        <f>'Final Data-US$'!V288/'Final Data-US$'!U288-1</f>
        <v>#DIV/0!</v>
      </c>
      <c r="W354" s="102" t="e">
        <f>'Final Data-US$'!W288</f>
        <v>#DIV/0!</v>
      </c>
      <c r="X354" s="102" t="e">
        <f>'Final Data-US$'!X288</f>
        <v>#DIV/0!</v>
      </c>
    </row>
    <row r="355" spans="1:24">
      <c r="A355" s="46" t="str">
        <f>'Secondary cum Calculation'!A638</f>
        <v>Poland</v>
      </c>
      <c r="B355" s="47" t="str">
        <f>'Secondary cum Calculation'!B638</f>
        <v>Tourism Flows</v>
      </c>
      <c r="C355" s="47" t="str">
        <f>'Secondary cum Calculation'!C638</f>
        <v>International Departures by Destination</v>
      </c>
      <c r="D355" s="47" t="str">
        <f>'Secondary cum Calculation'!D638</f>
        <v>Africa</v>
      </c>
      <c r="E355" s="46" t="str">
        <f>'Secondary cum Calculation'!E638</f>
        <v>Djibouti</v>
      </c>
      <c r="F355" s="48" t="str">
        <f>'Secondary cum Calculation'!F638</f>
        <v>The number of international departures from a country to Djibouti</v>
      </c>
      <c r="G355" s="48" t="str">
        <f>'Secondary cum Calculation'!G638</f>
        <v>Tourism Demand &amp; Flows Database</v>
      </c>
      <c r="H355" s="48" t="str">
        <f>'Secondary cum Calculation'!H638</f>
        <v>New</v>
      </c>
      <c r="I355" s="48">
        <f>'Secondary cum Calculation'!I638</f>
        <v>0</v>
      </c>
      <c r="J355" s="48" t="str">
        <f>'Secondary cum Calculation'!J638</f>
        <v>Thousand</v>
      </c>
      <c r="K355" s="49">
        <f>'Secondary cum Calculation'!K638</f>
        <v>0</v>
      </c>
      <c r="L355" s="92"/>
      <c r="M355" s="104" t="e">
        <f>'Final Data-US$'!M289/'Final Data-US$'!L289-1</f>
        <v>#DIV/0!</v>
      </c>
      <c r="N355" s="104" t="e">
        <f>'Final Data-US$'!N289/'Final Data-US$'!M289-1</f>
        <v>#DIV/0!</v>
      </c>
      <c r="O355" s="51" t="e">
        <f>'Final Data-US$'!O289/'Final Data-US$'!N289-1</f>
        <v>#DIV/0!</v>
      </c>
      <c r="P355" s="51" t="e">
        <f>'Final Data-US$'!P289/'Final Data-US$'!O289-1</f>
        <v>#DIV/0!</v>
      </c>
      <c r="Q355" s="51" t="e">
        <f>'Final Data-US$'!Q289/'Final Data-US$'!P289-1</f>
        <v>#DIV/0!</v>
      </c>
      <c r="R355" s="51" t="e">
        <f>'Final Data-US$'!R289/'Final Data-US$'!Q289-1</f>
        <v>#DIV/0!</v>
      </c>
      <c r="S355" s="51" t="e">
        <f>'Final Data-US$'!S289/'Final Data-US$'!R289-1</f>
        <v>#DIV/0!</v>
      </c>
      <c r="T355" s="51" t="e">
        <f>'Final Data-US$'!T289/'Final Data-US$'!S289-1</f>
        <v>#DIV/0!</v>
      </c>
      <c r="U355" s="51" t="e">
        <f>'Final Data-US$'!U289/'Final Data-US$'!T289-1</f>
        <v>#DIV/0!</v>
      </c>
      <c r="V355" s="51" t="e">
        <f>'Final Data-US$'!V289/'Final Data-US$'!U289-1</f>
        <v>#DIV/0!</v>
      </c>
      <c r="W355" s="102" t="e">
        <f>'Final Data-US$'!W289</f>
        <v>#DIV/0!</v>
      </c>
      <c r="X355" s="102" t="e">
        <f>'Final Data-US$'!X289</f>
        <v>#DIV/0!</v>
      </c>
    </row>
    <row r="356" spans="1:24">
      <c r="A356" s="46" t="str">
        <f>'Secondary cum Calculation'!A640</f>
        <v>Poland</v>
      </c>
      <c r="B356" s="47" t="str">
        <f>'Secondary cum Calculation'!B640</f>
        <v>Tourism Flows</v>
      </c>
      <c r="C356" s="47" t="str">
        <f>'Secondary cum Calculation'!C640</f>
        <v>International Departures by Destination</v>
      </c>
      <c r="D356" s="47" t="str">
        <f>'Secondary cum Calculation'!D640</f>
        <v>Africa</v>
      </c>
      <c r="E356" s="46" t="str">
        <f>'Secondary cum Calculation'!E640</f>
        <v>Egypt</v>
      </c>
      <c r="F356" s="48" t="str">
        <f>'Secondary cum Calculation'!F640</f>
        <v>The number of international departures from a country to Egypt</v>
      </c>
      <c r="G356" s="48" t="str">
        <f>'Secondary cum Calculation'!G640</f>
        <v>Tourism Demand &amp; Flows Database</v>
      </c>
      <c r="H356" s="48" t="str">
        <f>'Secondary cum Calculation'!H640</f>
        <v>New</v>
      </c>
      <c r="I356" s="48">
        <f>'Secondary cum Calculation'!I640</f>
        <v>0</v>
      </c>
      <c r="J356" s="48" t="str">
        <f>'Secondary cum Calculation'!J640</f>
        <v>Thousand</v>
      </c>
      <c r="K356" s="49" t="str">
        <f>'Secondary cum Calculation'!K640</f>
        <v>**</v>
      </c>
      <c r="L356" s="53"/>
      <c r="M356" s="51" t="e">
        <f>'Final Data-US$'!M290/'Final Data-US$'!L290-1</f>
        <v>#DIV/0!</v>
      </c>
      <c r="N356" s="51" t="e">
        <f>'Final Data-US$'!N290/'Final Data-US$'!M290-1</f>
        <v>#DIV/0!</v>
      </c>
      <c r="O356" s="51" t="e">
        <f>'Final Data-US$'!O290/'Final Data-US$'!N290-1</f>
        <v>#DIV/0!</v>
      </c>
      <c r="P356" s="51" t="e">
        <f>'Final Data-US$'!P290/'Final Data-US$'!O290-1</f>
        <v>#DIV/0!</v>
      </c>
      <c r="Q356" s="51" t="e">
        <f>'Final Data-US$'!Q290/'Final Data-US$'!P290-1</f>
        <v>#DIV/0!</v>
      </c>
      <c r="R356" s="51" t="e">
        <f>'Final Data-US$'!R290/'Final Data-US$'!Q290-1</f>
        <v>#DIV/0!</v>
      </c>
      <c r="S356" s="51" t="e">
        <f>'Final Data-US$'!S290/'Final Data-US$'!R290-1</f>
        <v>#DIV/0!</v>
      </c>
      <c r="T356" s="51" t="e">
        <f>'Final Data-US$'!T290/'Final Data-US$'!S290-1</f>
        <v>#DIV/0!</v>
      </c>
      <c r="U356" s="51" t="e">
        <f>'Final Data-US$'!U290/'Final Data-US$'!T290-1</f>
        <v>#DIV/0!</v>
      </c>
      <c r="V356" s="51" t="e">
        <f>'Final Data-US$'!V290/'Final Data-US$'!U290-1</f>
        <v>#DIV/0!</v>
      </c>
      <c r="W356" s="102" t="e">
        <f>'Final Data-US$'!W290</f>
        <v>#DIV/0!</v>
      </c>
      <c r="X356" s="102" t="e">
        <f>'Final Data-US$'!X290</f>
        <v>#DIV/0!</v>
      </c>
    </row>
    <row r="357" spans="1:24">
      <c r="A357" s="46" t="str">
        <f>'Secondary cum Calculation'!A642</f>
        <v>Poland</v>
      </c>
      <c r="B357" s="47" t="str">
        <f>'Secondary cum Calculation'!B642</f>
        <v>Tourism Flows</v>
      </c>
      <c r="C357" s="47" t="str">
        <f>'Secondary cum Calculation'!C642</f>
        <v>International Departures by Destination</v>
      </c>
      <c r="D357" s="47" t="str">
        <f>'Secondary cum Calculation'!D642</f>
        <v>Africa</v>
      </c>
      <c r="E357" s="46" t="str">
        <f>'Secondary cum Calculation'!E642</f>
        <v>Equatorial Guinea</v>
      </c>
      <c r="F357" s="48" t="str">
        <f>'Secondary cum Calculation'!F642</f>
        <v>The number of international departures from a country to Equatorial Guinea</v>
      </c>
      <c r="G357" s="48" t="str">
        <f>'Secondary cum Calculation'!G642</f>
        <v>Tourism Demand &amp; Flows Database</v>
      </c>
      <c r="H357" s="48" t="str">
        <f>'Secondary cum Calculation'!H642</f>
        <v>New</v>
      </c>
      <c r="I357" s="48">
        <f>'Secondary cum Calculation'!I642</f>
        <v>0</v>
      </c>
      <c r="J357" s="48" t="str">
        <f>'Secondary cum Calculation'!J642</f>
        <v>Thousand</v>
      </c>
      <c r="K357" s="49">
        <f>'Secondary cum Calculation'!K642</f>
        <v>0</v>
      </c>
      <c r="L357" s="92"/>
      <c r="M357" s="104" t="e">
        <f>'Final Data-US$'!M291/'Final Data-US$'!L291-1</f>
        <v>#DIV/0!</v>
      </c>
      <c r="N357" s="104" t="e">
        <f>'Final Data-US$'!N291/'Final Data-US$'!M291-1</f>
        <v>#DIV/0!</v>
      </c>
      <c r="O357" s="103" t="e">
        <f>'Final Data-US$'!O291/'Final Data-US$'!N291-1</f>
        <v>#DIV/0!</v>
      </c>
      <c r="P357" s="103" t="e">
        <f>'Final Data-US$'!P291/'Final Data-US$'!O291-1</f>
        <v>#DIV/0!</v>
      </c>
      <c r="Q357" s="103" t="e">
        <f>'Final Data-US$'!Q291/'Final Data-US$'!P291-1</f>
        <v>#DIV/0!</v>
      </c>
      <c r="R357" s="103" t="e">
        <f>'Final Data-US$'!R291/'Final Data-US$'!Q291-1</f>
        <v>#DIV/0!</v>
      </c>
      <c r="S357" s="103" t="e">
        <f>'Final Data-US$'!S291/'Final Data-US$'!R291-1</f>
        <v>#DIV/0!</v>
      </c>
      <c r="T357" s="103" t="e">
        <f>'Final Data-US$'!T291/'Final Data-US$'!S291-1</f>
        <v>#DIV/0!</v>
      </c>
      <c r="U357" s="103" t="e">
        <f>'Final Data-US$'!U291/'Final Data-US$'!T291-1</f>
        <v>#DIV/0!</v>
      </c>
      <c r="V357" s="103" t="e">
        <f>'Final Data-US$'!V291/'Final Data-US$'!U291-1</f>
        <v>#DIV/0!</v>
      </c>
      <c r="W357" s="102" t="e">
        <f>'Final Data-US$'!W291</f>
        <v>#DIV/0!</v>
      </c>
      <c r="X357" s="102" t="e">
        <f>'Final Data-US$'!X291</f>
        <v>#DIV/0!</v>
      </c>
    </row>
    <row r="358" spans="1:24">
      <c r="A358" s="46" t="str">
        <f>'Secondary cum Calculation'!A644</f>
        <v>Poland</v>
      </c>
      <c r="B358" s="47" t="str">
        <f>'Secondary cum Calculation'!B644</f>
        <v>Tourism Flows</v>
      </c>
      <c r="C358" s="47" t="str">
        <f>'Secondary cum Calculation'!C644</f>
        <v>International Departures by Destination</v>
      </c>
      <c r="D358" s="47" t="str">
        <f>'Secondary cum Calculation'!D644</f>
        <v>Africa</v>
      </c>
      <c r="E358" s="46" t="str">
        <f>'Secondary cum Calculation'!E644</f>
        <v>Eritrea</v>
      </c>
      <c r="F358" s="48" t="str">
        <f>'Secondary cum Calculation'!F644</f>
        <v>The number of international departures from a country to Eritrea</v>
      </c>
      <c r="G358" s="48" t="str">
        <f>'Secondary cum Calculation'!G644</f>
        <v>Tourism Demand &amp; Flows Database</v>
      </c>
      <c r="H358" s="48" t="str">
        <f>'Secondary cum Calculation'!H644</f>
        <v>New</v>
      </c>
      <c r="I358" s="48">
        <f>'Secondary cum Calculation'!I644</f>
        <v>0</v>
      </c>
      <c r="J358" s="48" t="str">
        <f>'Secondary cum Calculation'!J644</f>
        <v>Thousand</v>
      </c>
      <c r="K358" s="49">
        <f>'Secondary cum Calculation'!K644</f>
        <v>0</v>
      </c>
      <c r="L358" s="92"/>
      <c r="M358" s="104" t="e">
        <f>'Final Data-US$'!M292/'Final Data-US$'!L292-1</f>
        <v>#DIV/0!</v>
      </c>
      <c r="N358" s="104" t="e">
        <f>'Final Data-US$'!N292/'Final Data-US$'!M292-1</f>
        <v>#DIV/0!</v>
      </c>
      <c r="O358" s="51" t="e">
        <f>'Final Data-US$'!O292/'Final Data-US$'!N292-1</f>
        <v>#DIV/0!</v>
      </c>
      <c r="P358" s="51" t="e">
        <f>'Final Data-US$'!P292/'Final Data-US$'!O292-1</f>
        <v>#DIV/0!</v>
      </c>
      <c r="Q358" s="51" t="e">
        <f>'Final Data-US$'!Q292/'Final Data-US$'!P292-1</f>
        <v>#DIV/0!</v>
      </c>
      <c r="R358" s="51" t="e">
        <f>'Final Data-US$'!R292/'Final Data-US$'!Q292-1</f>
        <v>#DIV/0!</v>
      </c>
      <c r="S358" s="51" t="e">
        <f>'Final Data-US$'!S292/'Final Data-US$'!R292-1</f>
        <v>#DIV/0!</v>
      </c>
      <c r="T358" s="51" t="e">
        <f>'Final Data-US$'!T292/'Final Data-US$'!S292-1</f>
        <v>#DIV/0!</v>
      </c>
      <c r="U358" s="51" t="e">
        <f>'Final Data-US$'!U292/'Final Data-US$'!T292-1</f>
        <v>#DIV/0!</v>
      </c>
      <c r="V358" s="51" t="e">
        <f>'Final Data-US$'!V292/'Final Data-US$'!U292-1</f>
        <v>#DIV/0!</v>
      </c>
      <c r="W358" s="102" t="e">
        <f>'Final Data-US$'!W292</f>
        <v>#DIV/0!</v>
      </c>
      <c r="X358" s="102" t="e">
        <f>'Final Data-US$'!X292</f>
        <v>#DIV/0!</v>
      </c>
    </row>
    <row r="359" spans="1:24">
      <c r="A359" s="46" t="str">
        <f>'Secondary cum Calculation'!A646</f>
        <v>Poland</v>
      </c>
      <c r="B359" s="47" t="str">
        <f>'Secondary cum Calculation'!B646</f>
        <v>Tourism Flows</v>
      </c>
      <c r="C359" s="47" t="str">
        <f>'Secondary cum Calculation'!C646</f>
        <v>International Departures by Destination</v>
      </c>
      <c r="D359" s="47" t="str">
        <f>'Secondary cum Calculation'!D646</f>
        <v>Africa</v>
      </c>
      <c r="E359" s="46" t="str">
        <f>'Secondary cum Calculation'!E646</f>
        <v>Ethiopia</v>
      </c>
      <c r="F359" s="48" t="str">
        <f>'Secondary cum Calculation'!F646</f>
        <v>The number of international departures from a country to Ethiopia</v>
      </c>
      <c r="G359" s="48" t="str">
        <f>'Secondary cum Calculation'!G646</f>
        <v>Tourism Demand &amp; Flows Database</v>
      </c>
      <c r="H359" s="48" t="str">
        <f>'Secondary cum Calculation'!H646</f>
        <v>New</v>
      </c>
      <c r="I359" s="48">
        <f>'Secondary cum Calculation'!I646</f>
        <v>0</v>
      </c>
      <c r="J359" s="48" t="str">
        <f>'Secondary cum Calculation'!J646</f>
        <v>Thousand</v>
      </c>
      <c r="K359" s="49">
        <f>'Secondary cum Calculation'!K646</f>
        <v>0</v>
      </c>
      <c r="L359" s="92"/>
      <c r="M359" s="104" t="e">
        <f>'Final Data-US$'!M293/'Final Data-US$'!L293-1</f>
        <v>#DIV/0!</v>
      </c>
      <c r="N359" s="104" t="e">
        <f>'Final Data-US$'!N293/'Final Data-US$'!M293-1</f>
        <v>#DIV/0!</v>
      </c>
      <c r="O359" s="51" t="e">
        <f>'Final Data-US$'!O293/'Final Data-US$'!N293-1</f>
        <v>#DIV/0!</v>
      </c>
      <c r="P359" s="51" t="e">
        <f>'Final Data-US$'!P293/'Final Data-US$'!O293-1</f>
        <v>#DIV/0!</v>
      </c>
      <c r="Q359" s="51" t="e">
        <f>'Final Data-US$'!Q293/'Final Data-US$'!P293-1</f>
        <v>#DIV/0!</v>
      </c>
      <c r="R359" s="51" t="e">
        <f>'Final Data-US$'!R293/'Final Data-US$'!Q293-1</f>
        <v>#DIV/0!</v>
      </c>
      <c r="S359" s="51" t="e">
        <f>'Final Data-US$'!S293/'Final Data-US$'!R293-1</f>
        <v>#DIV/0!</v>
      </c>
      <c r="T359" s="51" t="e">
        <f>'Final Data-US$'!T293/'Final Data-US$'!S293-1</f>
        <v>#DIV/0!</v>
      </c>
      <c r="U359" s="51" t="e">
        <f>'Final Data-US$'!U293/'Final Data-US$'!T293-1</f>
        <v>#DIV/0!</v>
      </c>
      <c r="V359" s="51" t="e">
        <f>'Final Data-US$'!V293/'Final Data-US$'!U293-1</f>
        <v>#DIV/0!</v>
      </c>
      <c r="W359" s="102" t="e">
        <f>'Final Data-US$'!W293</f>
        <v>#DIV/0!</v>
      </c>
      <c r="X359" s="102" t="e">
        <f>'Final Data-US$'!X293</f>
        <v>#DIV/0!</v>
      </c>
    </row>
    <row r="360" spans="1:24">
      <c r="A360" s="46" t="str">
        <f>'Secondary cum Calculation'!A648</f>
        <v>Poland</v>
      </c>
      <c r="B360" s="47" t="str">
        <f>'Secondary cum Calculation'!B648</f>
        <v>Tourism Flows</v>
      </c>
      <c r="C360" s="47" t="str">
        <f>'Secondary cum Calculation'!C648</f>
        <v>International Departures by Destination</v>
      </c>
      <c r="D360" s="47" t="str">
        <f>'Secondary cum Calculation'!D648</f>
        <v>Africa</v>
      </c>
      <c r="E360" s="46" t="str">
        <f>'Secondary cum Calculation'!E648</f>
        <v>Gabon</v>
      </c>
      <c r="F360" s="48" t="str">
        <f>'Secondary cum Calculation'!F648</f>
        <v>The number of international departures from a country to Gabon</v>
      </c>
      <c r="G360" s="48" t="str">
        <f>'Secondary cum Calculation'!G648</f>
        <v>Tourism Demand &amp; Flows Database</v>
      </c>
      <c r="H360" s="48" t="str">
        <f>'Secondary cum Calculation'!H648</f>
        <v>New</v>
      </c>
      <c r="I360" s="48">
        <f>'Secondary cum Calculation'!I648</f>
        <v>0</v>
      </c>
      <c r="J360" s="48" t="str">
        <f>'Secondary cum Calculation'!J648</f>
        <v>Thousand</v>
      </c>
      <c r="K360" s="49">
        <f>'Secondary cum Calculation'!K648</f>
        <v>0</v>
      </c>
      <c r="L360" s="92"/>
      <c r="M360" s="104" t="e">
        <f>'Final Data-US$'!M294/'Final Data-US$'!L294-1</f>
        <v>#DIV/0!</v>
      </c>
      <c r="N360" s="104" t="e">
        <f>'Final Data-US$'!N294/'Final Data-US$'!M294-1</f>
        <v>#DIV/0!</v>
      </c>
      <c r="O360" s="51" t="e">
        <f>'Final Data-US$'!O294/'Final Data-US$'!N294-1</f>
        <v>#DIV/0!</v>
      </c>
      <c r="P360" s="51" t="e">
        <f>'Final Data-US$'!P294/'Final Data-US$'!O294-1</f>
        <v>#DIV/0!</v>
      </c>
      <c r="Q360" s="51" t="e">
        <f>'Final Data-US$'!Q294/'Final Data-US$'!P294-1</f>
        <v>#DIV/0!</v>
      </c>
      <c r="R360" s="51" t="e">
        <f>'Final Data-US$'!R294/'Final Data-US$'!Q294-1</f>
        <v>#DIV/0!</v>
      </c>
      <c r="S360" s="51" t="e">
        <f>'Final Data-US$'!S294/'Final Data-US$'!R294-1</f>
        <v>#DIV/0!</v>
      </c>
      <c r="T360" s="51" t="e">
        <f>'Final Data-US$'!T294/'Final Data-US$'!S294-1</f>
        <v>#DIV/0!</v>
      </c>
      <c r="U360" s="51" t="e">
        <f>'Final Data-US$'!U294/'Final Data-US$'!T294-1</f>
        <v>#DIV/0!</v>
      </c>
      <c r="V360" s="51" t="e">
        <f>'Final Data-US$'!V294/'Final Data-US$'!U294-1</f>
        <v>#DIV/0!</v>
      </c>
      <c r="W360" s="102" t="e">
        <f>'Final Data-US$'!W294</f>
        <v>#DIV/0!</v>
      </c>
      <c r="X360" s="102" t="e">
        <f>'Final Data-US$'!X294</f>
        <v>#DIV/0!</v>
      </c>
    </row>
    <row r="361" spans="1:24">
      <c r="A361" s="46" t="str">
        <f>'Secondary cum Calculation'!A650</f>
        <v>Poland</v>
      </c>
      <c r="B361" s="47" t="str">
        <f>'Secondary cum Calculation'!B650</f>
        <v>Tourism Flows</v>
      </c>
      <c r="C361" s="47" t="str">
        <f>'Secondary cum Calculation'!C650</f>
        <v>International Departures by Destination</v>
      </c>
      <c r="D361" s="47" t="str">
        <f>'Secondary cum Calculation'!D650</f>
        <v>Africa</v>
      </c>
      <c r="E361" s="46" t="str">
        <f>'Secondary cum Calculation'!E650</f>
        <v>Gambia</v>
      </c>
      <c r="F361" s="48" t="str">
        <f>'Secondary cum Calculation'!F650</f>
        <v>The number of international departures from a country to Gambia</v>
      </c>
      <c r="G361" s="48" t="str">
        <f>'Secondary cum Calculation'!G650</f>
        <v>Tourism Demand &amp; Flows Database</v>
      </c>
      <c r="H361" s="48" t="str">
        <f>'Secondary cum Calculation'!H650</f>
        <v>New</v>
      </c>
      <c r="I361" s="48">
        <f>'Secondary cum Calculation'!I650</f>
        <v>0</v>
      </c>
      <c r="J361" s="48" t="str">
        <f>'Secondary cum Calculation'!J650</f>
        <v>Thousand</v>
      </c>
      <c r="K361" s="49">
        <f>'Secondary cum Calculation'!K650</f>
        <v>0</v>
      </c>
      <c r="L361" s="92"/>
      <c r="M361" s="104" t="e">
        <f>'Final Data-US$'!M295/'Final Data-US$'!L295-1</f>
        <v>#DIV/0!</v>
      </c>
      <c r="N361" s="104" t="e">
        <f>'Final Data-US$'!N295/'Final Data-US$'!M295-1</f>
        <v>#DIV/0!</v>
      </c>
      <c r="O361" s="51" t="e">
        <f>'Final Data-US$'!O295/'Final Data-US$'!N295-1</f>
        <v>#DIV/0!</v>
      </c>
      <c r="P361" s="51" t="e">
        <f>'Final Data-US$'!P295/'Final Data-US$'!O295-1</f>
        <v>#DIV/0!</v>
      </c>
      <c r="Q361" s="51" t="e">
        <f>'Final Data-US$'!Q295/'Final Data-US$'!P295-1</f>
        <v>#DIV/0!</v>
      </c>
      <c r="R361" s="51" t="e">
        <f>'Final Data-US$'!R295/'Final Data-US$'!Q295-1</f>
        <v>#DIV/0!</v>
      </c>
      <c r="S361" s="51" t="e">
        <f>'Final Data-US$'!S295/'Final Data-US$'!R295-1</f>
        <v>#DIV/0!</v>
      </c>
      <c r="T361" s="51" t="e">
        <f>'Final Data-US$'!T295/'Final Data-US$'!S295-1</f>
        <v>#DIV/0!</v>
      </c>
      <c r="U361" s="51" t="e">
        <f>'Final Data-US$'!U295/'Final Data-US$'!T295-1</f>
        <v>#DIV/0!</v>
      </c>
      <c r="V361" s="51" t="e">
        <f>'Final Data-US$'!V295/'Final Data-US$'!U295-1</f>
        <v>#DIV/0!</v>
      </c>
      <c r="W361" s="102" t="e">
        <f>'Final Data-US$'!W295</f>
        <v>#DIV/0!</v>
      </c>
      <c r="X361" s="102" t="e">
        <f>'Final Data-US$'!X295</f>
        <v>#DIV/0!</v>
      </c>
    </row>
    <row r="362" spans="1:24">
      <c r="A362" s="46" t="str">
        <f>'Secondary cum Calculation'!A652</f>
        <v>Poland</v>
      </c>
      <c r="B362" s="47" t="str">
        <f>'Secondary cum Calculation'!B652</f>
        <v>Tourism Flows</v>
      </c>
      <c r="C362" s="47" t="str">
        <f>'Secondary cum Calculation'!C652</f>
        <v>International Departures by Destination</v>
      </c>
      <c r="D362" s="47" t="str">
        <f>'Secondary cum Calculation'!D652</f>
        <v>Africa</v>
      </c>
      <c r="E362" s="46" t="str">
        <f>'Secondary cum Calculation'!E652</f>
        <v>Ghana</v>
      </c>
      <c r="F362" s="48" t="str">
        <f>'Secondary cum Calculation'!F652</f>
        <v>The number of international departures from a country to Ghana</v>
      </c>
      <c r="G362" s="48" t="str">
        <f>'Secondary cum Calculation'!G652</f>
        <v>Tourism Demand &amp; Flows Database</v>
      </c>
      <c r="H362" s="48" t="str">
        <f>'Secondary cum Calculation'!H652</f>
        <v>New</v>
      </c>
      <c r="I362" s="48">
        <f>'Secondary cum Calculation'!I652</f>
        <v>0</v>
      </c>
      <c r="J362" s="48" t="str">
        <f>'Secondary cum Calculation'!J652</f>
        <v>Thousand</v>
      </c>
      <c r="K362" s="49">
        <f>'Secondary cum Calculation'!K652</f>
        <v>0</v>
      </c>
      <c r="L362" s="92"/>
      <c r="M362" s="104" t="e">
        <f>'Final Data-US$'!M296/'Final Data-US$'!L296-1</f>
        <v>#DIV/0!</v>
      </c>
      <c r="N362" s="104" t="e">
        <f>'Final Data-US$'!N296/'Final Data-US$'!M296-1</f>
        <v>#DIV/0!</v>
      </c>
      <c r="O362" s="51" t="e">
        <f>'Final Data-US$'!O296/'Final Data-US$'!N296-1</f>
        <v>#DIV/0!</v>
      </c>
      <c r="P362" s="51" t="e">
        <f>'Final Data-US$'!P296/'Final Data-US$'!O296-1</f>
        <v>#DIV/0!</v>
      </c>
      <c r="Q362" s="51" t="e">
        <f>'Final Data-US$'!Q296/'Final Data-US$'!P296-1</f>
        <v>#DIV/0!</v>
      </c>
      <c r="R362" s="51" t="e">
        <f>'Final Data-US$'!R296/'Final Data-US$'!Q296-1</f>
        <v>#DIV/0!</v>
      </c>
      <c r="S362" s="51" t="e">
        <f>'Final Data-US$'!S296/'Final Data-US$'!R296-1</f>
        <v>#DIV/0!</v>
      </c>
      <c r="T362" s="51" t="e">
        <f>'Final Data-US$'!T296/'Final Data-US$'!S296-1</f>
        <v>#DIV/0!</v>
      </c>
      <c r="U362" s="51" t="e">
        <f>'Final Data-US$'!U296/'Final Data-US$'!T296-1</f>
        <v>#DIV/0!</v>
      </c>
      <c r="V362" s="51" t="e">
        <f>'Final Data-US$'!V296/'Final Data-US$'!U296-1</f>
        <v>#DIV/0!</v>
      </c>
      <c r="W362" s="102" t="e">
        <f>'Final Data-US$'!W296</f>
        <v>#DIV/0!</v>
      </c>
      <c r="X362" s="102" t="e">
        <f>'Final Data-US$'!X296</f>
        <v>#DIV/0!</v>
      </c>
    </row>
    <row r="363" spans="1:24">
      <c r="A363" s="46" t="str">
        <f>'Secondary cum Calculation'!A654</f>
        <v>Poland</v>
      </c>
      <c r="B363" s="47" t="str">
        <f>'Secondary cum Calculation'!B654</f>
        <v>Tourism Flows</v>
      </c>
      <c r="C363" s="47" t="str">
        <f>'Secondary cum Calculation'!C654</f>
        <v>International Departures by Destination</v>
      </c>
      <c r="D363" s="47" t="str">
        <f>'Secondary cum Calculation'!D654</f>
        <v>Africa</v>
      </c>
      <c r="E363" s="46" t="str">
        <f>'Secondary cum Calculation'!E654</f>
        <v>Guinea</v>
      </c>
      <c r="F363" s="48" t="str">
        <f>'Secondary cum Calculation'!F654</f>
        <v>The number of international departures from a country to Guinea</v>
      </c>
      <c r="G363" s="48" t="str">
        <f>'Secondary cum Calculation'!G654</f>
        <v>Tourism Demand &amp; Flows Database</v>
      </c>
      <c r="H363" s="48" t="str">
        <f>'Secondary cum Calculation'!H654</f>
        <v>New</v>
      </c>
      <c r="I363" s="48">
        <f>'Secondary cum Calculation'!I654</f>
        <v>0</v>
      </c>
      <c r="J363" s="48" t="str">
        <f>'Secondary cum Calculation'!J654</f>
        <v>Thousand</v>
      </c>
      <c r="K363" s="49">
        <f>'Secondary cum Calculation'!K654</f>
        <v>0</v>
      </c>
      <c r="L363" s="92"/>
      <c r="M363" s="104" t="e">
        <f>'Final Data-US$'!M297/'Final Data-US$'!L297-1</f>
        <v>#DIV/0!</v>
      </c>
      <c r="N363" s="104" t="e">
        <f>'Final Data-US$'!N297/'Final Data-US$'!M297-1</f>
        <v>#DIV/0!</v>
      </c>
      <c r="O363" s="51" t="e">
        <f>'Final Data-US$'!O297/'Final Data-US$'!N297-1</f>
        <v>#DIV/0!</v>
      </c>
      <c r="P363" s="51" t="e">
        <f>'Final Data-US$'!P297/'Final Data-US$'!O297-1</f>
        <v>#DIV/0!</v>
      </c>
      <c r="Q363" s="51" t="e">
        <f>'Final Data-US$'!Q297/'Final Data-US$'!P297-1</f>
        <v>#DIV/0!</v>
      </c>
      <c r="R363" s="51" t="e">
        <f>'Final Data-US$'!R297/'Final Data-US$'!Q297-1</f>
        <v>#DIV/0!</v>
      </c>
      <c r="S363" s="51" t="e">
        <f>'Final Data-US$'!S297/'Final Data-US$'!R297-1</f>
        <v>#DIV/0!</v>
      </c>
      <c r="T363" s="51" t="e">
        <f>'Final Data-US$'!T297/'Final Data-US$'!S297-1</f>
        <v>#DIV/0!</v>
      </c>
      <c r="U363" s="51" t="e">
        <f>'Final Data-US$'!U297/'Final Data-US$'!T297-1</f>
        <v>#DIV/0!</v>
      </c>
      <c r="V363" s="51" t="e">
        <f>'Final Data-US$'!V297/'Final Data-US$'!U297-1</f>
        <v>#DIV/0!</v>
      </c>
      <c r="W363" s="102" t="e">
        <f>'Final Data-US$'!W297</f>
        <v>#DIV/0!</v>
      </c>
      <c r="X363" s="102" t="e">
        <f>'Final Data-US$'!X297</f>
        <v>#DIV/0!</v>
      </c>
    </row>
    <row r="364" spans="1:24">
      <c r="A364" s="46" t="str">
        <f>'Secondary cum Calculation'!A656</f>
        <v>Poland</v>
      </c>
      <c r="B364" s="47" t="str">
        <f>'Secondary cum Calculation'!B656</f>
        <v>Tourism Flows</v>
      </c>
      <c r="C364" s="47" t="str">
        <f>'Secondary cum Calculation'!C656</f>
        <v>International Departures by Destination</v>
      </c>
      <c r="D364" s="47" t="str">
        <f>'Secondary cum Calculation'!D656</f>
        <v>Africa</v>
      </c>
      <c r="E364" s="46" t="str">
        <f>'Secondary cum Calculation'!E656</f>
        <v>Guinea-Bissau</v>
      </c>
      <c r="F364" s="48" t="str">
        <f>'Secondary cum Calculation'!F656</f>
        <v>The number of international departures from a country to Guinea-Bissau</v>
      </c>
      <c r="G364" s="48" t="str">
        <f>'Secondary cum Calculation'!G656</f>
        <v>Tourism Demand &amp; Flows Database</v>
      </c>
      <c r="H364" s="48" t="str">
        <f>'Secondary cum Calculation'!H656</f>
        <v>New</v>
      </c>
      <c r="I364" s="48">
        <f>'Secondary cum Calculation'!I656</f>
        <v>0</v>
      </c>
      <c r="J364" s="48" t="str">
        <f>'Secondary cum Calculation'!J656</f>
        <v>Thousand</v>
      </c>
      <c r="K364" s="49">
        <f>'Secondary cum Calculation'!K656</f>
        <v>0</v>
      </c>
      <c r="L364" s="92"/>
      <c r="M364" s="104" t="e">
        <f>'Final Data-US$'!M298/'Final Data-US$'!L298-1</f>
        <v>#DIV/0!</v>
      </c>
      <c r="N364" s="104" t="e">
        <f>'Final Data-US$'!N298/'Final Data-US$'!M298-1</f>
        <v>#DIV/0!</v>
      </c>
      <c r="O364" s="51" t="e">
        <f>'Final Data-US$'!O298/'Final Data-US$'!N298-1</f>
        <v>#DIV/0!</v>
      </c>
      <c r="P364" s="51" t="e">
        <f>'Final Data-US$'!P298/'Final Data-US$'!O298-1</f>
        <v>#DIV/0!</v>
      </c>
      <c r="Q364" s="51" t="e">
        <f>'Final Data-US$'!Q298/'Final Data-US$'!P298-1</f>
        <v>#DIV/0!</v>
      </c>
      <c r="R364" s="51" t="e">
        <f>'Final Data-US$'!R298/'Final Data-US$'!Q298-1</f>
        <v>#DIV/0!</v>
      </c>
      <c r="S364" s="51" t="e">
        <f>'Final Data-US$'!S298/'Final Data-US$'!R298-1</f>
        <v>#DIV/0!</v>
      </c>
      <c r="T364" s="51" t="e">
        <f>'Final Data-US$'!T298/'Final Data-US$'!S298-1</f>
        <v>#DIV/0!</v>
      </c>
      <c r="U364" s="51" t="e">
        <f>'Final Data-US$'!U298/'Final Data-US$'!T298-1</f>
        <v>#DIV/0!</v>
      </c>
      <c r="V364" s="51" t="e">
        <f>'Final Data-US$'!V298/'Final Data-US$'!U298-1</f>
        <v>#DIV/0!</v>
      </c>
      <c r="W364" s="102" t="e">
        <f>'Final Data-US$'!W298</f>
        <v>#DIV/0!</v>
      </c>
      <c r="X364" s="102" t="e">
        <f>'Final Data-US$'!X298</f>
        <v>#DIV/0!</v>
      </c>
    </row>
    <row r="365" spans="1:24">
      <c r="A365" s="46" t="str">
        <f>'Secondary cum Calculation'!A658</f>
        <v>Poland</v>
      </c>
      <c r="B365" s="47" t="str">
        <f>'Secondary cum Calculation'!B658</f>
        <v>Tourism Flows</v>
      </c>
      <c r="C365" s="47" t="str">
        <f>'Secondary cum Calculation'!C658</f>
        <v>International Departures by Destination</v>
      </c>
      <c r="D365" s="47" t="str">
        <f>'Secondary cum Calculation'!D658</f>
        <v>Africa</v>
      </c>
      <c r="E365" s="46" t="str">
        <f>'Secondary cum Calculation'!E658</f>
        <v>Kenya</v>
      </c>
      <c r="F365" s="48" t="str">
        <f>'Secondary cum Calculation'!F658</f>
        <v>The number of international departures from a country to Kenya</v>
      </c>
      <c r="G365" s="48" t="str">
        <f>'Secondary cum Calculation'!G658</f>
        <v>Tourism Demand &amp; Flows Database</v>
      </c>
      <c r="H365" s="48" t="str">
        <f>'Secondary cum Calculation'!H658</f>
        <v>New</v>
      </c>
      <c r="I365" s="48">
        <f>'Secondary cum Calculation'!I658</f>
        <v>0</v>
      </c>
      <c r="J365" s="48" t="str">
        <f>'Secondary cum Calculation'!J658</f>
        <v>Thousand</v>
      </c>
      <c r="K365" s="49">
        <f>'Secondary cum Calculation'!K658</f>
        <v>0</v>
      </c>
      <c r="L365" s="92"/>
      <c r="M365" s="104" t="e">
        <f>'Final Data-US$'!M299/'Final Data-US$'!L299-1</f>
        <v>#DIV/0!</v>
      </c>
      <c r="N365" s="104" t="e">
        <f>'Final Data-US$'!N299/'Final Data-US$'!M299-1</f>
        <v>#DIV/0!</v>
      </c>
      <c r="O365" s="51" t="e">
        <f>'Final Data-US$'!O299/'Final Data-US$'!N299-1</f>
        <v>#DIV/0!</v>
      </c>
      <c r="P365" s="51" t="e">
        <f>'Final Data-US$'!P299/'Final Data-US$'!O299-1</f>
        <v>#DIV/0!</v>
      </c>
      <c r="Q365" s="51" t="e">
        <f>'Final Data-US$'!Q299/'Final Data-US$'!P299-1</f>
        <v>#DIV/0!</v>
      </c>
      <c r="R365" s="51" t="e">
        <f>'Final Data-US$'!R299/'Final Data-US$'!Q299-1</f>
        <v>#DIV/0!</v>
      </c>
      <c r="S365" s="51" t="e">
        <f>'Final Data-US$'!S299/'Final Data-US$'!R299-1</f>
        <v>#DIV/0!</v>
      </c>
      <c r="T365" s="51" t="e">
        <f>'Final Data-US$'!T299/'Final Data-US$'!S299-1</f>
        <v>#DIV/0!</v>
      </c>
      <c r="U365" s="51" t="e">
        <f>'Final Data-US$'!U299/'Final Data-US$'!T299-1</f>
        <v>#DIV/0!</v>
      </c>
      <c r="V365" s="51" t="e">
        <f>'Final Data-US$'!V299/'Final Data-US$'!U299-1</f>
        <v>#DIV/0!</v>
      </c>
      <c r="W365" s="102" t="e">
        <f>'Final Data-US$'!W299</f>
        <v>#DIV/0!</v>
      </c>
      <c r="X365" s="102" t="e">
        <f>'Final Data-US$'!X299</f>
        <v>#DIV/0!</v>
      </c>
    </row>
    <row r="366" spans="1:24">
      <c r="A366" s="46" t="str">
        <f>'Secondary cum Calculation'!A660</f>
        <v>Poland</v>
      </c>
      <c r="B366" s="47" t="str">
        <f>'Secondary cum Calculation'!B660</f>
        <v>Tourism Flows</v>
      </c>
      <c r="C366" s="47" t="str">
        <f>'Secondary cum Calculation'!C660</f>
        <v>International Departures by Destination</v>
      </c>
      <c r="D366" s="47" t="str">
        <f>'Secondary cum Calculation'!D660</f>
        <v>Africa</v>
      </c>
      <c r="E366" s="46" t="str">
        <f>'Secondary cum Calculation'!E660</f>
        <v>Lesotho</v>
      </c>
      <c r="F366" s="48" t="str">
        <f>'Secondary cum Calculation'!F660</f>
        <v>The number of international departures from a country to Lesotho</v>
      </c>
      <c r="G366" s="48" t="str">
        <f>'Secondary cum Calculation'!G660</f>
        <v>Tourism Demand &amp; Flows Database</v>
      </c>
      <c r="H366" s="48" t="str">
        <f>'Secondary cum Calculation'!H660</f>
        <v>New</v>
      </c>
      <c r="I366" s="48">
        <f>'Secondary cum Calculation'!I660</f>
        <v>0</v>
      </c>
      <c r="J366" s="48" t="str">
        <f>'Secondary cum Calculation'!J660</f>
        <v>Thousand</v>
      </c>
      <c r="K366" s="49">
        <f>'Secondary cum Calculation'!K660</f>
        <v>0</v>
      </c>
      <c r="L366" s="92"/>
      <c r="M366" s="104" t="e">
        <f>'Final Data-US$'!M300/'Final Data-US$'!L300-1</f>
        <v>#DIV/0!</v>
      </c>
      <c r="N366" s="104" t="e">
        <f>'Final Data-US$'!N300/'Final Data-US$'!M300-1</f>
        <v>#DIV/0!</v>
      </c>
      <c r="O366" s="51" t="e">
        <f>'Final Data-US$'!O300/'Final Data-US$'!N300-1</f>
        <v>#DIV/0!</v>
      </c>
      <c r="P366" s="51" t="e">
        <f>'Final Data-US$'!P300/'Final Data-US$'!O300-1</f>
        <v>#DIV/0!</v>
      </c>
      <c r="Q366" s="51" t="e">
        <f>'Final Data-US$'!Q300/'Final Data-US$'!P300-1</f>
        <v>#DIV/0!</v>
      </c>
      <c r="R366" s="51" t="e">
        <f>'Final Data-US$'!R300/'Final Data-US$'!Q300-1</f>
        <v>#DIV/0!</v>
      </c>
      <c r="S366" s="51" t="e">
        <f>'Final Data-US$'!S300/'Final Data-US$'!R300-1</f>
        <v>#DIV/0!</v>
      </c>
      <c r="T366" s="51" t="e">
        <f>'Final Data-US$'!T300/'Final Data-US$'!S300-1</f>
        <v>#DIV/0!</v>
      </c>
      <c r="U366" s="51" t="e">
        <f>'Final Data-US$'!U300/'Final Data-US$'!T300-1</f>
        <v>#DIV/0!</v>
      </c>
      <c r="V366" s="51" t="e">
        <f>'Final Data-US$'!V300/'Final Data-US$'!U300-1</f>
        <v>#DIV/0!</v>
      </c>
      <c r="W366" s="102" t="e">
        <f>'Final Data-US$'!W300</f>
        <v>#DIV/0!</v>
      </c>
      <c r="X366" s="102" t="e">
        <f>'Final Data-US$'!X300</f>
        <v>#DIV/0!</v>
      </c>
    </row>
    <row r="367" spans="1:24">
      <c r="A367" s="46" t="str">
        <f>'Secondary cum Calculation'!A662</f>
        <v>Poland</v>
      </c>
      <c r="B367" s="47" t="str">
        <f>'Secondary cum Calculation'!B662</f>
        <v>Tourism Flows</v>
      </c>
      <c r="C367" s="47" t="str">
        <f>'Secondary cum Calculation'!C662</f>
        <v>International Departures by Destination</v>
      </c>
      <c r="D367" s="47" t="str">
        <f>'Secondary cum Calculation'!D662</f>
        <v>Africa</v>
      </c>
      <c r="E367" s="46" t="str">
        <f>'Secondary cum Calculation'!E662</f>
        <v>Liberia</v>
      </c>
      <c r="F367" s="48" t="str">
        <f>'Secondary cum Calculation'!F662</f>
        <v>The number of international departures from a country to Liberia</v>
      </c>
      <c r="G367" s="48" t="str">
        <f>'Secondary cum Calculation'!G662</f>
        <v>Tourism Demand &amp; Flows Database</v>
      </c>
      <c r="H367" s="48" t="str">
        <f>'Secondary cum Calculation'!H662</f>
        <v>New</v>
      </c>
      <c r="I367" s="48">
        <f>'Secondary cum Calculation'!I662</f>
        <v>0</v>
      </c>
      <c r="J367" s="48" t="str">
        <f>'Secondary cum Calculation'!J662</f>
        <v>Thousand</v>
      </c>
      <c r="K367" s="49">
        <f>'Secondary cum Calculation'!K662</f>
        <v>0</v>
      </c>
      <c r="L367" s="92"/>
      <c r="M367" s="104" t="e">
        <f>'Final Data-US$'!M301/'Final Data-US$'!L301-1</f>
        <v>#DIV/0!</v>
      </c>
      <c r="N367" s="104" t="e">
        <f>'Final Data-US$'!N301/'Final Data-US$'!M301-1</f>
        <v>#DIV/0!</v>
      </c>
      <c r="O367" s="51" t="e">
        <f>'Final Data-US$'!O301/'Final Data-US$'!N301-1</f>
        <v>#DIV/0!</v>
      </c>
      <c r="P367" s="51" t="e">
        <f>'Final Data-US$'!P301/'Final Data-US$'!O301-1</f>
        <v>#DIV/0!</v>
      </c>
      <c r="Q367" s="51" t="e">
        <f>'Final Data-US$'!Q301/'Final Data-US$'!P301-1</f>
        <v>#DIV/0!</v>
      </c>
      <c r="R367" s="51" t="e">
        <f>'Final Data-US$'!R301/'Final Data-US$'!Q301-1</f>
        <v>#DIV/0!</v>
      </c>
      <c r="S367" s="51" t="e">
        <f>'Final Data-US$'!S301/'Final Data-US$'!R301-1</f>
        <v>#DIV/0!</v>
      </c>
      <c r="T367" s="51" t="e">
        <f>'Final Data-US$'!T301/'Final Data-US$'!S301-1</f>
        <v>#DIV/0!</v>
      </c>
      <c r="U367" s="51" t="e">
        <f>'Final Data-US$'!U301/'Final Data-US$'!T301-1</f>
        <v>#DIV/0!</v>
      </c>
      <c r="V367" s="51" t="e">
        <f>'Final Data-US$'!V301/'Final Data-US$'!U301-1</f>
        <v>#DIV/0!</v>
      </c>
      <c r="W367" s="102" t="e">
        <f>'Final Data-US$'!W301</f>
        <v>#DIV/0!</v>
      </c>
      <c r="X367" s="102" t="e">
        <f>'Final Data-US$'!X301</f>
        <v>#DIV/0!</v>
      </c>
    </row>
    <row r="368" spans="1:24">
      <c r="A368" s="46" t="str">
        <f>'Secondary cum Calculation'!A664</f>
        <v>Poland</v>
      </c>
      <c r="B368" s="47" t="str">
        <f>'Secondary cum Calculation'!B664</f>
        <v>Tourism Flows</v>
      </c>
      <c r="C368" s="47" t="str">
        <f>'Secondary cum Calculation'!C664</f>
        <v>International Departures by Destination</v>
      </c>
      <c r="D368" s="47" t="str">
        <f>'Secondary cum Calculation'!D664</f>
        <v>Africa</v>
      </c>
      <c r="E368" s="46" t="str">
        <f>'Secondary cum Calculation'!E664</f>
        <v>Libyan Arab Jamahiriya</v>
      </c>
      <c r="F368" s="48" t="str">
        <f>'Secondary cum Calculation'!F664</f>
        <v>The number of international departures from a country to Libyan Arab Jamahiriya</v>
      </c>
      <c r="G368" s="48" t="str">
        <f>'Secondary cum Calculation'!G664</f>
        <v>Tourism Demand &amp; Flows Database</v>
      </c>
      <c r="H368" s="48" t="str">
        <f>'Secondary cum Calculation'!H664</f>
        <v>New</v>
      </c>
      <c r="I368" s="48">
        <f>'Secondary cum Calculation'!I664</f>
        <v>0</v>
      </c>
      <c r="J368" s="48" t="str">
        <f>'Secondary cum Calculation'!J664</f>
        <v>Thousand</v>
      </c>
      <c r="K368" s="49">
        <f>'Secondary cum Calculation'!K664</f>
        <v>0</v>
      </c>
      <c r="L368" s="92"/>
      <c r="M368" s="104" t="e">
        <f>'Final Data-US$'!M302/'Final Data-US$'!L302-1</f>
        <v>#DIV/0!</v>
      </c>
      <c r="N368" s="104" t="e">
        <f>'Final Data-US$'!N302/'Final Data-US$'!M302-1</f>
        <v>#DIV/0!</v>
      </c>
      <c r="O368" s="51" t="e">
        <f>'Final Data-US$'!O302/'Final Data-US$'!N302-1</f>
        <v>#DIV/0!</v>
      </c>
      <c r="P368" s="51" t="e">
        <f>'Final Data-US$'!P302/'Final Data-US$'!O302-1</f>
        <v>#DIV/0!</v>
      </c>
      <c r="Q368" s="51" t="e">
        <f>'Final Data-US$'!Q302/'Final Data-US$'!P302-1</f>
        <v>#DIV/0!</v>
      </c>
      <c r="R368" s="51" t="e">
        <f>'Final Data-US$'!R302/'Final Data-US$'!Q302-1</f>
        <v>#DIV/0!</v>
      </c>
      <c r="S368" s="51" t="e">
        <f>'Final Data-US$'!S302/'Final Data-US$'!R302-1</f>
        <v>#DIV/0!</v>
      </c>
      <c r="T368" s="51" t="e">
        <f>'Final Data-US$'!T302/'Final Data-US$'!S302-1</f>
        <v>#DIV/0!</v>
      </c>
      <c r="U368" s="51" t="e">
        <f>'Final Data-US$'!U302/'Final Data-US$'!T302-1</f>
        <v>#DIV/0!</v>
      </c>
      <c r="V368" s="51" t="e">
        <f>'Final Data-US$'!V302/'Final Data-US$'!U302-1</f>
        <v>#DIV/0!</v>
      </c>
      <c r="W368" s="102" t="e">
        <f>'Final Data-US$'!W302</f>
        <v>#DIV/0!</v>
      </c>
      <c r="X368" s="102" t="e">
        <f>'Final Data-US$'!X302</f>
        <v>#DIV/0!</v>
      </c>
    </row>
    <row r="369" spans="1:24">
      <c r="A369" s="46" t="str">
        <f>'Secondary cum Calculation'!A666</f>
        <v>Poland</v>
      </c>
      <c r="B369" s="47" t="str">
        <f>'Secondary cum Calculation'!B666</f>
        <v>Tourism Flows</v>
      </c>
      <c r="C369" s="47" t="str">
        <f>'Secondary cum Calculation'!C666</f>
        <v>International Departures by Destination</v>
      </c>
      <c r="D369" s="47" t="str">
        <f>'Secondary cum Calculation'!D666</f>
        <v>Africa</v>
      </c>
      <c r="E369" s="46" t="str">
        <f>'Secondary cum Calculation'!E666</f>
        <v>Madagascar</v>
      </c>
      <c r="F369" s="48" t="str">
        <f>'Secondary cum Calculation'!F666</f>
        <v>The number of international departures from a country to Madagascar</v>
      </c>
      <c r="G369" s="48" t="str">
        <f>'Secondary cum Calculation'!G666</f>
        <v>Tourism Demand &amp; Flows Database</v>
      </c>
      <c r="H369" s="48" t="str">
        <f>'Secondary cum Calculation'!H666</f>
        <v>New</v>
      </c>
      <c r="I369" s="48">
        <f>'Secondary cum Calculation'!I666</f>
        <v>0</v>
      </c>
      <c r="J369" s="48" t="str">
        <f>'Secondary cum Calculation'!J666</f>
        <v>Thousand</v>
      </c>
      <c r="K369" s="49">
        <f>'Secondary cum Calculation'!K666</f>
        <v>0</v>
      </c>
      <c r="L369" s="92"/>
      <c r="M369" s="104" t="e">
        <f>'Final Data-US$'!M303/'Final Data-US$'!L303-1</f>
        <v>#DIV/0!</v>
      </c>
      <c r="N369" s="104" t="e">
        <f>'Final Data-US$'!N303/'Final Data-US$'!M303-1</f>
        <v>#DIV/0!</v>
      </c>
      <c r="O369" s="51" t="e">
        <f>'Final Data-US$'!O303/'Final Data-US$'!N303-1</f>
        <v>#DIV/0!</v>
      </c>
      <c r="P369" s="51" t="e">
        <f>'Final Data-US$'!P303/'Final Data-US$'!O303-1</f>
        <v>#DIV/0!</v>
      </c>
      <c r="Q369" s="51" t="e">
        <f>'Final Data-US$'!Q303/'Final Data-US$'!P303-1</f>
        <v>#DIV/0!</v>
      </c>
      <c r="R369" s="51" t="e">
        <f>'Final Data-US$'!R303/'Final Data-US$'!Q303-1</f>
        <v>#DIV/0!</v>
      </c>
      <c r="S369" s="51" t="e">
        <f>'Final Data-US$'!S303/'Final Data-US$'!R303-1</f>
        <v>#DIV/0!</v>
      </c>
      <c r="T369" s="51" t="e">
        <f>'Final Data-US$'!T303/'Final Data-US$'!S303-1</f>
        <v>#DIV/0!</v>
      </c>
      <c r="U369" s="51" t="e">
        <f>'Final Data-US$'!U303/'Final Data-US$'!T303-1</f>
        <v>#DIV/0!</v>
      </c>
      <c r="V369" s="51" t="e">
        <f>'Final Data-US$'!V303/'Final Data-US$'!U303-1</f>
        <v>#DIV/0!</v>
      </c>
      <c r="W369" s="102" t="e">
        <f>'Final Data-US$'!W303</f>
        <v>#DIV/0!</v>
      </c>
      <c r="X369" s="102" t="e">
        <f>'Final Data-US$'!X303</f>
        <v>#DIV/0!</v>
      </c>
    </row>
    <row r="370" spans="1:24">
      <c r="A370" s="46" t="str">
        <f>'Secondary cum Calculation'!A668</f>
        <v>Poland</v>
      </c>
      <c r="B370" s="47" t="str">
        <f>'Secondary cum Calculation'!B668</f>
        <v>Tourism Flows</v>
      </c>
      <c r="C370" s="47" t="str">
        <f>'Secondary cum Calculation'!C668</f>
        <v>International Departures by Destination</v>
      </c>
      <c r="D370" s="47" t="str">
        <f>'Secondary cum Calculation'!D668</f>
        <v>Africa</v>
      </c>
      <c r="E370" s="46" t="str">
        <f>'Secondary cum Calculation'!E668</f>
        <v>Malawi</v>
      </c>
      <c r="F370" s="48" t="str">
        <f>'Secondary cum Calculation'!F668</f>
        <v>The number of international departures from a country to Malawi</v>
      </c>
      <c r="G370" s="48" t="str">
        <f>'Secondary cum Calculation'!G668</f>
        <v>Tourism Demand &amp; Flows Database</v>
      </c>
      <c r="H370" s="48" t="str">
        <f>'Secondary cum Calculation'!H668</f>
        <v>New</v>
      </c>
      <c r="I370" s="48">
        <f>'Secondary cum Calculation'!I668</f>
        <v>0</v>
      </c>
      <c r="J370" s="48" t="str">
        <f>'Secondary cum Calculation'!J668</f>
        <v>Thousand</v>
      </c>
      <c r="K370" s="49">
        <f>'Secondary cum Calculation'!K668</f>
        <v>0</v>
      </c>
      <c r="L370" s="92"/>
      <c r="M370" s="104" t="e">
        <f>'Final Data-US$'!M304/'Final Data-US$'!L304-1</f>
        <v>#DIV/0!</v>
      </c>
      <c r="N370" s="104" t="e">
        <f>'Final Data-US$'!N304/'Final Data-US$'!M304-1</f>
        <v>#DIV/0!</v>
      </c>
      <c r="O370" s="51" t="e">
        <f>'Final Data-US$'!O304/'Final Data-US$'!N304-1</f>
        <v>#DIV/0!</v>
      </c>
      <c r="P370" s="51" t="e">
        <f>'Final Data-US$'!P304/'Final Data-US$'!O304-1</f>
        <v>#DIV/0!</v>
      </c>
      <c r="Q370" s="51" t="e">
        <f>'Final Data-US$'!Q304/'Final Data-US$'!P304-1</f>
        <v>#DIV/0!</v>
      </c>
      <c r="R370" s="51" t="e">
        <f>'Final Data-US$'!R304/'Final Data-US$'!Q304-1</f>
        <v>#DIV/0!</v>
      </c>
      <c r="S370" s="51" t="e">
        <f>'Final Data-US$'!S304/'Final Data-US$'!R304-1</f>
        <v>#DIV/0!</v>
      </c>
      <c r="T370" s="51" t="e">
        <f>'Final Data-US$'!T304/'Final Data-US$'!S304-1</f>
        <v>#DIV/0!</v>
      </c>
      <c r="U370" s="51" t="e">
        <f>'Final Data-US$'!U304/'Final Data-US$'!T304-1</f>
        <v>#DIV/0!</v>
      </c>
      <c r="V370" s="51" t="e">
        <f>'Final Data-US$'!V304/'Final Data-US$'!U304-1</f>
        <v>#DIV/0!</v>
      </c>
      <c r="W370" s="102" t="e">
        <f>'Final Data-US$'!W304</f>
        <v>#DIV/0!</v>
      </c>
      <c r="X370" s="102" t="e">
        <f>'Final Data-US$'!X304</f>
        <v>#DIV/0!</v>
      </c>
    </row>
    <row r="371" spans="1:24">
      <c r="A371" s="46" t="str">
        <f>'Secondary cum Calculation'!A670</f>
        <v>Poland</v>
      </c>
      <c r="B371" s="47" t="str">
        <f>'Secondary cum Calculation'!B670</f>
        <v>Tourism Flows</v>
      </c>
      <c r="C371" s="47" t="str">
        <f>'Secondary cum Calculation'!C670</f>
        <v>International Departures by Destination</v>
      </c>
      <c r="D371" s="47" t="str">
        <f>'Secondary cum Calculation'!D670</f>
        <v>Africa</v>
      </c>
      <c r="E371" s="46" t="str">
        <f>'Secondary cum Calculation'!E670</f>
        <v>Mali</v>
      </c>
      <c r="F371" s="48" t="str">
        <f>'Secondary cum Calculation'!F670</f>
        <v>The number of international departures from a country to Mali</v>
      </c>
      <c r="G371" s="48" t="str">
        <f>'Secondary cum Calculation'!G670</f>
        <v>Tourism Demand &amp; Flows Database</v>
      </c>
      <c r="H371" s="48" t="str">
        <f>'Secondary cum Calculation'!H670</f>
        <v>New</v>
      </c>
      <c r="I371" s="48">
        <f>'Secondary cum Calculation'!I670</f>
        <v>0</v>
      </c>
      <c r="J371" s="48" t="str">
        <f>'Secondary cum Calculation'!J670</f>
        <v>Thousand</v>
      </c>
      <c r="K371" s="49">
        <f>'Secondary cum Calculation'!K670</f>
        <v>0</v>
      </c>
      <c r="L371" s="92"/>
      <c r="M371" s="104" t="e">
        <f>'Final Data-US$'!M305/'Final Data-US$'!L305-1</f>
        <v>#DIV/0!</v>
      </c>
      <c r="N371" s="104" t="e">
        <f>'Final Data-US$'!N305/'Final Data-US$'!M305-1</f>
        <v>#DIV/0!</v>
      </c>
      <c r="O371" s="51" t="e">
        <f>'Final Data-US$'!O305/'Final Data-US$'!N305-1</f>
        <v>#DIV/0!</v>
      </c>
      <c r="P371" s="51" t="e">
        <f>'Final Data-US$'!P305/'Final Data-US$'!O305-1</f>
        <v>#DIV/0!</v>
      </c>
      <c r="Q371" s="51" t="e">
        <f>'Final Data-US$'!Q305/'Final Data-US$'!P305-1</f>
        <v>#DIV/0!</v>
      </c>
      <c r="R371" s="51" t="e">
        <f>'Final Data-US$'!R305/'Final Data-US$'!Q305-1</f>
        <v>#DIV/0!</v>
      </c>
      <c r="S371" s="51" t="e">
        <f>'Final Data-US$'!S305/'Final Data-US$'!R305-1</f>
        <v>#DIV/0!</v>
      </c>
      <c r="T371" s="51" t="e">
        <f>'Final Data-US$'!T305/'Final Data-US$'!S305-1</f>
        <v>#DIV/0!</v>
      </c>
      <c r="U371" s="51" t="e">
        <f>'Final Data-US$'!U305/'Final Data-US$'!T305-1</f>
        <v>#DIV/0!</v>
      </c>
      <c r="V371" s="51" t="e">
        <f>'Final Data-US$'!V305/'Final Data-US$'!U305-1</f>
        <v>#DIV/0!</v>
      </c>
      <c r="W371" s="102" t="e">
        <f>'Final Data-US$'!W305</f>
        <v>#DIV/0!</v>
      </c>
      <c r="X371" s="102" t="e">
        <f>'Final Data-US$'!X305</f>
        <v>#DIV/0!</v>
      </c>
    </row>
    <row r="372" spans="1:24">
      <c r="A372" s="46" t="str">
        <f>'Secondary cum Calculation'!A672</f>
        <v>Poland</v>
      </c>
      <c r="B372" s="47" t="str">
        <f>'Secondary cum Calculation'!B672</f>
        <v>Tourism Flows</v>
      </c>
      <c r="C372" s="47" t="str">
        <f>'Secondary cum Calculation'!C672</f>
        <v>International Departures by Destination</v>
      </c>
      <c r="D372" s="47" t="str">
        <f>'Secondary cum Calculation'!D672</f>
        <v>Africa</v>
      </c>
      <c r="E372" s="46" t="str">
        <f>'Secondary cum Calculation'!E672</f>
        <v>Mauritania</v>
      </c>
      <c r="F372" s="48" t="str">
        <f>'Secondary cum Calculation'!F672</f>
        <v>The number of international departures from a country to Mauritania</v>
      </c>
      <c r="G372" s="48" t="str">
        <f>'Secondary cum Calculation'!G672</f>
        <v>Tourism Demand &amp; Flows Database</v>
      </c>
      <c r="H372" s="48" t="str">
        <f>'Secondary cum Calculation'!H672</f>
        <v>New</v>
      </c>
      <c r="I372" s="48">
        <f>'Secondary cum Calculation'!I672</f>
        <v>0</v>
      </c>
      <c r="J372" s="48" t="str">
        <f>'Secondary cum Calculation'!J672</f>
        <v>Thousand</v>
      </c>
      <c r="K372" s="49">
        <f>'Secondary cum Calculation'!K672</f>
        <v>0</v>
      </c>
      <c r="L372" s="92"/>
      <c r="M372" s="104" t="e">
        <f>'Final Data-US$'!M306/'Final Data-US$'!L306-1</f>
        <v>#DIV/0!</v>
      </c>
      <c r="N372" s="104" t="e">
        <f>'Final Data-US$'!N306/'Final Data-US$'!M306-1</f>
        <v>#DIV/0!</v>
      </c>
      <c r="O372" s="51" t="e">
        <f>'Final Data-US$'!O306/'Final Data-US$'!N306-1</f>
        <v>#DIV/0!</v>
      </c>
      <c r="P372" s="51" t="e">
        <f>'Final Data-US$'!P306/'Final Data-US$'!O306-1</f>
        <v>#DIV/0!</v>
      </c>
      <c r="Q372" s="51" t="e">
        <f>'Final Data-US$'!Q306/'Final Data-US$'!P306-1</f>
        <v>#DIV/0!</v>
      </c>
      <c r="R372" s="51" t="e">
        <f>'Final Data-US$'!R306/'Final Data-US$'!Q306-1</f>
        <v>#DIV/0!</v>
      </c>
      <c r="S372" s="51" t="e">
        <f>'Final Data-US$'!S306/'Final Data-US$'!R306-1</f>
        <v>#DIV/0!</v>
      </c>
      <c r="T372" s="51" t="e">
        <f>'Final Data-US$'!T306/'Final Data-US$'!S306-1</f>
        <v>#DIV/0!</v>
      </c>
      <c r="U372" s="51" t="e">
        <f>'Final Data-US$'!U306/'Final Data-US$'!T306-1</f>
        <v>#DIV/0!</v>
      </c>
      <c r="V372" s="51" t="e">
        <f>'Final Data-US$'!V306/'Final Data-US$'!U306-1</f>
        <v>#DIV/0!</v>
      </c>
      <c r="W372" s="102" t="e">
        <f>'Final Data-US$'!W306</f>
        <v>#DIV/0!</v>
      </c>
      <c r="X372" s="102" t="e">
        <f>'Final Data-US$'!X306</f>
        <v>#DIV/0!</v>
      </c>
    </row>
    <row r="373" spans="1:24">
      <c r="A373" s="46" t="str">
        <f>'Secondary cum Calculation'!A674</f>
        <v>Poland</v>
      </c>
      <c r="B373" s="47" t="str">
        <f>'Secondary cum Calculation'!B674</f>
        <v>Tourism Flows</v>
      </c>
      <c r="C373" s="47" t="str">
        <f>'Secondary cum Calculation'!C674</f>
        <v>International Departures by Destination</v>
      </c>
      <c r="D373" s="47" t="str">
        <f>'Secondary cum Calculation'!D674</f>
        <v>Africa</v>
      </c>
      <c r="E373" s="46" t="str">
        <f>'Secondary cum Calculation'!E674</f>
        <v>Mayotte</v>
      </c>
      <c r="F373" s="48" t="str">
        <f>'Secondary cum Calculation'!F674</f>
        <v>The number of international departures from a country to Mayotte</v>
      </c>
      <c r="G373" s="48" t="str">
        <f>'Secondary cum Calculation'!G674</f>
        <v>Tourism Demand &amp; Flows Database</v>
      </c>
      <c r="H373" s="48" t="str">
        <f>'Secondary cum Calculation'!H674</f>
        <v>New</v>
      </c>
      <c r="I373" s="48">
        <f>'Secondary cum Calculation'!I674</f>
        <v>0</v>
      </c>
      <c r="J373" s="48" t="str">
        <f>'Secondary cum Calculation'!J674</f>
        <v>Thousand</v>
      </c>
      <c r="K373" s="49">
        <f>'Secondary cum Calculation'!K674</f>
        <v>0</v>
      </c>
      <c r="L373" s="92"/>
      <c r="M373" s="104" t="e">
        <f>'Final Data-US$'!M307/'Final Data-US$'!L307-1</f>
        <v>#DIV/0!</v>
      </c>
      <c r="N373" s="104" t="e">
        <f>'Final Data-US$'!N307/'Final Data-US$'!M307-1</f>
        <v>#DIV/0!</v>
      </c>
      <c r="O373" s="51" t="e">
        <f>'Final Data-US$'!O307/'Final Data-US$'!N307-1</f>
        <v>#DIV/0!</v>
      </c>
      <c r="P373" s="51" t="e">
        <f>'Final Data-US$'!P307/'Final Data-US$'!O307-1</f>
        <v>#DIV/0!</v>
      </c>
      <c r="Q373" s="51" t="e">
        <f>'Final Data-US$'!Q307/'Final Data-US$'!P307-1</f>
        <v>#DIV/0!</v>
      </c>
      <c r="R373" s="51" t="e">
        <f>'Final Data-US$'!R307/'Final Data-US$'!Q307-1</f>
        <v>#DIV/0!</v>
      </c>
      <c r="S373" s="51" t="e">
        <f>'Final Data-US$'!S307/'Final Data-US$'!R307-1</f>
        <v>#DIV/0!</v>
      </c>
      <c r="T373" s="51" t="e">
        <f>'Final Data-US$'!T307/'Final Data-US$'!S307-1</f>
        <v>#DIV/0!</v>
      </c>
      <c r="U373" s="51" t="e">
        <f>'Final Data-US$'!U307/'Final Data-US$'!T307-1</f>
        <v>#DIV/0!</v>
      </c>
      <c r="V373" s="51" t="e">
        <f>'Final Data-US$'!V307/'Final Data-US$'!U307-1</f>
        <v>#DIV/0!</v>
      </c>
      <c r="W373" s="102" t="e">
        <f>'Final Data-US$'!W307</f>
        <v>#DIV/0!</v>
      </c>
      <c r="X373" s="102" t="e">
        <f>'Final Data-US$'!X307</f>
        <v>#DIV/0!</v>
      </c>
    </row>
    <row r="374" spans="1:24">
      <c r="A374" s="46" t="str">
        <f>'Secondary cum Calculation'!A676</f>
        <v>Poland</v>
      </c>
      <c r="B374" s="47" t="str">
        <f>'Secondary cum Calculation'!B676</f>
        <v>Tourism Flows</v>
      </c>
      <c r="C374" s="47" t="str">
        <f>'Secondary cum Calculation'!C676</f>
        <v>International Departures by Destination</v>
      </c>
      <c r="D374" s="47" t="str">
        <f>'Secondary cum Calculation'!D676</f>
        <v>Africa</v>
      </c>
      <c r="E374" s="46" t="str">
        <f>'Secondary cum Calculation'!E676</f>
        <v>Morocco</v>
      </c>
      <c r="F374" s="48" t="str">
        <f>'Secondary cum Calculation'!F676</f>
        <v>The number of international departures from a country to Morocco</v>
      </c>
      <c r="G374" s="48" t="str">
        <f>'Secondary cum Calculation'!G676</f>
        <v>Tourism Demand &amp; Flows Database</v>
      </c>
      <c r="H374" s="48" t="str">
        <f>'Secondary cum Calculation'!H676</f>
        <v>New</v>
      </c>
      <c r="I374" s="48">
        <f>'Secondary cum Calculation'!I676</f>
        <v>0</v>
      </c>
      <c r="J374" s="48" t="str">
        <f>'Secondary cum Calculation'!J676</f>
        <v>Thousand</v>
      </c>
      <c r="K374" s="49">
        <f>'Secondary cum Calculation'!K676</f>
        <v>0</v>
      </c>
      <c r="L374" s="53"/>
      <c r="M374" s="51" t="e">
        <f>'Final Data-US$'!M308/'Final Data-US$'!L308-1</f>
        <v>#DIV/0!</v>
      </c>
      <c r="N374" s="51" t="e">
        <f>'Final Data-US$'!N308/'Final Data-US$'!M308-1</f>
        <v>#DIV/0!</v>
      </c>
      <c r="O374" s="51" t="e">
        <f>'Final Data-US$'!O308/'Final Data-US$'!N308-1</f>
        <v>#DIV/0!</v>
      </c>
      <c r="P374" s="51" t="e">
        <f>'Final Data-US$'!P308/'Final Data-US$'!O308-1</f>
        <v>#DIV/0!</v>
      </c>
      <c r="Q374" s="51" t="e">
        <f>'Final Data-US$'!Q308/'Final Data-US$'!P308-1</f>
        <v>#DIV/0!</v>
      </c>
      <c r="R374" s="51" t="e">
        <f>'Final Data-US$'!R308/'Final Data-US$'!Q308-1</f>
        <v>#DIV/0!</v>
      </c>
      <c r="S374" s="51" t="e">
        <f>'Final Data-US$'!S308/'Final Data-US$'!R308-1</f>
        <v>#DIV/0!</v>
      </c>
      <c r="T374" s="51" t="e">
        <f>'Final Data-US$'!T308/'Final Data-US$'!S308-1</f>
        <v>#DIV/0!</v>
      </c>
      <c r="U374" s="51" t="e">
        <f>'Final Data-US$'!U308/'Final Data-US$'!T308-1</f>
        <v>#DIV/0!</v>
      </c>
      <c r="V374" s="51" t="e">
        <f>'Final Data-US$'!V308/'Final Data-US$'!U308-1</f>
        <v>#DIV/0!</v>
      </c>
      <c r="W374" s="102" t="e">
        <f>'Final Data-US$'!W308</f>
        <v>#DIV/0!</v>
      </c>
      <c r="X374" s="102" t="e">
        <f>'Final Data-US$'!X308</f>
        <v>#DIV/0!</v>
      </c>
    </row>
    <row r="375" spans="1:24">
      <c r="A375" s="46" t="str">
        <f>'Secondary cum Calculation'!A678</f>
        <v>Poland</v>
      </c>
      <c r="B375" s="47" t="str">
        <f>'Secondary cum Calculation'!B678</f>
        <v>Tourism Flows</v>
      </c>
      <c r="C375" s="47" t="str">
        <f>'Secondary cum Calculation'!C678</f>
        <v>International Departures by Destination</v>
      </c>
      <c r="D375" s="47" t="str">
        <f>'Secondary cum Calculation'!D678</f>
        <v>Africa</v>
      </c>
      <c r="E375" s="46" t="str">
        <f>'Secondary cum Calculation'!E678</f>
        <v>Mozambique</v>
      </c>
      <c r="F375" s="48" t="str">
        <f>'Secondary cum Calculation'!F678</f>
        <v>The number of international departures from a country to Mozambique</v>
      </c>
      <c r="G375" s="48" t="str">
        <f>'Secondary cum Calculation'!G678</f>
        <v>Tourism Demand &amp; Flows Database</v>
      </c>
      <c r="H375" s="48" t="str">
        <f>'Secondary cum Calculation'!H678</f>
        <v>New</v>
      </c>
      <c r="I375" s="48">
        <f>'Secondary cum Calculation'!I678</f>
        <v>0</v>
      </c>
      <c r="J375" s="48" t="str">
        <f>'Secondary cum Calculation'!J678</f>
        <v>Thousand</v>
      </c>
      <c r="K375" s="49">
        <f>'Secondary cum Calculation'!K678</f>
        <v>0</v>
      </c>
      <c r="L375" s="92"/>
      <c r="M375" s="104" t="e">
        <f>'Final Data-US$'!M309/'Final Data-US$'!L309-1</f>
        <v>#DIV/0!</v>
      </c>
      <c r="N375" s="104" t="e">
        <f>'Final Data-US$'!N309/'Final Data-US$'!M309-1</f>
        <v>#DIV/0!</v>
      </c>
      <c r="O375" s="103" t="e">
        <f>'Final Data-US$'!O309/'Final Data-US$'!N309-1</f>
        <v>#DIV/0!</v>
      </c>
      <c r="P375" s="103" t="e">
        <f>'Final Data-US$'!P309/'Final Data-US$'!O309-1</f>
        <v>#DIV/0!</v>
      </c>
      <c r="Q375" s="103" t="e">
        <f>'Final Data-US$'!Q309/'Final Data-US$'!P309-1</f>
        <v>#DIV/0!</v>
      </c>
      <c r="R375" s="103" t="e">
        <f>'Final Data-US$'!R309/'Final Data-US$'!Q309-1</f>
        <v>#DIV/0!</v>
      </c>
      <c r="S375" s="103" t="e">
        <f>'Final Data-US$'!S309/'Final Data-US$'!R309-1</f>
        <v>#DIV/0!</v>
      </c>
      <c r="T375" s="103" t="e">
        <f>'Final Data-US$'!T309/'Final Data-US$'!S309-1</f>
        <v>#DIV/0!</v>
      </c>
      <c r="U375" s="103" t="e">
        <f>'Final Data-US$'!U309/'Final Data-US$'!T309-1</f>
        <v>#DIV/0!</v>
      </c>
      <c r="V375" s="103" t="e">
        <f>'Final Data-US$'!V309/'Final Data-US$'!U309-1</f>
        <v>#DIV/0!</v>
      </c>
      <c r="W375" s="102" t="e">
        <f>'Final Data-US$'!W309</f>
        <v>#DIV/0!</v>
      </c>
      <c r="X375" s="102" t="e">
        <f>'Final Data-US$'!X309</f>
        <v>#DIV/0!</v>
      </c>
    </row>
    <row r="376" spans="1:24">
      <c r="A376" s="46" t="str">
        <f>'Secondary cum Calculation'!A680</f>
        <v>Poland</v>
      </c>
      <c r="B376" s="47" t="str">
        <f>'Secondary cum Calculation'!B680</f>
        <v>Tourism Flows</v>
      </c>
      <c r="C376" s="47" t="str">
        <f>'Secondary cum Calculation'!C680</f>
        <v>International Departures by Destination</v>
      </c>
      <c r="D376" s="47" t="str">
        <f>'Secondary cum Calculation'!D680</f>
        <v>Africa</v>
      </c>
      <c r="E376" s="46" t="str">
        <f>'Secondary cum Calculation'!E680</f>
        <v>Namibia</v>
      </c>
      <c r="F376" s="48" t="str">
        <f>'Secondary cum Calculation'!F680</f>
        <v>The number of international departures from a country to Namibia</v>
      </c>
      <c r="G376" s="48" t="str">
        <f>'Secondary cum Calculation'!G680</f>
        <v>Tourism Demand &amp; Flows Database</v>
      </c>
      <c r="H376" s="48" t="str">
        <f>'Secondary cum Calculation'!H680</f>
        <v>New</v>
      </c>
      <c r="I376" s="48">
        <f>'Secondary cum Calculation'!I680</f>
        <v>0</v>
      </c>
      <c r="J376" s="48" t="str">
        <f>'Secondary cum Calculation'!J680</f>
        <v>Thousand</v>
      </c>
      <c r="K376" s="49">
        <f>'Secondary cum Calculation'!K680</f>
        <v>0</v>
      </c>
      <c r="L376" s="92"/>
      <c r="M376" s="104" t="e">
        <f>'Final Data-US$'!M310/'Final Data-US$'!L310-1</f>
        <v>#DIV/0!</v>
      </c>
      <c r="N376" s="104" t="e">
        <f>'Final Data-US$'!N310/'Final Data-US$'!M310-1</f>
        <v>#DIV/0!</v>
      </c>
      <c r="O376" s="51" t="e">
        <f>'Final Data-US$'!O310/'Final Data-US$'!N310-1</f>
        <v>#DIV/0!</v>
      </c>
      <c r="P376" s="51" t="e">
        <f>'Final Data-US$'!P310/'Final Data-US$'!O310-1</f>
        <v>#DIV/0!</v>
      </c>
      <c r="Q376" s="51" t="e">
        <f>'Final Data-US$'!Q310/'Final Data-US$'!P310-1</f>
        <v>#DIV/0!</v>
      </c>
      <c r="R376" s="51" t="e">
        <f>'Final Data-US$'!R310/'Final Data-US$'!Q310-1</f>
        <v>#DIV/0!</v>
      </c>
      <c r="S376" s="51" t="e">
        <f>'Final Data-US$'!S310/'Final Data-US$'!R310-1</f>
        <v>#DIV/0!</v>
      </c>
      <c r="T376" s="51" t="e">
        <f>'Final Data-US$'!T310/'Final Data-US$'!S310-1</f>
        <v>#DIV/0!</v>
      </c>
      <c r="U376" s="51" t="e">
        <f>'Final Data-US$'!U310/'Final Data-US$'!T310-1</f>
        <v>#DIV/0!</v>
      </c>
      <c r="V376" s="51" t="e">
        <f>'Final Data-US$'!V310/'Final Data-US$'!U310-1</f>
        <v>#DIV/0!</v>
      </c>
      <c r="W376" s="102" t="e">
        <f>'Final Data-US$'!W310</f>
        <v>#DIV/0!</v>
      </c>
      <c r="X376" s="102" t="e">
        <f>'Final Data-US$'!X310</f>
        <v>#DIV/0!</v>
      </c>
    </row>
    <row r="377" spans="1:24">
      <c r="A377" s="46" t="str">
        <f>'Secondary cum Calculation'!A682</f>
        <v>Poland</v>
      </c>
      <c r="B377" s="47" t="str">
        <f>'Secondary cum Calculation'!B682</f>
        <v>Tourism Flows</v>
      </c>
      <c r="C377" s="47" t="str">
        <f>'Secondary cum Calculation'!C682</f>
        <v>International Departures by Destination</v>
      </c>
      <c r="D377" s="47" t="str">
        <f>'Secondary cum Calculation'!D682</f>
        <v>Africa</v>
      </c>
      <c r="E377" s="46" t="str">
        <f>'Secondary cum Calculation'!E682</f>
        <v>Niger</v>
      </c>
      <c r="F377" s="48" t="str">
        <f>'Secondary cum Calculation'!F682</f>
        <v>The number of international departures from a country to Niger</v>
      </c>
      <c r="G377" s="48" t="str">
        <f>'Secondary cum Calculation'!G682</f>
        <v>Tourism Demand &amp; Flows Database</v>
      </c>
      <c r="H377" s="48" t="str">
        <f>'Secondary cum Calculation'!H682</f>
        <v>New</v>
      </c>
      <c r="I377" s="48">
        <f>'Secondary cum Calculation'!I682</f>
        <v>0</v>
      </c>
      <c r="J377" s="48" t="str">
        <f>'Secondary cum Calculation'!J682</f>
        <v>Thousand</v>
      </c>
      <c r="K377" s="49">
        <f>'Secondary cum Calculation'!K682</f>
        <v>0</v>
      </c>
      <c r="L377" s="92"/>
      <c r="M377" s="104" t="e">
        <f>'Final Data-US$'!M311/'Final Data-US$'!L311-1</f>
        <v>#DIV/0!</v>
      </c>
      <c r="N377" s="104" t="e">
        <f>'Final Data-US$'!N311/'Final Data-US$'!M311-1</f>
        <v>#DIV/0!</v>
      </c>
      <c r="O377" s="51" t="e">
        <f>'Final Data-US$'!O311/'Final Data-US$'!N311-1</f>
        <v>#DIV/0!</v>
      </c>
      <c r="P377" s="51" t="e">
        <f>'Final Data-US$'!P311/'Final Data-US$'!O311-1</f>
        <v>#DIV/0!</v>
      </c>
      <c r="Q377" s="51" t="e">
        <f>'Final Data-US$'!Q311/'Final Data-US$'!P311-1</f>
        <v>#DIV/0!</v>
      </c>
      <c r="R377" s="51" t="e">
        <f>'Final Data-US$'!R311/'Final Data-US$'!Q311-1</f>
        <v>#DIV/0!</v>
      </c>
      <c r="S377" s="51" t="e">
        <f>'Final Data-US$'!S311/'Final Data-US$'!R311-1</f>
        <v>#DIV/0!</v>
      </c>
      <c r="T377" s="51" t="e">
        <f>'Final Data-US$'!T311/'Final Data-US$'!S311-1</f>
        <v>#DIV/0!</v>
      </c>
      <c r="U377" s="51" t="e">
        <f>'Final Data-US$'!U311/'Final Data-US$'!T311-1</f>
        <v>#DIV/0!</v>
      </c>
      <c r="V377" s="51" t="e">
        <f>'Final Data-US$'!V311/'Final Data-US$'!U311-1</f>
        <v>#DIV/0!</v>
      </c>
      <c r="W377" s="102" t="e">
        <f>'Final Data-US$'!W311</f>
        <v>#DIV/0!</v>
      </c>
      <c r="X377" s="102" t="e">
        <f>'Final Data-US$'!X311</f>
        <v>#DIV/0!</v>
      </c>
    </row>
    <row r="378" spans="1:24">
      <c r="A378" s="46" t="str">
        <f>'Secondary cum Calculation'!A684</f>
        <v>Poland</v>
      </c>
      <c r="B378" s="47" t="str">
        <f>'Secondary cum Calculation'!B684</f>
        <v>Tourism Flows</v>
      </c>
      <c r="C378" s="47" t="str">
        <f>'Secondary cum Calculation'!C684</f>
        <v>International Departures by Destination</v>
      </c>
      <c r="D378" s="47" t="str">
        <f>'Secondary cum Calculation'!D684</f>
        <v>Africa</v>
      </c>
      <c r="E378" s="46" t="str">
        <f>'Secondary cum Calculation'!E684</f>
        <v>Nigeria</v>
      </c>
      <c r="F378" s="48" t="str">
        <f>'Secondary cum Calculation'!F684</f>
        <v>The number of international departures from a country to Nigeria</v>
      </c>
      <c r="G378" s="48" t="str">
        <f>'Secondary cum Calculation'!G684</f>
        <v>Tourism Demand &amp; Flows Database</v>
      </c>
      <c r="H378" s="48" t="str">
        <f>'Secondary cum Calculation'!H684</f>
        <v>New</v>
      </c>
      <c r="I378" s="48">
        <f>'Secondary cum Calculation'!I684</f>
        <v>0</v>
      </c>
      <c r="J378" s="48" t="str">
        <f>'Secondary cum Calculation'!J684</f>
        <v>Thousand</v>
      </c>
      <c r="K378" s="49">
        <f>'Secondary cum Calculation'!K684</f>
        <v>0</v>
      </c>
      <c r="L378" s="92"/>
      <c r="M378" s="104" t="e">
        <f>'Final Data-US$'!M312/'Final Data-US$'!L312-1</f>
        <v>#DIV/0!</v>
      </c>
      <c r="N378" s="104" t="e">
        <f>'Final Data-US$'!N312/'Final Data-US$'!M312-1</f>
        <v>#DIV/0!</v>
      </c>
      <c r="O378" s="51" t="e">
        <f>'Final Data-US$'!O312/'Final Data-US$'!N312-1</f>
        <v>#DIV/0!</v>
      </c>
      <c r="P378" s="51" t="e">
        <f>'Final Data-US$'!P312/'Final Data-US$'!O312-1</f>
        <v>#DIV/0!</v>
      </c>
      <c r="Q378" s="51" t="e">
        <f>'Final Data-US$'!Q312/'Final Data-US$'!P312-1</f>
        <v>#DIV/0!</v>
      </c>
      <c r="R378" s="51" t="e">
        <f>'Final Data-US$'!R312/'Final Data-US$'!Q312-1</f>
        <v>#DIV/0!</v>
      </c>
      <c r="S378" s="51" t="e">
        <f>'Final Data-US$'!S312/'Final Data-US$'!R312-1</f>
        <v>#DIV/0!</v>
      </c>
      <c r="T378" s="51" t="e">
        <f>'Final Data-US$'!T312/'Final Data-US$'!S312-1</f>
        <v>#DIV/0!</v>
      </c>
      <c r="U378" s="51" t="e">
        <f>'Final Data-US$'!U312/'Final Data-US$'!T312-1</f>
        <v>#DIV/0!</v>
      </c>
      <c r="V378" s="51" t="e">
        <f>'Final Data-US$'!V312/'Final Data-US$'!U312-1</f>
        <v>#DIV/0!</v>
      </c>
      <c r="W378" s="102" t="e">
        <f>'Final Data-US$'!W312</f>
        <v>#DIV/0!</v>
      </c>
      <c r="X378" s="102" t="e">
        <f>'Final Data-US$'!X312</f>
        <v>#DIV/0!</v>
      </c>
    </row>
    <row r="379" spans="1:24">
      <c r="A379" s="46" t="str">
        <f>'Secondary cum Calculation'!A686</f>
        <v>Poland</v>
      </c>
      <c r="B379" s="47" t="str">
        <f>'Secondary cum Calculation'!B686</f>
        <v>Tourism Flows</v>
      </c>
      <c r="C379" s="47" t="str">
        <f>'Secondary cum Calculation'!C686</f>
        <v>International Departures by Destination</v>
      </c>
      <c r="D379" s="47" t="str">
        <f>'Secondary cum Calculation'!D686</f>
        <v>Africa</v>
      </c>
      <c r="E379" s="46" t="str">
        <f>'Secondary cum Calculation'!E686</f>
        <v>Réunion</v>
      </c>
      <c r="F379" s="48" t="str">
        <f>'Secondary cum Calculation'!F686</f>
        <v>The number of international departures from a country to Réunion</v>
      </c>
      <c r="G379" s="48" t="str">
        <f>'Secondary cum Calculation'!G686</f>
        <v>Tourism Demand &amp; Flows Database</v>
      </c>
      <c r="H379" s="48" t="str">
        <f>'Secondary cum Calculation'!H686</f>
        <v>New</v>
      </c>
      <c r="I379" s="48">
        <f>'Secondary cum Calculation'!I686</f>
        <v>0</v>
      </c>
      <c r="J379" s="48" t="str">
        <f>'Secondary cum Calculation'!J686</f>
        <v>Thousand</v>
      </c>
      <c r="K379" s="49">
        <f>'Secondary cum Calculation'!K686</f>
        <v>0</v>
      </c>
      <c r="L379" s="92"/>
      <c r="M379" s="104" t="e">
        <f>'Final Data-US$'!M313/'Final Data-US$'!L313-1</f>
        <v>#DIV/0!</v>
      </c>
      <c r="N379" s="104" t="e">
        <f>'Final Data-US$'!N313/'Final Data-US$'!M313-1</f>
        <v>#DIV/0!</v>
      </c>
      <c r="O379" s="51" t="e">
        <f>'Final Data-US$'!O313/'Final Data-US$'!N313-1</f>
        <v>#DIV/0!</v>
      </c>
      <c r="P379" s="51" t="e">
        <f>'Final Data-US$'!P313/'Final Data-US$'!O313-1</f>
        <v>#DIV/0!</v>
      </c>
      <c r="Q379" s="51" t="e">
        <f>'Final Data-US$'!Q313/'Final Data-US$'!P313-1</f>
        <v>#DIV/0!</v>
      </c>
      <c r="R379" s="51" t="e">
        <f>'Final Data-US$'!R313/'Final Data-US$'!Q313-1</f>
        <v>#DIV/0!</v>
      </c>
      <c r="S379" s="51" t="e">
        <f>'Final Data-US$'!S313/'Final Data-US$'!R313-1</f>
        <v>#DIV/0!</v>
      </c>
      <c r="T379" s="51" t="e">
        <f>'Final Data-US$'!T313/'Final Data-US$'!S313-1</f>
        <v>#DIV/0!</v>
      </c>
      <c r="U379" s="51" t="e">
        <f>'Final Data-US$'!U313/'Final Data-US$'!T313-1</f>
        <v>#DIV/0!</v>
      </c>
      <c r="V379" s="51" t="e">
        <f>'Final Data-US$'!V313/'Final Data-US$'!U313-1</f>
        <v>#DIV/0!</v>
      </c>
      <c r="W379" s="102" t="e">
        <f>'Final Data-US$'!W313</f>
        <v>#DIV/0!</v>
      </c>
      <c r="X379" s="102" t="e">
        <f>'Final Data-US$'!X313</f>
        <v>#DIV/0!</v>
      </c>
    </row>
    <row r="380" spans="1:24">
      <c r="A380" s="46" t="str">
        <f>'Secondary cum Calculation'!A688</f>
        <v>Poland</v>
      </c>
      <c r="B380" s="47" t="str">
        <f>'Secondary cum Calculation'!B688</f>
        <v>Tourism Flows</v>
      </c>
      <c r="C380" s="47" t="str">
        <f>'Secondary cum Calculation'!C688</f>
        <v>International Departures by Destination</v>
      </c>
      <c r="D380" s="47" t="str">
        <f>'Secondary cum Calculation'!D688</f>
        <v>Africa</v>
      </c>
      <c r="E380" s="46" t="str">
        <f>'Secondary cum Calculation'!E688</f>
        <v>Rwanda</v>
      </c>
      <c r="F380" s="48" t="str">
        <f>'Secondary cum Calculation'!F688</f>
        <v>The number of international departures from a country to Rwanda</v>
      </c>
      <c r="G380" s="48" t="str">
        <f>'Secondary cum Calculation'!G688</f>
        <v>Tourism Demand &amp; Flows Database</v>
      </c>
      <c r="H380" s="48" t="str">
        <f>'Secondary cum Calculation'!H688</f>
        <v>New</v>
      </c>
      <c r="I380" s="48">
        <f>'Secondary cum Calculation'!I688</f>
        <v>0</v>
      </c>
      <c r="J380" s="48" t="str">
        <f>'Secondary cum Calculation'!J688</f>
        <v>Thousand</v>
      </c>
      <c r="K380" s="49">
        <f>'Secondary cum Calculation'!K688</f>
        <v>0</v>
      </c>
      <c r="L380" s="92"/>
      <c r="M380" s="104" t="e">
        <f>'Final Data-US$'!M314/'Final Data-US$'!L314-1</f>
        <v>#DIV/0!</v>
      </c>
      <c r="N380" s="104" t="e">
        <f>'Final Data-US$'!N314/'Final Data-US$'!M314-1</f>
        <v>#DIV/0!</v>
      </c>
      <c r="O380" s="51" t="e">
        <f>'Final Data-US$'!O314/'Final Data-US$'!N314-1</f>
        <v>#DIV/0!</v>
      </c>
      <c r="P380" s="51" t="e">
        <f>'Final Data-US$'!P314/'Final Data-US$'!O314-1</f>
        <v>#DIV/0!</v>
      </c>
      <c r="Q380" s="51" t="e">
        <f>'Final Data-US$'!Q314/'Final Data-US$'!P314-1</f>
        <v>#DIV/0!</v>
      </c>
      <c r="R380" s="51" t="e">
        <f>'Final Data-US$'!R314/'Final Data-US$'!Q314-1</f>
        <v>#DIV/0!</v>
      </c>
      <c r="S380" s="51" t="e">
        <f>'Final Data-US$'!S314/'Final Data-US$'!R314-1</f>
        <v>#DIV/0!</v>
      </c>
      <c r="T380" s="51" t="e">
        <f>'Final Data-US$'!T314/'Final Data-US$'!S314-1</f>
        <v>#DIV/0!</v>
      </c>
      <c r="U380" s="51" t="e">
        <f>'Final Data-US$'!U314/'Final Data-US$'!T314-1</f>
        <v>#DIV/0!</v>
      </c>
      <c r="V380" s="51" t="e">
        <f>'Final Data-US$'!V314/'Final Data-US$'!U314-1</f>
        <v>#DIV/0!</v>
      </c>
      <c r="W380" s="102" t="e">
        <f>'Final Data-US$'!W314</f>
        <v>#DIV/0!</v>
      </c>
      <c r="X380" s="102" t="e">
        <f>'Final Data-US$'!X314</f>
        <v>#DIV/0!</v>
      </c>
    </row>
    <row r="381" spans="1:24">
      <c r="A381" s="46" t="str">
        <f>'Secondary cum Calculation'!A690</f>
        <v>Poland</v>
      </c>
      <c r="B381" s="47" t="str">
        <f>'Secondary cum Calculation'!B690</f>
        <v>Tourism Flows</v>
      </c>
      <c r="C381" s="47" t="str">
        <f>'Secondary cum Calculation'!C690</f>
        <v>International Departures by Destination</v>
      </c>
      <c r="D381" s="47" t="str">
        <f>'Secondary cum Calculation'!D690</f>
        <v>Africa</v>
      </c>
      <c r="E381" s="46" t="str">
        <f>'Secondary cum Calculation'!E690</f>
        <v>Senegal</v>
      </c>
      <c r="F381" s="48" t="str">
        <f>'Secondary cum Calculation'!F690</f>
        <v>The number of international departures from a country to Senegal</v>
      </c>
      <c r="G381" s="48" t="str">
        <f>'Secondary cum Calculation'!G690</f>
        <v>Tourism Demand &amp; Flows Database</v>
      </c>
      <c r="H381" s="48" t="str">
        <f>'Secondary cum Calculation'!H690</f>
        <v>New</v>
      </c>
      <c r="I381" s="48">
        <f>'Secondary cum Calculation'!I690</f>
        <v>0</v>
      </c>
      <c r="J381" s="48" t="str">
        <f>'Secondary cum Calculation'!J690</f>
        <v>Thousand</v>
      </c>
      <c r="K381" s="49">
        <f>'Secondary cum Calculation'!K690</f>
        <v>0</v>
      </c>
      <c r="L381" s="92"/>
      <c r="M381" s="104" t="e">
        <f>'Final Data-US$'!M315/'Final Data-US$'!L315-1</f>
        <v>#DIV/0!</v>
      </c>
      <c r="N381" s="104" t="e">
        <f>'Final Data-US$'!N315/'Final Data-US$'!M315-1</f>
        <v>#DIV/0!</v>
      </c>
      <c r="O381" s="51" t="e">
        <f>'Final Data-US$'!O315/'Final Data-US$'!N315-1</f>
        <v>#DIV/0!</v>
      </c>
      <c r="P381" s="51" t="e">
        <f>'Final Data-US$'!P315/'Final Data-US$'!O315-1</f>
        <v>#DIV/0!</v>
      </c>
      <c r="Q381" s="51" t="e">
        <f>'Final Data-US$'!Q315/'Final Data-US$'!P315-1</f>
        <v>#DIV/0!</v>
      </c>
      <c r="R381" s="51" t="e">
        <f>'Final Data-US$'!R315/'Final Data-US$'!Q315-1</f>
        <v>#DIV/0!</v>
      </c>
      <c r="S381" s="51" t="e">
        <f>'Final Data-US$'!S315/'Final Data-US$'!R315-1</f>
        <v>#DIV/0!</v>
      </c>
      <c r="T381" s="51" t="e">
        <f>'Final Data-US$'!T315/'Final Data-US$'!S315-1</f>
        <v>#DIV/0!</v>
      </c>
      <c r="U381" s="51" t="e">
        <f>'Final Data-US$'!U315/'Final Data-US$'!T315-1</f>
        <v>#DIV/0!</v>
      </c>
      <c r="V381" s="51" t="e">
        <f>'Final Data-US$'!V315/'Final Data-US$'!U315-1</f>
        <v>#DIV/0!</v>
      </c>
      <c r="W381" s="102" t="e">
        <f>'Final Data-US$'!W315</f>
        <v>#DIV/0!</v>
      </c>
      <c r="X381" s="102" t="e">
        <f>'Final Data-US$'!X315</f>
        <v>#DIV/0!</v>
      </c>
    </row>
    <row r="382" spans="1:24">
      <c r="A382" s="46" t="str">
        <f>'Secondary cum Calculation'!A692</f>
        <v>Poland</v>
      </c>
      <c r="B382" s="47" t="str">
        <f>'Secondary cum Calculation'!B692</f>
        <v>Tourism Flows</v>
      </c>
      <c r="C382" s="47" t="str">
        <f>'Secondary cum Calculation'!C692</f>
        <v>International Departures by Destination</v>
      </c>
      <c r="D382" s="47" t="str">
        <f>'Secondary cum Calculation'!D692</f>
        <v>Africa</v>
      </c>
      <c r="E382" s="46" t="str">
        <f>'Secondary cum Calculation'!E692</f>
        <v>Sierra Leone</v>
      </c>
      <c r="F382" s="48" t="str">
        <f>'Secondary cum Calculation'!F692</f>
        <v>The number of international departures from a country to Sierra Leone</v>
      </c>
      <c r="G382" s="48" t="str">
        <f>'Secondary cum Calculation'!G692</f>
        <v>Tourism Demand &amp; Flows Database</v>
      </c>
      <c r="H382" s="48" t="str">
        <f>'Secondary cum Calculation'!H692</f>
        <v>New</v>
      </c>
      <c r="I382" s="48">
        <f>'Secondary cum Calculation'!I692</f>
        <v>0</v>
      </c>
      <c r="J382" s="48" t="str">
        <f>'Secondary cum Calculation'!J692</f>
        <v>Thousand</v>
      </c>
      <c r="K382" s="49">
        <f>'Secondary cum Calculation'!K692</f>
        <v>0</v>
      </c>
      <c r="L382" s="92"/>
      <c r="M382" s="104" t="e">
        <f>'Final Data-US$'!M316/'Final Data-US$'!L316-1</f>
        <v>#DIV/0!</v>
      </c>
      <c r="N382" s="104" t="e">
        <f>'Final Data-US$'!N316/'Final Data-US$'!M316-1</f>
        <v>#DIV/0!</v>
      </c>
      <c r="O382" s="51" t="e">
        <f>'Final Data-US$'!O316/'Final Data-US$'!N316-1</f>
        <v>#DIV/0!</v>
      </c>
      <c r="P382" s="51" t="e">
        <f>'Final Data-US$'!P316/'Final Data-US$'!O316-1</f>
        <v>#DIV/0!</v>
      </c>
      <c r="Q382" s="51" t="e">
        <f>'Final Data-US$'!Q316/'Final Data-US$'!P316-1</f>
        <v>#DIV/0!</v>
      </c>
      <c r="R382" s="51" t="e">
        <f>'Final Data-US$'!R316/'Final Data-US$'!Q316-1</f>
        <v>#DIV/0!</v>
      </c>
      <c r="S382" s="51" t="e">
        <f>'Final Data-US$'!S316/'Final Data-US$'!R316-1</f>
        <v>#DIV/0!</v>
      </c>
      <c r="T382" s="51" t="e">
        <f>'Final Data-US$'!T316/'Final Data-US$'!S316-1</f>
        <v>#DIV/0!</v>
      </c>
      <c r="U382" s="51" t="e">
        <f>'Final Data-US$'!U316/'Final Data-US$'!T316-1</f>
        <v>#DIV/0!</v>
      </c>
      <c r="V382" s="51" t="e">
        <f>'Final Data-US$'!V316/'Final Data-US$'!U316-1</f>
        <v>#DIV/0!</v>
      </c>
      <c r="W382" s="102" t="e">
        <f>'Final Data-US$'!W316</f>
        <v>#DIV/0!</v>
      </c>
      <c r="X382" s="102" t="e">
        <f>'Final Data-US$'!X316</f>
        <v>#DIV/0!</v>
      </c>
    </row>
    <row r="383" spans="1:24">
      <c r="A383" s="46" t="str">
        <f>'Secondary cum Calculation'!A694</f>
        <v>Poland</v>
      </c>
      <c r="B383" s="47" t="str">
        <f>'Secondary cum Calculation'!B694</f>
        <v>Tourism Flows</v>
      </c>
      <c r="C383" s="47" t="str">
        <f>'Secondary cum Calculation'!C694</f>
        <v>International Departures by Destination</v>
      </c>
      <c r="D383" s="47" t="str">
        <f>'Secondary cum Calculation'!D694</f>
        <v>Africa</v>
      </c>
      <c r="E383" s="46" t="str">
        <f>'Secondary cum Calculation'!E694</f>
        <v>Somalia</v>
      </c>
      <c r="F383" s="48" t="str">
        <f>'Secondary cum Calculation'!F694</f>
        <v>The number of international departures from a country to Somalia</v>
      </c>
      <c r="G383" s="48" t="str">
        <f>'Secondary cum Calculation'!G694</f>
        <v>Tourism Demand &amp; Flows Database</v>
      </c>
      <c r="H383" s="48" t="str">
        <f>'Secondary cum Calculation'!H694</f>
        <v>New</v>
      </c>
      <c r="I383" s="48">
        <f>'Secondary cum Calculation'!I694</f>
        <v>0</v>
      </c>
      <c r="J383" s="48" t="str">
        <f>'Secondary cum Calculation'!J694</f>
        <v>Thousand</v>
      </c>
      <c r="K383" s="49">
        <f>'Secondary cum Calculation'!K694</f>
        <v>0</v>
      </c>
      <c r="L383" s="92"/>
      <c r="M383" s="104" t="e">
        <f>'Final Data-US$'!M317/'Final Data-US$'!L317-1</f>
        <v>#DIV/0!</v>
      </c>
      <c r="N383" s="104" t="e">
        <f>'Final Data-US$'!N317/'Final Data-US$'!M317-1</f>
        <v>#DIV/0!</v>
      </c>
      <c r="O383" s="51" t="e">
        <f>'Final Data-US$'!O317/'Final Data-US$'!N317-1</f>
        <v>#DIV/0!</v>
      </c>
      <c r="P383" s="51" t="e">
        <f>'Final Data-US$'!P317/'Final Data-US$'!O317-1</f>
        <v>#DIV/0!</v>
      </c>
      <c r="Q383" s="51" t="e">
        <f>'Final Data-US$'!Q317/'Final Data-US$'!P317-1</f>
        <v>#DIV/0!</v>
      </c>
      <c r="R383" s="51" t="e">
        <f>'Final Data-US$'!R317/'Final Data-US$'!Q317-1</f>
        <v>#DIV/0!</v>
      </c>
      <c r="S383" s="51" t="e">
        <f>'Final Data-US$'!S317/'Final Data-US$'!R317-1</f>
        <v>#DIV/0!</v>
      </c>
      <c r="T383" s="51" t="e">
        <f>'Final Data-US$'!T317/'Final Data-US$'!S317-1</f>
        <v>#DIV/0!</v>
      </c>
      <c r="U383" s="51" t="e">
        <f>'Final Data-US$'!U317/'Final Data-US$'!T317-1</f>
        <v>#DIV/0!</v>
      </c>
      <c r="V383" s="51" t="e">
        <f>'Final Data-US$'!V317/'Final Data-US$'!U317-1</f>
        <v>#DIV/0!</v>
      </c>
      <c r="W383" s="102" t="e">
        <f>'Final Data-US$'!W317</f>
        <v>#DIV/0!</v>
      </c>
      <c r="X383" s="102" t="e">
        <f>'Final Data-US$'!X317</f>
        <v>#DIV/0!</v>
      </c>
    </row>
    <row r="384" spans="1:24">
      <c r="A384" s="46" t="str">
        <f>'Secondary cum Calculation'!A696</f>
        <v>Poland</v>
      </c>
      <c r="B384" s="47" t="str">
        <f>'Secondary cum Calculation'!B696</f>
        <v>Tourism Flows</v>
      </c>
      <c r="C384" s="47" t="str">
        <f>'Secondary cum Calculation'!C696</f>
        <v>International Departures by Destination</v>
      </c>
      <c r="D384" s="47" t="str">
        <f>'Secondary cum Calculation'!D696</f>
        <v>Africa</v>
      </c>
      <c r="E384" s="46" t="str">
        <f>'Secondary cum Calculation'!E696</f>
        <v>South Africa</v>
      </c>
      <c r="F384" s="48" t="str">
        <f>'Secondary cum Calculation'!F696</f>
        <v>The number of international departures from a country to South Africa</v>
      </c>
      <c r="G384" s="48" t="str">
        <f>'Secondary cum Calculation'!G696</f>
        <v>Tourism Demand &amp; Flows Database</v>
      </c>
      <c r="H384" s="48" t="str">
        <f>'Secondary cum Calculation'!H696</f>
        <v>New</v>
      </c>
      <c r="I384" s="48">
        <f>'Secondary cum Calculation'!I696</f>
        <v>0</v>
      </c>
      <c r="J384" s="48" t="str">
        <f>'Secondary cum Calculation'!J696</f>
        <v>Thousand</v>
      </c>
      <c r="K384" s="49" t="str">
        <f>'Secondary cum Calculation'!K696</f>
        <v>**</v>
      </c>
      <c r="L384" s="53"/>
      <c r="M384" s="51" t="e">
        <f>'Final Data-US$'!M318/'Final Data-US$'!L318-1</f>
        <v>#DIV/0!</v>
      </c>
      <c r="N384" s="51" t="e">
        <f>'Final Data-US$'!N318/'Final Data-US$'!M318-1</f>
        <v>#DIV/0!</v>
      </c>
      <c r="O384" s="51" t="e">
        <f>'Final Data-US$'!O318/'Final Data-US$'!N318-1</f>
        <v>#DIV/0!</v>
      </c>
      <c r="P384" s="51" t="e">
        <f>'Final Data-US$'!P318/'Final Data-US$'!O318-1</f>
        <v>#DIV/0!</v>
      </c>
      <c r="Q384" s="51" t="e">
        <f>'Final Data-US$'!Q318/'Final Data-US$'!P318-1</f>
        <v>#DIV/0!</v>
      </c>
      <c r="R384" s="51" t="e">
        <f>'Final Data-US$'!R318/'Final Data-US$'!Q318-1</f>
        <v>#DIV/0!</v>
      </c>
      <c r="S384" s="51" t="e">
        <f>'Final Data-US$'!S318/'Final Data-US$'!R318-1</f>
        <v>#DIV/0!</v>
      </c>
      <c r="T384" s="51" t="e">
        <f>'Final Data-US$'!T318/'Final Data-US$'!S318-1</f>
        <v>#DIV/0!</v>
      </c>
      <c r="U384" s="51" t="e">
        <f>'Final Data-US$'!U318/'Final Data-US$'!T318-1</f>
        <v>#DIV/0!</v>
      </c>
      <c r="V384" s="51" t="e">
        <f>'Final Data-US$'!V318/'Final Data-US$'!U318-1</f>
        <v>#DIV/0!</v>
      </c>
      <c r="W384" s="102" t="e">
        <f>'Final Data-US$'!W318</f>
        <v>#DIV/0!</v>
      </c>
      <c r="X384" s="102" t="e">
        <f>'Final Data-US$'!X318</f>
        <v>#DIV/0!</v>
      </c>
    </row>
    <row r="385" spans="1:24">
      <c r="A385" s="46" t="str">
        <f>'Secondary cum Calculation'!A698</f>
        <v>Poland</v>
      </c>
      <c r="B385" s="47" t="str">
        <f>'Secondary cum Calculation'!B698</f>
        <v>Tourism Flows</v>
      </c>
      <c r="C385" s="47" t="str">
        <f>'Secondary cum Calculation'!C698</f>
        <v>International Departures by Destination</v>
      </c>
      <c r="D385" s="47" t="str">
        <f>'Secondary cum Calculation'!D698</f>
        <v>Africa</v>
      </c>
      <c r="E385" s="46" t="str">
        <f>'Secondary cum Calculation'!E698</f>
        <v>Sudan</v>
      </c>
      <c r="F385" s="48" t="str">
        <f>'Secondary cum Calculation'!F698</f>
        <v>The number of international departures from a country to Sudan</v>
      </c>
      <c r="G385" s="48" t="str">
        <f>'Secondary cum Calculation'!G698</f>
        <v>Tourism Demand &amp; Flows Database</v>
      </c>
      <c r="H385" s="48" t="str">
        <f>'Secondary cum Calculation'!H698</f>
        <v>New</v>
      </c>
      <c r="I385" s="48">
        <f>'Secondary cum Calculation'!I698</f>
        <v>0</v>
      </c>
      <c r="J385" s="48" t="str">
        <f>'Secondary cum Calculation'!J698</f>
        <v>Thousand</v>
      </c>
      <c r="K385" s="49">
        <f>'Secondary cum Calculation'!K698</f>
        <v>0</v>
      </c>
      <c r="L385" s="92"/>
      <c r="M385" s="104" t="e">
        <f>'Final Data-US$'!M319/'Final Data-US$'!L319-1</f>
        <v>#DIV/0!</v>
      </c>
      <c r="N385" s="104" t="e">
        <f>'Final Data-US$'!N319/'Final Data-US$'!M319-1</f>
        <v>#DIV/0!</v>
      </c>
      <c r="O385" s="51" t="e">
        <f>'Final Data-US$'!O319/'Final Data-US$'!N319-1</f>
        <v>#DIV/0!</v>
      </c>
      <c r="P385" s="51" t="e">
        <f>'Final Data-US$'!P319/'Final Data-US$'!O319-1</f>
        <v>#DIV/0!</v>
      </c>
      <c r="Q385" s="51" t="e">
        <f>'Final Data-US$'!Q319/'Final Data-US$'!P319-1</f>
        <v>#DIV/0!</v>
      </c>
      <c r="R385" s="51" t="e">
        <f>'Final Data-US$'!R319/'Final Data-US$'!Q319-1</f>
        <v>#DIV/0!</v>
      </c>
      <c r="S385" s="51" t="e">
        <f>'Final Data-US$'!S319/'Final Data-US$'!R319-1</f>
        <v>#DIV/0!</v>
      </c>
      <c r="T385" s="51" t="e">
        <f>'Final Data-US$'!T319/'Final Data-US$'!S319-1</f>
        <v>#DIV/0!</v>
      </c>
      <c r="U385" s="51" t="e">
        <f>'Final Data-US$'!U319/'Final Data-US$'!T319-1</f>
        <v>#DIV/0!</v>
      </c>
      <c r="V385" s="51" t="e">
        <f>'Final Data-US$'!V319/'Final Data-US$'!U319-1</f>
        <v>#DIV/0!</v>
      </c>
      <c r="W385" s="102" t="e">
        <f>'Final Data-US$'!W319</f>
        <v>#DIV/0!</v>
      </c>
      <c r="X385" s="102" t="e">
        <f>'Final Data-US$'!X319</f>
        <v>#DIV/0!</v>
      </c>
    </row>
    <row r="386" spans="1:24">
      <c r="A386" s="46" t="str">
        <f>'Secondary cum Calculation'!A700</f>
        <v>Poland</v>
      </c>
      <c r="B386" s="47" t="str">
        <f>'Secondary cum Calculation'!B700</f>
        <v>Tourism Flows</v>
      </c>
      <c r="C386" s="47" t="str">
        <f>'Secondary cum Calculation'!C700</f>
        <v>International Departures by Destination</v>
      </c>
      <c r="D386" s="47" t="str">
        <f>'Secondary cum Calculation'!D700</f>
        <v>Africa</v>
      </c>
      <c r="E386" s="46" t="str">
        <f>'Secondary cum Calculation'!E700</f>
        <v>Swaziland</v>
      </c>
      <c r="F386" s="48" t="str">
        <f>'Secondary cum Calculation'!F700</f>
        <v>The number of international departures from a country to Swaziland</v>
      </c>
      <c r="G386" s="48" t="str">
        <f>'Secondary cum Calculation'!G700</f>
        <v>Tourism Demand &amp; Flows Database</v>
      </c>
      <c r="H386" s="48" t="str">
        <f>'Secondary cum Calculation'!H700</f>
        <v>New</v>
      </c>
      <c r="I386" s="48">
        <f>'Secondary cum Calculation'!I700</f>
        <v>0</v>
      </c>
      <c r="J386" s="48" t="str">
        <f>'Secondary cum Calculation'!J700</f>
        <v>Thousand</v>
      </c>
      <c r="K386" s="49">
        <f>'Secondary cum Calculation'!K700</f>
        <v>0</v>
      </c>
      <c r="L386" s="92"/>
      <c r="M386" s="104" t="e">
        <f>'Final Data-US$'!M320/'Final Data-US$'!L320-1</f>
        <v>#DIV/0!</v>
      </c>
      <c r="N386" s="104" t="e">
        <f>'Final Data-US$'!N320/'Final Data-US$'!M320-1</f>
        <v>#DIV/0!</v>
      </c>
      <c r="O386" s="51" t="e">
        <f>'Final Data-US$'!O320/'Final Data-US$'!N320-1</f>
        <v>#DIV/0!</v>
      </c>
      <c r="P386" s="51" t="e">
        <f>'Final Data-US$'!P320/'Final Data-US$'!O320-1</f>
        <v>#DIV/0!</v>
      </c>
      <c r="Q386" s="51" t="e">
        <f>'Final Data-US$'!Q320/'Final Data-US$'!P320-1</f>
        <v>#DIV/0!</v>
      </c>
      <c r="R386" s="51" t="e">
        <f>'Final Data-US$'!R320/'Final Data-US$'!Q320-1</f>
        <v>#DIV/0!</v>
      </c>
      <c r="S386" s="51" t="e">
        <f>'Final Data-US$'!S320/'Final Data-US$'!R320-1</f>
        <v>#DIV/0!</v>
      </c>
      <c r="T386" s="51" t="e">
        <f>'Final Data-US$'!T320/'Final Data-US$'!S320-1</f>
        <v>#DIV/0!</v>
      </c>
      <c r="U386" s="51" t="e">
        <f>'Final Data-US$'!U320/'Final Data-US$'!T320-1</f>
        <v>#DIV/0!</v>
      </c>
      <c r="V386" s="51" t="e">
        <f>'Final Data-US$'!V320/'Final Data-US$'!U320-1</f>
        <v>#DIV/0!</v>
      </c>
      <c r="W386" s="102" t="e">
        <f>'Final Data-US$'!W320</f>
        <v>#DIV/0!</v>
      </c>
      <c r="X386" s="102" t="e">
        <f>'Final Data-US$'!X320</f>
        <v>#DIV/0!</v>
      </c>
    </row>
    <row r="387" spans="1:24">
      <c r="A387" s="46" t="str">
        <f>'Secondary cum Calculation'!A702</f>
        <v>Poland</v>
      </c>
      <c r="B387" s="47" t="str">
        <f>'Secondary cum Calculation'!B702</f>
        <v>Tourism Flows</v>
      </c>
      <c r="C387" s="47" t="str">
        <f>'Secondary cum Calculation'!C702</f>
        <v>International Departures by Destination</v>
      </c>
      <c r="D387" s="47" t="str">
        <f>'Secondary cum Calculation'!D702</f>
        <v>Africa</v>
      </c>
      <c r="E387" s="46" t="str">
        <f>'Secondary cum Calculation'!E702</f>
        <v>Togo</v>
      </c>
      <c r="F387" s="48" t="str">
        <f>'Secondary cum Calculation'!F702</f>
        <v>The number of international departures from a country to Togo</v>
      </c>
      <c r="G387" s="48" t="str">
        <f>'Secondary cum Calculation'!G702</f>
        <v>Tourism Demand &amp; Flows Database</v>
      </c>
      <c r="H387" s="48" t="str">
        <f>'Secondary cum Calculation'!H702</f>
        <v>New</v>
      </c>
      <c r="I387" s="48">
        <f>'Secondary cum Calculation'!I702</f>
        <v>0</v>
      </c>
      <c r="J387" s="48" t="str">
        <f>'Secondary cum Calculation'!J702</f>
        <v>Thousand</v>
      </c>
      <c r="K387" s="49">
        <f>'Secondary cum Calculation'!K702</f>
        <v>0</v>
      </c>
      <c r="L387" s="92"/>
      <c r="M387" s="104" t="e">
        <f>'Final Data-US$'!M321/'Final Data-US$'!L321-1</f>
        <v>#DIV/0!</v>
      </c>
      <c r="N387" s="104" t="e">
        <f>'Final Data-US$'!N321/'Final Data-US$'!M321-1</f>
        <v>#DIV/0!</v>
      </c>
      <c r="O387" s="51" t="e">
        <f>'Final Data-US$'!O321/'Final Data-US$'!N321-1</f>
        <v>#DIV/0!</v>
      </c>
      <c r="P387" s="51" t="e">
        <f>'Final Data-US$'!P321/'Final Data-US$'!O321-1</f>
        <v>#DIV/0!</v>
      </c>
      <c r="Q387" s="51" t="e">
        <f>'Final Data-US$'!Q321/'Final Data-US$'!P321-1</f>
        <v>#DIV/0!</v>
      </c>
      <c r="R387" s="51" t="e">
        <f>'Final Data-US$'!R321/'Final Data-US$'!Q321-1</f>
        <v>#DIV/0!</v>
      </c>
      <c r="S387" s="51" t="e">
        <f>'Final Data-US$'!S321/'Final Data-US$'!R321-1</f>
        <v>#DIV/0!</v>
      </c>
      <c r="T387" s="51" t="e">
        <f>'Final Data-US$'!T321/'Final Data-US$'!S321-1</f>
        <v>#DIV/0!</v>
      </c>
      <c r="U387" s="51" t="e">
        <f>'Final Data-US$'!U321/'Final Data-US$'!T321-1</f>
        <v>#DIV/0!</v>
      </c>
      <c r="V387" s="51" t="e">
        <f>'Final Data-US$'!V321/'Final Data-US$'!U321-1</f>
        <v>#DIV/0!</v>
      </c>
      <c r="W387" s="102" t="e">
        <f>'Final Data-US$'!W321</f>
        <v>#DIV/0!</v>
      </c>
      <c r="X387" s="102" t="e">
        <f>'Final Data-US$'!X321</f>
        <v>#DIV/0!</v>
      </c>
    </row>
    <row r="388" spans="1:24">
      <c r="A388" s="46" t="str">
        <f>'Secondary cum Calculation'!A704</f>
        <v>Poland</v>
      </c>
      <c r="B388" s="47" t="str">
        <f>'Secondary cum Calculation'!B704</f>
        <v>Tourism Flows</v>
      </c>
      <c r="C388" s="47" t="str">
        <f>'Secondary cum Calculation'!C704</f>
        <v>International Departures by Destination</v>
      </c>
      <c r="D388" s="47" t="str">
        <f>'Secondary cum Calculation'!D704</f>
        <v>Africa</v>
      </c>
      <c r="E388" s="46" t="str">
        <f>'Secondary cum Calculation'!E704</f>
        <v>Tonga</v>
      </c>
      <c r="F388" s="48" t="str">
        <f>'Secondary cum Calculation'!F704</f>
        <v>The number of international departures from a country to Tonga</v>
      </c>
      <c r="G388" s="48" t="str">
        <f>'Secondary cum Calculation'!G704</f>
        <v>Tourism Demand &amp; Flows Database</v>
      </c>
      <c r="H388" s="48" t="str">
        <f>'Secondary cum Calculation'!H704</f>
        <v>New</v>
      </c>
      <c r="I388" s="48">
        <f>'Secondary cum Calculation'!I704</f>
        <v>0</v>
      </c>
      <c r="J388" s="48" t="str">
        <f>'Secondary cum Calculation'!J704</f>
        <v>Thousand</v>
      </c>
      <c r="K388" s="49">
        <f>'Secondary cum Calculation'!K704</f>
        <v>0</v>
      </c>
      <c r="L388" s="92"/>
      <c r="M388" s="104" t="e">
        <f>'Final Data-US$'!M322/'Final Data-US$'!L322-1</f>
        <v>#DIV/0!</v>
      </c>
      <c r="N388" s="104" t="e">
        <f>'Final Data-US$'!N322/'Final Data-US$'!M322-1</f>
        <v>#DIV/0!</v>
      </c>
      <c r="O388" s="51" t="e">
        <f>'Final Data-US$'!O322/'Final Data-US$'!N322-1</f>
        <v>#DIV/0!</v>
      </c>
      <c r="P388" s="51" t="e">
        <f>'Final Data-US$'!P322/'Final Data-US$'!O322-1</f>
        <v>#DIV/0!</v>
      </c>
      <c r="Q388" s="51" t="e">
        <f>'Final Data-US$'!Q322/'Final Data-US$'!P322-1</f>
        <v>#DIV/0!</v>
      </c>
      <c r="R388" s="51" t="e">
        <f>'Final Data-US$'!R322/'Final Data-US$'!Q322-1</f>
        <v>#DIV/0!</v>
      </c>
      <c r="S388" s="51" t="e">
        <f>'Final Data-US$'!S322/'Final Data-US$'!R322-1</f>
        <v>#DIV/0!</v>
      </c>
      <c r="T388" s="51" t="e">
        <f>'Final Data-US$'!T322/'Final Data-US$'!S322-1</f>
        <v>#DIV/0!</v>
      </c>
      <c r="U388" s="51" t="e">
        <f>'Final Data-US$'!U322/'Final Data-US$'!T322-1</f>
        <v>#DIV/0!</v>
      </c>
      <c r="V388" s="51" t="e">
        <f>'Final Data-US$'!V322/'Final Data-US$'!U322-1</f>
        <v>#DIV/0!</v>
      </c>
      <c r="W388" s="102" t="e">
        <f>'Final Data-US$'!W322</f>
        <v>#DIV/0!</v>
      </c>
      <c r="X388" s="102" t="e">
        <f>'Final Data-US$'!X322</f>
        <v>#DIV/0!</v>
      </c>
    </row>
    <row r="389" spans="1:24">
      <c r="A389" s="46" t="str">
        <f>'Secondary cum Calculation'!A706</f>
        <v>Poland</v>
      </c>
      <c r="B389" s="47" t="str">
        <f>'Secondary cum Calculation'!B706</f>
        <v>Tourism Flows</v>
      </c>
      <c r="C389" s="47" t="str">
        <f>'Secondary cum Calculation'!C706</f>
        <v>International Departures by Destination</v>
      </c>
      <c r="D389" s="47" t="str">
        <f>'Secondary cum Calculation'!D706</f>
        <v>Africa</v>
      </c>
      <c r="E389" s="46" t="str">
        <f>'Secondary cum Calculation'!E706</f>
        <v>Tunisia</v>
      </c>
      <c r="F389" s="48" t="str">
        <f>'Secondary cum Calculation'!F706</f>
        <v>The number of international departures from a country to Tunisia</v>
      </c>
      <c r="G389" s="48" t="str">
        <f>'Secondary cum Calculation'!G706</f>
        <v>Tourism Demand &amp; Flows Database</v>
      </c>
      <c r="H389" s="48" t="str">
        <f>'Secondary cum Calculation'!H706</f>
        <v>New</v>
      </c>
      <c r="I389" s="48">
        <f>'Secondary cum Calculation'!I706</f>
        <v>0</v>
      </c>
      <c r="J389" s="48" t="str">
        <f>'Secondary cum Calculation'!J706</f>
        <v>Thousand</v>
      </c>
      <c r="K389" s="49">
        <f>'Secondary cum Calculation'!K706</f>
        <v>0</v>
      </c>
      <c r="L389" s="92"/>
      <c r="M389" s="104" t="e">
        <f>'Final Data-US$'!M323/'Final Data-US$'!L323-1</f>
        <v>#DIV/0!</v>
      </c>
      <c r="N389" s="104" t="e">
        <f>'Final Data-US$'!N323/'Final Data-US$'!M323-1</f>
        <v>#DIV/0!</v>
      </c>
      <c r="O389" s="51" t="e">
        <f>'Final Data-US$'!O323/'Final Data-US$'!N323-1</f>
        <v>#DIV/0!</v>
      </c>
      <c r="P389" s="51" t="e">
        <f>'Final Data-US$'!P323/'Final Data-US$'!O323-1</f>
        <v>#DIV/0!</v>
      </c>
      <c r="Q389" s="51" t="e">
        <f>'Final Data-US$'!Q323/'Final Data-US$'!P323-1</f>
        <v>#DIV/0!</v>
      </c>
      <c r="R389" s="51" t="e">
        <f>'Final Data-US$'!R323/'Final Data-US$'!Q323-1</f>
        <v>#DIV/0!</v>
      </c>
      <c r="S389" s="51" t="e">
        <f>'Final Data-US$'!S323/'Final Data-US$'!R323-1</f>
        <v>#DIV/0!</v>
      </c>
      <c r="T389" s="51" t="e">
        <f>'Final Data-US$'!T323/'Final Data-US$'!S323-1</f>
        <v>#DIV/0!</v>
      </c>
      <c r="U389" s="51" t="e">
        <f>'Final Data-US$'!U323/'Final Data-US$'!T323-1</f>
        <v>#DIV/0!</v>
      </c>
      <c r="V389" s="51" t="e">
        <f>'Final Data-US$'!V323/'Final Data-US$'!U323-1</f>
        <v>#DIV/0!</v>
      </c>
      <c r="W389" s="102" t="e">
        <f>'Final Data-US$'!W323</f>
        <v>#DIV/0!</v>
      </c>
      <c r="X389" s="102" t="e">
        <f>'Final Data-US$'!X323</f>
        <v>#DIV/0!</v>
      </c>
    </row>
    <row r="390" spans="1:24">
      <c r="A390" s="46" t="str">
        <f>'Secondary cum Calculation'!A708</f>
        <v>Poland</v>
      </c>
      <c r="B390" s="47" t="str">
        <f>'Secondary cum Calculation'!B708</f>
        <v>Tourism Flows</v>
      </c>
      <c r="C390" s="47" t="str">
        <f>'Secondary cum Calculation'!C708</f>
        <v>International Departures by Destination</v>
      </c>
      <c r="D390" s="47" t="str">
        <f>'Secondary cum Calculation'!D708</f>
        <v>Africa</v>
      </c>
      <c r="E390" s="46" t="str">
        <f>'Secondary cum Calculation'!E708</f>
        <v>Uganda</v>
      </c>
      <c r="F390" s="48" t="str">
        <f>'Secondary cum Calculation'!F708</f>
        <v>The number of international departures from a country to Uganda</v>
      </c>
      <c r="G390" s="48" t="str">
        <f>'Secondary cum Calculation'!G708</f>
        <v>Tourism Demand &amp; Flows Database</v>
      </c>
      <c r="H390" s="48" t="str">
        <f>'Secondary cum Calculation'!H708</f>
        <v>New</v>
      </c>
      <c r="I390" s="48">
        <f>'Secondary cum Calculation'!I708</f>
        <v>0</v>
      </c>
      <c r="J390" s="48" t="str">
        <f>'Secondary cum Calculation'!J708</f>
        <v>Thousand</v>
      </c>
      <c r="K390" s="49">
        <f>'Secondary cum Calculation'!K708</f>
        <v>0</v>
      </c>
      <c r="L390" s="92"/>
      <c r="M390" s="104" t="e">
        <f>'Final Data-US$'!M324/'Final Data-US$'!L324-1</f>
        <v>#DIV/0!</v>
      </c>
      <c r="N390" s="104" t="e">
        <f>'Final Data-US$'!N324/'Final Data-US$'!M324-1</f>
        <v>#DIV/0!</v>
      </c>
      <c r="O390" s="51" t="e">
        <f>'Final Data-US$'!O324/'Final Data-US$'!N324-1</f>
        <v>#DIV/0!</v>
      </c>
      <c r="P390" s="51" t="e">
        <f>'Final Data-US$'!P324/'Final Data-US$'!O324-1</f>
        <v>#DIV/0!</v>
      </c>
      <c r="Q390" s="51" t="e">
        <f>'Final Data-US$'!Q324/'Final Data-US$'!P324-1</f>
        <v>#DIV/0!</v>
      </c>
      <c r="R390" s="51" t="e">
        <f>'Final Data-US$'!R324/'Final Data-US$'!Q324-1</f>
        <v>#DIV/0!</v>
      </c>
      <c r="S390" s="51" t="e">
        <f>'Final Data-US$'!S324/'Final Data-US$'!R324-1</f>
        <v>#DIV/0!</v>
      </c>
      <c r="T390" s="51" t="e">
        <f>'Final Data-US$'!T324/'Final Data-US$'!S324-1</f>
        <v>#DIV/0!</v>
      </c>
      <c r="U390" s="51" t="e">
        <f>'Final Data-US$'!U324/'Final Data-US$'!T324-1</f>
        <v>#DIV/0!</v>
      </c>
      <c r="V390" s="51" t="e">
        <f>'Final Data-US$'!V324/'Final Data-US$'!U324-1</f>
        <v>#DIV/0!</v>
      </c>
      <c r="W390" s="102" t="e">
        <f>'Final Data-US$'!W324</f>
        <v>#DIV/0!</v>
      </c>
      <c r="X390" s="102" t="e">
        <f>'Final Data-US$'!X324</f>
        <v>#DIV/0!</v>
      </c>
    </row>
    <row r="391" spans="1:24">
      <c r="A391" s="46" t="str">
        <f>'Secondary cum Calculation'!A710</f>
        <v>Poland</v>
      </c>
      <c r="B391" s="47" t="str">
        <f>'Secondary cum Calculation'!B710</f>
        <v>Tourism Flows</v>
      </c>
      <c r="C391" s="47" t="str">
        <f>'Secondary cum Calculation'!C710</f>
        <v>International Departures by Destination</v>
      </c>
      <c r="D391" s="47" t="str">
        <f>'Secondary cum Calculation'!D710</f>
        <v>Africa</v>
      </c>
      <c r="E391" s="46" t="str">
        <f>'Secondary cum Calculation'!E710</f>
        <v>United Republic of Tanzania</v>
      </c>
      <c r="F391" s="48" t="str">
        <f>'Secondary cum Calculation'!F710</f>
        <v>The number of international departures from a country to United Republic of Tanzania</v>
      </c>
      <c r="G391" s="48" t="str">
        <f>'Secondary cum Calculation'!G710</f>
        <v>Tourism Demand &amp; Flows Database</v>
      </c>
      <c r="H391" s="48" t="str">
        <f>'Secondary cum Calculation'!H710</f>
        <v>New</v>
      </c>
      <c r="I391" s="48">
        <f>'Secondary cum Calculation'!I710</f>
        <v>0</v>
      </c>
      <c r="J391" s="48" t="str">
        <f>'Secondary cum Calculation'!J710</f>
        <v>Thousand</v>
      </c>
      <c r="K391" s="49">
        <f>'Secondary cum Calculation'!K710</f>
        <v>0</v>
      </c>
      <c r="L391" s="92"/>
      <c r="M391" s="104" t="e">
        <f>'Final Data-US$'!M325/'Final Data-US$'!L325-1</f>
        <v>#DIV/0!</v>
      </c>
      <c r="N391" s="104" t="e">
        <f>'Final Data-US$'!N325/'Final Data-US$'!M325-1</f>
        <v>#DIV/0!</v>
      </c>
      <c r="O391" s="51" t="e">
        <f>'Final Data-US$'!O325/'Final Data-US$'!N325-1</f>
        <v>#DIV/0!</v>
      </c>
      <c r="P391" s="51" t="e">
        <f>'Final Data-US$'!P325/'Final Data-US$'!O325-1</f>
        <v>#DIV/0!</v>
      </c>
      <c r="Q391" s="51" t="e">
        <f>'Final Data-US$'!Q325/'Final Data-US$'!P325-1</f>
        <v>#DIV/0!</v>
      </c>
      <c r="R391" s="51" t="e">
        <f>'Final Data-US$'!R325/'Final Data-US$'!Q325-1</f>
        <v>#DIV/0!</v>
      </c>
      <c r="S391" s="51" t="e">
        <f>'Final Data-US$'!S325/'Final Data-US$'!R325-1</f>
        <v>#DIV/0!</v>
      </c>
      <c r="T391" s="51" t="e">
        <f>'Final Data-US$'!T325/'Final Data-US$'!S325-1</f>
        <v>#DIV/0!</v>
      </c>
      <c r="U391" s="51" t="e">
        <f>'Final Data-US$'!U325/'Final Data-US$'!T325-1</f>
        <v>#DIV/0!</v>
      </c>
      <c r="V391" s="51" t="e">
        <f>'Final Data-US$'!V325/'Final Data-US$'!U325-1</f>
        <v>#DIV/0!</v>
      </c>
      <c r="W391" s="102" t="e">
        <f>'Final Data-US$'!W325</f>
        <v>#DIV/0!</v>
      </c>
      <c r="X391" s="102" t="e">
        <f>'Final Data-US$'!X325</f>
        <v>#DIV/0!</v>
      </c>
    </row>
    <row r="392" spans="1:24">
      <c r="A392" s="46" t="str">
        <f>'Secondary cum Calculation'!A712</f>
        <v>Poland</v>
      </c>
      <c r="B392" s="47" t="str">
        <f>'Secondary cum Calculation'!B712</f>
        <v>Tourism Flows</v>
      </c>
      <c r="C392" s="47" t="str">
        <f>'Secondary cum Calculation'!C712</f>
        <v>International Departures by Destination</v>
      </c>
      <c r="D392" s="47" t="str">
        <f>'Secondary cum Calculation'!D712</f>
        <v>Africa</v>
      </c>
      <c r="E392" s="46" t="str">
        <f>'Secondary cum Calculation'!E712</f>
        <v>Western Sahara</v>
      </c>
      <c r="F392" s="48" t="str">
        <f>'Secondary cum Calculation'!F712</f>
        <v>The number of international departures from a country to Western Sahara</v>
      </c>
      <c r="G392" s="48" t="str">
        <f>'Secondary cum Calculation'!G712</f>
        <v>Tourism Demand &amp; Flows Database</v>
      </c>
      <c r="H392" s="48" t="str">
        <f>'Secondary cum Calculation'!H712</f>
        <v>New</v>
      </c>
      <c r="I392" s="48">
        <f>'Secondary cum Calculation'!I712</f>
        <v>0</v>
      </c>
      <c r="J392" s="48" t="str">
        <f>'Secondary cum Calculation'!J712</f>
        <v>Thousand</v>
      </c>
      <c r="K392" s="49">
        <f>'Secondary cum Calculation'!K712</f>
        <v>0</v>
      </c>
      <c r="L392" s="92"/>
      <c r="M392" s="104" t="e">
        <f>'Final Data-US$'!M326/'Final Data-US$'!L326-1</f>
        <v>#DIV/0!</v>
      </c>
      <c r="N392" s="104" t="e">
        <f>'Final Data-US$'!N326/'Final Data-US$'!M326-1</f>
        <v>#DIV/0!</v>
      </c>
      <c r="O392" s="51" t="e">
        <f>'Final Data-US$'!O326/'Final Data-US$'!N326-1</f>
        <v>#DIV/0!</v>
      </c>
      <c r="P392" s="51" t="e">
        <f>'Final Data-US$'!P326/'Final Data-US$'!O326-1</f>
        <v>#DIV/0!</v>
      </c>
      <c r="Q392" s="51" t="e">
        <f>'Final Data-US$'!Q326/'Final Data-US$'!P326-1</f>
        <v>#DIV/0!</v>
      </c>
      <c r="R392" s="51" t="e">
        <f>'Final Data-US$'!R326/'Final Data-US$'!Q326-1</f>
        <v>#DIV/0!</v>
      </c>
      <c r="S392" s="51" t="e">
        <f>'Final Data-US$'!S326/'Final Data-US$'!R326-1</f>
        <v>#DIV/0!</v>
      </c>
      <c r="T392" s="51" t="e">
        <f>'Final Data-US$'!T326/'Final Data-US$'!S326-1</f>
        <v>#DIV/0!</v>
      </c>
      <c r="U392" s="51" t="e">
        <f>'Final Data-US$'!U326/'Final Data-US$'!T326-1</f>
        <v>#DIV/0!</v>
      </c>
      <c r="V392" s="51" t="e">
        <f>'Final Data-US$'!V326/'Final Data-US$'!U326-1</f>
        <v>#DIV/0!</v>
      </c>
      <c r="W392" s="102" t="e">
        <f>'Final Data-US$'!W326</f>
        <v>#DIV/0!</v>
      </c>
      <c r="X392" s="102" t="e">
        <f>'Final Data-US$'!X326</f>
        <v>#DIV/0!</v>
      </c>
    </row>
    <row r="393" spans="1:24">
      <c r="A393" s="46" t="str">
        <f>'Secondary cum Calculation'!A714</f>
        <v>Poland</v>
      </c>
      <c r="B393" s="47" t="str">
        <f>'Secondary cum Calculation'!B714</f>
        <v>Tourism Flows</v>
      </c>
      <c r="C393" s="47" t="str">
        <f>'Secondary cum Calculation'!C714</f>
        <v>International Departures by Destination</v>
      </c>
      <c r="D393" s="47" t="str">
        <f>'Secondary cum Calculation'!D714</f>
        <v>Africa</v>
      </c>
      <c r="E393" s="46" t="str">
        <f>'Secondary cum Calculation'!E714</f>
        <v>Zambia</v>
      </c>
      <c r="F393" s="48" t="str">
        <f>'Secondary cum Calculation'!F714</f>
        <v>The number of international departures from a country to Zambia</v>
      </c>
      <c r="G393" s="48" t="str">
        <f>'Secondary cum Calculation'!G714</f>
        <v>Tourism Demand &amp; Flows Database</v>
      </c>
      <c r="H393" s="48" t="str">
        <f>'Secondary cum Calculation'!H714</f>
        <v>New</v>
      </c>
      <c r="I393" s="48">
        <f>'Secondary cum Calculation'!I714</f>
        <v>0</v>
      </c>
      <c r="J393" s="48" t="str">
        <f>'Secondary cum Calculation'!J714</f>
        <v>Thousand</v>
      </c>
      <c r="K393" s="49">
        <f>'Secondary cum Calculation'!K714</f>
        <v>0</v>
      </c>
      <c r="L393" s="92"/>
      <c r="M393" s="104" t="e">
        <f>'Final Data-US$'!M327/'Final Data-US$'!L327-1</f>
        <v>#DIV/0!</v>
      </c>
      <c r="N393" s="104" t="e">
        <f>'Final Data-US$'!N327/'Final Data-US$'!M327-1</f>
        <v>#DIV/0!</v>
      </c>
      <c r="O393" s="51" t="e">
        <f>'Final Data-US$'!O327/'Final Data-US$'!N327-1</f>
        <v>#DIV/0!</v>
      </c>
      <c r="P393" s="51" t="e">
        <f>'Final Data-US$'!P327/'Final Data-US$'!O327-1</f>
        <v>#DIV/0!</v>
      </c>
      <c r="Q393" s="51" t="e">
        <f>'Final Data-US$'!Q327/'Final Data-US$'!P327-1</f>
        <v>#DIV/0!</v>
      </c>
      <c r="R393" s="51" t="e">
        <f>'Final Data-US$'!R327/'Final Data-US$'!Q327-1</f>
        <v>#DIV/0!</v>
      </c>
      <c r="S393" s="51" t="e">
        <f>'Final Data-US$'!S327/'Final Data-US$'!R327-1</f>
        <v>#DIV/0!</v>
      </c>
      <c r="T393" s="51" t="e">
        <f>'Final Data-US$'!T327/'Final Data-US$'!S327-1</f>
        <v>#DIV/0!</v>
      </c>
      <c r="U393" s="51" t="e">
        <f>'Final Data-US$'!U327/'Final Data-US$'!T327-1</f>
        <v>#DIV/0!</v>
      </c>
      <c r="V393" s="51" t="e">
        <f>'Final Data-US$'!V327/'Final Data-US$'!U327-1</f>
        <v>#DIV/0!</v>
      </c>
      <c r="W393" s="102" t="e">
        <f>'Final Data-US$'!W327</f>
        <v>#DIV/0!</v>
      </c>
      <c r="X393" s="102" t="e">
        <f>'Final Data-US$'!X327</f>
        <v>#DIV/0!</v>
      </c>
    </row>
    <row r="394" spans="1:24">
      <c r="A394" s="46" t="str">
        <f>'Secondary cum Calculation'!A716</f>
        <v>Poland</v>
      </c>
      <c r="B394" s="47" t="str">
        <f>'Secondary cum Calculation'!B716</f>
        <v>Tourism Flows</v>
      </c>
      <c r="C394" s="47" t="str">
        <f>'Secondary cum Calculation'!C716</f>
        <v>International Departures by Destination</v>
      </c>
      <c r="D394" s="47" t="str">
        <f>'Secondary cum Calculation'!D716</f>
        <v>Africa</v>
      </c>
      <c r="E394" s="46" t="str">
        <f>'Secondary cum Calculation'!E716</f>
        <v>Zimbabwe</v>
      </c>
      <c r="F394" s="48" t="str">
        <f>'Secondary cum Calculation'!F716</f>
        <v>The number of international departures from a country to Zimbabwe</v>
      </c>
      <c r="G394" s="48" t="str">
        <f>'Secondary cum Calculation'!G716</f>
        <v>Tourism Demand &amp; Flows Database</v>
      </c>
      <c r="H394" s="48" t="str">
        <f>'Secondary cum Calculation'!H716</f>
        <v>New</v>
      </c>
      <c r="I394" s="48">
        <f>'Secondary cum Calculation'!I716</f>
        <v>0</v>
      </c>
      <c r="J394" s="48" t="str">
        <f>'Secondary cum Calculation'!J716</f>
        <v>Thousand</v>
      </c>
      <c r="K394" s="49">
        <f>'Secondary cum Calculation'!K716</f>
        <v>0</v>
      </c>
      <c r="L394" s="92"/>
      <c r="M394" s="104" t="e">
        <f>'Final Data-US$'!M328/'Final Data-US$'!L328-1</f>
        <v>#DIV/0!</v>
      </c>
      <c r="N394" s="104" t="e">
        <f>'Final Data-US$'!N328/'Final Data-US$'!M328-1</f>
        <v>#DIV/0!</v>
      </c>
      <c r="O394" s="105" t="e">
        <f>'Final Data-US$'!O328/'Final Data-US$'!N328-1</f>
        <v>#DIV/0!</v>
      </c>
      <c r="P394" s="105" t="e">
        <f>'Final Data-US$'!P328/'Final Data-US$'!O328-1</f>
        <v>#DIV/0!</v>
      </c>
      <c r="Q394" s="105" t="e">
        <f>'Final Data-US$'!Q328/'Final Data-US$'!P328-1</f>
        <v>#DIV/0!</v>
      </c>
      <c r="R394" s="105" t="e">
        <f>'Final Data-US$'!R328/'Final Data-US$'!Q328-1</f>
        <v>#DIV/0!</v>
      </c>
      <c r="S394" s="105" t="e">
        <f>'Final Data-US$'!S328/'Final Data-US$'!R328-1</f>
        <v>#DIV/0!</v>
      </c>
      <c r="T394" s="105" t="e">
        <f>'Final Data-US$'!T328/'Final Data-US$'!S328-1</f>
        <v>#DIV/0!</v>
      </c>
      <c r="U394" s="105" t="e">
        <f>'Final Data-US$'!U328/'Final Data-US$'!T328-1</f>
        <v>#DIV/0!</v>
      </c>
      <c r="V394" s="105" t="e">
        <f>'Final Data-US$'!V328/'Final Data-US$'!U328-1</f>
        <v>#DIV/0!</v>
      </c>
      <c r="W394" s="102" t="e">
        <f>'Final Data-US$'!W328</f>
        <v>#DIV/0!</v>
      </c>
      <c r="X394" s="102" t="e">
        <f>'Final Data-US$'!X328</f>
        <v>#DIV/0!</v>
      </c>
    </row>
    <row r="395" spans="1:24">
      <c r="A395" s="46" t="str">
        <f>'Secondary cum Calculation'!A718</f>
        <v>Poland</v>
      </c>
      <c r="B395" s="47" t="str">
        <f>'Secondary cum Calculation'!B718</f>
        <v>Tourism Flows</v>
      </c>
      <c r="C395" s="47" t="str">
        <f>'Secondary cum Calculation'!C718</f>
        <v>International Departures by Destination</v>
      </c>
      <c r="D395" s="94" t="str">
        <f>'Secondary cum Calculation'!D718</f>
        <v>Africa</v>
      </c>
      <c r="E395" s="95" t="str">
        <f>'Secondary cum Calculation'!E718</f>
        <v>Other African Countries</v>
      </c>
      <c r="F395" s="94" t="str">
        <f>'Secondary cum Calculation'!F718</f>
        <v>To be defined according to the gaps in the country data above</v>
      </c>
      <c r="G395" s="48">
        <f>'Secondary cum Calculation'!G718</f>
        <v>0</v>
      </c>
      <c r="H395" s="48">
        <f>'Secondary cum Calculation'!H718</f>
        <v>0</v>
      </c>
      <c r="I395" s="48">
        <f>'Secondary cum Calculation'!I718</f>
        <v>0</v>
      </c>
      <c r="J395" s="48" t="str">
        <f>'Secondary cum Calculation'!J718</f>
        <v>Thousand</v>
      </c>
      <c r="K395" s="49">
        <f>'Secondary cum Calculation'!K718</f>
        <v>0</v>
      </c>
      <c r="L395" s="92"/>
      <c r="M395" s="104">
        <f>'Final Data-US$'!M329/'Final Data-US$'!L329-1</f>
        <v>4.1350081200146604E-2</v>
      </c>
      <c r="N395" s="104">
        <f>'Final Data-US$'!N329/'Final Data-US$'!M329-1</f>
        <v>-8.1954712567215093E-2</v>
      </c>
      <c r="O395" s="105">
        <f>'Final Data-US$'!O329/'Final Data-US$'!N329-1</f>
        <v>4.6314207610101299E-2</v>
      </c>
      <c r="P395" s="105">
        <f>'Final Data-US$'!P329/'Final Data-US$'!O329-1</f>
        <v>-7.8328981723237545E-2</v>
      </c>
      <c r="Q395" s="105">
        <f>'Final Data-US$'!Q329/'Final Data-US$'!P329-1</f>
        <v>-2.0115859369619571E-2</v>
      </c>
      <c r="R395" s="105">
        <f>'Final Data-US$'!R329/'Final Data-US$'!Q329-1</f>
        <v>-1</v>
      </c>
      <c r="S395" s="105" t="e">
        <f>'Final Data-US$'!S329/'Final Data-US$'!R329-1</f>
        <v>#DIV/0!</v>
      </c>
      <c r="T395" s="105" t="e">
        <f>'Final Data-US$'!T329/'Final Data-US$'!S329-1</f>
        <v>#DIV/0!</v>
      </c>
      <c r="U395" s="105" t="e">
        <f>'Final Data-US$'!U329/'Final Data-US$'!T329-1</f>
        <v>#DIV/0!</v>
      </c>
      <c r="V395" s="105" t="e">
        <f>'Final Data-US$'!V329/'Final Data-US$'!U329-1</f>
        <v>#DIV/0!</v>
      </c>
      <c r="W395" s="102">
        <f>'Final Data-US$'!W329</f>
        <v>0</v>
      </c>
      <c r="X395" s="102">
        <f>'Final Data-US$'!X329</f>
        <v>0</v>
      </c>
    </row>
    <row r="396" spans="1:24">
      <c r="A396" s="46" t="str">
        <f>'Secondary cum Calculation'!A720</f>
        <v>Poland</v>
      </c>
      <c r="B396" s="47" t="str">
        <f>'Secondary cum Calculation'!B720</f>
        <v>Tourism Flows</v>
      </c>
      <c r="C396" s="47" t="str">
        <f>'Secondary cum Calculation'!C720</f>
        <v>International Departures by Destination</v>
      </c>
      <c r="D396" s="46" t="str">
        <f>'Secondary cum Calculation'!D720</f>
        <v>Asia-Pacific</v>
      </c>
      <c r="E396" s="48"/>
      <c r="F396" s="48" t="str">
        <f>'Secondary cum Calculation'!F720</f>
        <v>The number of international departures from a country to Asia-Pacific</v>
      </c>
      <c r="G396" s="48" t="str">
        <f>'Secondary cum Calculation'!G720</f>
        <v>Tourism Demand &amp; Flows Database</v>
      </c>
      <c r="H396" s="48" t="str">
        <f>'Secondary cum Calculation'!H720</f>
        <v>New</v>
      </c>
      <c r="I396" s="48">
        <f>'Secondary cum Calculation'!I720</f>
        <v>0</v>
      </c>
      <c r="J396" s="48" t="str">
        <f>'Secondary cum Calculation'!J720</f>
        <v>Thousand</v>
      </c>
      <c r="K396" s="76">
        <f>'Secondary cum Calculation'!K720</f>
        <v>5397</v>
      </c>
      <c r="L396" s="91"/>
      <c r="M396" s="78">
        <f>'Final Data-US$'!M330/'Final Data-US$'!L330-1</f>
        <v>2.8031507099971931E-2</v>
      </c>
      <c r="N396" s="78">
        <f>'Final Data-US$'!N330/'Final Data-US$'!M330-1</f>
        <v>-5.4983122239889992E-3</v>
      </c>
      <c r="O396" s="78">
        <f>'Final Data-US$'!O330/'Final Data-US$'!N330-1</f>
        <v>5.5742898975922328E-2</v>
      </c>
      <c r="P396" s="78">
        <f>'Final Data-US$'!P330/'Final Data-US$'!O330-1</f>
        <v>0.12970924496478387</v>
      </c>
      <c r="Q396" s="78">
        <f>'Final Data-US$'!Q330/'Final Data-US$'!P330-1</f>
        <v>6.1259419300060847E-2</v>
      </c>
      <c r="R396" s="78">
        <f>'Final Data-US$'!R330/'Final Data-US$'!Q330-1</f>
        <v>6.810594735532427E-2</v>
      </c>
      <c r="S396" s="78">
        <f>'Final Data-US$'!S330/'Final Data-US$'!R330-1</f>
        <v>5.6173624567677605E-2</v>
      </c>
      <c r="T396" s="78">
        <f>'Final Data-US$'!T330/'Final Data-US$'!S330-1</f>
        <v>6.4376412380916515E-2</v>
      </c>
      <c r="U396" s="78">
        <f>'Final Data-US$'!U330/'Final Data-US$'!T330-1</f>
        <v>5.9123199287325345E-2</v>
      </c>
      <c r="V396" s="78">
        <f>'Final Data-US$'!V330/'Final Data-US$'!U330-1</f>
        <v>6.7439661072361323E-2</v>
      </c>
      <c r="W396" s="102">
        <f>'Final Data-US$'!W330</f>
        <v>5.9224417204696289E-2</v>
      </c>
      <c r="X396" s="102">
        <f>'Final Data-US$'!X330</f>
        <v>6.303347760977851E-2</v>
      </c>
    </row>
    <row r="397" spans="1:24">
      <c r="A397" s="46" t="str">
        <f>'Secondary cum Calculation'!A722</f>
        <v>Poland</v>
      </c>
      <c r="B397" s="47" t="str">
        <f>'Secondary cum Calculation'!B722</f>
        <v>Tourism Flows</v>
      </c>
      <c r="C397" s="47" t="str">
        <f>'Secondary cum Calculation'!C722</f>
        <v>International Departures by Destination</v>
      </c>
      <c r="D397" s="47" t="str">
        <f>'Secondary cum Calculation'!D722</f>
        <v>Asia-Pacific</v>
      </c>
      <c r="E397" s="46" t="str">
        <f>'Secondary cum Calculation'!E722</f>
        <v>Afghanistan</v>
      </c>
      <c r="F397" s="48" t="str">
        <f>'Secondary cum Calculation'!F722</f>
        <v>The number of international departures from a country to Afghanistan</v>
      </c>
      <c r="G397" s="48" t="str">
        <f>'Secondary cum Calculation'!G722</f>
        <v>Tourism Demand &amp; Flows Database</v>
      </c>
      <c r="H397" s="48" t="str">
        <f>'Secondary cum Calculation'!H722</f>
        <v>New</v>
      </c>
      <c r="I397" s="48">
        <f>'Secondary cum Calculation'!I722</f>
        <v>0</v>
      </c>
      <c r="J397" s="48" t="str">
        <f>'Secondary cum Calculation'!J722</f>
        <v>Thousand</v>
      </c>
      <c r="K397" s="49">
        <f>'Secondary cum Calculation'!K722</f>
        <v>0</v>
      </c>
      <c r="L397" s="92"/>
      <c r="M397" s="104" t="e">
        <f>'Final Data-US$'!M331/'Final Data-US$'!L331-1</f>
        <v>#DIV/0!</v>
      </c>
      <c r="N397" s="104" t="e">
        <f>'Final Data-US$'!N331/'Final Data-US$'!M331-1</f>
        <v>#DIV/0!</v>
      </c>
      <c r="O397" s="51" t="e">
        <f>'Final Data-US$'!O331/'Final Data-US$'!N331-1</f>
        <v>#DIV/0!</v>
      </c>
      <c r="P397" s="51" t="e">
        <f>'Final Data-US$'!P331/'Final Data-US$'!O331-1</f>
        <v>#DIV/0!</v>
      </c>
      <c r="Q397" s="51" t="e">
        <f>'Final Data-US$'!Q331/'Final Data-US$'!P331-1</f>
        <v>#DIV/0!</v>
      </c>
      <c r="R397" s="51" t="e">
        <f>'Final Data-US$'!R331/'Final Data-US$'!Q331-1</f>
        <v>#DIV/0!</v>
      </c>
      <c r="S397" s="51" t="e">
        <f>'Final Data-US$'!S331/'Final Data-US$'!R331-1</f>
        <v>#DIV/0!</v>
      </c>
      <c r="T397" s="51" t="e">
        <f>'Final Data-US$'!T331/'Final Data-US$'!S331-1</f>
        <v>#DIV/0!</v>
      </c>
      <c r="U397" s="51" t="e">
        <f>'Final Data-US$'!U331/'Final Data-US$'!T331-1</f>
        <v>#DIV/0!</v>
      </c>
      <c r="V397" s="51" t="e">
        <f>'Final Data-US$'!V331/'Final Data-US$'!U331-1</f>
        <v>#DIV/0!</v>
      </c>
      <c r="W397" s="102" t="e">
        <f>'Final Data-US$'!W331</f>
        <v>#DIV/0!</v>
      </c>
      <c r="X397" s="102" t="e">
        <f>'Final Data-US$'!X331</f>
        <v>#DIV/0!</v>
      </c>
    </row>
    <row r="398" spans="1:24">
      <c r="A398" s="46" t="str">
        <f>'Secondary cum Calculation'!A724</f>
        <v>Poland</v>
      </c>
      <c r="B398" s="47" t="str">
        <f>'Secondary cum Calculation'!B724</f>
        <v>Tourism Flows</v>
      </c>
      <c r="C398" s="47" t="str">
        <f>'Secondary cum Calculation'!C724</f>
        <v>International Departures by Destination</v>
      </c>
      <c r="D398" s="47" t="str">
        <f>'Secondary cum Calculation'!D724</f>
        <v>Asia-Pacific</v>
      </c>
      <c r="E398" s="46" t="str">
        <f>'Secondary cum Calculation'!E724</f>
        <v>Australia</v>
      </c>
      <c r="F398" s="48" t="str">
        <f>'Secondary cum Calculation'!F724</f>
        <v>The number of international departures from a country to Australia</v>
      </c>
      <c r="G398" s="48" t="str">
        <f>'Secondary cum Calculation'!G724</f>
        <v>Tourism Demand &amp; Flows Database</v>
      </c>
      <c r="H398" s="48" t="str">
        <f>'Secondary cum Calculation'!H724</f>
        <v>New</v>
      </c>
      <c r="I398" s="48">
        <f>'Secondary cum Calculation'!I724</f>
        <v>0</v>
      </c>
      <c r="J398" s="48" t="str">
        <f>'Secondary cum Calculation'!J724</f>
        <v>Thousand</v>
      </c>
      <c r="K398" s="49">
        <f>'Secondary cum Calculation'!K724</f>
        <v>603</v>
      </c>
      <c r="L398" s="53"/>
      <c r="M398" s="51" t="e">
        <f>'Final Data-US$'!M332/'Final Data-US$'!L332-1</f>
        <v>#DIV/0!</v>
      </c>
      <c r="N398" s="51" t="e">
        <f>'Final Data-US$'!N332/'Final Data-US$'!M332-1</f>
        <v>#DIV/0!</v>
      </c>
      <c r="O398" s="51" t="e">
        <f>'Final Data-US$'!O332/'Final Data-US$'!N332-1</f>
        <v>#DIV/0!</v>
      </c>
      <c r="P398" s="51" t="e">
        <f>'Final Data-US$'!P332/'Final Data-US$'!O332-1</f>
        <v>#DIV/0!</v>
      </c>
      <c r="Q398" s="51" t="e">
        <f>'Final Data-US$'!Q332/'Final Data-US$'!P332-1</f>
        <v>#DIV/0!</v>
      </c>
      <c r="R398" s="51" t="e">
        <f>'Final Data-US$'!R332/'Final Data-US$'!Q332-1</f>
        <v>#DIV/0!</v>
      </c>
      <c r="S398" s="51" t="e">
        <f>'Final Data-US$'!S332/'Final Data-US$'!R332-1</f>
        <v>#DIV/0!</v>
      </c>
      <c r="T398" s="51" t="e">
        <f>'Final Data-US$'!T332/'Final Data-US$'!S332-1</f>
        <v>#DIV/0!</v>
      </c>
      <c r="U398" s="51" t="e">
        <f>'Final Data-US$'!U332/'Final Data-US$'!T332-1</f>
        <v>#DIV/0!</v>
      </c>
      <c r="V398" s="51" t="e">
        <f>'Final Data-US$'!V332/'Final Data-US$'!U332-1</f>
        <v>#DIV/0!</v>
      </c>
      <c r="W398" s="102" t="e">
        <f>'Final Data-US$'!W332</f>
        <v>#DIV/0!</v>
      </c>
      <c r="X398" s="102" t="e">
        <f>'Final Data-US$'!X332</f>
        <v>#DIV/0!</v>
      </c>
    </row>
    <row r="399" spans="1:24">
      <c r="A399" s="46" t="str">
        <f>'Secondary cum Calculation'!A726</f>
        <v>Poland</v>
      </c>
      <c r="B399" s="47" t="str">
        <f>'Secondary cum Calculation'!B726</f>
        <v>Tourism Flows</v>
      </c>
      <c r="C399" s="47" t="str">
        <f>'Secondary cum Calculation'!C726</f>
        <v>International Departures by Destination</v>
      </c>
      <c r="D399" s="47" t="str">
        <f>'Secondary cum Calculation'!D726</f>
        <v>Asia-Pacific</v>
      </c>
      <c r="E399" s="46" t="str">
        <f>'Secondary cum Calculation'!E726</f>
        <v>Azerbaijan</v>
      </c>
      <c r="F399" s="48" t="str">
        <f>'Secondary cum Calculation'!F726</f>
        <v>The number of international departures from a country to Azerbaijan</v>
      </c>
      <c r="G399" s="48" t="str">
        <f>'Secondary cum Calculation'!G726</f>
        <v>Tourism Demand &amp; Flows Database</v>
      </c>
      <c r="H399" s="48" t="str">
        <f>'Secondary cum Calculation'!H726</f>
        <v>New</v>
      </c>
      <c r="I399" s="48">
        <f>'Secondary cum Calculation'!I726</f>
        <v>0</v>
      </c>
      <c r="J399" s="48" t="str">
        <f>'Secondary cum Calculation'!J726</f>
        <v>Thousand</v>
      </c>
      <c r="K399" s="49">
        <f>'Secondary cum Calculation'!K726</f>
        <v>0</v>
      </c>
      <c r="L399" s="92"/>
      <c r="M399" s="104" t="e">
        <f>'Final Data-US$'!M333/'Final Data-US$'!L333-1</f>
        <v>#DIV/0!</v>
      </c>
      <c r="N399" s="104" t="e">
        <f>'Final Data-US$'!N333/'Final Data-US$'!M333-1</f>
        <v>#DIV/0!</v>
      </c>
      <c r="O399" s="103" t="e">
        <f>'Final Data-US$'!O333/'Final Data-US$'!N333-1</f>
        <v>#DIV/0!</v>
      </c>
      <c r="P399" s="103" t="e">
        <f>'Final Data-US$'!P333/'Final Data-US$'!O333-1</f>
        <v>#DIV/0!</v>
      </c>
      <c r="Q399" s="103" t="e">
        <f>'Final Data-US$'!Q333/'Final Data-US$'!P333-1</f>
        <v>#DIV/0!</v>
      </c>
      <c r="R399" s="103" t="e">
        <f>'Final Data-US$'!R333/'Final Data-US$'!Q333-1</f>
        <v>#DIV/0!</v>
      </c>
      <c r="S399" s="103" t="e">
        <f>'Final Data-US$'!S333/'Final Data-US$'!R333-1</f>
        <v>#DIV/0!</v>
      </c>
      <c r="T399" s="103" t="e">
        <f>'Final Data-US$'!T333/'Final Data-US$'!S333-1</f>
        <v>#DIV/0!</v>
      </c>
      <c r="U399" s="103" t="e">
        <f>'Final Data-US$'!U333/'Final Data-US$'!T333-1</f>
        <v>#DIV/0!</v>
      </c>
      <c r="V399" s="103" t="e">
        <f>'Final Data-US$'!V333/'Final Data-US$'!U333-1</f>
        <v>#DIV/0!</v>
      </c>
      <c r="W399" s="102" t="e">
        <f>'Final Data-US$'!W333</f>
        <v>#DIV/0!</v>
      </c>
      <c r="X399" s="102" t="e">
        <f>'Final Data-US$'!X333</f>
        <v>#DIV/0!</v>
      </c>
    </row>
    <row r="400" spans="1:24">
      <c r="A400" s="46" t="str">
        <f>'Secondary cum Calculation'!A728</f>
        <v>Poland</v>
      </c>
      <c r="B400" s="47" t="str">
        <f>'Secondary cum Calculation'!B728</f>
        <v>Tourism Flows</v>
      </c>
      <c r="C400" s="47" t="str">
        <f>'Secondary cum Calculation'!C728</f>
        <v>International Departures by Destination</v>
      </c>
      <c r="D400" s="47" t="str">
        <f>'Secondary cum Calculation'!D728</f>
        <v>Asia-Pacific</v>
      </c>
      <c r="E400" s="46" t="str">
        <f>'Secondary cum Calculation'!E728</f>
        <v>Bangladesh</v>
      </c>
      <c r="F400" s="48" t="str">
        <f>'Secondary cum Calculation'!F728</f>
        <v>The number of international departures from a country to Bangladesh</v>
      </c>
      <c r="G400" s="48" t="str">
        <f>'Secondary cum Calculation'!G728</f>
        <v>Tourism Demand &amp; Flows Database</v>
      </c>
      <c r="H400" s="48" t="str">
        <f>'Secondary cum Calculation'!H728</f>
        <v>New</v>
      </c>
      <c r="I400" s="48">
        <f>'Secondary cum Calculation'!I728</f>
        <v>0</v>
      </c>
      <c r="J400" s="48" t="str">
        <f>'Secondary cum Calculation'!J728</f>
        <v>Thousand</v>
      </c>
      <c r="K400" s="49">
        <f>'Secondary cum Calculation'!K728</f>
        <v>0</v>
      </c>
      <c r="L400" s="92"/>
      <c r="M400" s="104" t="e">
        <f>'Final Data-US$'!M334/'Final Data-US$'!L334-1</f>
        <v>#DIV/0!</v>
      </c>
      <c r="N400" s="104" t="e">
        <f>'Final Data-US$'!N334/'Final Data-US$'!M334-1</f>
        <v>#DIV/0!</v>
      </c>
      <c r="O400" s="51" t="e">
        <f>'Final Data-US$'!O334/'Final Data-US$'!N334-1</f>
        <v>#DIV/0!</v>
      </c>
      <c r="P400" s="51" t="e">
        <f>'Final Data-US$'!P334/'Final Data-US$'!O334-1</f>
        <v>#DIV/0!</v>
      </c>
      <c r="Q400" s="51" t="e">
        <f>'Final Data-US$'!Q334/'Final Data-US$'!P334-1</f>
        <v>#DIV/0!</v>
      </c>
      <c r="R400" s="51" t="e">
        <f>'Final Data-US$'!R334/'Final Data-US$'!Q334-1</f>
        <v>#DIV/0!</v>
      </c>
      <c r="S400" s="51" t="e">
        <f>'Final Data-US$'!S334/'Final Data-US$'!R334-1</f>
        <v>#DIV/0!</v>
      </c>
      <c r="T400" s="51" t="e">
        <f>'Final Data-US$'!T334/'Final Data-US$'!S334-1</f>
        <v>#DIV/0!</v>
      </c>
      <c r="U400" s="51" t="e">
        <f>'Final Data-US$'!U334/'Final Data-US$'!T334-1</f>
        <v>#DIV/0!</v>
      </c>
      <c r="V400" s="51" t="e">
        <f>'Final Data-US$'!V334/'Final Data-US$'!U334-1</f>
        <v>#DIV/0!</v>
      </c>
      <c r="W400" s="102" t="e">
        <f>'Final Data-US$'!W334</f>
        <v>#DIV/0!</v>
      </c>
      <c r="X400" s="102" t="e">
        <f>'Final Data-US$'!X334</f>
        <v>#DIV/0!</v>
      </c>
    </row>
    <row r="401" spans="1:24">
      <c r="A401" s="46" t="str">
        <f>'Secondary cum Calculation'!A730</f>
        <v>Poland</v>
      </c>
      <c r="B401" s="47" t="str">
        <f>'Secondary cum Calculation'!B730</f>
        <v>Tourism Flows</v>
      </c>
      <c r="C401" s="47" t="str">
        <f>'Secondary cum Calculation'!C730</f>
        <v>International Departures by Destination</v>
      </c>
      <c r="D401" s="47" t="str">
        <f>'Secondary cum Calculation'!D730</f>
        <v>Asia-Pacific</v>
      </c>
      <c r="E401" s="46" t="str">
        <f>'Secondary cum Calculation'!E730</f>
        <v>Bhutan</v>
      </c>
      <c r="F401" s="48" t="str">
        <f>'Secondary cum Calculation'!F730</f>
        <v>The number of international departures from a country to Bhutan</v>
      </c>
      <c r="G401" s="48" t="str">
        <f>'Secondary cum Calculation'!G730</f>
        <v>Tourism Demand &amp; Flows Database</v>
      </c>
      <c r="H401" s="48" t="str">
        <f>'Secondary cum Calculation'!H730</f>
        <v>New</v>
      </c>
      <c r="I401" s="48">
        <f>'Secondary cum Calculation'!I730</f>
        <v>0</v>
      </c>
      <c r="J401" s="48" t="str">
        <f>'Secondary cum Calculation'!J730</f>
        <v>Thousand</v>
      </c>
      <c r="K401" s="49">
        <f>'Secondary cum Calculation'!K730</f>
        <v>0</v>
      </c>
      <c r="L401" s="92"/>
      <c r="M401" s="104" t="e">
        <f>'Final Data-US$'!M335/'Final Data-US$'!L335-1</f>
        <v>#DIV/0!</v>
      </c>
      <c r="N401" s="104" t="e">
        <f>'Final Data-US$'!N335/'Final Data-US$'!M335-1</f>
        <v>#DIV/0!</v>
      </c>
      <c r="O401" s="51" t="e">
        <f>'Final Data-US$'!O335/'Final Data-US$'!N335-1</f>
        <v>#DIV/0!</v>
      </c>
      <c r="P401" s="51" t="e">
        <f>'Final Data-US$'!P335/'Final Data-US$'!O335-1</f>
        <v>#DIV/0!</v>
      </c>
      <c r="Q401" s="51" t="e">
        <f>'Final Data-US$'!Q335/'Final Data-US$'!P335-1</f>
        <v>#DIV/0!</v>
      </c>
      <c r="R401" s="51" t="e">
        <f>'Final Data-US$'!R335/'Final Data-US$'!Q335-1</f>
        <v>#DIV/0!</v>
      </c>
      <c r="S401" s="51" t="e">
        <f>'Final Data-US$'!S335/'Final Data-US$'!R335-1</f>
        <v>#DIV/0!</v>
      </c>
      <c r="T401" s="51" t="e">
        <f>'Final Data-US$'!T335/'Final Data-US$'!S335-1</f>
        <v>#DIV/0!</v>
      </c>
      <c r="U401" s="51" t="e">
        <f>'Final Data-US$'!U335/'Final Data-US$'!T335-1</f>
        <v>#DIV/0!</v>
      </c>
      <c r="V401" s="51" t="e">
        <f>'Final Data-US$'!V335/'Final Data-US$'!U335-1</f>
        <v>#DIV/0!</v>
      </c>
      <c r="W401" s="102" t="e">
        <f>'Final Data-US$'!W335</f>
        <v>#DIV/0!</v>
      </c>
      <c r="X401" s="102" t="e">
        <f>'Final Data-US$'!X335</f>
        <v>#DIV/0!</v>
      </c>
    </row>
    <row r="402" spans="1:24">
      <c r="A402" s="46" t="str">
        <f>'Secondary cum Calculation'!A732</f>
        <v>Poland</v>
      </c>
      <c r="B402" s="47" t="str">
        <f>'Secondary cum Calculation'!B732</f>
        <v>Tourism Flows</v>
      </c>
      <c r="C402" s="47" t="str">
        <f>'Secondary cum Calculation'!C732</f>
        <v>International Departures by Destination</v>
      </c>
      <c r="D402" s="47" t="str">
        <f>'Secondary cum Calculation'!D732</f>
        <v>Asia-Pacific</v>
      </c>
      <c r="E402" s="46" t="str">
        <f>'Secondary cum Calculation'!E732</f>
        <v>Brunei Darussalam</v>
      </c>
      <c r="F402" s="48" t="str">
        <f>'Secondary cum Calculation'!F732</f>
        <v>The number of international departures from a country to Brunei Darussalam</v>
      </c>
      <c r="G402" s="48" t="str">
        <f>'Secondary cum Calculation'!G732</f>
        <v>Tourism Demand &amp; Flows Database</v>
      </c>
      <c r="H402" s="48" t="str">
        <f>'Secondary cum Calculation'!H732</f>
        <v>New</v>
      </c>
      <c r="I402" s="48">
        <f>'Secondary cum Calculation'!I732</f>
        <v>0</v>
      </c>
      <c r="J402" s="48" t="str">
        <f>'Secondary cum Calculation'!J732</f>
        <v>Thousand</v>
      </c>
      <c r="K402" s="49">
        <f>'Secondary cum Calculation'!K732</f>
        <v>0</v>
      </c>
      <c r="L402" s="92"/>
      <c r="M402" s="104" t="e">
        <f>'Final Data-US$'!M336/'Final Data-US$'!L336-1</f>
        <v>#DIV/0!</v>
      </c>
      <c r="N402" s="104" t="e">
        <f>'Final Data-US$'!N336/'Final Data-US$'!M336-1</f>
        <v>#DIV/0!</v>
      </c>
      <c r="O402" s="51" t="e">
        <f>'Final Data-US$'!O336/'Final Data-US$'!N336-1</f>
        <v>#DIV/0!</v>
      </c>
      <c r="P402" s="51" t="e">
        <f>'Final Data-US$'!P336/'Final Data-US$'!O336-1</f>
        <v>#DIV/0!</v>
      </c>
      <c r="Q402" s="51" t="e">
        <f>'Final Data-US$'!Q336/'Final Data-US$'!P336-1</f>
        <v>#DIV/0!</v>
      </c>
      <c r="R402" s="51" t="e">
        <f>'Final Data-US$'!R336/'Final Data-US$'!Q336-1</f>
        <v>#DIV/0!</v>
      </c>
      <c r="S402" s="51" t="e">
        <f>'Final Data-US$'!S336/'Final Data-US$'!R336-1</f>
        <v>#DIV/0!</v>
      </c>
      <c r="T402" s="51" t="e">
        <f>'Final Data-US$'!T336/'Final Data-US$'!S336-1</f>
        <v>#DIV/0!</v>
      </c>
      <c r="U402" s="51" t="e">
        <f>'Final Data-US$'!U336/'Final Data-US$'!T336-1</f>
        <v>#DIV/0!</v>
      </c>
      <c r="V402" s="51" t="e">
        <f>'Final Data-US$'!V336/'Final Data-US$'!U336-1</f>
        <v>#DIV/0!</v>
      </c>
      <c r="W402" s="102" t="e">
        <f>'Final Data-US$'!W336</f>
        <v>#DIV/0!</v>
      </c>
      <c r="X402" s="102" t="e">
        <f>'Final Data-US$'!X336</f>
        <v>#DIV/0!</v>
      </c>
    </row>
    <row r="403" spans="1:24">
      <c r="A403" s="46" t="str">
        <f>'Secondary cum Calculation'!A734</f>
        <v>Poland</v>
      </c>
      <c r="B403" s="47" t="str">
        <f>'Secondary cum Calculation'!B734</f>
        <v>Tourism Flows</v>
      </c>
      <c r="C403" s="47" t="str">
        <f>'Secondary cum Calculation'!C734</f>
        <v>International Departures by Destination</v>
      </c>
      <c r="D403" s="47" t="str">
        <f>'Secondary cum Calculation'!D734</f>
        <v>Asia-Pacific</v>
      </c>
      <c r="E403" s="46" t="str">
        <f>'Secondary cum Calculation'!E734</f>
        <v>Cambodia</v>
      </c>
      <c r="F403" s="48" t="str">
        <f>'Secondary cum Calculation'!F734</f>
        <v>The number of international departures from a country to Cambodia</v>
      </c>
      <c r="G403" s="48" t="str">
        <f>'Secondary cum Calculation'!G734</f>
        <v>Tourism Demand &amp; Flows Database</v>
      </c>
      <c r="H403" s="48" t="str">
        <f>'Secondary cum Calculation'!H734</f>
        <v>New</v>
      </c>
      <c r="I403" s="48">
        <f>'Secondary cum Calculation'!I734</f>
        <v>0</v>
      </c>
      <c r="J403" s="48" t="str">
        <f>'Secondary cum Calculation'!J734</f>
        <v>Thousand</v>
      </c>
      <c r="K403" s="49">
        <f>'Secondary cum Calculation'!K734</f>
        <v>0</v>
      </c>
      <c r="L403" s="92"/>
      <c r="M403" s="104" t="e">
        <f>'Final Data-US$'!M337/'Final Data-US$'!L337-1</f>
        <v>#DIV/0!</v>
      </c>
      <c r="N403" s="104" t="e">
        <f>'Final Data-US$'!N337/'Final Data-US$'!M337-1</f>
        <v>#DIV/0!</v>
      </c>
      <c r="O403" s="105" t="e">
        <f>'Final Data-US$'!O337/'Final Data-US$'!N337-1</f>
        <v>#DIV/0!</v>
      </c>
      <c r="P403" s="105" t="e">
        <f>'Final Data-US$'!P337/'Final Data-US$'!O337-1</f>
        <v>#DIV/0!</v>
      </c>
      <c r="Q403" s="105" t="e">
        <f>'Final Data-US$'!Q337/'Final Data-US$'!P337-1</f>
        <v>#DIV/0!</v>
      </c>
      <c r="R403" s="105" t="e">
        <f>'Final Data-US$'!R337/'Final Data-US$'!Q337-1</f>
        <v>#DIV/0!</v>
      </c>
      <c r="S403" s="105" t="e">
        <f>'Final Data-US$'!S337/'Final Data-US$'!R337-1</f>
        <v>#DIV/0!</v>
      </c>
      <c r="T403" s="105" t="e">
        <f>'Final Data-US$'!T337/'Final Data-US$'!S337-1</f>
        <v>#DIV/0!</v>
      </c>
      <c r="U403" s="105" t="e">
        <f>'Final Data-US$'!U337/'Final Data-US$'!T337-1</f>
        <v>#DIV/0!</v>
      </c>
      <c r="V403" s="105" t="e">
        <f>'Final Data-US$'!V337/'Final Data-US$'!U337-1</f>
        <v>#DIV/0!</v>
      </c>
      <c r="W403" s="102" t="e">
        <f>'Final Data-US$'!W337</f>
        <v>#DIV/0!</v>
      </c>
      <c r="X403" s="102" t="e">
        <f>'Final Data-US$'!X337</f>
        <v>#DIV/0!</v>
      </c>
    </row>
    <row r="404" spans="1:24">
      <c r="A404" s="46" t="str">
        <f>'Secondary cum Calculation'!A736</f>
        <v>Poland</v>
      </c>
      <c r="B404" s="47" t="str">
        <f>'Secondary cum Calculation'!B736</f>
        <v>Tourism Flows</v>
      </c>
      <c r="C404" s="47" t="str">
        <f>'Secondary cum Calculation'!C736</f>
        <v>International Departures by Destination</v>
      </c>
      <c r="D404" s="47" t="str">
        <f>'Secondary cum Calculation'!D736</f>
        <v>Asia-Pacific</v>
      </c>
      <c r="E404" s="46" t="str">
        <f>'Secondary cum Calculation'!E736</f>
        <v>China</v>
      </c>
      <c r="F404" s="48" t="str">
        <f>'Secondary cum Calculation'!F736</f>
        <v>The number of international departures from a country to China</v>
      </c>
      <c r="G404" s="48" t="str">
        <f>'Secondary cum Calculation'!G736</f>
        <v>Tourism Demand &amp; Flows Database</v>
      </c>
      <c r="H404" s="48" t="str">
        <f>'Secondary cum Calculation'!H736</f>
        <v>New</v>
      </c>
      <c r="I404" s="48">
        <f>'Secondary cum Calculation'!I736</f>
        <v>0</v>
      </c>
      <c r="J404" s="48" t="str">
        <f>'Secondary cum Calculation'!J736</f>
        <v>Thousand</v>
      </c>
      <c r="K404" s="49">
        <f>'Secondary cum Calculation'!K736</f>
        <v>1327</v>
      </c>
      <c r="L404" s="53"/>
      <c r="M404" s="51" t="e">
        <f>'Final Data-US$'!M338/'Final Data-US$'!L338-1</f>
        <v>#DIV/0!</v>
      </c>
      <c r="N404" s="51" t="e">
        <f>'Final Data-US$'!N338/'Final Data-US$'!M338-1</f>
        <v>#DIV/0!</v>
      </c>
      <c r="O404" s="51" t="e">
        <f>'Final Data-US$'!O338/'Final Data-US$'!N338-1</f>
        <v>#DIV/0!</v>
      </c>
      <c r="P404" s="51" t="e">
        <f>'Final Data-US$'!P338/'Final Data-US$'!O338-1</f>
        <v>#DIV/0!</v>
      </c>
      <c r="Q404" s="51" t="e">
        <f>'Final Data-US$'!Q338/'Final Data-US$'!P338-1</f>
        <v>#DIV/0!</v>
      </c>
      <c r="R404" s="51" t="e">
        <f>'Final Data-US$'!R338/'Final Data-US$'!Q338-1</f>
        <v>#DIV/0!</v>
      </c>
      <c r="S404" s="51" t="e">
        <f>'Final Data-US$'!S338/'Final Data-US$'!R338-1</f>
        <v>#DIV/0!</v>
      </c>
      <c r="T404" s="51" t="e">
        <f>'Final Data-US$'!T338/'Final Data-US$'!S338-1</f>
        <v>#DIV/0!</v>
      </c>
      <c r="U404" s="51" t="e">
        <f>'Final Data-US$'!U338/'Final Data-US$'!T338-1</f>
        <v>#DIV/0!</v>
      </c>
      <c r="V404" s="51" t="e">
        <f>'Final Data-US$'!V338/'Final Data-US$'!U338-1</f>
        <v>#DIV/0!</v>
      </c>
      <c r="W404" s="102" t="e">
        <f>'Final Data-US$'!W338</f>
        <v>#DIV/0!</v>
      </c>
      <c r="X404" s="102" t="e">
        <f>'Final Data-US$'!X338</f>
        <v>#DIV/0!</v>
      </c>
    </row>
    <row r="405" spans="1:24">
      <c r="A405" s="46" t="str">
        <f>'Secondary cum Calculation'!A738</f>
        <v>Poland</v>
      </c>
      <c r="B405" s="47" t="str">
        <f>'Secondary cum Calculation'!B738</f>
        <v>Tourism Flows</v>
      </c>
      <c r="C405" s="47" t="str">
        <f>'Secondary cum Calculation'!C738</f>
        <v>International Departures by Destination</v>
      </c>
      <c r="D405" s="47" t="str">
        <f>'Secondary cum Calculation'!D738</f>
        <v>Asia-Pacific</v>
      </c>
      <c r="E405" s="46" t="str">
        <f>'Secondary cum Calculation'!E738</f>
        <v>China, Hong Kong SAR</v>
      </c>
      <c r="F405" s="48" t="str">
        <f>'Secondary cum Calculation'!F738</f>
        <v>The number of international departures from a country to China, Hong Kong SAR</v>
      </c>
      <c r="G405" s="48" t="str">
        <f>'Secondary cum Calculation'!G738</f>
        <v>Tourism Demand &amp; Flows Database</v>
      </c>
      <c r="H405" s="48" t="str">
        <f>'Secondary cum Calculation'!H738</f>
        <v>New</v>
      </c>
      <c r="I405" s="48">
        <f>'Secondary cum Calculation'!I738</f>
        <v>0</v>
      </c>
      <c r="J405" s="48" t="str">
        <f>'Secondary cum Calculation'!J738</f>
        <v>Thousand</v>
      </c>
      <c r="K405" s="49">
        <f>'Secondary cum Calculation'!K738</f>
        <v>904</v>
      </c>
      <c r="L405" s="53"/>
      <c r="M405" s="51" t="e">
        <f>'Final Data-US$'!M339/'Final Data-US$'!L339-1</f>
        <v>#DIV/0!</v>
      </c>
      <c r="N405" s="51" t="e">
        <f>'Final Data-US$'!N339/'Final Data-US$'!M339-1</f>
        <v>#DIV/0!</v>
      </c>
      <c r="O405" s="51" t="e">
        <f>'Final Data-US$'!O339/'Final Data-US$'!N339-1</f>
        <v>#DIV/0!</v>
      </c>
      <c r="P405" s="51" t="e">
        <f>'Final Data-US$'!P339/'Final Data-US$'!O339-1</f>
        <v>#DIV/0!</v>
      </c>
      <c r="Q405" s="51" t="e">
        <f>'Final Data-US$'!Q339/'Final Data-US$'!P339-1</f>
        <v>#DIV/0!</v>
      </c>
      <c r="R405" s="51" t="e">
        <f>'Final Data-US$'!R339/'Final Data-US$'!Q339-1</f>
        <v>#DIV/0!</v>
      </c>
      <c r="S405" s="51" t="e">
        <f>'Final Data-US$'!S339/'Final Data-US$'!R339-1</f>
        <v>#DIV/0!</v>
      </c>
      <c r="T405" s="51" t="e">
        <f>'Final Data-US$'!T339/'Final Data-US$'!S339-1</f>
        <v>#DIV/0!</v>
      </c>
      <c r="U405" s="51" t="e">
        <f>'Final Data-US$'!U339/'Final Data-US$'!T339-1</f>
        <v>#DIV/0!</v>
      </c>
      <c r="V405" s="51" t="e">
        <f>'Final Data-US$'!V339/'Final Data-US$'!U339-1</f>
        <v>#DIV/0!</v>
      </c>
      <c r="W405" s="102" t="e">
        <f>'Final Data-US$'!W339</f>
        <v>#DIV/0!</v>
      </c>
      <c r="X405" s="102" t="e">
        <f>'Final Data-US$'!X339</f>
        <v>#DIV/0!</v>
      </c>
    </row>
    <row r="406" spans="1:24">
      <c r="A406" s="46" t="str">
        <f>'Secondary cum Calculation'!A740</f>
        <v>Poland</v>
      </c>
      <c r="B406" s="47" t="str">
        <f>'Secondary cum Calculation'!B740</f>
        <v>Tourism Flows</v>
      </c>
      <c r="C406" s="47" t="str">
        <f>'Secondary cum Calculation'!C740</f>
        <v>International Departures by Destination</v>
      </c>
      <c r="D406" s="47" t="str">
        <f>'Secondary cum Calculation'!D740</f>
        <v>Asia-Pacific</v>
      </c>
      <c r="E406" s="46" t="str">
        <f>'Secondary cum Calculation'!E740</f>
        <v>China, Macao SAR</v>
      </c>
      <c r="F406" s="48" t="str">
        <f>'Secondary cum Calculation'!F740</f>
        <v>The number of international departures from a country to China, Macao SAR</v>
      </c>
      <c r="G406" s="48" t="str">
        <f>'Secondary cum Calculation'!G740</f>
        <v>Tourism Demand &amp; Flows Database</v>
      </c>
      <c r="H406" s="48" t="str">
        <f>'Secondary cum Calculation'!H740</f>
        <v>New</v>
      </c>
      <c r="I406" s="48">
        <f>'Secondary cum Calculation'!I740</f>
        <v>0</v>
      </c>
      <c r="J406" s="48" t="str">
        <f>'Secondary cum Calculation'!J740</f>
        <v>Thousand</v>
      </c>
      <c r="K406" s="49">
        <f>'Secondary cum Calculation'!K740</f>
        <v>0</v>
      </c>
      <c r="L406" s="92"/>
      <c r="M406" s="104" t="e">
        <f>'Final Data-US$'!M340/'Final Data-US$'!L340-1</f>
        <v>#DIV/0!</v>
      </c>
      <c r="N406" s="104" t="e">
        <f>'Final Data-US$'!N340/'Final Data-US$'!M340-1</f>
        <v>#DIV/0!</v>
      </c>
      <c r="O406" s="103" t="e">
        <f>'Final Data-US$'!O340/'Final Data-US$'!N340-1</f>
        <v>#DIV/0!</v>
      </c>
      <c r="P406" s="103" t="e">
        <f>'Final Data-US$'!P340/'Final Data-US$'!O340-1</f>
        <v>#DIV/0!</v>
      </c>
      <c r="Q406" s="103" t="e">
        <f>'Final Data-US$'!Q340/'Final Data-US$'!P340-1</f>
        <v>#DIV/0!</v>
      </c>
      <c r="R406" s="103" t="e">
        <f>'Final Data-US$'!R340/'Final Data-US$'!Q340-1</f>
        <v>#DIV/0!</v>
      </c>
      <c r="S406" s="103" t="e">
        <f>'Final Data-US$'!S340/'Final Data-US$'!R340-1</f>
        <v>#DIV/0!</v>
      </c>
      <c r="T406" s="103" t="e">
        <f>'Final Data-US$'!T340/'Final Data-US$'!S340-1</f>
        <v>#DIV/0!</v>
      </c>
      <c r="U406" s="103" t="e">
        <f>'Final Data-US$'!U340/'Final Data-US$'!T340-1</f>
        <v>#DIV/0!</v>
      </c>
      <c r="V406" s="103" t="e">
        <f>'Final Data-US$'!V340/'Final Data-US$'!U340-1</f>
        <v>#DIV/0!</v>
      </c>
      <c r="W406" s="102" t="e">
        <f>'Final Data-US$'!W340</f>
        <v>#DIV/0!</v>
      </c>
      <c r="X406" s="102" t="e">
        <f>'Final Data-US$'!X340</f>
        <v>#DIV/0!</v>
      </c>
    </row>
    <row r="407" spans="1:24">
      <c r="A407" s="46" t="str">
        <f>'Secondary cum Calculation'!A742</f>
        <v>Poland</v>
      </c>
      <c r="B407" s="47" t="str">
        <f>'Secondary cum Calculation'!B742</f>
        <v>Tourism Flows</v>
      </c>
      <c r="C407" s="47" t="str">
        <f>'Secondary cum Calculation'!C742</f>
        <v>International Departures by Destination</v>
      </c>
      <c r="D407" s="47" t="str">
        <f>'Secondary cum Calculation'!D742</f>
        <v>Asia-Pacific</v>
      </c>
      <c r="E407" s="46" t="str">
        <f>'Secondary cum Calculation'!E742</f>
        <v>Dem. People's Rep. of Korea</v>
      </c>
      <c r="F407" s="48" t="str">
        <f>'Secondary cum Calculation'!F742</f>
        <v>The number of international departures from a country to Dem. People's Rep. of Korea</v>
      </c>
      <c r="G407" s="48" t="str">
        <f>'Secondary cum Calculation'!G742</f>
        <v>Tourism Demand &amp; Flows Database</v>
      </c>
      <c r="H407" s="48" t="str">
        <f>'Secondary cum Calculation'!H742</f>
        <v>New</v>
      </c>
      <c r="I407" s="48">
        <f>'Secondary cum Calculation'!I742</f>
        <v>0</v>
      </c>
      <c r="J407" s="48" t="str">
        <f>'Secondary cum Calculation'!J742</f>
        <v>Thousand</v>
      </c>
      <c r="K407" s="49">
        <f>'Secondary cum Calculation'!K742</f>
        <v>0</v>
      </c>
      <c r="L407" s="92"/>
      <c r="M407" s="104" t="e">
        <f>'Final Data-US$'!M341/'Final Data-US$'!L341-1</f>
        <v>#DIV/0!</v>
      </c>
      <c r="N407" s="104" t="e">
        <f>'Final Data-US$'!N341/'Final Data-US$'!M341-1</f>
        <v>#DIV/0!</v>
      </c>
      <c r="O407" s="51" t="e">
        <f>'Final Data-US$'!O341/'Final Data-US$'!N341-1</f>
        <v>#DIV/0!</v>
      </c>
      <c r="P407" s="51" t="e">
        <f>'Final Data-US$'!P341/'Final Data-US$'!O341-1</f>
        <v>#DIV/0!</v>
      </c>
      <c r="Q407" s="51" t="e">
        <f>'Final Data-US$'!Q341/'Final Data-US$'!P341-1</f>
        <v>#DIV/0!</v>
      </c>
      <c r="R407" s="51" t="e">
        <f>'Final Data-US$'!R341/'Final Data-US$'!Q341-1</f>
        <v>#DIV/0!</v>
      </c>
      <c r="S407" s="51" t="e">
        <f>'Final Data-US$'!S341/'Final Data-US$'!R341-1</f>
        <v>#DIV/0!</v>
      </c>
      <c r="T407" s="51" t="e">
        <f>'Final Data-US$'!T341/'Final Data-US$'!S341-1</f>
        <v>#DIV/0!</v>
      </c>
      <c r="U407" s="51" t="e">
        <f>'Final Data-US$'!U341/'Final Data-US$'!T341-1</f>
        <v>#DIV/0!</v>
      </c>
      <c r="V407" s="51" t="e">
        <f>'Final Data-US$'!V341/'Final Data-US$'!U341-1</f>
        <v>#DIV/0!</v>
      </c>
      <c r="W407" s="102" t="e">
        <f>'Final Data-US$'!W341</f>
        <v>#DIV/0!</v>
      </c>
      <c r="X407" s="102" t="e">
        <f>'Final Data-US$'!X341</f>
        <v>#DIV/0!</v>
      </c>
    </row>
    <row r="408" spans="1:24">
      <c r="A408" s="46" t="str">
        <f>'Secondary cum Calculation'!A744</f>
        <v>Poland</v>
      </c>
      <c r="B408" s="47" t="str">
        <f>'Secondary cum Calculation'!B744</f>
        <v>Tourism Flows</v>
      </c>
      <c r="C408" s="47" t="str">
        <f>'Secondary cum Calculation'!C744</f>
        <v>International Departures by Destination</v>
      </c>
      <c r="D408" s="47" t="str">
        <f>'Secondary cum Calculation'!D744</f>
        <v>Asia-Pacific</v>
      </c>
      <c r="E408" s="46" t="str">
        <f>'Secondary cum Calculation'!E744</f>
        <v>Fiji</v>
      </c>
      <c r="F408" s="48" t="str">
        <f>'Secondary cum Calculation'!F744</f>
        <v>The number of international departures from a country to Fiji</v>
      </c>
      <c r="G408" s="48" t="str">
        <f>'Secondary cum Calculation'!G744</f>
        <v>Tourism Demand &amp; Flows Database</v>
      </c>
      <c r="H408" s="48" t="str">
        <f>'Secondary cum Calculation'!H744</f>
        <v>New</v>
      </c>
      <c r="I408" s="48">
        <f>'Secondary cum Calculation'!I744</f>
        <v>0</v>
      </c>
      <c r="J408" s="48" t="str">
        <f>'Secondary cum Calculation'!J744</f>
        <v>Thousand</v>
      </c>
      <c r="K408" s="49">
        <f>'Secondary cum Calculation'!K744</f>
        <v>0</v>
      </c>
      <c r="L408" s="92"/>
      <c r="M408" s="104" t="e">
        <f>'Final Data-US$'!M342/'Final Data-US$'!L342-1</f>
        <v>#DIV/0!</v>
      </c>
      <c r="N408" s="104" t="e">
        <f>'Final Data-US$'!N342/'Final Data-US$'!M342-1</f>
        <v>#DIV/0!</v>
      </c>
      <c r="O408" s="51" t="e">
        <f>'Final Data-US$'!O342/'Final Data-US$'!N342-1</f>
        <v>#DIV/0!</v>
      </c>
      <c r="P408" s="51" t="e">
        <f>'Final Data-US$'!P342/'Final Data-US$'!O342-1</f>
        <v>#DIV/0!</v>
      </c>
      <c r="Q408" s="51" t="e">
        <f>'Final Data-US$'!Q342/'Final Data-US$'!P342-1</f>
        <v>#DIV/0!</v>
      </c>
      <c r="R408" s="51" t="e">
        <f>'Final Data-US$'!R342/'Final Data-US$'!Q342-1</f>
        <v>#DIV/0!</v>
      </c>
      <c r="S408" s="51" t="e">
        <f>'Final Data-US$'!S342/'Final Data-US$'!R342-1</f>
        <v>#DIV/0!</v>
      </c>
      <c r="T408" s="51" t="e">
        <f>'Final Data-US$'!T342/'Final Data-US$'!S342-1</f>
        <v>#DIV/0!</v>
      </c>
      <c r="U408" s="51" t="e">
        <f>'Final Data-US$'!U342/'Final Data-US$'!T342-1</f>
        <v>#DIV/0!</v>
      </c>
      <c r="V408" s="51" t="e">
        <f>'Final Data-US$'!V342/'Final Data-US$'!U342-1</f>
        <v>#DIV/0!</v>
      </c>
      <c r="W408" s="102" t="e">
        <f>'Final Data-US$'!W342</f>
        <v>#DIV/0!</v>
      </c>
      <c r="X408" s="102" t="e">
        <f>'Final Data-US$'!X342</f>
        <v>#DIV/0!</v>
      </c>
    </row>
    <row r="409" spans="1:24">
      <c r="A409" s="46" t="str">
        <f>'Secondary cum Calculation'!A746</f>
        <v>Poland</v>
      </c>
      <c r="B409" s="47" t="str">
        <f>'Secondary cum Calculation'!B746</f>
        <v>Tourism Flows</v>
      </c>
      <c r="C409" s="47" t="str">
        <f>'Secondary cum Calculation'!C746</f>
        <v>International Departures by Destination</v>
      </c>
      <c r="D409" s="47" t="str">
        <f>'Secondary cum Calculation'!D746</f>
        <v>Asia-Pacific</v>
      </c>
      <c r="E409" s="46" t="str">
        <f>'Secondary cum Calculation'!E746</f>
        <v>French Polynesia</v>
      </c>
      <c r="F409" s="48" t="str">
        <f>'Secondary cum Calculation'!F746</f>
        <v>The number of international departures from a country to French Polynesia</v>
      </c>
      <c r="G409" s="48" t="str">
        <f>'Secondary cum Calculation'!G746</f>
        <v>Tourism Demand &amp; Flows Database</v>
      </c>
      <c r="H409" s="48" t="str">
        <f>'Secondary cum Calculation'!H746</f>
        <v>New</v>
      </c>
      <c r="I409" s="48">
        <f>'Secondary cum Calculation'!I746</f>
        <v>0</v>
      </c>
      <c r="J409" s="48" t="str">
        <f>'Secondary cum Calculation'!J746</f>
        <v>Thousand</v>
      </c>
      <c r="K409" s="49">
        <f>'Secondary cum Calculation'!K746</f>
        <v>0</v>
      </c>
      <c r="L409" s="92"/>
      <c r="M409" s="104" t="e">
        <f>'Final Data-US$'!M343/'Final Data-US$'!L343-1</f>
        <v>#DIV/0!</v>
      </c>
      <c r="N409" s="104" t="e">
        <f>'Final Data-US$'!N343/'Final Data-US$'!M343-1</f>
        <v>#DIV/0!</v>
      </c>
      <c r="O409" s="51" t="e">
        <f>'Final Data-US$'!O343/'Final Data-US$'!N343-1</f>
        <v>#DIV/0!</v>
      </c>
      <c r="P409" s="51" t="e">
        <f>'Final Data-US$'!P343/'Final Data-US$'!O343-1</f>
        <v>#DIV/0!</v>
      </c>
      <c r="Q409" s="51" t="e">
        <f>'Final Data-US$'!Q343/'Final Data-US$'!P343-1</f>
        <v>#DIV/0!</v>
      </c>
      <c r="R409" s="51" t="e">
        <f>'Final Data-US$'!R343/'Final Data-US$'!Q343-1</f>
        <v>#DIV/0!</v>
      </c>
      <c r="S409" s="51" t="e">
        <f>'Final Data-US$'!S343/'Final Data-US$'!R343-1</f>
        <v>#DIV/0!</v>
      </c>
      <c r="T409" s="51" t="e">
        <f>'Final Data-US$'!T343/'Final Data-US$'!S343-1</f>
        <v>#DIV/0!</v>
      </c>
      <c r="U409" s="51" t="e">
        <f>'Final Data-US$'!U343/'Final Data-US$'!T343-1</f>
        <v>#DIV/0!</v>
      </c>
      <c r="V409" s="51" t="e">
        <f>'Final Data-US$'!V343/'Final Data-US$'!U343-1</f>
        <v>#DIV/0!</v>
      </c>
      <c r="W409" s="102" t="e">
        <f>'Final Data-US$'!W343</f>
        <v>#DIV/0!</v>
      </c>
      <c r="X409" s="102" t="e">
        <f>'Final Data-US$'!X343</f>
        <v>#DIV/0!</v>
      </c>
    </row>
    <row r="410" spans="1:24">
      <c r="A410" s="46" t="str">
        <f>'Secondary cum Calculation'!A748</f>
        <v>Poland</v>
      </c>
      <c r="B410" s="47" t="str">
        <f>'Secondary cum Calculation'!B748</f>
        <v>Tourism Flows</v>
      </c>
      <c r="C410" s="47" t="str">
        <f>'Secondary cum Calculation'!C748</f>
        <v>International Departures by Destination</v>
      </c>
      <c r="D410" s="47" t="str">
        <f>'Secondary cum Calculation'!D748</f>
        <v>Asia-Pacific</v>
      </c>
      <c r="E410" s="46" t="str">
        <f>'Secondary cum Calculation'!E748</f>
        <v>Guam</v>
      </c>
      <c r="F410" s="48" t="str">
        <f>'Secondary cum Calculation'!F748</f>
        <v>The number of international departures from a country to Guam</v>
      </c>
      <c r="G410" s="48" t="str">
        <f>'Secondary cum Calculation'!G748</f>
        <v>Tourism Demand &amp; Flows Database</v>
      </c>
      <c r="H410" s="48" t="str">
        <f>'Secondary cum Calculation'!H748</f>
        <v>New</v>
      </c>
      <c r="I410" s="48">
        <f>'Secondary cum Calculation'!I748</f>
        <v>0</v>
      </c>
      <c r="J410" s="48" t="str">
        <f>'Secondary cum Calculation'!J748</f>
        <v>Thousand</v>
      </c>
      <c r="K410" s="49">
        <f>'Secondary cum Calculation'!K748</f>
        <v>0</v>
      </c>
      <c r="L410" s="92"/>
      <c r="M410" s="104" t="e">
        <f>'Final Data-US$'!M344/'Final Data-US$'!L344-1</f>
        <v>#DIV/0!</v>
      </c>
      <c r="N410" s="104" t="e">
        <f>'Final Data-US$'!N344/'Final Data-US$'!M344-1</f>
        <v>#DIV/0!</v>
      </c>
      <c r="O410" s="105" t="e">
        <f>'Final Data-US$'!O344/'Final Data-US$'!N344-1</f>
        <v>#DIV/0!</v>
      </c>
      <c r="P410" s="105" t="e">
        <f>'Final Data-US$'!P344/'Final Data-US$'!O344-1</f>
        <v>#DIV/0!</v>
      </c>
      <c r="Q410" s="105" t="e">
        <f>'Final Data-US$'!Q344/'Final Data-US$'!P344-1</f>
        <v>#DIV/0!</v>
      </c>
      <c r="R410" s="105" t="e">
        <f>'Final Data-US$'!R344/'Final Data-US$'!Q344-1</f>
        <v>#DIV/0!</v>
      </c>
      <c r="S410" s="105" t="e">
        <f>'Final Data-US$'!S344/'Final Data-US$'!R344-1</f>
        <v>#DIV/0!</v>
      </c>
      <c r="T410" s="105" t="e">
        <f>'Final Data-US$'!T344/'Final Data-US$'!S344-1</f>
        <v>#DIV/0!</v>
      </c>
      <c r="U410" s="105" t="e">
        <f>'Final Data-US$'!U344/'Final Data-US$'!T344-1</f>
        <v>#DIV/0!</v>
      </c>
      <c r="V410" s="105" t="e">
        <f>'Final Data-US$'!V344/'Final Data-US$'!U344-1</f>
        <v>#DIV/0!</v>
      </c>
      <c r="W410" s="102" t="e">
        <f>'Final Data-US$'!W344</f>
        <v>#DIV/0!</v>
      </c>
      <c r="X410" s="102" t="e">
        <f>'Final Data-US$'!X344</f>
        <v>#DIV/0!</v>
      </c>
    </row>
    <row r="411" spans="1:24">
      <c r="A411" s="46" t="str">
        <f>'Secondary cum Calculation'!A750</f>
        <v>Poland</v>
      </c>
      <c r="B411" s="47" t="str">
        <f>'Secondary cum Calculation'!B750</f>
        <v>Tourism Flows</v>
      </c>
      <c r="C411" s="47" t="str">
        <f>'Secondary cum Calculation'!C750</f>
        <v>International Departures by Destination</v>
      </c>
      <c r="D411" s="47" t="str">
        <f>'Secondary cum Calculation'!D750</f>
        <v>Asia-Pacific</v>
      </c>
      <c r="E411" s="46" t="str">
        <f>'Secondary cum Calculation'!E750</f>
        <v>India</v>
      </c>
      <c r="F411" s="48" t="str">
        <f>'Secondary cum Calculation'!F750</f>
        <v>The number of international departures from a country to India</v>
      </c>
      <c r="G411" s="48" t="str">
        <f>'Secondary cum Calculation'!G750</f>
        <v>Tourism Demand &amp; Flows Database</v>
      </c>
      <c r="H411" s="48" t="str">
        <f>'Secondary cum Calculation'!H750</f>
        <v>New</v>
      </c>
      <c r="I411" s="48">
        <f>'Secondary cum Calculation'!I750</f>
        <v>0</v>
      </c>
      <c r="J411" s="48" t="str">
        <f>'Secondary cum Calculation'!J750</f>
        <v>Thousand</v>
      </c>
      <c r="K411" s="49">
        <f>'Secondary cum Calculation'!K750</f>
        <v>904</v>
      </c>
      <c r="L411" s="53"/>
      <c r="M411" s="51" t="e">
        <f>'Final Data-US$'!M345/'Final Data-US$'!L345-1</f>
        <v>#DIV/0!</v>
      </c>
      <c r="N411" s="51" t="e">
        <f>'Final Data-US$'!N345/'Final Data-US$'!M345-1</f>
        <v>#DIV/0!</v>
      </c>
      <c r="O411" s="51" t="e">
        <f>'Final Data-US$'!O345/'Final Data-US$'!N345-1</f>
        <v>#DIV/0!</v>
      </c>
      <c r="P411" s="51" t="e">
        <f>'Final Data-US$'!P345/'Final Data-US$'!O345-1</f>
        <v>#DIV/0!</v>
      </c>
      <c r="Q411" s="51" t="e">
        <f>'Final Data-US$'!Q345/'Final Data-US$'!P345-1</f>
        <v>#DIV/0!</v>
      </c>
      <c r="R411" s="51" t="e">
        <f>'Final Data-US$'!R345/'Final Data-US$'!Q345-1</f>
        <v>#DIV/0!</v>
      </c>
      <c r="S411" s="51" t="e">
        <f>'Final Data-US$'!S345/'Final Data-US$'!R345-1</f>
        <v>#DIV/0!</v>
      </c>
      <c r="T411" s="51" t="e">
        <f>'Final Data-US$'!T345/'Final Data-US$'!S345-1</f>
        <v>#DIV/0!</v>
      </c>
      <c r="U411" s="51" t="e">
        <f>'Final Data-US$'!U345/'Final Data-US$'!T345-1</f>
        <v>#DIV/0!</v>
      </c>
      <c r="V411" s="51" t="e">
        <f>'Final Data-US$'!V345/'Final Data-US$'!U345-1</f>
        <v>#DIV/0!</v>
      </c>
      <c r="W411" s="102" t="e">
        <f>'Final Data-US$'!W345</f>
        <v>#DIV/0!</v>
      </c>
      <c r="X411" s="102" t="e">
        <f>'Final Data-US$'!X345</f>
        <v>#DIV/0!</v>
      </c>
    </row>
    <row r="412" spans="1:24">
      <c r="A412" s="46" t="str">
        <f>'Secondary cum Calculation'!A752</f>
        <v>Poland</v>
      </c>
      <c r="B412" s="47" t="str">
        <f>'Secondary cum Calculation'!B752</f>
        <v>Tourism Flows</v>
      </c>
      <c r="C412" s="47" t="str">
        <f>'Secondary cum Calculation'!C752</f>
        <v>International Departures by Destination</v>
      </c>
      <c r="D412" s="47" t="str">
        <f>'Secondary cum Calculation'!D752</f>
        <v>Asia-Pacific</v>
      </c>
      <c r="E412" s="46" t="str">
        <f>'Secondary cum Calculation'!E752</f>
        <v>Indonesia</v>
      </c>
      <c r="F412" s="48" t="str">
        <f>'Secondary cum Calculation'!F752</f>
        <v>The number of international departures from a country to Indonesia</v>
      </c>
      <c r="G412" s="48" t="str">
        <f>'Secondary cum Calculation'!G752</f>
        <v>Tourism Demand &amp; Flows Database</v>
      </c>
      <c r="H412" s="48" t="str">
        <f>'Secondary cum Calculation'!H752</f>
        <v>New</v>
      </c>
      <c r="I412" s="48">
        <f>'Secondary cum Calculation'!I752</f>
        <v>0</v>
      </c>
      <c r="J412" s="48" t="str">
        <f>'Secondary cum Calculation'!J752</f>
        <v>Thousand</v>
      </c>
      <c r="K412" s="49">
        <f>'Secondary cum Calculation'!K752</f>
        <v>0</v>
      </c>
      <c r="L412" s="92"/>
      <c r="M412" s="104" t="e">
        <f>'Final Data-US$'!M346/'Final Data-US$'!L346-1</f>
        <v>#DIV/0!</v>
      </c>
      <c r="N412" s="104" t="e">
        <f>'Final Data-US$'!N346/'Final Data-US$'!M346-1</f>
        <v>#DIV/0!</v>
      </c>
      <c r="O412" s="51" t="e">
        <f>'Final Data-US$'!O346/'Final Data-US$'!N346-1</f>
        <v>#DIV/0!</v>
      </c>
      <c r="P412" s="51" t="e">
        <f>'Final Data-US$'!P346/'Final Data-US$'!O346-1</f>
        <v>#DIV/0!</v>
      </c>
      <c r="Q412" s="51" t="e">
        <f>'Final Data-US$'!Q346/'Final Data-US$'!P346-1</f>
        <v>#DIV/0!</v>
      </c>
      <c r="R412" s="51" t="e">
        <f>'Final Data-US$'!R346/'Final Data-US$'!Q346-1</f>
        <v>#DIV/0!</v>
      </c>
      <c r="S412" s="51" t="e">
        <f>'Final Data-US$'!S346/'Final Data-US$'!R346-1</f>
        <v>#DIV/0!</v>
      </c>
      <c r="T412" s="51" t="e">
        <f>'Final Data-US$'!T346/'Final Data-US$'!S346-1</f>
        <v>#DIV/0!</v>
      </c>
      <c r="U412" s="51" t="e">
        <f>'Final Data-US$'!U346/'Final Data-US$'!T346-1</f>
        <v>#DIV/0!</v>
      </c>
      <c r="V412" s="51" t="e">
        <f>'Final Data-US$'!V346/'Final Data-US$'!U346-1</f>
        <v>#DIV/0!</v>
      </c>
      <c r="W412" s="102" t="e">
        <f>'Final Data-US$'!W346</f>
        <v>#DIV/0!</v>
      </c>
      <c r="X412" s="102" t="e">
        <f>'Final Data-US$'!X346</f>
        <v>#DIV/0!</v>
      </c>
    </row>
    <row r="413" spans="1:24">
      <c r="A413" s="46" t="str">
        <f>'Secondary cum Calculation'!A754</f>
        <v>Poland</v>
      </c>
      <c r="B413" s="47" t="str">
        <f>'Secondary cum Calculation'!B754</f>
        <v>Tourism Flows</v>
      </c>
      <c r="C413" s="47" t="str">
        <f>'Secondary cum Calculation'!C754</f>
        <v>International Departures by Destination</v>
      </c>
      <c r="D413" s="47" t="str">
        <f>'Secondary cum Calculation'!D754</f>
        <v>Asia-Pacific</v>
      </c>
      <c r="E413" s="46" t="str">
        <f>'Secondary cum Calculation'!E754</f>
        <v>Japan</v>
      </c>
      <c r="F413" s="48" t="str">
        <f>'Secondary cum Calculation'!F754</f>
        <v>The number of international departures from a country to Japan</v>
      </c>
      <c r="G413" s="48" t="str">
        <f>'Secondary cum Calculation'!G754</f>
        <v>Tourism Demand &amp; Flows Database</v>
      </c>
      <c r="H413" s="48" t="str">
        <f>'Secondary cum Calculation'!H754</f>
        <v>New</v>
      </c>
      <c r="I413" s="48">
        <f>'Secondary cum Calculation'!I754</f>
        <v>0</v>
      </c>
      <c r="J413" s="48" t="str">
        <f>'Secondary cum Calculation'!J754</f>
        <v>Thousand</v>
      </c>
      <c r="K413" s="49">
        <f>'Secondary cum Calculation'!K754</f>
        <v>1538</v>
      </c>
      <c r="L413" s="53"/>
      <c r="M413" s="51" t="e">
        <f>'Final Data-US$'!M347/'Final Data-US$'!L347-1</f>
        <v>#DIV/0!</v>
      </c>
      <c r="N413" s="51" t="e">
        <f>'Final Data-US$'!N347/'Final Data-US$'!M347-1</f>
        <v>#DIV/0!</v>
      </c>
      <c r="O413" s="51" t="e">
        <f>'Final Data-US$'!O347/'Final Data-US$'!N347-1</f>
        <v>#DIV/0!</v>
      </c>
      <c r="P413" s="51" t="e">
        <f>'Final Data-US$'!P347/'Final Data-US$'!O347-1</f>
        <v>#DIV/0!</v>
      </c>
      <c r="Q413" s="51" t="e">
        <f>'Final Data-US$'!Q347/'Final Data-US$'!P347-1</f>
        <v>#DIV/0!</v>
      </c>
      <c r="R413" s="51" t="e">
        <f>'Final Data-US$'!R347/'Final Data-US$'!Q347-1</f>
        <v>#DIV/0!</v>
      </c>
      <c r="S413" s="51" t="e">
        <f>'Final Data-US$'!S347/'Final Data-US$'!R347-1</f>
        <v>#DIV/0!</v>
      </c>
      <c r="T413" s="51" t="e">
        <f>'Final Data-US$'!T347/'Final Data-US$'!S347-1</f>
        <v>#DIV/0!</v>
      </c>
      <c r="U413" s="51" t="e">
        <f>'Final Data-US$'!U347/'Final Data-US$'!T347-1</f>
        <v>#DIV/0!</v>
      </c>
      <c r="V413" s="51" t="e">
        <f>'Final Data-US$'!V347/'Final Data-US$'!U347-1</f>
        <v>#DIV/0!</v>
      </c>
      <c r="W413" s="102" t="e">
        <f>'Final Data-US$'!W347</f>
        <v>#DIV/0!</v>
      </c>
      <c r="X413" s="102" t="e">
        <f>'Final Data-US$'!X347</f>
        <v>#DIV/0!</v>
      </c>
    </row>
    <row r="414" spans="1:24">
      <c r="A414" s="46" t="str">
        <f>'Secondary cum Calculation'!A756</f>
        <v>Poland</v>
      </c>
      <c r="B414" s="47" t="str">
        <f>'Secondary cum Calculation'!B756</f>
        <v>Tourism Flows</v>
      </c>
      <c r="C414" s="47" t="str">
        <f>'Secondary cum Calculation'!C756</f>
        <v>International Departures by Destination</v>
      </c>
      <c r="D414" s="47" t="str">
        <f>'Secondary cum Calculation'!D756</f>
        <v>Asia-Pacific</v>
      </c>
      <c r="E414" s="46" t="str">
        <f>'Secondary cum Calculation'!E756</f>
        <v>Kazakhstan</v>
      </c>
      <c r="F414" s="48" t="str">
        <f>'Secondary cum Calculation'!F756</f>
        <v>The number of international departures from a country to Kazakhstan</v>
      </c>
      <c r="G414" s="48" t="str">
        <f>'Secondary cum Calculation'!G756</f>
        <v>Tourism Demand &amp; Flows Database</v>
      </c>
      <c r="H414" s="48" t="str">
        <f>'Secondary cum Calculation'!H756</f>
        <v>New</v>
      </c>
      <c r="I414" s="48">
        <f>'Secondary cum Calculation'!I756</f>
        <v>0</v>
      </c>
      <c r="J414" s="48" t="str">
        <f>'Secondary cum Calculation'!J756</f>
        <v>Thousand</v>
      </c>
      <c r="K414" s="49">
        <f>'Secondary cum Calculation'!K756</f>
        <v>0</v>
      </c>
      <c r="L414" s="92"/>
      <c r="M414" s="104" t="e">
        <f>'Final Data-US$'!M348/'Final Data-US$'!L348-1</f>
        <v>#DIV/0!</v>
      </c>
      <c r="N414" s="104" t="e">
        <f>'Final Data-US$'!N348/'Final Data-US$'!M348-1</f>
        <v>#DIV/0!</v>
      </c>
      <c r="O414" s="103" t="e">
        <f>'Final Data-US$'!O348/'Final Data-US$'!N348-1</f>
        <v>#DIV/0!</v>
      </c>
      <c r="P414" s="103" t="e">
        <f>'Final Data-US$'!P348/'Final Data-US$'!O348-1</f>
        <v>#DIV/0!</v>
      </c>
      <c r="Q414" s="103" t="e">
        <f>'Final Data-US$'!Q348/'Final Data-US$'!P348-1</f>
        <v>#DIV/0!</v>
      </c>
      <c r="R414" s="103" t="e">
        <f>'Final Data-US$'!R348/'Final Data-US$'!Q348-1</f>
        <v>#DIV/0!</v>
      </c>
      <c r="S414" s="103" t="e">
        <f>'Final Data-US$'!S348/'Final Data-US$'!R348-1</f>
        <v>#DIV/0!</v>
      </c>
      <c r="T414" s="103" t="e">
        <f>'Final Data-US$'!T348/'Final Data-US$'!S348-1</f>
        <v>#DIV/0!</v>
      </c>
      <c r="U414" s="103" t="e">
        <f>'Final Data-US$'!U348/'Final Data-US$'!T348-1</f>
        <v>#DIV/0!</v>
      </c>
      <c r="V414" s="103" t="e">
        <f>'Final Data-US$'!V348/'Final Data-US$'!U348-1</f>
        <v>#DIV/0!</v>
      </c>
      <c r="W414" s="102" t="e">
        <f>'Final Data-US$'!W348</f>
        <v>#DIV/0!</v>
      </c>
      <c r="X414" s="102" t="e">
        <f>'Final Data-US$'!X348</f>
        <v>#DIV/0!</v>
      </c>
    </row>
    <row r="415" spans="1:24">
      <c r="A415" s="46" t="str">
        <f>'Secondary cum Calculation'!A758</f>
        <v>Poland</v>
      </c>
      <c r="B415" s="47" t="str">
        <f>'Secondary cum Calculation'!B758</f>
        <v>Tourism Flows</v>
      </c>
      <c r="C415" s="47" t="str">
        <f>'Secondary cum Calculation'!C758</f>
        <v>International Departures by Destination</v>
      </c>
      <c r="D415" s="47" t="str">
        <f>'Secondary cum Calculation'!D758</f>
        <v>Asia-Pacific</v>
      </c>
      <c r="E415" s="46" t="str">
        <f>'Secondary cum Calculation'!E758</f>
        <v>Kyrgyzstan</v>
      </c>
      <c r="F415" s="48" t="str">
        <f>'Secondary cum Calculation'!F758</f>
        <v>The number of international departures from a country to Kyrgyzstan</v>
      </c>
      <c r="G415" s="48" t="str">
        <f>'Secondary cum Calculation'!G758</f>
        <v>Tourism Demand &amp; Flows Database</v>
      </c>
      <c r="H415" s="48" t="str">
        <f>'Secondary cum Calculation'!H758</f>
        <v>New</v>
      </c>
      <c r="I415" s="48">
        <f>'Secondary cum Calculation'!I758</f>
        <v>0</v>
      </c>
      <c r="J415" s="48" t="str">
        <f>'Secondary cum Calculation'!J758</f>
        <v>Thousand</v>
      </c>
      <c r="K415" s="49">
        <f>'Secondary cum Calculation'!K758</f>
        <v>0</v>
      </c>
      <c r="L415" s="92"/>
      <c r="M415" s="104" t="e">
        <f>'Final Data-US$'!M349/'Final Data-US$'!L349-1</f>
        <v>#DIV/0!</v>
      </c>
      <c r="N415" s="104" t="e">
        <f>'Final Data-US$'!N349/'Final Data-US$'!M349-1</f>
        <v>#DIV/0!</v>
      </c>
      <c r="O415" s="51" t="e">
        <f>'Final Data-US$'!O349/'Final Data-US$'!N349-1</f>
        <v>#DIV/0!</v>
      </c>
      <c r="P415" s="51" t="e">
        <f>'Final Data-US$'!P349/'Final Data-US$'!O349-1</f>
        <v>#DIV/0!</v>
      </c>
      <c r="Q415" s="51" t="e">
        <f>'Final Data-US$'!Q349/'Final Data-US$'!P349-1</f>
        <v>#DIV/0!</v>
      </c>
      <c r="R415" s="51" t="e">
        <f>'Final Data-US$'!R349/'Final Data-US$'!Q349-1</f>
        <v>#DIV/0!</v>
      </c>
      <c r="S415" s="51" t="e">
        <f>'Final Data-US$'!S349/'Final Data-US$'!R349-1</f>
        <v>#DIV/0!</v>
      </c>
      <c r="T415" s="51" t="e">
        <f>'Final Data-US$'!T349/'Final Data-US$'!S349-1</f>
        <v>#DIV/0!</v>
      </c>
      <c r="U415" s="51" t="e">
        <f>'Final Data-US$'!U349/'Final Data-US$'!T349-1</f>
        <v>#DIV/0!</v>
      </c>
      <c r="V415" s="51" t="e">
        <f>'Final Data-US$'!V349/'Final Data-US$'!U349-1</f>
        <v>#DIV/0!</v>
      </c>
      <c r="W415" s="102" t="e">
        <f>'Final Data-US$'!W349</f>
        <v>#DIV/0!</v>
      </c>
      <c r="X415" s="102" t="e">
        <f>'Final Data-US$'!X349</f>
        <v>#DIV/0!</v>
      </c>
    </row>
    <row r="416" spans="1:24">
      <c r="A416" s="46" t="str">
        <f>'Secondary cum Calculation'!A760</f>
        <v>Poland</v>
      </c>
      <c r="B416" s="47" t="str">
        <f>'Secondary cum Calculation'!B760</f>
        <v>Tourism Flows</v>
      </c>
      <c r="C416" s="47" t="str">
        <f>'Secondary cum Calculation'!C760</f>
        <v>International Departures by Destination</v>
      </c>
      <c r="D416" s="47" t="str">
        <f>'Secondary cum Calculation'!D760</f>
        <v>Asia-Pacific</v>
      </c>
      <c r="E416" s="46" t="str">
        <f>'Secondary cum Calculation'!E760</f>
        <v>Lao People's Dem. Republic</v>
      </c>
      <c r="F416" s="48" t="str">
        <f>'Secondary cum Calculation'!F760</f>
        <v>The number of international departures from a country to Lao People's Dem. Republic</v>
      </c>
      <c r="G416" s="48" t="str">
        <f>'Secondary cum Calculation'!G760</f>
        <v>Tourism Demand &amp; Flows Database</v>
      </c>
      <c r="H416" s="48" t="str">
        <f>'Secondary cum Calculation'!H760</f>
        <v>New</v>
      </c>
      <c r="I416" s="48">
        <f>'Secondary cum Calculation'!I760</f>
        <v>0</v>
      </c>
      <c r="J416" s="48" t="str">
        <f>'Secondary cum Calculation'!J760</f>
        <v>Thousand</v>
      </c>
      <c r="K416" s="49">
        <f>'Secondary cum Calculation'!K760</f>
        <v>0</v>
      </c>
      <c r="L416" s="92"/>
      <c r="M416" s="104" t="e">
        <f>'Final Data-US$'!M350/'Final Data-US$'!L350-1</f>
        <v>#DIV/0!</v>
      </c>
      <c r="N416" s="104" t="e">
        <f>'Final Data-US$'!N350/'Final Data-US$'!M350-1</f>
        <v>#DIV/0!</v>
      </c>
      <c r="O416" s="51" t="e">
        <f>'Final Data-US$'!O350/'Final Data-US$'!N350-1</f>
        <v>#DIV/0!</v>
      </c>
      <c r="P416" s="51" t="e">
        <f>'Final Data-US$'!P350/'Final Data-US$'!O350-1</f>
        <v>#DIV/0!</v>
      </c>
      <c r="Q416" s="51" t="e">
        <f>'Final Data-US$'!Q350/'Final Data-US$'!P350-1</f>
        <v>#DIV/0!</v>
      </c>
      <c r="R416" s="51" t="e">
        <f>'Final Data-US$'!R350/'Final Data-US$'!Q350-1</f>
        <v>#DIV/0!</v>
      </c>
      <c r="S416" s="51" t="e">
        <f>'Final Data-US$'!S350/'Final Data-US$'!R350-1</f>
        <v>#DIV/0!</v>
      </c>
      <c r="T416" s="51" t="e">
        <f>'Final Data-US$'!T350/'Final Data-US$'!S350-1</f>
        <v>#DIV/0!</v>
      </c>
      <c r="U416" s="51" t="e">
        <f>'Final Data-US$'!U350/'Final Data-US$'!T350-1</f>
        <v>#DIV/0!</v>
      </c>
      <c r="V416" s="51" t="e">
        <f>'Final Data-US$'!V350/'Final Data-US$'!U350-1</f>
        <v>#DIV/0!</v>
      </c>
      <c r="W416" s="102" t="e">
        <f>'Final Data-US$'!W350</f>
        <v>#DIV/0!</v>
      </c>
      <c r="X416" s="102" t="e">
        <f>'Final Data-US$'!X350</f>
        <v>#DIV/0!</v>
      </c>
    </row>
    <row r="417" spans="1:24">
      <c r="A417" s="46" t="str">
        <f>'Secondary cum Calculation'!A762</f>
        <v>Poland</v>
      </c>
      <c r="B417" s="47" t="str">
        <f>'Secondary cum Calculation'!B762</f>
        <v>Tourism Flows</v>
      </c>
      <c r="C417" s="47" t="str">
        <f>'Secondary cum Calculation'!C762</f>
        <v>International Departures by Destination</v>
      </c>
      <c r="D417" s="47" t="str">
        <f>'Secondary cum Calculation'!D762</f>
        <v>Asia-Pacific</v>
      </c>
      <c r="E417" s="46" t="str">
        <f>'Secondary cum Calculation'!E762</f>
        <v>Malaysia</v>
      </c>
      <c r="F417" s="48" t="str">
        <f>'Secondary cum Calculation'!F762</f>
        <v>The number of international departures from a country to Malaysia</v>
      </c>
      <c r="G417" s="48" t="str">
        <f>'Secondary cum Calculation'!G762</f>
        <v>Tourism Demand &amp; Flows Database</v>
      </c>
      <c r="H417" s="48" t="str">
        <f>'Secondary cum Calculation'!H762</f>
        <v>New</v>
      </c>
      <c r="I417" s="48">
        <f>'Secondary cum Calculation'!I762</f>
        <v>0</v>
      </c>
      <c r="J417" s="48" t="str">
        <f>'Secondary cum Calculation'!J762</f>
        <v>Thousand</v>
      </c>
      <c r="K417" s="49">
        <f>'Secondary cum Calculation'!K762</f>
        <v>121</v>
      </c>
      <c r="L417" s="53"/>
      <c r="M417" s="51" t="e">
        <f>'Final Data-US$'!M351/'Final Data-US$'!L351-1</f>
        <v>#DIV/0!</v>
      </c>
      <c r="N417" s="51" t="e">
        <f>'Final Data-US$'!N351/'Final Data-US$'!M351-1</f>
        <v>#DIV/0!</v>
      </c>
      <c r="O417" s="51" t="e">
        <f>'Final Data-US$'!O351/'Final Data-US$'!N351-1</f>
        <v>#DIV/0!</v>
      </c>
      <c r="P417" s="51" t="e">
        <f>'Final Data-US$'!P351/'Final Data-US$'!O351-1</f>
        <v>#DIV/0!</v>
      </c>
      <c r="Q417" s="51" t="e">
        <f>'Final Data-US$'!Q351/'Final Data-US$'!P351-1</f>
        <v>#DIV/0!</v>
      </c>
      <c r="R417" s="51" t="e">
        <f>'Final Data-US$'!R351/'Final Data-US$'!Q351-1</f>
        <v>#DIV/0!</v>
      </c>
      <c r="S417" s="51" t="e">
        <f>'Final Data-US$'!S351/'Final Data-US$'!R351-1</f>
        <v>#DIV/0!</v>
      </c>
      <c r="T417" s="51" t="e">
        <f>'Final Data-US$'!T351/'Final Data-US$'!S351-1</f>
        <v>#DIV/0!</v>
      </c>
      <c r="U417" s="51" t="e">
        <f>'Final Data-US$'!U351/'Final Data-US$'!T351-1</f>
        <v>#DIV/0!</v>
      </c>
      <c r="V417" s="51" t="e">
        <f>'Final Data-US$'!V351/'Final Data-US$'!U351-1</f>
        <v>#DIV/0!</v>
      </c>
      <c r="W417" s="102" t="e">
        <f>'Final Data-US$'!W351</f>
        <v>#DIV/0!</v>
      </c>
      <c r="X417" s="102" t="e">
        <f>'Final Data-US$'!X351</f>
        <v>#DIV/0!</v>
      </c>
    </row>
    <row r="418" spans="1:24">
      <c r="A418" s="46" t="str">
        <f>'Secondary cum Calculation'!A764</f>
        <v>Poland</v>
      </c>
      <c r="B418" s="47" t="str">
        <f>'Secondary cum Calculation'!B764</f>
        <v>Tourism Flows</v>
      </c>
      <c r="C418" s="47" t="str">
        <f>'Secondary cum Calculation'!C764</f>
        <v>International Departures by Destination</v>
      </c>
      <c r="D418" s="47" t="str">
        <f>'Secondary cum Calculation'!D764</f>
        <v>Asia-Pacific</v>
      </c>
      <c r="E418" s="46" t="str">
        <f>'Secondary cum Calculation'!E764</f>
        <v>Maldives</v>
      </c>
      <c r="F418" s="48" t="str">
        <f>'Secondary cum Calculation'!F764</f>
        <v>The number of international departures from a country to Maldives</v>
      </c>
      <c r="G418" s="48" t="str">
        <f>'Secondary cum Calculation'!G764</f>
        <v>Tourism Demand &amp; Flows Database</v>
      </c>
      <c r="H418" s="48" t="str">
        <f>'Secondary cum Calculation'!H764</f>
        <v>New</v>
      </c>
      <c r="I418" s="48">
        <f>'Secondary cum Calculation'!I764</f>
        <v>0</v>
      </c>
      <c r="J418" s="48" t="str">
        <f>'Secondary cum Calculation'!J764</f>
        <v>Thousand</v>
      </c>
      <c r="K418" s="49">
        <f>'Secondary cum Calculation'!K764</f>
        <v>0</v>
      </c>
      <c r="L418" s="92"/>
      <c r="M418" s="104" t="e">
        <f>'Final Data-US$'!M352/'Final Data-US$'!L352-1</f>
        <v>#DIV/0!</v>
      </c>
      <c r="N418" s="104" t="e">
        <f>'Final Data-US$'!N352/'Final Data-US$'!M352-1</f>
        <v>#DIV/0!</v>
      </c>
      <c r="O418" s="51" t="e">
        <f>'Final Data-US$'!O352/'Final Data-US$'!N352-1</f>
        <v>#DIV/0!</v>
      </c>
      <c r="P418" s="51" t="e">
        <f>'Final Data-US$'!P352/'Final Data-US$'!O352-1</f>
        <v>#DIV/0!</v>
      </c>
      <c r="Q418" s="51" t="e">
        <f>'Final Data-US$'!Q352/'Final Data-US$'!P352-1</f>
        <v>#DIV/0!</v>
      </c>
      <c r="R418" s="51" t="e">
        <f>'Final Data-US$'!R352/'Final Data-US$'!Q352-1</f>
        <v>#DIV/0!</v>
      </c>
      <c r="S418" s="51" t="e">
        <f>'Final Data-US$'!S352/'Final Data-US$'!R352-1</f>
        <v>#DIV/0!</v>
      </c>
      <c r="T418" s="51" t="e">
        <f>'Final Data-US$'!T352/'Final Data-US$'!S352-1</f>
        <v>#DIV/0!</v>
      </c>
      <c r="U418" s="51" t="e">
        <f>'Final Data-US$'!U352/'Final Data-US$'!T352-1</f>
        <v>#DIV/0!</v>
      </c>
      <c r="V418" s="51" t="e">
        <f>'Final Data-US$'!V352/'Final Data-US$'!U352-1</f>
        <v>#DIV/0!</v>
      </c>
      <c r="W418" s="102" t="e">
        <f>'Final Data-US$'!W352</f>
        <v>#DIV/0!</v>
      </c>
      <c r="X418" s="102" t="e">
        <f>'Final Data-US$'!X352</f>
        <v>#DIV/0!</v>
      </c>
    </row>
    <row r="419" spans="1:24">
      <c r="A419" s="46" t="str">
        <f>'Secondary cum Calculation'!A766</f>
        <v>Poland</v>
      </c>
      <c r="B419" s="47" t="str">
        <f>'Secondary cum Calculation'!B766</f>
        <v>Tourism Flows</v>
      </c>
      <c r="C419" s="47" t="str">
        <f>'Secondary cum Calculation'!C766</f>
        <v>International Departures by Destination</v>
      </c>
      <c r="D419" s="47" t="str">
        <f>'Secondary cum Calculation'!D766</f>
        <v>Asia-Pacific</v>
      </c>
      <c r="E419" s="46" t="str">
        <f>'Secondary cum Calculation'!E766</f>
        <v>Mauritius</v>
      </c>
      <c r="F419" s="48" t="str">
        <f>'Secondary cum Calculation'!F766</f>
        <v>The number of international departures from a country to Mauritius</v>
      </c>
      <c r="G419" s="48" t="str">
        <f>'Secondary cum Calculation'!G766</f>
        <v>Tourism Demand &amp; Flows Database</v>
      </c>
      <c r="H419" s="48" t="str">
        <f>'Secondary cum Calculation'!H766</f>
        <v>New</v>
      </c>
      <c r="I419" s="48">
        <f>'Secondary cum Calculation'!I766</f>
        <v>0</v>
      </c>
      <c r="J419" s="48" t="str">
        <f>'Secondary cum Calculation'!J766</f>
        <v>Thousand</v>
      </c>
      <c r="K419" s="49">
        <f>'Secondary cum Calculation'!K766</f>
        <v>0</v>
      </c>
      <c r="L419" s="92"/>
      <c r="M419" s="104" t="e">
        <f>'Final Data-US$'!M353/'Final Data-US$'!L353-1</f>
        <v>#DIV/0!</v>
      </c>
      <c r="N419" s="104" t="e">
        <f>'Final Data-US$'!N353/'Final Data-US$'!M353-1</f>
        <v>#DIV/0!</v>
      </c>
      <c r="O419" s="51" t="e">
        <f>'Final Data-US$'!O353/'Final Data-US$'!N353-1</f>
        <v>#DIV/0!</v>
      </c>
      <c r="P419" s="51" t="e">
        <f>'Final Data-US$'!P353/'Final Data-US$'!O353-1</f>
        <v>#DIV/0!</v>
      </c>
      <c r="Q419" s="51" t="e">
        <f>'Final Data-US$'!Q353/'Final Data-US$'!P353-1</f>
        <v>#DIV/0!</v>
      </c>
      <c r="R419" s="51" t="e">
        <f>'Final Data-US$'!R353/'Final Data-US$'!Q353-1</f>
        <v>#DIV/0!</v>
      </c>
      <c r="S419" s="51" t="e">
        <f>'Final Data-US$'!S353/'Final Data-US$'!R353-1</f>
        <v>#DIV/0!</v>
      </c>
      <c r="T419" s="51" t="e">
        <f>'Final Data-US$'!T353/'Final Data-US$'!S353-1</f>
        <v>#DIV/0!</v>
      </c>
      <c r="U419" s="51" t="e">
        <f>'Final Data-US$'!U353/'Final Data-US$'!T353-1</f>
        <v>#DIV/0!</v>
      </c>
      <c r="V419" s="51" t="e">
        <f>'Final Data-US$'!V353/'Final Data-US$'!U353-1</f>
        <v>#DIV/0!</v>
      </c>
      <c r="W419" s="102" t="e">
        <f>'Final Data-US$'!W353</f>
        <v>#DIV/0!</v>
      </c>
      <c r="X419" s="102" t="e">
        <f>'Final Data-US$'!X353</f>
        <v>#DIV/0!</v>
      </c>
    </row>
    <row r="420" spans="1:24">
      <c r="A420" s="46" t="str">
        <f>'Secondary cum Calculation'!A768</f>
        <v>Poland</v>
      </c>
      <c r="B420" s="47" t="str">
        <f>'Secondary cum Calculation'!B768</f>
        <v>Tourism Flows</v>
      </c>
      <c r="C420" s="47" t="str">
        <f>'Secondary cum Calculation'!C768</f>
        <v>International Departures by Destination</v>
      </c>
      <c r="D420" s="47" t="str">
        <f>'Secondary cum Calculation'!D768</f>
        <v>Asia-Pacific</v>
      </c>
      <c r="E420" s="46" t="str">
        <f>'Secondary cum Calculation'!E768</f>
        <v>Micronesia (Fed. States of)</v>
      </c>
      <c r="F420" s="48" t="str">
        <f>'Secondary cum Calculation'!F768</f>
        <v>The number of international departures from a country to Micronesia (Fed. States of)</v>
      </c>
      <c r="G420" s="48" t="str">
        <f>'Secondary cum Calculation'!G768</f>
        <v>Tourism Demand &amp; Flows Database</v>
      </c>
      <c r="H420" s="48" t="str">
        <f>'Secondary cum Calculation'!H768</f>
        <v>New</v>
      </c>
      <c r="I420" s="48">
        <f>'Secondary cum Calculation'!I768</f>
        <v>0</v>
      </c>
      <c r="J420" s="48" t="str">
        <f>'Secondary cum Calculation'!J768</f>
        <v>Thousand</v>
      </c>
      <c r="K420" s="49">
        <f>'Secondary cum Calculation'!K768</f>
        <v>0</v>
      </c>
      <c r="L420" s="92"/>
      <c r="M420" s="104" t="e">
        <f>'Final Data-US$'!M354/'Final Data-US$'!L354-1</f>
        <v>#DIV/0!</v>
      </c>
      <c r="N420" s="104" t="e">
        <f>'Final Data-US$'!N354/'Final Data-US$'!M354-1</f>
        <v>#DIV/0!</v>
      </c>
      <c r="O420" s="51" t="e">
        <f>'Final Data-US$'!O354/'Final Data-US$'!N354-1</f>
        <v>#DIV/0!</v>
      </c>
      <c r="P420" s="51" t="e">
        <f>'Final Data-US$'!P354/'Final Data-US$'!O354-1</f>
        <v>#DIV/0!</v>
      </c>
      <c r="Q420" s="51" t="e">
        <f>'Final Data-US$'!Q354/'Final Data-US$'!P354-1</f>
        <v>#DIV/0!</v>
      </c>
      <c r="R420" s="51" t="e">
        <f>'Final Data-US$'!R354/'Final Data-US$'!Q354-1</f>
        <v>#DIV/0!</v>
      </c>
      <c r="S420" s="51" t="e">
        <f>'Final Data-US$'!S354/'Final Data-US$'!R354-1</f>
        <v>#DIV/0!</v>
      </c>
      <c r="T420" s="51" t="e">
        <f>'Final Data-US$'!T354/'Final Data-US$'!S354-1</f>
        <v>#DIV/0!</v>
      </c>
      <c r="U420" s="51" t="e">
        <f>'Final Data-US$'!U354/'Final Data-US$'!T354-1</f>
        <v>#DIV/0!</v>
      </c>
      <c r="V420" s="51" t="e">
        <f>'Final Data-US$'!V354/'Final Data-US$'!U354-1</f>
        <v>#DIV/0!</v>
      </c>
      <c r="W420" s="102" t="e">
        <f>'Final Data-US$'!W354</f>
        <v>#DIV/0!</v>
      </c>
      <c r="X420" s="102" t="e">
        <f>'Final Data-US$'!X354</f>
        <v>#DIV/0!</v>
      </c>
    </row>
    <row r="421" spans="1:24">
      <c r="A421" s="46" t="str">
        <f>'Secondary cum Calculation'!A770</f>
        <v>Poland</v>
      </c>
      <c r="B421" s="47" t="str">
        <f>'Secondary cum Calculation'!B770</f>
        <v>Tourism Flows</v>
      </c>
      <c r="C421" s="47" t="str">
        <f>'Secondary cum Calculation'!C770</f>
        <v>International Departures by Destination</v>
      </c>
      <c r="D421" s="47" t="str">
        <f>'Secondary cum Calculation'!D770</f>
        <v>Asia-Pacific</v>
      </c>
      <c r="E421" s="46" t="str">
        <f>'Secondary cum Calculation'!E770</f>
        <v>Mongolia</v>
      </c>
      <c r="F421" s="48" t="str">
        <f>'Secondary cum Calculation'!F770</f>
        <v>The number of international departures from a country to Mongolia</v>
      </c>
      <c r="G421" s="48" t="str">
        <f>'Secondary cum Calculation'!G770</f>
        <v>Tourism Demand &amp; Flows Database</v>
      </c>
      <c r="H421" s="48" t="str">
        <f>'Secondary cum Calculation'!H770</f>
        <v>New</v>
      </c>
      <c r="I421" s="48">
        <f>'Secondary cum Calculation'!I770</f>
        <v>0</v>
      </c>
      <c r="J421" s="48" t="str">
        <f>'Secondary cum Calculation'!J770</f>
        <v>Thousand</v>
      </c>
      <c r="K421" s="49">
        <f>'Secondary cum Calculation'!K770</f>
        <v>0</v>
      </c>
      <c r="L421" s="92"/>
      <c r="M421" s="104" t="e">
        <f>'Final Data-US$'!M355/'Final Data-US$'!L355-1</f>
        <v>#DIV/0!</v>
      </c>
      <c r="N421" s="104" t="e">
        <f>'Final Data-US$'!N355/'Final Data-US$'!M355-1</f>
        <v>#DIV/0!</v>
      </c>
      <c r="O421" s="51" t="e">
        <f>'Final Data-US$'!O355/'Final Data-US$'!N355-1</f>
        <v>#DIV/0!</v>
      </c>
      <c r="P421" s="51" t="e">
        <f>'Final Data-US$'!P355/'Final Data-US$'!O355-1</f>
        <v>#DIV/0!</v>
      </c>
      <c r="Q421" s="51" t="e">
        <f>'Final Data-US$'!Q355/'Final Data-US$'!P355-1</f>
        <v>#DIV/0!</v>
      </c>
      <c r="R421" s="51" t="e">
        <f>'Final Data-US$'!R355/'Final Data-US$'!Q355-1</f>
        <v>#DIV/0!</v>
      </c>
      <c r="S421" s="51" t="e">
        <f>'Final Data-US$'!S355/'Final Data-US$'!R355-1</f>
        <v>#DIV/0!</v>
      </c>
      <c r="T421" s="51" t="e">
        <f>'Final Data-US$'!T355/'Final Data-US$'!S355-1</f>
        <v>#DIV/0!</v>
      </c>
      <c r="U421" s="51" t="e">
        <f>'Final Data-US$'!U355/'Final Data-US$'!T355-1</f>
        <v>#DIV/0!</v>
      </c>
      <c r="V421" s="51" t="e">
        <f>'Final Data-US$'!V355/'Final Data-US$'!U355-1</f>
        <v>#DIV/0!</v>
      </c>
      <c r="W421" s="102" t="e">
        <f>'Final Data-US$'!W355</f>
        <v>#DIV/0!</v>
      </c>
      <c r="X421" s="102" t="e">
        <f>'Final Data-US$'!X355</f>
        <v>#DIV/0!</v>
      </c>
    </row>
    <row r="422" spans="1:24">
      <c r="A422" s="46" t="str">
        <f>'Secondary cum Calculation'!A772</f>
        <v>Poland</v>
      </c>
      <c r="B422" s="47" t="str">
        <f>'Secondary cum Calculation'!B772</f>
        <v>Tourism Flows</v>
      </c>
      <c r="C422" s="47" t="str">
        <f>'Secondary cum Calculation'!C772</f>
        <v>International Departures by Destination</v>
      </c>
      <c r="D422" s="47" t="str">
        <f>'Secondary cum Calculation'!D772</f>
        <v>Asia-Pacific</v>
      </c>
      <c r="E422" s="46" t="str">
        <f>'Secondary cum Calculation'!E772</f>
        <v>Myanmar</v>
      </c>
      <c r="F422" s="48" t="str">
        <f>'Secondary cum Calculation'!F772</f>
        <v>The number of international departures from a country to Myanmar</v>
      </c>
      <c r="G422" s="48" t="str">
        <f>'Secondary cum Calculation'!G772</f>
        <v>Tourism Demand &amp; Flows Database</v>
      </c>
      <c r="H422" s="48" t="str">
        <f>'Secondary cum Calculation'!H772</f>
        <v>New</v>
      </c>
      <c r="I422" s="48">
        <f>'Secondary cum Calculation'!I772</f>
        <v>0</v>
      </c>
      <c r="J422" s="48" t="str">
        <f>'Secondary cum Calculation'!J772</f>
        <v>Thousand</v>
      </c>
      <c r="K422" s="49">
        <f>'Secondary cum Calculation'!K772</f>
        <v>0</v>
      </c>
      <c r="L422" s="92"/>
      <c r="M422" s="104" t="e">
        <f>'Final Data-US$'!M356/'Final Data-US$'!L356-1</f>
        <v>#DIV/0!</v>
      </c>
      <c r="N422" s="104" t="e">
        <f>'Final Data-US$'!N356/'Final Data-US$'!M356-1</f>
        <v>#DIV/0!</v>
      </c>
      <c r="O422" s="51" t="e">
        <f>'Final Data-US$'!O356/'Final Data-US$'!N356-1</f>
        <v>#DIV/0!</v>
      </c>
      <c r="P422" s="51" t="e">
        <f>'Final Data-US$'!P356/'Final Data-US$'!O356-1</f>
        <v>#DIV/0!</v>
      </c>
      <c r="Q422" s="51" t="e">
        <f>'Final Data-US$'!Q356/'Final Data-US$'!P356-1</f>
        <v>#DIV/0!</v>
      </c>
      <c r="R422" s="51" t="e">
        <f>'Final Data-US$'!R356/'Final Data-US$'!Q356-1</f>
        <v>#DIV/0!</v>
      </c>
      <c r="S422" s="51" t="e">
        <f>'Final Data-US$'!S356/'Final Data-US$'!R356-1</f>
        <v>#DIV/0!</v>
      </c>
      <c r="T422" s="51" t="e">
        <f>'Final Data-US$'!T356/'Final Data-US$'!S356-1</f>
        <v>#DIV/0!</v>
      </c>
      <c r="U422" s="51" t="e">
        <f>'Final Data-US$'!U356/'Final Data-US$'!T356-1</f>
        <v>#DIV/0!</v>
      </c>
      <c r="V422" s="51" t="e">
        <f>'Final Data-US$'!V356/'Final Data-US$'!U356-1</f>
        <v>#DIV/0!</v>
      </c>
      <c r="W422" s="102" t="e">
        <f>'Final Data-US$'!W356</f>
        <v>#DIV/0!</v>
      </c>
      <c r="X422" s="102" t="e">
        <f>'Final Data-US$'!X356</f>
        <v>#DIV/0!</v>
      </c>
    </row>
    <row r="423" spans="1:24">
      <c r="A423" s="46" t="str">
        <f>'Secondary cum Calculation'!A774</f>
        <v>Poland</v>
      </c>
      <c r="B423" s="47" t="str">
        <f>'Secondary cum Calculation'!B774</f>
        <v>Tourism Flows</v>
      </c>
      <c r="C423" s="47" t="str">
        <f>'Secondary cum Calculation'!C774</f>
        <v>International Departures by Destination</v>
      </c>
      <c r="D423" s="47" t="str">
        <f>'Secondary cum Calculation'!D774</f>
        <v>Asia-Pacific</v>
      </c>
      <c r="E423" s="46" t="str">
        <f>'Secondary cum Calculation'!E774</f>
        <v>Nepal</v>
      </c>
      <c r="F423" s="48" t="str">
        <f>'Secondary cum Calculation'!F774</f>
        <v>The number of international departures from a country to Nepal</v>
      </c>
      <c r="G423" s="48" t="str">
        <f>'Secondary cum Calculation'!G774</f>
        <v>Tourism Demand &amp; Flows Database</v>
      </c>
      <c r="H423" s="48" t="str">
        <f>'Secondary cum Calculation'!H774</f>
        <v>New</v>
      </c>
      <c r="I423" s="48">
        <f>'Secondary cum Calculation'!I774</f>
        <v>0</v>
      </c>
      <c r="J423" s="48" t="str">
        <f>'Secondary cum Calculation'!J774</f>
        <v>Thousand</v>
      </c>
      <c r="K423" s="49">
        <f>'Secondary cum Calculation'!K774</f>
        <v>0</v>
      </c>
      <c r="L423" s="92"/>
      <c r="M423" s="104" t="e">
        <f>'Final Data-US$'!M357/'Final Data-US$'!L357-1</f>
        <v>#DIV/0!</v>
      </c>
      <c r="N423" s="104" t="e">
        <f>'Final Data-US$'!N357/'Final Data-US$'!M357-1</f>
        <v>#DIV/0!</v>
      </c>
      <c r="O423" s="51" t="e">
        <f>'Final Data-US$'!O357/'Final Data-US$'!N357-1</f>
        <v>#DIV/0!</v>
      </c>
      <c r="P423" s="51" t="e">
        <f>'Final Data-US$'!P357/'Final Data-US$'!O357-1</f>
        <v>#DIV/0!</v>
      </c>
      <c r="Q423" s="51" t="e">
        <f>'Final Data-US$'!Q357/'Final Data-US$'!P357-1</f>
        <v>#DIV/0!</v>
      </c>
      <c r="R423" s="51" t="e">
        <f>'Final Data-US$'!R357/'Final Data-US$'!Q357-1</f>
        <v>#DIV/0!</v>
      </c>
      <c r="S423" s="51" t="e">
        <f>'Final Data-US$'!S357/'Final Data-US$'!R357-1</f>
        <v>#DIV/0!</v>
      </c>
      <c r="T423" s="51" t="e">
        <f>'Final Data-US$'!T357/'Final Data-US$'!S357-1</f>
        <v>#DIV/0!</v>
      </c>
      <c r="U423" s="51" t="e">
        <f>'Final Data-US$'!U357/'Final Data-US$'!T357-1</f>
        <v>#DIV/0!</v>
      </c>
      <c r="V423" s="51" t="e">
        <f>'Final Data-US$'!V357/'Final Data-US$'!U357-1</f>
        <v>#DIV/0!</v>
      </c>
      <c r="W423" s="102" t="e">
        <f>'Final Data-US$'!W357</f>
        <v>#DIV/0!</v>
      </c>
      <c r="X423" s="102" t="e">
        <f>'Final Data-US$'!X357</f>
        <v>#DIV/0!</v>
      </c>
    </row>
    <row r="424" spans="1:24">
      <c r="A424" s="46" t="str">
        <f>'Secondary cum Calculation'!A776</f>
        <v>Poland</v>
      </c>
      <c r="B424" s="47" t="str">
        <f>'Secondary cum Calculation'!B776</f>
        <v>Tourism Flows</v>
      </c>
      <c r="C424" s="47" t="str">
        <f>'Secondary cum Calculation'!C776</f>
        <v>International Departures by Destination</v>
      </c>
      <c r="D424" s="47" t="str">
        <f>'Secondary cum Calculation'!D776</f>
        <v>Asia-Pacific</v>
      </c>
      <c r="E424" s="46" t="str">
        <f>'Secondary cum Calculation'!E776</f>
        <v>New Caledonia</v>
      </c>
      <c r="F424" s="48" t="str">
        <f>'Secondary cum Calculation'!F776</f>
        <v>The number of international departures from a country to New Caledonia</v>
      </c>
      <c r="G424" s="48" t="str">
        <f>'Secondary cum Calculation'!G776</f>
        <v>Tourism Demand &amp; Flows Database</v>
      </c>
      <c r="H424" s="48" t="str">
        <f>'Secondary cum Calculation'!H776</f>
        <v>New</v>
      </c>
      <c r="I424" s="48">
        <f>'Secondary cum Calculation'!I776</f>
        <v>0</v>
      </c>
      <c r="J424" s="48" t="str">
        <f>'Secondary cum Calculation'!J776</f>
        <v>Thousand</v>
      </c>
      <c r="K424" s="49">
        <f>'Secondary cum Calculation'!K776</f>
        <v>0</v>
      </c>
      <c r="L424" s="92"/>
      <c r="M424" s="104" t="e">
        <f>'Final Data-US$'!M358/'Final Data-US$'!L358-1</f>
        <v>#DIV/0!</v>
      </c>
      <c r="N424" s="104" t="e">
        <f>'Final Data-US$'!N358/'Final Data-US$'!M358-1</f>
        <v>#DIV/0!</v>
      </c>
      <c r="O424" s="51" t="e">
        <f>'Final Data-US$'!O358/'Final Data-US$'!N358-1</f>
        <v>#DIV/0!</v>
      </c>
      <c r="P424" s="51" t="e">
        <f>'Final Data-US$'!P358/'Final Data-US$'!O358-1</f>
        <v>#DIV/0!</v>
      </c>
      <c r="Q424" s="51" t="e">
        <f>'Final Data-US$'!Q358/'Final Data-US$'!P358-1</f>
        <v>#DIV/0!</v>
      </c>
      <c r="R424" s="51" t="e">
        <f>'Final Data-US$'!R358/'Final Data-US$'!Q358-1</f>
        <v>#DIV/0!</v>
      </c>
      <c r="S424" s="51" t="e">
        <f>'Final Data-US$'!S358/'Final Data-US$'!R358-1</f>
        <v>#DIV/0!</v>
      </c>
      <c r="T424" s="51" t="e">
        <f>'Final Data-US$'!T358/'Final Data-US$'!S358-1</f>
        <v>#DIV/0!</v>
      </c>
      <c r="U424" s="51" t="e">
        <f>'Final Data-US$'!U358/'Final Data-US$'!T358-1</f>
        <v>#DIV/0!</v>
      </c>
      <c r="V424" s="51" t="e">
        <f>'Final Data-US$'!V358/'Final Data-US$'!U358-1</f>
        <v>#DIV/0!</v>
      </c>
      <c r="W424" s="102" t="e">
        <f>'Final Data-US$'!W358</f>
        <v>#DIV/0!</v>
      </c>
      <c r="X424" s="102" t="e">
        <f>'Final Data-US$'!X358</f>
        <v>#DIV/0!</v>
      </c>
    </row>
    <row r="425" spans="1:24">
      <c r="A425" s="46" t="str">
        <f>'Secondary cum Calculation'!A778</f>
        <v>Poland</v>
      </c>
      <c r="B425" s="47" t="str">
        <f>'Secondary cum Calculation'!B778</f>
        <v>Tourism Flows</v>
      </c>
      <c r="C425" s="47" t="str">
        <f>'Secondary cum Calculation'!C778</f>
        <v>International Departures by Destination</v>
      </c>
      <c r="D425" s="47" t="str">
        <f>'Secondary cum Calculation'!D778</f>
        <v>Asia-Pacific</v>
      </c>
      <c r="E425" s="46" t="str">
        <f>'Secondary cum Calculation'!E778</f>
        <v>New Zealand</v>
      </c>
      <c r="F425" s="48" t="str">
        <f>'Secondary cum Calculation'!F778</f>
        <v>The number of international departures from a country to New Zealand</v>
      </c>
      <c r="G425" s="48" t="str">
        <f>'Secondary cum Calculation'!G778</f>
        <v>Tourism Demand &amp; Flows Database</v>
      </c>
      <c r="H425" s="48" t="str">
        <f>'Secondary cum Calculation'!H778</f>
        <v>New</v>
      </c>
      <c r="I425" s="48">
        <f>'Secondary cum Calculation'!I778</f>
        <v>0</v>
      </c>
      <c r="J425" s="48" t="str">
        <f>'Secondary cum Calculation'!J778</f>
        <v>Thousand</v>
      </c>
      <c r="K425" s="49">
        <f>'Secondary cum Calculation'!K778</f>
        <v>301</v>
      </c>
      <c r="L425" s="53"/>
      <c r="M425" s="51" t="e">
        <f>'Final Data-US$'!M359/'Final Data-US$'!L359-1</f>
        <v>#DIV/0!</v>
      </c>
      <c r="N425" s="51" t="e">
        <f>'Final Data-US$'!N359/'Final Data-US$'!M359-1</f>
        <v>#DIV/0!</v>
      </c>
      <c r="O425" s="51" t="e">
        <f>'Final Data-US$'!O359/'Final Data-US$'!N359-1</f>
        <v>#DIV/0!</v>
      </c>
      <c r="P425" s="51" t="e">
        <f>'Final Data-US$'!P359/'Final Data-US$'!O359-1</f>
        <v>#DIV/0!</v>
      </c>
      <c r="Q425" s="51" t="e">
        <f>'Final Data-US$'!Q359/'Final Data-US$'!P359-1</f>
        <v>#DIV/0!</v>
      </c>
      <c r="R425" s="51" t="e">
        <f>'Final Data-US$'!R359/'Final Data-US$'!Q359-1</f>
        <v>#DIV/0!</v>
      </c>
      <c r="S425" s="51" t="e">
        <f>'Final Data-US$'!S359/'Final Data-US$'!R359-1</f>
        <v>#DIV/0!</v>
      </c>
      <c r="T425" s="51" t="e">
        <f>'Final Data-US$'!T359/'Final Data-US$'!S359-1</f>
        <v>#DIV/0!</v>
      </c>
      <c r="U425" s="51" t="e">
        <f>'Final Data-US$'!U359/'Final Data-US$'!T359-1</f>
        <v>#DIV/0!</v>
      </c>
      <c r="V425" s="51" t="e">
        <f>'Final Data-US$'!V359/'Final Data-US$'!U359-1</f>
        <v>#DIV/0!</v>
      </c>
      <c r="W425" s="102" t="e">
        <f>'Final Data-US$'!W359</f>
        <v>#DIV/0!</v>
      </c>
      <c r="X425" s="102" t="e">
        <f>'Final Data-US$'!X359</f>
        <v>#DIV/0!</v>
      </c>
    </row>
    <row r="426" spans="1:24">
      <c r="A426" s="46" t="str">
        <f>'Secondary cum Calculation'!A780</f>
        <v>Poland</v>
      </c>
      <c r="B426" s="47" t="str">
        <f>'Secondary cum Calculation'!B780</f>
        <v>Tourism Flows</v>
      </c>
      <c r="C426" s="47" t="str">
        <f>'Secondary cum Calculation'!C780</f>
        <v>International Departures by Destination</v>
      </c>
      <c r="D426" s="47" t="str">
        <f>'Secondary cum Calculation'!D780</f>
        <v>Asia-Pacific</v>
      </c>
      <c r="E426" s="46" t="str">
        <f>'Secondary cum Calculation'!E780</f>
        <v>Pakistan</v>
      </c>
      <c r="F426" s="48" t="str">
        <f>'Secondary cum Calculation'!F780</f>
        <v>The number of international departures from a country to Pakistan</v>
      </c>
      <c r="G426" s="48" t="str">
        <f>'Secondary cum Calculation'!G780</f>
        <v>Tourism Demand &amp; Flows Database</v>
      </c>
      <c r="H426" s="48" t="str">
        <f>'Secondary cum Calculation'!H780</f>
        <v>New</v>
      </c>
      <c r="I426" s="48">
        <f>'Secondary cum Calculation'!I780</f>
        <v>0</v>
      </c>
      <c r="J426" s="48" t="str">
        <f>'Secondary cum Calculation'!J780</f>
        <v>Thousand</v>
      </c>
      <c r="K426" s="49">
        <f>'Secondary cum Calculation'!K780</f>
        <v>0</v>
      </c>
      <c r="L426" s="92"/>
      <c r="M426" s="104" t="e">
        <f>'Final Data-US$'!M360/'Final Data-US$'!L360-1</f>
        <v>#DIV/0!</v>
      </c>
      <c r="N426" s="104" t="e">
        <f>'Final Data-US$'!N360/'Final Data-US$'!M360-1</f>
        <v>#DIV/0!</v>
      </c>
      <c r="O426" s="51" t="e">
        <f>'Final Data-US$'!O360/'Final Data-US$'!N360-1</f>
        <v>#DIV/0!</v>
      </c>
      <c r="P426" s="51" t="e">
        <f>'Final Data-US$'!P360/'Final Data-US$'!O360-1</f>
        <v>#DIV/0!</v>
      </c>
      <c r="Q426" s="51" t="e">
        <f>'Final Data-US$'!Q360/'Final Data-US$'!P360-1</f>
        <v>#DIV/0!</v>
      </c>
      <c r="R426" s="51" t="e">
        <f>'Final Data-US$'!R360/'Final Data-US$'!Q360-1</f>
        <v>#DIV/0!</v>
      </c>
      <c r="S426" s="51" t="e">
        <f>'Final Data-US$'!S360/'Final Data-US$'!R360-1</f>
        <v>#DIV/0!</v>
      </c>
      <c r="T426" s="51" t="e">
        <f>'Final Data-US$'!T360/'Final Data-US$'!S360-1</f>
        <v>#DIV/0!</v>
      </c>
      <c r="U426" s="51" t="e">
        <f>'Final Data-US$'!U360/'Final Data-US$'!T360-1</f>
        <v>#DIV/0!</v>
      </c>
      <c r="V426" s="51" t="e">
        <f>'Final Data-US$'!V360/'Final Data-US$'!U360-1</f>
        <v>#DIV/0!</v>
      </c>
      <c r="W426" s="102" t="e">
        <f>'Final Data-US$'!W360</f>
        <v>#DIV/0!</v>
      </c>
      <c r="X426" s="102" t="e">
        <f>'Final Data-US$'!X360</f>
        <v>#DIV/0!</v>
      </c>
    </row>
    <row r="427" spans="1:24">
      <c r="A427" s="46" t="str">
        <f>'Secondary cum Calculation'!A782</f>
        <v>Poland</v>
      </c>
      <c r="B427" s="47" t="str">
        <f>'Secondary cum Calculation'!B782</f>
        <v>Tourism Flows</v>
      </c>
      <c r="C427" s="47" t="str">
        <f>'Secondary cum Calculation'!C782</f>
        <v>International Departures by Destination</v>
      </c>
      <c r="D427" s="47" t="str">
        <f>'Secondary cum Calculation'!D782</f>
        <v>Asia-Pacific</v>
      </c>
      <c r="E427" s="46" t="str">
        <f>'Secondary cum Calculation'!E782</f>
        <v>Papua New Guinea</v>
      </c>
      <c r="F427" s="48" t="str">
        <f>'Secondary cum Calculation'!F782</f>
        <v>The number of international departures from a country to Papua New Guinea</v>
      </c>
      <c r="G427" s="48" t="str">
        <f>'Secondary cum Calculation'!G782</f>
        <v>Tourism Demand &amp; Flows Database</v>
      </c>
      <c r="H427" s="48" t="str">
        <f>'Secondary cum Calculation'!H782</f>
        <v>New</v>
      </c>
      <c r="I427" s="48">
        <f>'Secondary cum Calculation'!I782</f>
        <v>0</v>
      </c>
      <c r="J427" s="48" t="str">
        <f>'Secondary cum Calculation'!J782</f>
        <v>Thousand</v>
      </c>
      <c r="K427" s="49">
        <f>'Secondary cum Calculation'!K782</f>
        <v>0</v>
      </c>
      <c r="L427" s="92"/>
      <c r="M427" s="104" t="e">
        <f>'Final Data-US$'!M361/'Final Data-US$'!L361-1</f>
        <v>#DIV/0!</v>
      </c>
      <c r="N427" s="104" t="e">
        <f>'Final Data-US$'!N361/'Final Data-US$'!M361-1</f>
        <v>#DIV/0!</v>
      </c>
      <c r="O427" s="105" t="e">
        <f>'Final Data-US$'!O361/'Final Data-US$'!N361-1</f>
        <v>#DIV/0!</v>
      </c>
      <c r="P427" s="105" t="e">
        <f>'Final Data-US$'!P361/'Final Data-US$'!O361-1</f>
        <v>#DIV/0!</v>
      </c>
      <c r="Q427" s="105" t="e">
        <f>'Final Data-US$'!Q361/'Final Data-US$'!P361-1</f>
        <v>#DIV/0!</v>
      </c>
      <c r="R427" s="105" t="e">
        <f>'Final Data-US$'!R361/'Final Data-US$'!Q361-1</f>
        <v>#DIV/0!</v>
      </c>
      <c r="S427" s="105" t="e">
        <f>'Final Data-US$'!S361/'Final Data-US$'!R361-1</f>
        <v>#DIV/0!</v>
      </c>
      <c r="T427" s="105" t="e">
        <f>'Final Data-US$'!T361/'Final Data-US$'!S361-1</f>
        <v>#DIV/0!</v>
      </c>
      <c r="U427" s="105" t="e">
        <f>'Final Data-US$'!U361/'Final Data-US$'!T361-1</f>
        <v>#DIV/0!</v>
      </c>
      <c r="V427" s="105" t="e">
        <f>'Final Data-US$'!V361/'Final Data-US$'!U361-1</f>
        <v>#DIV/0!</v>
      </c>
      <c r="W427" s="102" t="e">
        <f>'Final Data-US$'!W361</f>
        <v>#DIV/0!</v>
      </c>
      <c r="X427" s="102" t="e">
        <f>'Final Data-US$'!X361</f>
        <v>#DIV/0!</v>
      </c>
    </row>
    <row r="428" spans="1:24">
      <c r="A428" s="46" t="str">
        <f>'Secondary cum Calculation'!A784</f>
        <v>Poland</v>
      </c>
      <c r="B428" s="47" t="str">
        <f>'Secondary cum Calculation'!B784</f>
        <v>Tourism Flows</v>
      </c>
      <c r="C428" s="47" t="str">
        <f>'Secondary cum Calculation'!C784</f>
        <v>International Departures by Destination</v>
      </c>
      <c r="D428" s="47" t="str">
        <f>'Secondary cum Calculation'!D784</f>
        <v>Asia-Pacific</v>
      </c>
      <c r="E428" s="46" t="str">
        <f>'Secondary cum Calculation'!E784</f>
        <v>Philippines</v>
      </c>
      <c r="F428" s="48" t="str">
        <f>'Secondary cum Calculation'!F784</f>
        <v>The number of international departures from a country to Philippines</v>
      </c>
      <c r="G428" s="48" t="str">
        <f>'Secondary cum Calculation'!G784</f>
        <v>Tourism Demand &amp; Flows Database</v>
      </c>
      <c r="H428" s="48" t="str">
        <f>'Secondary cum Calculation'!H784</f>
        <v>New</v>
      </c>
      <c r="I428" s="48">
        <f>'Secondary cum Calculation'!I784</f>
        <v>0</v>
      </c>
      <c r="J428" s="48" t="str">
        <f>'Secondary cum Calculation'!J784</f>
        <v>Thousand</v>
      </c>
      <c r="K428" s="49">
        <f>'Secondary cum Calculation'!K784</f>
        <v>271</v>
      </c>
      <c r="L428" s="53"/>
      <c r="M428" s="51" t="e">
        <f>'Final Data-US$'!M362/'Final Data-US$'!L362-1</f>
        <v>#DIV/0!</v>
      </c>
      <c r="N428" s="51" t="e">
        <f>'Final Data-US$'!N362/'Final Data-US$'!M362-1</f>
        <v>#DIV/0!</v>
      </c>
      <c r="O428" s="51" t="e">
        <f>'Final Data-US$'!O362/'Final Data-US$'!N362-1</f>
        <v>#DIV/0!</v>
      </c>
      <c r="P428" s="51" t="e">
        <f>'Final Data-US$'!P362/'Final Data-US$'!O362-1</f>
        <v>#DIV/0!</v>
      </c>
      <c r="Q428" s="51" t="e">
        <f>'Final Data-US$'!Q362/'Final Data-US$'!P362-1</f>
        <v>#DIV/0!</v>
      </c>
      <c r="R428" s="51" t="e">
        <f>'Final Data-US$'!R362/'Final Data-US$'!Q362-1</f>
        <v>#DIV/0!</v>
      </c>
      <c r="S428" s="51" t="e">
        <f>'Final Data-US$'!S362/'Final Data-US$'!R362-1</f>
        <v>#DIV/0!</v>
      </c>
      <c r="T428" s="51" t="e">
        <f>'Final Data-US$'!T362/'Final Data-US$'!S362-1</f>
        <v>#DIV/0!</v>
      </c>
      <c r="U428" s="51" t="e">
        <f>'Final Data-US$'!U362/'Final Data-US$'!T362-1</f>
        <v>#DIV/0!</v>
      </c>
      <c r="V428" s="51" t="e">
        <f>'Final Data-US$'!V362/'Final Data-US$'!U362-1</f>
        <v>#DIV/0!</v>
      </c>
      <c r="W428" s="102" t="e">
        <f>'Final Data-US$'!W362</f>
        <v>#DIV/0!</v>
      </c>
      <c r="X428" s="102" t="e">
        <f>'Final Data-US$'!X362</f>
        <v>#DIV/0!</v>
      </c>
    </row>
    <row r="429" spans="1:24">
      <c r="A429" s="46" t="str">
        <f>'Secondary cum Calculation'!A786</f>
        <v>Poland</v>
      </c>
      <c r="B429" s="47" t="str">
        <f>'Secondary cum Calculation'!B786</f>
        <v>Tourism Flows</v>
      </c>
      <c r="C429" s="47" t="str">
        <f>'Secondary cum Calculation'!C786</f>
        <v>International Departures by Destination</v>
      </c>
      <c r="D429" s="47" t="str">
        <f>'Secondary cum Calculation'!D786</f>
        <v>Asia-Pacific</v>
      </c>
      <c r="E429" s="46" t="str">
        <f>'Secondary cum Calculation'!E786</f>
        <v>Republic of Korea</v>
      </c>
      <c r="F429" s="48" t="str">
        <f>'Secondary cum Calculation'!F786</f>
        <v>The number of international departures from a country to Republic of Korea</v>
      </c>
      <c r="G429" s="48" t="str">
        <f>'Secondary cum Calculation'!G786</f>
        <v>Tourism Demand &amp; Flows Database</v>
      </c>
      <c r="H429" s="48" t="str">
        <f>'Secondary cum Calculation'!H786</f>
        <v>New</v>
      </c>
      <c r="I429" s="48">
        <f>'Secondary cum Calculation'!I786</f>
        <v>0</v>
      </c>
      <c r="J429" s="48" t="str">
        <f>'Secondary cum Calculation'!J786</f>
        <v>Thousand</v>
      </c>
      <c r="K429" s="49">
        <f>'Secondary cum Calculation'!K786</f>
        <v>633</v>
      </c>
      <c r="L429" s="53"/>
      <c r="M429" s="51" t="e">
        <f>'Final Data-US$'!M363/'Final Data-US$'!L363-1</f>
        <v>#DIV/0!</v>
      </c>
      <c r="N429" s="51" t="e">
        <f>'Final Data-US$'!N363/'Final Data-US$'!M363-1</f>
        <v>#DIV/0!</v>
      </c>
      <c r="O429" s="51" t="e">
        <f>'Final Data-US$'!O363/'Final Data-US$'!N363-1</f>
        <v>#DIV/0!</v>
      </c>
      <c r="P429" s="51" t="e">
        <f>'Final Data-US$'!P363/'Final Data-US$'!O363-1</f>
        <v>#DIV/0!</v>
      </c>
      <c r="Q429" s="51" t="e">
        <f>'Final Data-US$'!Q363/'Final Data-US$'!P363-1</f>
        <v>#DIV/0!</v>
      </c>
      <c r="R429" s="51" t="e">
        <f>'Final Data-US$'!R363/'Final Data-US$'!Q363-1</f>
        <v>#DIV/0!</v>
      </c>
      <c r="S429" s="51" t="e">
        <f>'Final Data-US$'!S363/'Final Data-US$'!R363-1</f>
        <v>#DIV/0!</v>
      </c>
      <c r="T429" s="51" t="e">
        <f>'Final Data-US$'!T363/'Final Data-US$'!S363-1</f>
        <v>#DIV/0!</v>
      </c>
      <c r="U429" s="51" t="e">
        <f>'Final Data-US$'!U363/'Final Data-US$'!T363-1</f>
        <v>#DIV/0!</v>
      </c>
      <c r="V429" s="51" t="e">
        <f>'Final Data-US$'!V363/'Final Data-US$'!U363-1</f>
        <v>#DIV/0!</v>
      </c>
      <c r="W429" s="102" t="e">
        <f>'Final Data-US$'!W363</f>
        <v>#DIV/0!</v>
      </c>
      <c r="X429" s="102" t="e">
        <f>'Final Data-US$'!X363</f>
        <v>#DIV/0!</v>
      </c>
    </row>
    <row r="430" spans="1:24">
      <c r="A430" s="46" t="str">
        <f>'Secondary cum Calculation'!A788</f>
        <v>Poland</v>
      </c>
      <c r="B430" s="47" t="str">
        <f>'Secondary cum Calculation'!B788</f>
        <v>Tourism Flows</v>
      </c>
      <c r="C430" s="47" t="str">
        <f>'Secondary cum Calculation'!C788</f>
        <v>International Departures by Destination</v>
      </c>
      <c r="D430" s="47" t="str">
        <f>'Secondary cum Calculation'!D788</f>
        <v>Asia-Pacific</v>
      </c>
      <c r="E430" s="46" t="str">
        <f>'Secondary cum Calculation'!E788</f>
        <v>Samoa</v>
      </c>
      <c r="F430" s="48" t="str">
        <f>'Secondary cum Calculation'!F788</f>
        <v>The number of international departures from a country to Samoa</v>
      </c>
      <c r="G430" s="48" t="str">
        <f>'Secondary cum Calculation'!G788</f>
        <v>Tourism Demand &amp; Flows Database</v>
      </c>
      <c r="H430" s="48" t="str">
        <f>'Secondary cum Calculation'!H788</f>
        <v>New</v>
      </c>
      <c r="I430" s="48">
        <f>'Secondary cum Calculation'!I788</f>
        <v>0</v>
      </c>
      <c r="J430" s="48" t="str">
        <f>'Secondary cum Calculation'!J788</f>
        <v>Thousand</v>
      </c>
      <c r="K430" s="49">
        <f>'Secondary cum Calculation'!K788</f>
        <v>0</v>
      </c>
      <c r="L430" s="92"/>
      <c r="M430" s="104" t="e">
        <f>'Final Data-US$'!M364/'Final Data-US$'!L364-1</f>
        <v>#DIV/0!</v>
      </c>
      <c r="N430" s="104" t="e">
        <f>'Final Data-US$'!N364/'Final Data-US$'!M364-1</f>
        <v>#DIV/0!</v>
      </c>
      <c r="O430" s="103" t="e">
        <f>'Final Data-US$'!O364/'Final Data-US$'!N364-1</f>
        <v>#DIV/0!</v>
      </c>
      <c r="P430" s="103" t="e">
        <f>'Final Data-US$'!P364/'Final Data-US$'!O364-1</f>
        <v>#DIV/0!</v>
      </c>
      <c r="Q430" s="103" t="e">
        <f>'Final Data-US$'!Q364/'Final Data-US$'!P364-1</f>
        <v>#DIV/0!</v>
      </c>
      <c r="R430" s="103" t="e">
        <f>'Final Data-US$'!R364/'Final Data-US$'!Q364-1</f>
        <v>#DIV/0!</v>
      </c>
      <c r="S430" s="103" t="e">
        <f>'Final Data-US$'!S364/'Final Data-US$'!R364-1</f>
        <v>#DIV/0!</v>
      </c>
      <c r="T430" s="103" t="e">
        <f>'Final Data-US$'!T364/'Final Data-US$'!S364-1</f>
        <v>#DIV/0!</v>
      </c>
      <c r="U430" s="103" t="e">
        <f>'Final Data-US$'!U364/'Final Data-US$'!T364-1</f>
        <v>#DIV/0!</v>
      </c>
      <c r="V430" s="103" t="e">
        <f>'Final Data-US$'!V364/'Final Data-US$'!U364-1</f>
        <v>#DIV/0!</v>
      </c>
      <c r="W430" s="102" t="e">
        <f>'Final Data-US$'!W364</f>
        <v>#DIV/0!</v>
      </c>
      <c r="X430" s="102" t="e">
        <f>'Final Data-US$'!X364</f>
        <v>#DIV/0!</v>
      </c>
    </row>
    <row r="431" spans="1:24">
      <c r="A431" s="46" t="str">
        <f>'Secondary cum Calculation'!A790</f>
        <v>Poland</v>
      </c>
      <c r="B431" s="47" t="str">
        <f>'Secondary cum Calculation'!B790</f>
        <v>Tourism Flows</v>
      </c>
      <c r="C431" s="47" t="str">
        <f>'Secondary cum Calculation'!C790</f>
        <v>International Departures by Destination</v>
      </c>
      <c r="D431" s="47" t="str">
        <f>'Secondary cum Calculation'!D790</f>
        <v>Asia-Pacific</v>
      </c>
      <c r="E431" s="46" t="str">
        <f>'Secondary cum Calculation'!E790</f>
        <v>Singapore</v>
      </c>
      <c r="F431" s="48" t="str">
        <f>'Secondary cum Calculation'!F790</f>
        <v>The number of international departures from a country to Singapore</v>
      </c>
      <c r="G431" s="48" t="str">
        <f>'Secondary cum Calculation'!G790</f>
        <v>Tourism Demand &amp; Flows Database</v>
      </c>
      <c r="H431" s="48" t="str">
        <f>'Secondary cum Calculation'!H790</f>
        <v>New</v>
      </c>
      <c r="I431" s="48">
        <f>'Secondary cum Calculation'!I790</f>
        <v>0</v>
      </c>
      <c r="J431" s="48" t="str">
        <f>'Secondary cum Calculation'!J790</f>
        <v>Thousand</v>
      </c>
      <c r="K431" s="49">
        <f>'Secondary cum Calculation'!K790</f>
        <v>422</v>
      </c>
      <c r="L431" s="53"/>
      <c r="M431" s="51" t="e">
        <f>'Final Data-US$'!M365/'Final Data-US$'!L365-1</f>
        <v>#DIV/0!</v>
      </c>
      <c r="N431" s="51" t="e">
        <f>'Final Data-US$'!N365/'Final Data-US$'!M365-1</f>
        <v>#DIV/0!</v>
      </c>
      <c r="O431" s="51" t="e">
        <f>'Final Data-US$'!O365/'Final Data-US$'!N365-1</f>
        <v>#DIV/0!</v>
      </c>
      <c r="P431" s="51" t="e">
        <f>'Final Data-US$'!P365/'Final Data-US$'!O365-1</f>
        <v>#DIV/0!</v>
      </c>
      <c r="Q431" s="51" t="e">
        <f>'Final Data-US$'!Q365/'Final Data-US$'!P365-1</f>
        <v>#DIV/0!</v>
      </c>
      <c r="R431" s="51" t="e">
        <f>'Final Data-US$'!R365/'Final Data-US$'!Q365-1</f>
        <v>#DIV/0!</v>
      </c>
      <c r="S431" s="51" t="e">
        <f>'Final Data-US$'!S365/'Final Data-US$'!R365-1</f>
        <v>#DIV/0!</v>
      </c>
      <c r="T431" s="51" t="e">
        <f>'Final Data-US$'!T365/'Final Data-US$'!S365-1</f>
        <v>#DIV/0!</v>
      </c>
      <c r="U431" s="51" t="e">
        <f>'Final Data-US$'!U365/'Final Data-US$'!T365-1</f>
        <v>#DIV/0!</v>
      </c>
      <c r="V431" s="51" t="e">
        <f>'Final Data-US$'!V365/'Final Data-US$'!U365-1</f>
        <v>#DIV/0!</v>
      </c>
      <c r="W431" s="102" t="e">
        <f>'Final Data-US$'!W365</f>
        <v>#DIV/0!</v>
      </c>
      <c r="X431" s="102" t="e">
        <f>'Final Data-US$'!X365</f>
        <v>#DIV/0!</v>
      </c>
    </row>
    <row r="432" spans="1:24">
      <c r="A432" s="46" t="str">
        <f>'Secondary cum Calculation'!A792</f>
        <v>Poland</v>
      </c>
      <c r="B432" s="47" t="str">
        <f>'Secondary cum Calculation'!B792</f>
        <v>Tourism Flows</v>
      </c>
      <c r="C432" s="47" t="str">
        <f>'Secondary cum Calculation'!C792</f>
        <v>International Departures by Destination</v>
      </c>
      <c r="D432" s="47" t="str">
        <f>'Secondary cum Calculation'!D792</f>
        <v>Asia-Pacific</v>
      </c>
      <c r="E432" s="46" t="str">
        <f>'Secondary cum Calculation'!E792</f>
        <v>Solomon Islands</v>
      </c>
      <c r="F432" s="48" t="str">
        <f>'Secondary cum Calculation'!F792</f>
        <v>The number of international departures from a country to Solomon Islands</v>
      </c>
      <c r="G432" s="48" t="str">
        <f>'Secondary cum Calculation'!G792</f>
        <v>Tourism Demand &amp; Flows Database</v>
      </c>
      <c r="H432" s="48" t="str">
        <f>'Secondary cum Calculation'!H792</f>
        <v>New</v>
      </c>
      <c r="I432" s="48">
        <f>'Secondary cum Calculation'!I792</f>
        <v>0</v>
      </c>
      <c r="J432" s="48" t="str">
        <f>'Secondary cum Calculation'!J792</f>
        <v>Thousand</v>
      </c>
      <c r="K432" s="49">
        <f>'Secondary cum Calculation'!K792</f>
        <v>0</v>
      </c>
      <c r="L432" s="92"/>
      <c r="M432" s="104" t="e">
        <f>'Final Data-US$'!M366/'Final Data-US$'!L366-1</f>
        <v>#DIV/0!</v>
      </c>
      <c r="N432" s="104" t="e">
        <f>'Final Data-US$'!N366/'Final Data-US$'!M366-1</f>
        <v>#DIV/0!</v>
      </c>
      <c r="O432" s="103" t="e">
        <f>'Final Data-US$'!O366/'Final Data-US$'!N366-1</f>
        <v>#DIV/0!</v>
      </c>
      <c r="P432" s="103" t="e">
        <f>'Final Data-US$'!P366/'Final Data-US$'!O366-1</f>
        <v>#DIV/0!</v>
      </c>
      <c r="Q432" s="103" t="e">
        <f>'Final Data-US$'!Q366/'Final Data-US$'!P366-1</f>
        <v>#DIV/0!</v>
      </c>
      <c r="R432" s="103" t="e">
        <f>'Final Data-US$'!R366/'Final Data-US$'!Q366-1</f>
        <v>#DIV/0!</v>
      </c>
      <c r="S432" s="103" t="e">
        <f>'Final Data-US$'!S366/'Final Data-US$'!R366-1</f>
        <v>#DIV/0!</v>
      </c>
      <c r="T432" s="103" t="e">
        <f>'Final Data-US$'!T366/'Final Data-US$'!S366-1</f>
        <v>#DIV/0!</v>
      </c>
      <c r="U432" s="103" t="e">
        <f>'Final Data-US$'!U366/'Final Data-US$'!T366-1</f>
        <v>#DIV/0!</v>
      </c>
      <c r="V432" s="103" t="e">
        <f>'Final Data-US$'!V366/'Final Data-US$'!U366-1</f>
        <v>#DIV/0!</v>
      </c>
      <c r="W432" s="102" t="e">
        <f>'Final Data-US$'!W366</f>
        <v>#DIV/0!</v>
      </c>
      <c r="X432" s="102" t="e">
        <f>'Final Data-US$'!X366</f>
        <v>#DIV/0!</v>
      </c>
    </row>
    <row r="433" spans="1:24">
      <c r="A433" s="46" t="str">
        <f>'Secondary cum Calculation'!A794</f>
        <v>Poland</v>
      </c>
      <c r="B433" s="47" t="str">
        <f>'Secondary cum Calculation'!B794</f>
        <v>Tourism Flows</v>
      </c>
      <c r="C433" s="47" t="str">
        <f>'Secondary cum Calculation'!C794</f>
        <v>International Departures by Destination</v>
      </c>
      <c r="D433" s="47" t="str">
        <f>'Secondary cum Calculation'!D794</f>
        <v>Asia-Pacific</v>
      </c>
      <c r="E433" s="46" t="str">
        <f>'Secondary cum Calculation'!E794</f>
        <v>Sri Lanka</v>
      </c>
      <c r="F433" s="48" t="str">
        <f>'Secondary cum Calculation'!F794</f>
        <v>The number of international departures from a country to Sri Lanka</v>
      </c>
      <c r="G433" s="48" t="str">
        <f>'Secondary cum Calculation'!G794</f>
        <v>Tourism Demand &amp; Flows Database</v>
      </c>
      <c r="H433" s="48" t="str">
        <f>'Secondary cum Calculation'!H794</f>
        <v>New</v>
      </c>
      <c r="I433" s="48">
        <f>'Secondary cum Calculation'!I794</f>
        <v>0</v>
      </c>
      <c r="J433" s="48" t="str">
        <f>'Secondary cum Calculation'!J794</f>
        <v>Thousand</v>
      </c>
      <c r="K433" s="49">
        <f>'Secondary cum Calculation'!K794</f>
        <v>0</v>
      </c>
      <c r="L433" s="92"/>
      <c r="M433" s="104" t="e">
        <f>'Final Data-US$'!M367/'Final Data-US$'!L367-1</f>
        <v>#DIV/0!</v>
      </c>
      <c r="N433" s="104" t="e">
        <f>'Final Data-US$'!N367/'Final Data-US$'!M367-1</f>
        <v>#DIV/0!</v>
      </c>
      <c r="O433" s="51" t="e">
        <f>'Final Data-US$'!O367/'Final Data-US$'!N367-1</f>
        <v>#DIV/0!</v>
      </c>
      <c r="P433" s="51" t="e">
        <f>'Final Data-US$'!P367/'Final Data-US$'!O367-1</f>
        <v>#DIV/0!</v>
      </c>
      <c r="Q433" s="51" t="e">
        <f>'Final Data-US$'!Q367/'Final Data-US$'!P367-1</f>
        <v>#DIV/0!</v>
      </c>
      <c r="R433" s="51" t="e">
        <f>'Final Data-US$'!R367/'Final Data-US$'!Q367-1</f>
        <v>#DIV/0!</v>
      </c>
      <c r="S433" s="51" t="e">
        <f>'Final Data-US$'!S367/'Final Data-US$'!R367-1</f>
        <v>#DIV/0!</v>
      </c>
      <c r="T433" s="51" t="e">
        <f>'Final Data-US$'!T367/'Final Data-US$'!S367-1</f>
        <v>#DIV/0!</v>
      </c>
      <c r="U433" s="51" t="e">
        <f>'Final Data-US$'!U367/'Final Data-US$'!T367-1</f>
        <v>#DIV/0!</v>
      </c>
      <c r="V433" s="51" t="e">
        <f>'Final Data-US$'!V367/'Final Data-US$'!U367-1</f>
        <v>#DIV/0!</v>
      </c>
      <c r="W433" s="102" t="e">
        <f>'Final Data-US$'!W367</f>
        <v>#DIV/0!</v>
      </c>
      <c r="X433" s="102" t="e">
        <f>'Final Data-US$'!X367</f>
        <v>#DIV/0!</v>
      </c>
    </row>
    <row r="434" spans="1:24">
      <c r="A434" s="46" t="str">
        <f>'Secondary cum Calculation'!A796</f>
        <v>Poland</v>
      </c>
      <c r="B434" s="47" t="str">
        <f>'Secondary cum Calculation'!B796</f>
        <v>Tourism Flows</v>
      </c>
      <c r="C434" s="47" t="str">
        <f>'Secondary cum Calculation'!C796</f>
        <v>International Departures by Destination</v>
      </c>
      <c r="D434" s="47" t="str">
        <f>'Secondary cum Calculation'!D796</f>
        <v>Asia-Pacific</v>
      </c>
      <c r="E434" s="46" t="str">
        <f>'Secondary cum Calculation'!E796</f>
        <v>Tajikistan</v>
      </c>
      <c r="F434" s="48" t="str">
        <f>'Secondary cum Calculation'!F796</f>
        <v>The number of international departures from a country to Tajikistan</v>
      </c>
      <c r="G434" s="48" t="str">
        <f>'Secondary cum Calculation'!G796</f>
        <v>Tourism Demand &amp; Flows Database</v>
      </c>
      <c r="H434" s="48" t="str">
        <f>'Secondary cum Calculation'!H796</f>
        <v>New</v>
      </c>
      <c r="I434" s="48">
        <f>'Secondary cum Calculation'!I796</f>
        <v>0</v>
      </c>
      <c r="J434" s="48" t="str">
        <f>'Secondary cum Calculation'!J796</f>
        <v>Thousand</v>
      </c>
      <c r="K434" s="49">
        <f>'Secondary cum Calculation'!K796</f>
        <v>0</v>
      </c>
      <c r="L434" s="92"/>
      <c r="M434" s="104" t="e">
        <f>'Final Data-US$'!M368/'Final Data-US$'!L368-1</f>
        <v>#DIV/0!</v>
      </c>
      <c r="N434" s="104" t="e">
        <f>'Final Data-US$'!N368/'Final Data-US$'!M368-1</f>
        <v>#DIV/0!</v>
      </c>
      <c r="O434" s="51" t="e">
        <f>'Final Data-US$'!O368/'Final Data-US$'!N368-1</f>
        <v>#DIV/0!</v>
      </c>
      <c r="P434" s="51" t="e">
        <f>'Final Data-US$'!P368/'Final Data-US$'!O368-1</f>
        <v>#DIV/0!</v>
      </c>
      <c r="Q434" s="51" t="e">
        <f>'Final Data-US$'!Q368/'Final Data-US$'!P368-1</f>
        <v>#DIV/0!</v>
      </c>
      <c r="R434" s="51" t="e">
        <f>'Final Data-US$'!R368/'Final Data-US$'!Q368-1</f>
        <v>#DIV/0!</v>
      </c>
      <c r="S434" s="51" t="e">
        <f>'Final Data-US$'!S368/'Final Data-US$'!R368-1</f>
        <v>#DIV/0!</v>
      </c>
      <c r="T434" s="51" t="e">
        <f>'Final Data-US$'!T368/'Final Data-US$'!S368-1</f>
        <v>#DIV/0!</v>
      </c>
      <c r="U434" s="51" t="e">
        <f>'Final Data-US$'!U368/'Final Data-US$'!T368-1</f>
        <v>#DIV/0!</v>
      </c>
      <c r="V434" s="51" t="e">
        <f>'Final Data-US$'!V368/'Final Data-US$'!U368-1</f>
        <v>#DIV/0!</v>
      </c>
      <c r="W434" s="102" t="e">
        <f>'Final Data-US$'!W368</f>
        <v>#DIV/0!</v>
      </c>
      <c r="X434" s="102" t="e">
        <f>'Final Data-US$'!X368</f>
        <v>#DIV/0!</v>
      </c>
    </row>
    <row r="435" spans="1:24">
      <c r="A435" s="46" t="str">
        <f>'Secondary cum Calculation'!A798</f>
        <v>Poland</v>
      </c>
      <c r="B435" s="47" t="str">
        <f>'Secondary cum Calculation'!B798</f>
        <v>Tourism Flows</v>
      </c>
      <c r="C435" s="47" t="str">
        <f>'Secondary cum Calculation'!C798</f>
        <v>International Departures by Destination</v>
      </c>
      <c r="D435" s="47" t="str">
        <f>'Secondary cum Calculation'!D798</f>
        <v>Asia-Pacific</v>
      </c>
      <c r="E435" s="46" t="str">
        <f>'Secondary cum Calculation'!E798</f>
        <v>Thailand</v>
      </c>
      <c r="F435" s="48" t="str">
        <f>'Secondary cum Calculation'!F798</f>
        <v>The number of international departures from a country to Thailand</v>
      </c>
      <c r="G435" s="48" t="str">
        <f>'Secondary cum Calculation'!G798</f>
        <v>Tourism Demand &amp; Flows Database</v>
      </c>
      <c r="H435" s="48" t="str">
        <f>'Secondary cum Calculation'!H798</f>
        <v>New</v>
      </c>
      <c r="I435" s="48">
        <f>'Secondary cum Calculation'!I798</f>
        <v>0</v>
      </c>
      <c r="J435" s="48" t="str">
        <f>'Secondary cum Calculation'!J798</f>
        <v>Thousand</v>
      </c>
      <c r="K435" s="49">
        <f>'Secondary cum Calculation'!K798</f>
        <v>482</v>
      </c>
      <c r="L435" s="53"/>
      <c r="M435" s="51" t="e">
        <f>'Final Data-US$'!M369/'Final Data-US$'!L369-1</f>
        <v>#DIV/0!</v>
      </c>
      <c r="N435" s="51" t="e">
        <f>'Final Data-US$'!N369/'Final Data-US$'!M369-1</f>
        <v>#DIV/0!</v>
      </c>
      <c r="O435" s="51" t="e">
        <f>'Final Data-US$'!O369/'Final Data-US$'!N369-1</f>
        <v>#DIV/0!</v>
      </c>
      <c r="P435" s="51" t="e">
        <f>'Final Data-US$'!P369/'Final Data-US$'!O369-1</f>
        <v>#DIV/0!</v>
      </c>
      <c r="Q435" s="51" t="e">
        <f>'Final Data-US$'!Q369/'Final Data-US$'!P369-1</f>
        <v>#DIV/0!</v>
      </c>
      <c r="R435" s="51" t="e">
        <f>'Final Data-US$'!R369/'Final Data-US$'!Q369-1</f>
        <v>#DIV/0!</v>
      </c>
      <c r="S435" s="51" t="e">
        <f>'Final Data-US$'!S369/'Final Data-US$'!R369-1</f>
        <v>#DIV/0!</v>
      </c>
      <c r="T435" s="51" t="e">
        <f>'Final Data-US$'!T369/'Final Data-US$'!S369-1</f>
        <v>#DIV/0!</v>
      </c>
      <c r="U435" s="51" t="e">
        <f>'Final Data-US$'!U369/'Final Data-US$'!T369-1</f>
        <v>#DIV/0!</v>
      </c>
      <c r="V435" s="51" t="e">
        <f>'Final Data-US$'!V369/'Final Data-US$'!U369-1</f>
        <v>#DIV/0!</v>
      </c>
      <c r="W435" s="102" t="e">
        <f>'Final Data-US$'!W369</f>
        <v>#DIV/0!</v>
      </c>
      <c r="X435" s="102" t="e">
        <f>'Final Data-US$'!X369</f>
        <v>#DIV/0!</v>
      </c>
    </row>
    <row r="436" spans="1:24">
      <c r="A436" s="46" t="str">
        <f>'Secondary cum Calculation'!A800</f>
        <v>Poland</v>
      </c>
      <c r="B436" s="47" t="str">
        <f>'Secondary cum Calculation'!B800</f>
        <v>Tourism Flows</v>
      </c>
      <c r="C436" s="47" t="str">
        <f>'Secondary cum Calculation'!C800</f>
        <v>International Departures by Destination</v>
      </c>
      <c r="D436" s="47" t="str">
        <f>'Secondary cum Calculation'!D800</f>
        <v>Asia-Pacific</v>
      </c>
      <c r="E436" s="46" t="str">
        <f>'Secondary cum Calculation'!E800</f>
        <v>Timor-Leste</v>
      </c>
      <c r="F436" s="48" t="str">
        <f>'Secondary cum Calculation'!F800</f>
        <v>The number of international departures from a country to Timor-Leste</v>
      </c>
      <c r="G436" s="48" t="str">
        <f>'Secondary cum Calculation'!G800</f>
        <v>Tourism Demand &amp; Flows Database</v>
      </c>
      <c r="H436" s="48" t="str">
        <f>'Secondary cum Calculation'!H800</f>
        <v>New</v>
      </c>
      <c r="I436" s="48">
        <f>'Secondary cum Calculation'!I800</f>
        <v>0</v>
      </c>
      <c r="J436" s="48" t="str">
        <f>'Secondary cum Calculation'!J800</f>
        <v>Thousand</v>
      </c>
      <c r="K436" s="49">
        <f>'Secondary cum Calculation'!K800</f>
        <v>0</v>
      </c>
      <c r="L436" s="92"/>
      <c r="M436" s="104" t="e">
        <f>'Final Data-US$'!M370/'Final Data-US$'!L370-1</f>
        <v>#DIV/0!</v>
      </c>
      <c r="N436" s="104" t="e">
        <f>'Final Data-US$'!N370/'Final Data-US$'!M370-1</f>
        <v>#DIV/0!</v>
      </c>
      <c r="O436" s="103" t="e">
        <f>'Final Data-US$'!O370/'Final Data-US$'!N370-1</f>
        <v>#DIV/0!</v>
      </c>
      <c r="P436" s="103" t="e">
        <f>'Final Data-US$'!P370/'Final Data-US$'!O370-1</f>
        <v>#DIV/0!</v>
      </c>
      <c r="Q436" s="103" t="e">
        <f>'Final Data-US$'!Q370/'Final Data-US$'!P370-1</f>
        <v>#DIV/0!</v>
      </c>
      <c r="R436" s="103" t="e">
        <f>'Final Data-US$'!R370/'Final Data-US$'!Q370-1</f>
        <v>#DIV/0!</v>
      </c>
      <c r="S436" s="103" t="e">
        <f>'Final Data-US$'!S370/'Final Data-US$'!R370-1</f>
        <v>#DIV/0!</v>
      </c>
      <c r="T436" s="103" t="e">
        <f>'Final Data-US$'!T370/'Final Data-US$'!S370-1</f>
        <v>#DIV/0!</v>
      </c>
      <c r="U436" s="103" t="e">
        <f>'Final Data-US$'!U370/'Final Data-US$'!T370-1</f>
        <v>#DIV/0!</v>
      </c>
      <c r="V436" s="103" t="e">
        <f>'Final Data-US$'!V370/'Final Data-US$'!U370-1</f>
        <v>#DIV/0!</v>
      </c>
      <c r="W436" s="102" t="e">
        <f>'Final Data-US$'!W370</f>
        <v>#DIV/0!</v>
      </c>
      <c r="X436" s="102" t="e">
        <f>'Final Data-US$'!X370</f>
        <v>#DIV/0!</v>
      </c>
    </row>
    <row r="437" spans="1:24">
      <c r="A437" s="46" t="str">
        <f>'Secondary cum Calculation'!A802</f>
        <v>Poland</v>
      </c>
      <c r="B437" s="47" t="str">
        <f>'Secondary cum Calculation'!B802</f>
        <v>Tourism Flows</v>
      </c>
      <c r="C437" s="47" t="str">
        <f>'Secondary cum Calculation'!C802</f>
        <v>International Departures by Destination</v>
      </c>
      <c r="D437" s="47" t="str">
        <f>'Secondary cum Calculation'!D802</f>
        <v>Asia-Pacific</v>
      </c>
      <c r="E437" s="46" t="str">
        <f>'Secondary cum Calculation'!E802</f>
        <v>Turkmenistan</v>
      </c>
      <c r="F437" s="48" t="str">
        <f>'Secondary cum Calculation'!F802</f>
        <v>The number of international departures from a country to Turkmenistan</v>
      </c>
      <c r="G437" s="48" t="str">
        <f>'Secondary cum Calculation'!G802</f>
        <v>Tourism Demand &amp; Flows Database</v>
      </c>
      <c r="H437" s="48" t="str">
        <f>'Secondary cum Calculation'!H802</f>
        <v>New</v>
      </c>
      <c r="I437" s="48">
        <f>'Secondary cum Calculation'!I802</f>
        <v>0</v>
      </c>
      <c r="J437" s="48" t="str">
        <f>'Secondary cum Calculation'!J802</f>
        <v>Thousand</v>
      </c>
      <c r="K437" s="49">
        <f>'Secondary cum Calculation'!K802</f>
        <v>0</v>
      </c>
      <c r="L437" s="92"/>
      <c r="M437" s="104" t="e">
        <f>'Final Data-US$'!M371/'Final Data-US$'!L371-1</f>
        <v>#DIV/0!</v>
      </c>
      <c r="N437" s="104" t="e">
        <f>'Final Data-US$'!N371/'Final Data-US$'!M371-1</f>
        <v>#DIV/0!</v>
      </c>
      <c r="O437" s="51" t="e">
        <f>'Final Data-US$'!O371/'Final Data-US$'!N371-1</f>
        <v>#DIV/0!</v>
      </c>
      <c r="P437" s="51" t="e">
        <f>'Final Data-US$'!P371/'Final Data-US$'!O371-1</f>
        <v>#DIV/0!</v>
      </c>
      <c r="Q437" s="51" t="e">
        <f>'Final Data-US$'!Q371/'Final Data-US$'!P371-1</f>
        <v>#DIV/0!</v>
      </c>
      <c r="R437" s="51" t="e">
        <f>'Final Data-US$'!R371/'Final Data-US$'!Q371-1</f>
        <v>#DIV/0!</v>
      </c>
      <c r="S437" s="51" t="e">
        <f>'Final Data-US$'!S371/'Final Data-US$'!R371-1</f>
        <v>#DIV/0!</v>
      </c>
      <c r="T437" s="51" t="e">
        <f>'Final Data-US$'!T371/'Final Data-US$'!S371-1</f>
        <v>#DIV/0!</v>
      </c>
      <c r="U437" s="51" t="e">
        <f>'Final Data-US$'!U371/'Final Data-US$'!T371-1</f>
        <v>#DIV/0!</v>
      </c>
      <c r="V437" s="51" t="e">
        <f>'Final Data-US$'!V371/'Final Data-US$'!U371-1</f>
        <v>#DIV/0!</v>
      </c>
      <c r="W437" s="102" t="e">
        <f>'Final Data-US$'!W371</f>
        <v>#DIV/0!</v>
      </c>
      <c r="X437" s="102" t="e">
        <f>'Final Data-US$'!X371</f>
        <v>#DIV/0!</v>
      </c>
    </row>
    <row r="438" spans="1:24">
      <c r="A438" s="46" t="str">
        <f>'Secondary cum Calculation'!A804</f>
        <v>Poland</v>
      </c>
      <c r="B438" s="47" t="str">
        <f>'Secondary cum Calculation'!B804</f>
        <v>Tourism Flows</v>
      </c>
      <c r="C438" s="47" t="str">
        <f>'Secondary cum Calculation'!C804</f>
        <v>International Departures by Destination</v>
      </c>
      <c r="D438" s="47" t="str">
        <f>'Secondary cum Calculation'!D804</f>
        <v>Asia-Pacific</v>
      </c>
      <c r="E438" s="46" t="str">
        <f>'Secondary cum Calculation'!E804</f>
        <v>Uzbekistan</v>
      </c>
      <c r="F438" s="48" t="str">
        <f>'Secondary cum Calculation'!F804</f>
        <v>The number of international departures from a country to Uzbekistan</v>
      </c>
      <c r="G438" s="48" t="str">
        <f>'Secondary cum Calculation'!G804</f>
        <v>Tourism Demand &amp; Flows Database</v>
      </c>
      <c r="H438" s="48" t="str">
        <f>'Secondary cum Calculation'!H804</f>
        <v>New</v>
      </c>
      <c r="I438" s="48">
        <f>'Secondary cum Calculation'!I804</f>
        <v>0</v>
      </c>
      <c r="J438" s="48" t="str">
        <f>'Secondary cum Calculation'!J804</f>
        <v>Thousand</v>
      </c>
      <c r="K438" s="49">
        <f>'Secondary cum Calculation'!K804</f>
        <v>0</v>
      </c>
      <c r="L438" s="92"/>
      <c r="M438" s="104" t="e">
        <f>'Final Data-US$'!M372/'Final Data-US$'!L372-1</f>
        <v>#DIV/0!</v>
      </c>
      <c r="N438" s="104" t="e">
        <f>'Final Data-US$'!N372/'Final Data-US$'!M372-1</f>
        <v>#DIV/0!</v>
      </c>
      <c r="O438" s="51" t="e">
        <f>'Final Data-US$'!O372/'Final Data-US$'!N372-1</f>
        <v>#DIV/0!</v>
      </c>
      <c r="P438" s="51" t="e">
        <f>'Final Data-US$'!P372/'Final Data-US$'!O372-1</f>
        <v>#DIV/0!</v>
      </c>
      <c r="Q438" s="51" t="e">
        <f>'Final Data-US$'!Q372/'Final Data-US$'!P372-1</f>
        <v>#DIV/0!</v>
      </c>
      <c r="R438" s="51" t="e">
        <f>'Final Data-US$'!R372/'Final Data-US$'!Q372-1</f>
        <v>#DIV/0!</v>
      </c>
      <c r="S438" s="51" t="e">
        <f>'Final Data-US$'!S372/'Final Data-US$'!R372-1</f>
        <v>#DIV/0!</v>
      </c>
      <c r="T438" s="51" t="e">
        <f>'Final Data-US$'!T372/'Final Data-US$'!S372-1</f>
        <v>#DIV/0!</v>
      </c>
      <c r="U438" s="51" t="e">
        <f>'Final Data-US$'!U372/'Final Data-US$'!T372-1</f>
        <v>#DIV/0!</v>
      </c>
      <c r="V438" s="51" t="e">
        <f>'Final Data-US$'!V372/'Final Data-US$'!U372-1</f>
        <v>#DIV/0!</v>
      </c>
      <c r="W438" s="102" t="e">
        <f>'Final Data-US$'!W372</f>
        <v>#DIV/0!</v>
      </c>
      <c r="X438" s="102" t="e">
        <f>'Final Data-US$'!X372</f>
        <v>#DIV/0!</v>
      </c>
    </row>
    <row r="439" spans="1:24">
      <c r="A439" s="46" t="str">
        <f>'Secondary cum Calculation'!A806</f>
        <v>Poland</v>
      </c>
      <c r="B439" s="47" t="str">
        <f>'Secondary cum Calculation'!B806</f>
        <v>Tourism Flows</v>
      </c>
      <c r="C439" s="47" t="str">
        <f>'Secondary cum Calculation'!C806</f>
        <v>International Departures by Destination</v>
      </c>
      <c r="D439" s="47" t="str">
        <f>'Secondary cum Calculation'!D806</f>
        <v>Asia-Pacific</v>
      </c>
      <c r="E439" s="46" t="str">
        <f>'Secondary cum Calculation'!E806</f>
        <v>Vanuatu</v>
      </c>
      <c r="F439" s="48" t="str">
        <f>'Secondary cum Calculation'!F806</f>
        <v>The number of international departures from a country to Vanuatu</v>
      </c>
      <c r="G439" s="48" t="str">
        <f>'Secondary cum Calculation'!G806</f>
        <v>Tourism Demand &amp; Flows Database</v>
      </c>
      <c r="H439" s="48" t="str">
        <f>'Secondary cum Calculation'!H806</f>
        <v>New</v>
      </c>
      <c r="I439" s="48">
        <f>'Secondary cum Calculation'!I806</f>
        <v>0</v>
      </c>
      <c r="J439" s="48" t="str">
        <f>'Secondary cum Calculation'!J806</f>
        <v>Thousand</v>
      </c>
      <c r="K439" s="49">
        <f>'Secondary cum Calculation'!K806</f>
        <v>0</v>
      </c>
      <c r="L439" s="92"/>
      <c r="M439" s="104" t="e">
        <f>'Final Data-US$'!M373/'Final Data-US$'!L373-1</f>
        <v>#DIV/0!</v>
      </c>
      <c r="N439" s="104" t="e">
        <f>'Final Data-US$'!N373/'Final Data-US$'!M373-1</f>
        <v>#DIV/0!</v>
      </c>
      <c r="O439" s="105" t="e">
        <f>'Final Data-US$'!O373/'Final Data-US$'!N373-1</f>
        <v>#DIV/0!</v>
      </c>
      <c r="P439" s="105" t="e">
        <f>'Final Data-US$'!P373/'Final Data-US$'!O373-1</f>
        <v>#DIV/0!</v>
      </c>
      <c r="Q439" s="105" t="e">
        <f>'Final Data-US$'!Q373/'Final Data-US$'!P373-1</f>
        <v>#DIV/0!</v>
      </c>
      <c r="R439" s="105" t="e">
        <f>'Final Data-US$'!R373/'Final Data-US$'!Q373-1</f>
        <v>#DIV/0!</v>
      </c>
      <c r="S439" s="105" t="e">
        <f>'Final Data-US$'!S373/'Final Data-US$'!R373-1</f>
        <v>#DIV/0!</v>
      </c>
      <c r="T439" s="105" t="e">
        <f>'Final Data-US$'!T373/'Final Data-US$'!S373-1</f>
        <v>#DIV/0!</v>
      </c>
      <c r="U439" s="105" t="e">
        <f>'Final Data-US$'!U373/'Final Data-US$'!T373-1</f>
        <v>#DIV/0!</v>
      </c>
      <c r="V439" s="105" t="e">
        <f>'Final Data-US$'!V373/'Final Data-US$'!U373-1</f>
        <v>#DIV/0!</v>
      </c>
      <c r="W439" s="102" t="e">
        <f>'Final Data-US$'!W373</f>
        <v>#DIV/0!</v>
      </c>
      <c r="X439" s="102" t="e">
        <f>'Final Data-US$'!X373</f>
        <v>#DIV/0!</v>
      </c>
    </row>
    <row r="440" spans="1:24">
      <c r="A440" s="46" t="str">
        <f>'Secondary cum Calculation'!A808</f>
        <v>Poland</v>
      </c>
      <c r="B440" s="47" t="str">
        <f>'Secondary cum Calculation'!B808</f>
        <v>Tourism Flows</v>
      </c>
      <c r="C440" s="47" t="str">
        <f>'Secondary cum Calculation'!C808</f>
        <v>International Departures by Destination</v>
      </c>
      <c r="D440" s="47" t="str">
        <f>'Secondary cum Calculation'!D808</f>
        <v>Asia-Pacific</v>
      </c>
      <c r="E440" s="46" t="str">
        <f>'Secondary cum Calculation'!E808</f>
        <v>Vietnam</v>
      </c>
      <c r="F440" s="48" t="str">
        <f>'Secondary cum Calculation'!F808</f>
        <v>The number of international departures from a country to Vietnam</v>
      </c>
      <c r="G440" s="48" t="str">
        <f>'Secondary cum Calculation'!G808</f>
        <v>Tourism Demand &amp; Flows Database</v>
      </c>
      <c r="H440" s="48" t="str">
        <f>'Secondary cum Calculation'!H808</f>
        <v>New</v>
      </c>
      <c r="I440" s="48">
        <f>'Secondary cum Calculation'!I808</f>
        <v>0</v>
      </c>
      <c r="J440" s="48" t="str">
        <f>'Secondary cum Calculation'!J808</f>
        <v>Thousand</v>
      </c>
      <c r="K440" s="49">
        <f>'Secondary cum Calculation'!K808</f>
        <v>181</v>
      </c>
      <c r="L440" s="53"/>
      <c r="M440" s="51" t="e">
        <f>'Final Data-US$'!M374/'Final Data-US$'!L374-1</f>
        <v>#DIV/0!</v>
      </c>
      <c r="N440" s="51" t="e">
        <f>'Final Data-US$'!N374/'Final Data-US$'!M374-1</f>
        <v>#DIV/0!</v>
      </c>
      <c r="O440" s="51" t="e">
        <f>'Final Data-US$'!O374/'Final Data-US$'!N374-1</f>
        <v>#DIV/0!</v>
      </c>
      <c r="P440" s="51" t="e">
        <f>'Final Data-US$'!P374/'Final Data-US$'!O374-1</f>
        <v>#DIV/0!</v>
      </c>
      <c r="Q440" s="51" t="e">
        <f>'Final Data-US$'!Q374/'Final Data-US$'!P374-1</f>
        <v>#DIV/0!</v>
      </c>
      <c r="R440" s="51" t="e">
        <f>'Final Data-US$'!R374/'Final Data-US$'!Q374-1</f>
        <v>#DIV/0!</v>
      </c>
      <c r="S440" s="51" t="e">
        <f>'Final Data-US$'!S374/'Final Data-US$'!R374-1</f>
        <v>#DIV/0!</v>
      </c>
      <c r="T440" s="51" t="e">
        <f>'Final Data-US$'!T374/'Final Data-US$'!S374-1</f>
        <v>#DIV/0!</v>
      </c>
      <c r="U440" s="51" t="e">
        <f>'Final Data-US$'!U374/'Final Data-US$'!T374-1</f>
        <v>#DIV/0!</v>
      </c>
      <c r="V440" s="51" t="e">
        <f>'Final Data-US$'!V374/'Final Data-US$'!U374-1</f>
        <v>#DIV/0!</v>
      </c>
      <c r="W440" s="102" t="e">
        <f>'Final Data-US$'!W374</f>
        <v>#DIV/0!</v>
      </c>
      <c r="X440" s="102" t="e">
        <f>'Final Data-US$'!X374</f>
        <v>#DIV/0!</v>
      </c>
    </row>
    <row r="441" spans="1:24">
      <c r="A441" s="46" t="str">
        <f>'Secondary cum Calculation'!A810</f>
        <v>Poland</v>
      </c>
      <c r="B441" s="47" t="str">
        <f>'Secondary cum Calculation'!B810</f>
        <v>Tourism Flows</v>
      </c>
      <c r="C441" s="47" t="str">
        <f>'Secondary cum Calculation'!C810</f>
        <v>International Departures by Destination</v>
      </c>
      <c r="D441" s="94" t="str">
        <f>'Secondary cum Calculation'!D810</f>
        <v>Asia-Pacific</v>
      </c>
      <c r="E441" s="95" t="str">
        <f>'Secondary cum Calculation'!E810</f>
        <v>Other Asia-Pacific Countries</v>
      </c>
      <c r="F441" s="94" t="str">
        <f>'Secondary cum Calculation'!F810</f>
        <v>To be defined according to the gaps in the country data above</v>
      </c>
      <c r="G441" s="48">
        <f>'Secondary cum Calculation'!G810</f>
        <v>0</v>
      </c>
      <c r="H441" s="48">
        <f>'Secondary cum Calculation'!H810</f>
        <v>0</v>
      </c>
      <c r="I441" s="48">
        <f>'Secondary cum Calculation'!I810</f>
        <v>0</v>
      </c>
      <c r="J441" s="48" t="str">
        <f>'Secondary cum Calculation'!J810</f>
        <v>Thousand</v>
      </c>
      <c r="K441" s="49">
        <f>'Secondary cum Calculation'!K810</f>
        <v>0</v>
      </c>
      <c r="L441" s="53"/>
      <c r="M441" s="51">
        <f>'Final Data-US$'!M375/'Final Data-US$'!L375-1</f>
        <v>2.8031507099971931E-2</v>
      </c>
      <c r="N441" s="51">
        <f>'Final Data-US$'!N375/'Final Data-US$'!M375-1</f>
        <v>-5.4983122239889992E-3</v>
      </c>
      <c r="O441" s="51">
        <f>'Final Data-US$'!O375/'Final Data-US$'!N375-1</f>
        <v>5.5742898975922328E-2</v>
      </c>
      <c r="P441" s="51">
        <f>'Final Data-US$'!P375/'Final Data-US$'!O375-1</f>
        <v>0.12970924496478387</v>
      </c>
      <c r="Q441" s="51">
        <f>'Final Data-US$'!Q375/'Final Data-US$'!P375-1</f>
        <v>6.1259419300060847E-2</v>
      </c>
      <c r="R441" s="51">
        <f>'Final Data-US$'!R375/'Final Data-US$'!Q375-1</f>
        <v>-1</v>
      </c>
      <c r="S441" s="51" t="e">
        <f>'Final Data-US$'!S375/'Final Data-US$'!R375-1</f>
        <v>#DIV/0!</v>
      </c>
      <c r="T441" s="51" t="e">
        <f>'Final Data-US$'!T375/'Final Data-US$'!S375-1</f>
        <v>#DIV/0!</v>
      </c>
      <c r="U441" s="51" t="e">
        <f>'Final Data-US$'!U375/'Final Data-US$'!T375-1</f>
        <v>#DIV/0!</v>
      </c>
      <c r="V441" s="51" t="e">
        <f>'Final Data-US$'!V375/'Final Data-US$'!U375-1</f>
        <v>#DIV/0!</v>
      </c>
      <c r="W441" s="102">
        <f>'Final Data-US$'!W375</f>
        <v>5.9224417204696289E-2</v>
      </c>
      <c r="X441" s="102">
        <f>'Final Data-US$'!X375</f>
        <v>-1</v>
      </c>
    </row>
    <row r="442" spans="1:24">
      <c r="A442" s="46" t="str">
        <f>'Secondary cum Calculation'!A812</f>
        <v>Poland</v>
      </c>
      <c r="B442" s="47" t="str">
        <f>'Secondary cum Calculation'!B812</f>
        <v>Tourism Flows</v>
      </c>
      <c r="C442" s="47" t="str">
        <f>'Secondary cum Calculation'!C812</f>
        <v>International Departures by Destination</v>
      </c>
      <c r="D442" s="46" t="str">
        <f>'Secondary cum Calculation'!D812</f>
        <v>Europe</v>
      </c>
      <c r="E442" s="48"/>
      <c r="F442" s="48" t="str">
        <f>'Secondary cum Calculation'!F812</f>
        <v>The number of international departures from a country to Europe</v>
      </c>
      <c r="G442" s="48" t="str">
        <f>'Secondary cum Calculation'!G812</f>
        <v>Tourism Demand &amp; Flows Database</v>
      </c>
      <c r="H442" s="48" t="str">
        <f>'Secondary cum Calculation'!H812</f>
        <v>New</v>
      </c>
      <c r="I442" s="48">
        <f>'Secondary cum Calculation'!I812</f>
        <v>0</v>
      </c>
      <c r="J442" s="48" t="str">
        <f>'Secondary cum Calculation'!J812</f>
        <v>Thousand</v>
      </c>
      <c r="K442" s="76">
        <f>'Secondary cum Calculation'!K812</f>
        <v>7446</v>
      </c>
      <c r="L442" s="91"/>
      <c r="M442" s="78">
        <f>'Final Data-US$'!M376/'Final Data-US$'!L376-1</f>
        <v>9.9383908975458679E-2</v>
      </c>
      <c r="N442" s="78">
        <f>'Final Data-US$'!N376/'Final Data-US$'!M376-1</f>
        <v>-0.17466788668416244</v>
      </c>
      <c r="O442" s="78">
        <f>'Final Data-US$'!O376/'Final Data-US$'!N376-1</f>
        <v>0.13668148228012211</v>
      </c>
      <c r="P442" s="78">
        <f>'Final Data-US$'!P376/'Final Data-US$'!O376-1</f>
        <v>-0.12302668851666787</v>
      </c>
      <c r="Q442" s="78">
        <f>'Final Data-US$'!Q376/'Final Data-US$'!P376-1</f>
        <v>-2.4783994525218289E-2</v>
      </c>
      <c r="R442" s="78">
        <f>'Final Data-US$'!R376/'Final Data-US$'!Q376-1</f>
        <v>9.4345506813824365E-3</v>
      </c>
      <c r="S442" s="78">
        <f>'Final Data-US$'!S376/'Final Data-US$'!R376-1</f>
        <v>1.4464511035579664E-2</v>
      </c>
      <c r="T442" s="78">
        <f>'Final Data-US$'!T376/'Final Data-US$'!S376-1</f>
        <v>5.0662858643744091E-3</v>
      </c>
      <c r="U442" s="78">
        <f>'Final Data-US$'!U376/'Final Data-US$'!T376-1</f>
        <v>1.0012894380151183E-2</v>
      </c>
      <c r="V442" s="78">
        <f>'Final Data-US$'!V376/'Final Data-US$'!U376-1</f>
        <v>8.1208690556984209E-3</v>
      </c>
      <c r="W442" s="102">
        <f>'Final Data-US$'!W376</f>
        <v>-5.3569600458166833E-2</v>
      </c>
      <c r="X442" s="102">
        <f>'Final Data-US$'!X376</f>
        <v>9.4152242354252902E-3</v>
      </c>
    </row>
    <row r="443" spans="1:24">
      <c r="A443" s="46" t="str">
        <f>'Secondary cum Calculation'!A814</f>
        <v>Poland</v>
      </c>
      <c r="B443" s="47" t="str">
        <f>'Secondary cum Calculation'!B814</f>
        <v>Tourism Flows</v>
      </c>
      <c r="C443" s="47" t="str">
        <f>'Secondary cum Calculation'!C814</f>
        <v>International Departures by Destination</v>
      </c>
      <c r="D443" s="47" t="str">
        <f>'Secondary cum Calculation'!D814</f>
        <v>Europe</v>
      </c>
      <c r="E443" s="46" t="str">
        <f>'Secondary cum Calculation'!E814</f>
        <v>Albania</v>
      </c>
      <c r="F443" s="48" t="str">
        <f>'Secondary cum Calculation'!F814</f>
        <v>The number of international departures from a country to Albania</v>
      </c>
      <c r="G443" s="48" t="str">
        <f>'Secondary cum Calculation'!G814</f>
        <v>Tourism Demand &amp; Flows Database</v>
      </c>
      <c r="H443" s="48" t="str">
        <f>'Secondary cum Calculation'!H814</f>
        <v>New</v>
      </c>
      <c r="I443" s="48">
        <f>'Secondary cum Calculation'!I814</f>
        <v>0</v>
      </c>
      <c r="J443" s="48" t="str">
        <f>'Secondary cum Calculation'!J814</f>
        <v>Thousand</v>
      </c>
      <c r="K443" s="49">
        <f>'Secondary cum Calculation'!K814</f>
        <v>0</v>
      </c>
      <c r="L443" s="92"/>
      <c r="M443" s="104" t="e">
        <f>'Final Data-US$'!M377/'Final Data-US$'!L377-1</f>
        <v>#DIV/0!</v>
      </c>
      <c r="N443" s="104" t="e">
        <f>'Final Data-US$'!N377/'Final Data-US$'!M377-1</f>
        <v>#DIV/0!</v>
      </c>
      <c r="O443" s="51" t="e">
        <f>'Final Data-US$'!O377/'Final Data-US$'!N377-1</f>
        <v>#DIV/0!</v>
      </c>
      <c r="P443" s="51" t="e">
        <f>'Final Data-US$'!P377/'Final Data-US$'!O377-1</f>
        <v>#DIV/0!</v>
      </c>
      <c r="Q443" s="51" t="e">
        <f>'Final Data-US$'!Q377/'Final Data-US$'!P377-1</f>
        <v>#DIV/0!</v>
      </c>
      <c r="R443" s="51" t="e">
        <f>'Final Data-US$'!R377/'Final Data-US$'!Q377-1</f>
        <v>#DIV/0!</v>
      </c>
      <c r="S443" s="51" t="e">
        <f>'Final Data-US$'!S377/'Final Data-US$'!R377-1</f>
        <v>#DIV/0!</v>
      </c>
      <c r="T443" s="51" t="e">
        <f>'Final Data-US$'!T377/'Final Data-US$'!S377-1</f>
        <v>#DIV/0!</v>
      </c>
      <c r="U443" s="51" t="e">
        <f>'Final Data-US$'!U377/'Final Data-US$'!T377-1</f>
        <v>#DIV/0!</v>
      </c>
      <c r="V443" s="51" t="e">
        <f>'Final Data-US$'!V377/'Final Data-US$'!U377-1</f>
        <v>#DIV/0!</v>
      </c>
      <c r="W443" s="102" t="e">
        <f>'Final Data-US$'!W377</f>
        <v>#DIV/0!</v>
      </c>
      <c r="X443" s="102" t="e">
        <f>'Final Data-US$'!X377</f>
        <v>#DIV/0!</v>
      </c>
    </row>
    <row r="444" spans="1:24">
      <c r="A444" s="46" t="str">
        <f>'Secondary cum Calculation'!A816</f>
        <v>Poland</v>
      </c>
      <c r="B444" s="47" t="str">
        <f>'Secondary cum Calculation'!B816</f>
        <v>Tourism Flows</v>
      </c>
      <c r="C444" s="47" t="str">
        <f>'Secondary cum Calculation'!C816</f>
        <v>International Departures by Destination</v>
      </c>
      <c r="D444" s="47" t="str">
        <f>'Secondary cum Calculation'!D816</f>
        <v>Europe</v>
      </c>
      <c r="E444" s="46" t="str">
        <f>'Secondary cum Calculation'!E816</f>
        <v>Armenia</v>
      </c>
      <c r="F444" s="48" t="str">
        <f>'Secondary cum Calculation'!F816</f>
        <v>The number of international departures from a country to Armenia</v>
      </c>
      <c r="G444" s="48" t="str">
        <f>'Secondary cum Calculation'!G816</f>
        <v>Tourism Demand &amp; Flows Database</v>
      </c>
      <c r="H444" s="48" t="str">
        <f>'Secondary cum Calculation'!H816</f>
        <v>New</v>
      </c>
      <c r="I444" s="48">
        <f>'Secondary cum Calculation'!I816</f>
        <v>0</v>
      </c>
      <c r="J444" s="48" t="str">
        <f>'Secondary cum Calculation'!J816</f>
        <v>Thousand</v>
      </c>
      <c r="K444" s="49">
        <f>'Secondary cum Calculation'!K816</f>
        <v>0</v>
      </c>
      <c r="L444" s="92"/>
      <c r="M444" s="104" t="e">
        <f>'Final Data-US$'!M378/'Final Data-US$'!L378-1</f>
        <v>#DIV/0!</v>
      </c>
      <c r="N444" s="104" t="e">
        <f>'Final Data-US$'!N378/'Final Data-US$'!M378-1</f>
        <v>#DIV/0!</v>
      </c>
      <c r="O444" s="103" t="e">
        <f>'Final Data-US$'!O378/'Final Data-US$'!N378-1</f>
        <v>#DIV/0!</v>
      </c>
      <c r="P444" s="103" t="e">
        <f>'Final Data-US$'!P378/'Final Data-US$'!O378-1</f>
        <v>#DIV/0!</v>
      </c>
      <c r="Q444" s="103" t="e">
        <f>'Final Data-US$'!Q378/'Final Data-US$'!P378-1</f>
        <v>#DIV/0!</v>
      </c>
      <c r="R444" s="103" t="e">
        <f>'Final Data-US$'!R378/'Final Data-US$'!Q378-1</f>
        <v>#DIV/0!</v>
      </c>
      <c r="S444" s="103" t="e">
        <f>'Final Data-US$'!S378/'Final Data-US$'!R378-1</f>
        <v>#DIV/0!</v>
      </c>
      <c r="T444" s="103" t="e">
        <f>'Final Data-US$'!T378/'Final Data-US$'!S378-1</f>
        <v>#DIV/0!</v>
      </c>
      <c r="U444" s="103" t="e">
        <f>'Final Data-US$'!U378/'Final Data-US$'!T378-1</f>
        <v>#DIV/0!</v>
      </c>
      <c r="V444" s="103" t="e">
        <f>'Final Data-US$'!V378/'Final Data-US$'!U378-1</f>
        <v>#DIV/0!</v>
      </c>
      <c r="W444" s="102" t="e">
        <f>'Final Data-US$'!W378</f>
        <v>#DIV/0!</v>
      </c>
      <c r="X444" s="102" t="e">
        <f>'Final Data-US$'!X378</f>
        <v>#DIV/0!</v>
      </c>
    </row>
    <row r="445" spans="1:24">
      <c r="A445" s="46" t="str">
        <f>'Secondary cum Calculation'!A818</f>
        <v>Poland</v>
      </c>
      <c r="B445" s="47" t="str">
        <f>'Secondary cum Calculation'!B818</f>
        <v>Tourism Flows</v>
      </c>
      <c r="C445" s="47" t="str">
        <f>'Secondary cum Calculation'!C818</f>
        <v>International Departures by Destination</v>
      </c>
      <c r="D445" s="47" t="str">
        <f>'Secondary cum Calculation'!D818</f>
        <v>Europe</v>
      </c>
      <c r="E445" s="46" t="str">
        <f>'Secondary cum Calculation'!E818</f>
        <v>Austria</v>
      </c>
      <c r="F445" s="48" t="str">
        <f>'Secondary cum Calculation'!F818</f>
        <v>The number of international departures from a country to Austria</v>
      </c>
      <c r="G445" s="48" t="str">
        <f>'Secondary cum Calculation'!G818</f>
        <v>Tourism Demand &amp; Flows Database</v>
      </c>
      <c r="H445" s="48" t="str">
        <f>'Secondary cum Calculation'!H818</f>
        <v>New</v>
      </c>
      <c r="I445" s="48">
        <f>'Secondary cum Calculation'!I818</f>
        <v>0</v>
      </c>
      <c r="J445" s="48" t="str">
        <f>'Secondary cum Calculation'!J818</f>
        <v>Thousand</v>
      </c>
      <c r="K445" s="49">
        <f>'Secondary cum Calculation'!K818</f>
        <v>0</v>
      </c>
      <c r="L445" s="53"/>
      <c r="M445" s="51">
        <f>'Final Data-US$'!M379/'Final Data-US$'!L379-1</f>
        <v>-5.6603773584905648E-2</v>
      </c>
      <c r="N445" s="51">
        <f>'Final Data-US$'!N379/'Final Data-US$'!M379-1</f>
        <v>0.31600000000000006</v>
      </c>
      <c r="O445" s="51">
        <f>'Final Data-US$'!O379/'Final Data-US$'!N379-1</f>
        <v>-0.45288753799392101</v>
      </c>
      <c r="P445" s="51">
        <f>'Final Data-US$'!P379/'Final Data-US$'!O379-1</f>
        <v>-0.18888888888888888</v>
      </c>
      <c r="Q445" s="51">
        <f>'Final Data-US$'!Q379/'Final Data-US$'!P379-1</f>
        <v>-0.13759587936446316</v>
      </c>
      <c r="R445" s="51">
        <f>'Final Data-US$'!R379/'Final Data-US$'!Q379-1</f>
        <v>-1</v>
      </c>
      <c r="S445" s="51" t="e">
        <f>'Final Data-US$'!S379/'Final Data-US$'!R379-1</f>
        <v>#DIV/0!</v>
      </c>
      <c r="T445" s="51" t="e">
        <f>'Final Data-US$'!T379/'Final Data-US$'!S379-1</f>
        <v>#DIV/0!</v>
      </c>
      <c r="U445" s="51" t="e">
        <f>'Final Data-US$'!U379/'Final Data-US$'!T379-1</f>
        <v>#DIV/0!</v>
      </c>
      <c r="V445" s="51" t="e">
        <f>'Final Data-US$'!V379/'Final Data-US$'!U379-1</f>
        <v>#DIV/0!</v>
      </c>
      <c r="W445" s="102">
        <f>'Final Data-US$'!W379</f>
        <v>-0.15757563833286015</v>
      </c>
      <c r="X445" s="102">
        <f>'Final Data-US$'!X379</f>
        <v>-1</v>
      </c>
    </row>
    <row r="446" spans="1:24">
      <c r="A446" s="46" t="str">
        <f>'Secondary cum Calculation'!A820</f>
        <v>Poland</v>
      </c>
      <c r="B446" s="47" t="str">
        <f>'Secondary cum Calculation'!B820</f>
        <v>Tourism Flows</v>
      </c>
      <c r="C446" s="47" t="str">
        <f>'Secondary cum Calculation'!C820</f>
        <v>International Departures by Destination</v>
      </c>
      <c r="D446" s="47" t="str">
        <f>'Secondary cum Calculation'!D820</f>
        <v>Europe</v>
      </c>
      <c r="E446" s="46" t="str">
        <f>'Secondary cum Calculation'!E820</f>
        <v>Belarus</v>
      </c>
      <c r="F446" s="48" t="str">
        <f>'Secondary cum Calculation'!F820</f>
        <v>The number of international departures from a country to Belarus</v>
      </c>
      <c r="G446" s="48" t="str">
        <f>'Secondary cum Calculation'!G820</f>
        <v>Tourism Demand &amp; Flows Database</v>
      </c>
      <c r="H446" s="48" t="str">
        <f>'Secondary cum Calculation'!H820</f>
        <v>New</v>
      </c>
      <c r="I446" s="48">
        <f>'Secondary cum Calculation'!I820</f>
        <v>0</v>
      </c>
      <c r="J446" s="48" t="str">
        <f>'Secondary cum Calculation'!J820</f>
        <v>Thousand</v>
      </c>
      <c r="K446" s="49">
        <f>'Secondary cum Calculation'!K820</f>
        <v>0</v>
      </c>
      <c r="L446" s="92"/>
      <c r="M446" s="104" t="e">
        <f>'Final Data-US$'!M380/'Final Data-US$'!L380-1</f>
        <v>#DIV/0!</v>
      </c>
      <c r="N446" s="104" t="e">
        <f>'Final Data-US$'!N380/'Final Data-US$'!M380-1</f>
        <v>#DIV/0!</v>
      </c>
      <c r="O446" s="51" t="e">
        <f>'Final Data-US$'!O380/'Final Data-US$'!N380-1</f>
        <v>#DIV/0!</v>
      </c>
      <c r="P446" s="51" t="e">
        <f>'Final Data-US$'!P380/'Final Data-US$'!O380-1</f>
        <v>#DIV/0!</v>
      </c>
      <c r="Q446" s="51" t="e">
        <f>'Final Data-US$'!Q380/'Final Data-US$'!P380-1</f>
        <v>#DIV/0!</v>
      </c>
      <c r="R446" s="51" t="e">
        <f>'Final Data-US$'!R380/'Final Data-US$'!Q380-1</f>
        <v>#DIV/0!</v>
      </c>
      <c r="S446" s="51" t="e">
        <f>'Final Data-US$'!S380/'Final Data-US$'!R380-1</f>
        <v>#DIV/0!</v>
      </c>
      <c r="T446" s="51" t="e">
        <f>'Final Data-US$'!T380/'Final Data-US$'!S380-1</f>
        <v>#DIV/0!</v>
      </c>
      <c r="U446" s="51" t="e">
        <f>'Final Data-US$'!U380/'Final Data-US$'!T380-1</f>
        <v>#DIV/0!</v>
      </c>
      <c r="V446" s="51" t="e">
        <f>'Final Data-US$'!V380/'Final Data-US$'!U380-1</f>
        <v>#DIV/0!</v>
      </c>
      <c r="W446" s="102" t="e">
        <f>'Final Data-US$'!W380</f>
        <v>#DIV/0!</v>
      </c>
      <c r="X446" s="102" t="e">
        <f>'Final Data-US$'!X380</f>
        <v>#DIV/0!</v>
      </c>
    </row>
    <row r="447" spans="1:24">
      <c r="A447" s="46" t="str">
        <f>'Secondary cum Calculation'!A822</f>
        <v>Poland</v>
      </c>
      <c r="B447" s="47" t="str">
        <f>'Secondary cum Calculation'!B822</f>
        <v>Tourism Flows</v>
      </c>
      <c r="C447" s="47" t="str">
        <f>'Secondary cum Calculation'!C822</f>
        <v>International Departures by Destination</v>
      </c>
      <c r="D447" s="47" t="str">
        <f>'Secondary cum Calculation'!D822</f>
        <v>Europe</v>
      </c>
      <c r="E447" s="46" t="str">
        <f>'Secondary cum Calculation'!E822</f>
        <v>Belgium</v>
      </c>
      <c r="F447" s="48" t="str">
        <f>'Secondary cum Calculation'!F822</f>
        <v>The number of international departures from a country to Belgium</v>
      </c>
      <c r="G447" s="48" t="str">
        <f>'Secondary cum Calculation'!G822</f>
        <v>Tourism Demand &amp; Flows Database</v>
      </c>
      <c r="H447" s="48" t="str">
        <f>'Secondary cum Calculation'!H822</f>
        <v>New</v>
      </c>
      <c r="I447" s="48">
        <f>'Secondary cum Calculation'!I822</f>
        <v>0</v>
      </c>
      <c r="J447" s="48" t="str">
        <f>'Secondary cum Calculation'!J822</f>
        <v>Thousand</v>
      </c>
      <c r="K447" s="49">
        <f>'Secondary cum Calculation'!K822</f>
        <v>0</v>
      </c>
      <c r="L447" s="92"/>
      <c r="M447" s="104">
        <f>'Final Data-US$'!M381/'Final Data-US$'!L381-1</f>
        <v>-0.54800000000000004</v>
      </c>
      <c r="N447" s="104">
        <f>'Final Data-US$'!N381/'Final Data-US$'!M381-1</f>
        <v>1.4247787610619471</v>
      </c>
      <c r="O447" s="51">
        <f>'Final Data-US$'!O381/'Final Data-US$'!N381-1</f>
        <v>-0.66788321167883213</v>
      </c>
      <c r="P447" s="51">
        <f>'Final Data-US$'!P381/'Final Data-US$'!O381-1</f>
        <v>-5.4945054945054972E-2</v>
      </c>
      <c r="Q447" s="51">
        <f>'Final Data-US$'!Q381/'Final Data-US$'!P381-1</f>
        <v>3.3887725030646854E-2</v>
      </c>
      <c r="R447" s="51">
        <f>'Final Data-US$'!R381/'Final Data-US$'!Q381-1</f>
        <v>-1</v>
      </c>
      <c r="S447" s="51" t="e">
        <f>'Final Data-US$'!S381/'Final Data-US$'!R381-1</f>
        <v>#DIV/0!</v>
      </c>
      <c r="T447" s="51" t="e">
        <f>'Final Data-US$'!T381/'Final Data-US$'!S381-1</f>
        <v>#DIV/0!</v>
      </c>
      <c r="U447" s="51" t="e">
        <f>'Final Data-US$'!U381/'Final Data-US$'!T381-1</f>
        <v>#DIV/0!</v>
      </c>
      <c r="V447" s="51" t="e">
        <f>'Final Data-US$'!V381/'Final Data-US$'!U381-1</f>
        <v>#DIV/0!</v>
      </c>
      <c r="W447" s="102">
        <f>'Final Data-US$'!W381</f>
        <v>-5.8168206819388502E-2</v>
      </c>
      <c r="X447" s="102">
        <f>'Final Data-US$'!X381</f>
        <v>-1</v>
      </c>
    </row>
    <row r="448" spans="1:24">
      <c r="A448" s="46" t="str">
        <f>'Secondary cum Calculation'!A824</f>
        <v>Poland</v>
      </c>
      <c r="B448" s="47" t="str">
        <f>'Secondary cum Calculation'!B824</f>
        <v>Tourism Flows</v>
      </c>
      <c r="C448" s="47" t="str">
        <f>'Secondary cum Calculation'!C824</f>
        <v>International Departures by Destination</v>
      </c>
      <c r="D448" s="47" t="str">
        <f>'Secondary cum Calculation'!D824</f>
        <v>Europe</v>
      </c>
      <c r="E448" s="46" t="str">
        <f>'Secondary cum Calculation'!E824</f>
        <v>Bosnia and Herzegovina</v>
      </c>
      <c r="F448" s="48" t="str">
        <f>'Secondary cum Calculation'!F824</f>
        <v>The number of international departures from a country to Bosnia and Herzegovina</v>
      </c>
      <c r="G448" s="48" t="str">
        <f>'Secondary cum Calculation'!G824</f>
        <v>Tourism Demand &amp; Flows Database</v>
      </c>
      <c r="H448" s="48" t="str">
        <f>'Secondary cum Calculation'!H824</f>
        <v>New</v>
      </c>
      <c r="I448" s="48">
        <f>'Secondary cum Calculation'!I824</f>
        <v>0</v>
      </c>
      <c r="J448" s="48" t="str">
        <f>'Secondary cum Calculation'!J824</f>
        <v>Thousand</v>
      </c>
      <c r="K448" s="49">
        <f>'Secondary cum Calculation'!K824</f>
        <v>0</v>
      </c>
      <c r="L448" s="92"/>
      <c r="M448" s="104" t="e">
        <f>'Final Data-US$'!M382/'Final Data-US$'!L382-1</f>
        <v>#DIV/0!</v>
      </c>
      <c r="N448" s="104" t="e">
        <f>'Final Data-US$'!N382/'Final Data-US$'!M382-1</f>
        <v>#DIV/0!</v>
      </c>
      <c r="O448" s="51" t="e">
        <f>'Final Data-US$'!O382/'Final Data-US$'!N382-1</f>
        <v>#DIV/0!</v>
      </c>
      <c r="P448" s="51" t="e">
        <f>'Final Data-US$'!P382/'Final Data-US$'!O382-1</f>
        <v>#DIV/0!</v>
      </c>
      <c r="Q448" s="51" t="e">
        <f>'Final Data-US$'!Q382/'Final Data-US$'!P382-1</f>
        <v>#DIV/0!</v>
      </c>
      <c r="R448" s="51" t="e">
        <f>'Final Data-US$'!R382/'Final Data-US$'!Q382-1</f>
        <v>#DIV/0!</v>
      </c>
      <c r="S448" s="51" t="e">
        <f>'Final Data-US$'!S382/'Final Data-US$'!R382-1</f>
        <v>#DIV/0!</v>
      </c>
      <c r="T448" s="51" t="e">
        <f>'Final Data-US$'!T382/'Final Data-US$'!S382-1</f>
        <v>#DIV/0!</v>
      </c>
      <c r="U448" s="51" t="e">
        <f>'Final Data-US$'!U382/'Final Data-US$'!T382-1</f>
        <v>#DIV/0!</v>
      </c>
      <c r="V448" s="51" t="e">
        <f>'Final Data-US$'!V382/'Final Data-US$'!U382-1</f>
        <v>#DIV/0!</v>
      </c>
      <c r="W448" s="102" t="e">
        <f>'Final Data-US$'!W382</f>
        <v>#DIV/0!</v>
      </c>
      <c r="X448" s="102" t="e">
        <f>'Final Data-US$'!X382</f>
        <v>#DIV/0!</v>
      </c>
    </row>
    <row r="449" spans="1:24">
      <c r="A449" s="46" t="str">
        <f>'Secondary cum Calculation'!A826</f>
        <v>Poland</v>
      </c>
      <c r="B449" s="47" t="str">
        <f>'Secondary cum Calculation'!B826</f>
        <v>Tourism Flows</v>
      </c>
      <c r="C449" s="47" t="str">
        <f>'Secondary cum Calculation'!C826</f>
        <v>International Departures by Destination</v>
      </c>
      <c r="D449" s="47" t="str">
        <f>'Secondary cum Calculation'!D826</f>
        <v>Europe</v>
      </c>
      <c r="E449" s="46" t="str">
        <f>'Secondary cum Calculation'!E826</f>
        <v>Bulgaria</v>
      </c>
      <c r="F449" s="48" t="str">
        <f>'Secondary cum Calculation'!F826</f>
        <v>The number of international departures from a country to Bulgaria</v>
      </c>
      <c r="G449" s="48" t="str">
        <f>'Secondary cum Calculation'!G826</f>
        <v>Tourism Demand &amp; Flows Database</v>
      </c>
      <c r="H449" s="48" t="str">
        <f>'Secondary cum Calculation'!H826</f>
        <v>New</v>
      </c>
      <c r="I449" s="48">
        <f>'Secondary cum Calculation'!I826</f>
        <v>0</v>
      </c>
      <c r="J449" s="48" t="str">
        <f>'Secondary cum Calculation'!J826</f>
        <v>Thousand</v>
      </c>
      <c r="K449" s="49">
        <f>'Secondary cum Calculation'!K826</f>
        <v>0</v>
      </c>
      <c r="L449" s="92"/>
      <c r="M449" s="104" t="e">
        <f>'Final Data-US$'!M383/'Final Data-US$'!L383-1</f>
        <v>#DIV/0!</v>
      </c>
      <c r="N449" s="104" t="e">
        <f>'Final Data-US$'!N383/'Final Data-US$'!M383-1</f>
        <v>#DIV/0!</v>
      </c>
      <c r="O449" s="51" t="e">
        <f>'Final Data-US$'!O383/'Final Data-US$'!N383-1</f>
        <v>#DIV/0!</v>
      </c>
      <c r="P449" s="51" t="e">
        <f>'Final Data-US$'!P383/'Final Data-US$'!O383-1</f>
        <v>#DIV/0!</v>
      </c>
      <c r="Q449" s="51" t="e">
        <f>'Final Data-US$'!Q383/'Final Data-US$'!P383-1</f>
        <v>#DIV/0!</v>
      </c>
      <c r="R449" s="51" t="e">
        <f>'Final Data-US$'!R383/'Final Data-US$'!Q383-1</f>
        <v>#DIV/0!</v>
      </c>
      <c r="S449" s="51" t="e">
        <f>'Final Data-US$'!S383/'Final Data-US$'!R383-1</f>
        <v>#DIV/0!</v>
      </c>
      <c r="T449" s="51" t="e">
        <f>'Final Data-US$'!T383/'Final Data-US$'!S383-1</f>
        <v>#DIV/0!</v>
      </c>
      <c r="U449" s="51" t="e">
        <f>'Final Data-US$'!U383/'Final Data-US$'!T383-1</f>
        <v>#DIV/0!</v>
      </c>
      <c r="V449" s="51" t="e">
        <f>'Final Data-US$'!V383/'Final Data-US$'!U383-1</f>
        <v>#DIV/0!</v>
      </c>
      <c r="W449" s="102" t="e">
        <f>'Final Data-US$'!W383</f>
        <v>#DIV/0!</v>
      </c>
      <c r="X449" s="102" t="e">
        <f>'Final Data-US$'!X383</f>
        <v>#DIV/0!</v>
      </c>
    </row>
    <row r="450" spans="1:24">
      <c r="A450" s="46" t="str">
        <f>'Secondary cum Calculation'!A828</f>
        <v>Poland</v>
      </c>
      <c r="B450" s="47" t="str">
        <f>'Secondary cum Calculation'!B828</f>
        <v>Tourism Flows</v>
      </c>
      <c r="C450" s="47" t="str">
        <f>'Secondary cum Calculation'!C828</f>
        <v>International Departures by Destination</v>
      </c>
      <c r="D450" s="47" t="str">
        <f>'Secondary cum Calculation'!D828</f>
        <v>Europe</v>
      </c>
      <c r="E450" s="46" t="str">
        <f>'Secondary cum Calculation'!E828</f>
        <v>Channel Islands</v>
      </c>
      <c r="F450" s="48" t="str">
        <f>'Secondary cum Calculation'!F828</f>
        <v>The number of international departures from a country to Channel Islands</v>
      </c>
      <c r="G450" s="48" t="str">
        <f>'Secondary cum Calculation'!G828</f>
        <v>Tourism Demand &amp; Flows Database</v>
      </c>
      <c r="H450" s="48" t="str">
        <f>'Secondary cum Calculation'!H828</f>
        <v>New</v>
      </c>
      <c r="I450" s="48">
        <f>'Secondary cum Calculation'!I828</f>
        <v>0</v>
      </c>
      <c r="J450" s="48" t="str">
        <f>'Secondary cum Calculation'!J828</f>
        <v>Thousand</v>
      </c>
      <c r="K450" s="49">
        <f>'Secondary cum Calculation'!K828</f>
        <v>0</v>
      </c>
      <c r="L450" s="92"/>
      <c r="M450" s="104" t="e">
        <f>'Final Data-US$'!M384/'Final Data-US$'!L384-1</f>
        <v>#DIV/0!</v>
      </c>
      <c r="N450" s="104" t="e">
        <f>'Final Data-US$'!N384/'Final Data-US$'!M384-1</f>
        <v>#DIV/0!</v>
      </c>
      <c r="O450" s="51" t="e">
        <f>'Final Data-US$'!O384/'Final Data-US$'!N384-1</f>
        <v>#DIV/0!</v>
      </c>
      <c r="P450" s="51" t="e">
        <f>'Final Data-US$'!P384/'Final Data-US$'!O384-1</f>
        <v>#DIV/0!</v>
      </c>
      <c r="Q450" s="51" t="e">
        <f>'Final Data-US$'!Q384/'Final Data-US$'!P384-1</f>
        <v>#DIV/0!</v>
      </c>
      <c r="R450" s="51" t="e">
        <f>'Final Data-US$'!R384/'Final Data-US$'!Q384-1</f>
        <v>#DIV/0!</v>
      </c>
      <c r="S450" s="51" t="e">
        <f>'Final Data-US$'!S384/'Final Data-US$'!R384-1</f>
        <v>#DIV/0!</v>
      </c>
      <c r="T450" s="51" t="e">
        <f>'Final Data-US$'!T384/'Final Data-US$'!S384-1</f>
        <v>#DIV/0!</v>
      </c>
      <c r="U450" s="51" t="e">
        <f>'Final Data-US$'!U384/'Final Data-US$'!T384-1</f>
        <v>#DIV/0!</v>
      </c>
      <c r="V450" s="51" t="e">
        <f>'Final Data-US$'!V384/'Final Data-US$'!U384-1</f>
        <v>#DIV/0!</v>
      </c>
      <c r="W450" s="102" t="e">
        <f>'Final Data-US$'!W384</f>
        <v>#DIV/0!</v>
      </c>
      <c r="X450" s="102" t="e">
        <f>'Final Data-US$'!X384</f>
        <v>#DIV/0!</v>
      </c>
    </row>
    <row r="451" spans="1:24">
      <c r="A451" s="46" t="str">
        <f>'Secondary cum Calculation'!A830</f>
        <v>Poland</v>
      </c>
      <c r="B451" s="47" t="str">
        <f>'Secondary cum Calculation'!B830</f>
        <v>Tourism Flows</v>
      </c>
      <c r="C451" s="47" t="str">
        <f>'Secondary cum Calculation'!C830</f>
        <v>International Departures by Destination</v>
      </c>
      <c r="D451" s="47" t="str">
        <f>'Secondary cum Calculation'!D830</f>
        <v>Europe</v>
      </c>
      <c r="E451" s="46" t="str">
        <f>'Secondary cum Calculation'!E830</f>
        <v>Croatia</v>
      </c>
      <c r="F451" s="48" t="str">
        <f>'Secondary cum Calculation'!F830</f>
        <v>The number of international departures from a country to Croatia</v>
      </c>
      <c r="G451" s="48" t="str">
        <f>'Secondary cum Calculation'!G830</f>
        <v>Tourism Demand &amp; Flows Database</v>
      </c>
      <c r="H451" s="48" t="str">
        <f>'Secondary cum Calculation'!H830</f>
        <v>New</v>
      </c>
      <c r="I451" s="48">
        <f>'Secondary cum Calculation'!I830</f>
        <v>0</v>
      </c>
      <c r="J451" s="48" t="str">
        <f>'Secondary cum Calculation'!J830</f>
        <v>Thousand</v>
      </c>
      <c r="K451" s="49">
        <f>'Secondary cum Calculation'!K830</f>
        <v>0</v>
      </c>
      <c r="L451" s="92"/>
      <c r="M451" s="104" t="e">
        <f>'Final Data-US$'!M385/'Final Data-US$'!L385-1</f>
        <v>#DIV/0!</v>
      </c>
      <c r="N451" s="104" t="e">
        <f>'Final Data-US$'!N385/'Final Data-US$'!M385-1</f>
        <v>#DIV/0!</v>
      </c>
      <c r="O451" s="51" t="e">
        <f>'Final Data-US$'!O385/'Final Data-US$'!N385-1</f>
        <v>#DIV/0!</v>
      </c>
      <c r="P451" s="51" t="e">
        <f>'Final Data-US$'!P385/'Final Data-US$'!O385-1</f>
        <v>#DIV/0!</v>
      </c>
      <c r="Q451" s="51" t="e">
        <f>'Final Data-US$'!Q385/'Final Data-US$'!P385-1</f>
        <v>#DIV/0!</v>
      </c>
      <c r="R451" s="51" t="e">
        <f>'Final Data-US$'!R385/'Final Data-US$'!Q385-1</f>
        <v>#DIV/0!</v>
      </c>
      <c r="S451" s="51" t="e">
        <f>'Final Data-US$'!S385/'Final Data-US$'!R385-1</f>
        <v>#DIV/0!</v>
      </c>
      <c r="T451" s="51" t="e">
        <f>'Final Data-US$'!T385/'Final Data-US$'!S385-1</f>
        <v>#DIV/0!</v>
      </c>
      <c r="U451" s="51" t="e">
        <f>'Final Data-US$'!U385/'Final Data-US$'!T385-1</f>
        <v>#DIV/0!</v>
      </c>
      <c r="V451" s="51" t="e">
        <f>'Final Data-US$'!V385/'Final Data-US$'!U385-1</f>
        <v>#DIV/0!</v>
      </c>
      <c r="W451" s="102" t="e">
        <f>'Final Data-US$'!W385</f>
        <v>#DIV/0!</v>
      </c>
      <c r="X451" s="102" t="e">
        <f>'Final Data-US$'!X385</f>
        <v>#DIV/0!</v>
      </c>
    </row>
    <row r="452" spans="1:24">
      <c r="A452" s="46" t="str">
        <f>'Secondary cum Calculation'!A832</f>
        <v>Poland</v>
      </c>
      <c r="B452" s="47" t="str">
        <f>'Secondary cum Calculation'!B832</f>
        <v>Tourism Flows</v>
      </c>
      <c r="C452" s="47" t="str">
        <f>'Secondary cum Calculation'!C832</f>
        <v>International Departures by Destination</v>
      </c>
      <c r="D452" s="47" t="str">
        <f>'Secondary cum Calculation'!D832</f>
        <v>Europe</v>
      </c>
      <c r="E452" s="46" t="str">
        <f>'Secondary cum Calculation'!E832</f>
        <v>Cyprus</v>
      </c>
      <c r="F452" s="48" t="str">
        <f>'Secondary cum Calculation'!F832</f>
        <v>The number of international departures from a country to Cyprus</v>
      </c>
      <c r="G452" s="48" t="str">
        <f>'Secondary cum Calculation'!G832</f>
        <v>Tourism Demand &amp; Flows Database</v>
      </c>
      <c r="H452" s="48" t="str">
        <f>'Secondary cum Calculation'!H832</f>
        <v>New</v>
      </c>
      <c r="I452" s="48">
        <f>'Secondary cum Calculation'!I832</f>
        <v>0</v>
      </c>
      <c r="J452" s="48" t="str">
        <f>'Secondary cum Calculation'!J832</f>
        <v>Thousand</v>
      </c>
      <c r="K452" s="49">
        <f>'Secondary cum Calculation'!K832</f>
        <v>0</v>
      </c>
      <c r="L452" s="92"/>
      <c r="M452" s="104" t="e">
        <f>'Final Data-US$'!M386/'Final Data-US$'!L386-1</f>
        <v>#DIV/0!</v>
      </c>
      <c r="N452" s="104" t="e">
        <f>'Final Data-US$'!N386/'Final Data-US$'!M386-1</f>
        <v>#DIV/0!</v>
      </c>
      <c r="O452" s="103" t="e">
        <f>'Final Data-US$'!O386/'Final Data-US$'!N386-1</f>
        <v>#DIV/0!</v>
      </c>
      <c r="P452" s="103" t="e">
        <f>'Final Data-US$'!P386/'Final Data-US$'!O386-1</f>
        <v>#DIV/0!</v>
      </c>
      <c r="Q452" s="103" t="e">
        <f>'Final Data-US$'!Q386/'Final Data-US$'!P386-1</f>
        <v>#DIV/0!</v>
      </c>
      <c r="R452" s="103" t="e">
        <f>'Final Data-US$'!R386/'Final Data-US$'!Q386-1</f>
        <v>#DIV/0!</v>
      </c>
      <c r="S452" s="103" t="e">
        <f>'Final Data-US$'!S386/'Final Data-US$'!R386-1</f>
        <v>#DIV/0!</v>
      </c>
      <c r="T452" s="103" t="e">
        <f>'Final Data-US$'!T386/'Final Data-US$'!S386-1</f>
        <v>#DIV/0!</v>
      </c>
      <c r="U452" s="103" t="e">
        <f>'Final Data-US$'!U386/'Final Data-US$'!T386-1</f>
        <v>#DIV/0!</v>
      </c>
      <c r="V452" s="103" t="e">
        <f>'Final Data-US$'!V386/'Final Data-US$'!U386-1</f>
        <v>#DIV/0!</v>
      </c>
      <c r="W452" s="102" t="e">
        <f>'Final Data-US$'!W386</f>
        <v>#DIV/0!</v>
      </c>
      <c r="X452" s="102" t="e">
        <f>'Final Data-US$'!X386</f>
        <v>#DIV/0!</v>
      </c>
    </row>
    <row r="453" spans="1:24">
      <c r="A453" s="46" t="str">
        <f>'Secondary cum Calculation'!A834</f>
        <v>Poland</v>
      </c>
      <c r="B453" s="47" t="str">
        <f>'Secondary cum Calculation'!B834</f>
        <v>Tourism Flows</v>
      </c>
      <c r="C453" s="47" t="str">
        <f>'Secondary cum Calculation'!C834</f>
        <v>International Departures by Destination</v>
      </c>
      <c r="D453" s="47" t="str">
        <f>'Secondary cum Calculation'!D834</f>
        <v>Europe</v>
      </c>
      <c r="E453" s="46" t="str">
        <f>'Secondary cum Calculation'!E834</f>
        <v>Czech Republic</v>
      </c>
      <c r="F453" s="48" t="str">
        <f>'Secondary cum Calculation'!F834</f>
        <v>The number of international departures from a country to Czech Republic</v>
      </c>
      <c r="G453" s="48" t="str">
        <f>'Secondary cum Calculation'!G834</f>
        <v>Tourism Demand &amp; Flows Database</v>
      </c>
      <c r="H453" s="48" t="str">
        <f>'Secondary cum Calculation'!H834</f>
        <v>New</v>
      </c>
      <c r="I453" s="48">
        <f>'Secondary cum Calculation'!I834</f>
        <v>0</v>
      </c>
      <c r="J453" s="48" t="str">
        <f>'Secondary cum Calculation'!J834</f>
        <v>Thousand</v>
      </c>
      <c r="K453" s="49">
        <f>'Secondary cum Calculation'!K834</f>
        <v>0</v>
      </c>
      <c r="L453" s="53"/>
      <c r="M453" s="51">
        <f>'Final Data-US$'!M387/'Final Data-US$'!L387-1</f>
        <v>1.2350746268656718</v>
      </c>
      <c r="N453" s="51">
        <f>'Final Data-US$'!N387/'Final Data-US$'!M387-1</f>
        <v>-0.45909849749582643</v>
      </c>
      <c r="O453" s="51">
        <f>'Final Data-US$'!O387/'Final Data-US$'!N387-1</f>
        <v>0.11111111111111116</v>
      </c>
      <c r="P453" s="51">
        <f>'Final Data-US$'!P387/'Final Data-US$'!O387-1</f>
        <v>-0.43333333333333335</v>
      </c>
      <c r="Q453" s="51">
        <f>'Final Data-US$'!Q387/'Final Data-US$'!P387-1</f>
        <v>-0.15934780209020105</v>
      </c>
      <c r="R453" s="51">
        <f>'Final Data-US$'!R387/'Final Data-US$'!Q387-1</f>
        <v>-1</v>
      </c>
      <c r="S453" s="51" t="e">
        <f>'Final Data-US$'!S387/'Final Data-US$'!R387-1</f>
        <v>#DIV/0!</v>
      </c>
      <c r="T453" s="51" t="e">
        <f>'Final Data-US$'!T387/'Final Data-US$'!S387-1</f>
        <v>#DIV/0!</v>
      </c>
      <c r="U453" s="51" t="e">
        <f>'Final Data-US$'!U387/'Final Data-US$'!T387-1</f>
        <v>#DIV/0!</v>
      </c>
      <c r="V453" s="51" t="e">
        <f>'Final Data-US$'!V387/'Final Data-US$'!U387-1</f>
        <v>#DIV/0!</v>
      </c>
      <c r="W453" s="102">
        <f>'Final Data-US$'!W387</f>
        <v>-0.26851584274831708</v>
      </c>
      <c r="X453" s="102">
        <f>'Final Data-US$'!X387</f>
        <v>-1</v>
      </c>
    </row>
    <row r="454" spans="1:24">
      <c r="A454" s="46" t="str">
        <f>'Secondary cum Calculation'!A836</f>
        <v>Poland</v>
      </c>
      <c r="B454" s="47" t="str">
        <f>'Secondary cum Calculation'!B836</f>
        <v>Tourism Flows</v>
      </c>
      <c r="C454" s="47" t="str">
        <f>'Secondary cum Calculation'!C836</f>
        <v>International Departures by Destination</v>
      </c>
      <c r="D454" s="47" t="str">
        <f>'Secondary cum Calculation'!D836</f>
        <v>Europe</v>
      </c>
      <c r="E454" s="46" t="str">
        <f>'Secondary cum Calculation'!E836</f>
        <v>Denmark</v>
      </c>
      <c r="F454" s="48" t="str">
        <f>'Secondary cum Calculation'!F836</f>
        <v>The number of international departures from a country to Denmark</v>
      </c>
      <c r="G454" s="48" t="str">
        <f>'Secondary cum Calculation'!G836</f>
        <v>Tourism Demand &amp; Flows Database</v>
      </c>
      <c r="H454" s="48" t="str">
        <f>'Secondary cum Calculation'!H836</f>
        <v>New</v>
      </c>
      <c r="I454" s="48">
        <f>'Secondary cum Calculation'!I836</f>
        <v>0</v>
      </c>
      <c r="J454" s="48" t="str">
        <f>'Secondary cum Calculation'!J836</f>
        <v>Thousand</v>
      </c>
      <c r="K454" s="49">
        <f>'Secondary cum Calculation'!K836</f>
        <v>0</v>
      </c>
      <c r="L454" s="92"/>
      <c r="M454" s="104">
        <f>'Final Data-US$'!M388/'Final Data-US$'!L388-1</f>
        <v>-0.56190476190476191</v>
      </c>
      <c r="N454" s="104">
        <f>'Final Data-US$'!N388/'Final Data-US$'!M388-1</f>
        <v>0</v>
      </c>
      <c r="O454" s="51">
        <f>'Final Data-US$'!O388/'Final Data-US$'!N388-1</f>
        <v>9.7826086956521729E-2</v>
      </c>
      <c r="P454" s="51">
        <f>'Final Data-US$'!P388/'Final Data-US$'!O388-1</f>
        <v>-0.28712871287128716</v>
      </c>
      <c r="Q454" s="51">
        <f>'Final Data-US$'!Q388/'Final Data-US$'!P388-1</f>
        <v>-0.15827352841874165</v>
      </c>
      <c r="R454" s="51">
        <f>'Final Data-US$'!R388/'Final Data-US$'!Q388-1</f>
        <v>-1</v>
      </c>
      <c r="S454" s="51" t="e">
        <f>'Final Data-US$'!S388/'Final Data-US$'!R388-1</f>
        <v>#DIV/0!</v>
      </c>
      <c r="T454" s="51" t="e">
        <f>'Final Data-US$'!T388/'Final Data-US$'!S388-1</f>
        <v>#DIV/0!</v>
      </c>
      <c r="U454" s="51" t="e">
        <f>'Final Data-US$'!U388/'Final Data-US$'!T388-1</f>
        <v>#DIV/0!</v>
      </c>
      <c r="V454" s="51" t="e">
        <f>'Final Data-US$'!V388/'Final Data-US$'!U388-1</f>
        <v>#DIV/0!</v>
      </c>
      <c r="W454" s="102">
        <f>'Final Data-US$'!W388</f>
        <v>-9.9095173382672597E-2</v>
      </c>
      <c r="X454" s="102">
        <f>'Final Data-US$'!X388</f>
        <v>-1</v>
      </c>
    </row>
    <row r="455" spans="1:24">
      <c r="A455" s="46" t="str">
        <f>'Secondary cum Calculation'!A838</f>
        <v>Poland</v>
      </c>
      <c r="B455" s="47" t="str">
        <f>'Secondary cum Calculation'!B838</f>
        <v>Tourism Flows</v>
      </c>
      <c r="C455" s="47" t="str">
        <f>'Secondary cum Calculation'!C838</f>
        <v>International Departures by Destination</v>
      </c>
      <c r="D455" s="47" t="str">
        <f>'Secondary cum Calculation'!D838</f>
        <v>Europe</v>
      </c>
      <c r="E455" s="46" t="str">
        <f>'Secondary cum Calculation'!E838</f>
        <v>Estonia</v>
      </c>
      <c r="F455" s="48" t="str">
        <f>'Secondary cum Calculation'!F838</f>
        <v>The number of international departures from a country to Estonia</v>
      </c>
      <c r="G455" s="48" t="str">
        <f>'Secondary cum Calculation'!G838</f>
        <v>Tourism Demand &amp; Flows Database</v>
      </c>
      <c r="H455" s="48" t="str">
        <f>'Secondary cum Calculation'!H838</f>
        <v>New</v>
      </c>
      <c r="I455" s="48">
        <f>'Secondary cum Calculation'!I838</f>
        <v>0</v>
      </c>
      <c r="J455" s="48" t="str">
        <f>'Secondary cum Calculation'!J838</f>
        <v>Thousand</v>
      </c>
      <c r="K455" s="49">
        <f>'Secondary cum Calculation'!K838</f>
        <v>0</v>
      </c>
      <c r="L455" s="92"/>
      <c r="M455" s="104" t="e">
        <f>'Final Data-US$'!M389/'Final Data-US$'!L389-1</f>
        <v>#DIV/0!</v>
      </c>
      <c r="N455" s="104" t="e">
        <f>'Final Data-US$'!N389/'Final Data-US$'!M389-1</f>
        <v>#DIV/0!</v>
      </c>
      <c r="O455" s="51" t="e">
        <f>'Final Data-US$'!O389/'Final Data-US$'!N389-1</f>
        <v>#DIV/0!</v>
      </c>
      <c r="P455" s="51" t="e">
        <f>'Final Data-US$'!P389/'Final Data-US$'!O389-1</f>
        <v>#DIV/0!</v>
      </c>
      <c r="Q455" s="51" t="e">
        <f>'Final Data-US$'!Q389/'Final Data-US$'!P389-1</f>
        <v>#DIV/0!</v>
      </c>
      <c r="R455" s="51" t="e">
        <f>'Final Data-US$'!R389/'Final Data-US$'!Q389-1</f>
        <v>#DIV/0!</v>
      </c>
      <c r="S455" s="51" t="e">
        <f>'Final Data-US$'!S389/'Final Data-US$'!R389-1</f>
        <v>#DIV/0!</v>
      </c>
      <c r="T455" s="51" t="e">
        <f>'Final Data-US$'!T389/'Final Data-US$'!S389-1</f>
        <v>#DIV/0!</v>
      </c>
      <c r="U455" s="51" t="e">
        <f>'Final Data-US$'!U389/'Final Data-US$'!T389-1</f>
        <v>#DIV/0!</v>
      </c>
      <c r="V455" s="51" t="e">
        <f>'Final Data-US$'!V389/'Final Data-US$'!U389-1</f>
        <v>#DIV/0!</v>
      </c>
      <c r="W455" s="102" t="e">
        <f>'Final Data-US$'!W389</f>
        <v>#DIV/0!</v>
      </c>
      <c r="X455" s="102" t="e">
        <f>'Final Data-US$'!X389</f>
        <v>#DIV/0!</v>
      </c>
    </row>
    <row r="456" spans="1:24">
      <c r="A456" s="46" t="str">
        <f>'Secondary cum Calculation'!A840</f>
        <v>Poland</v>
      </c>
      <c r="B456" s="47" t="str">
        <f>'Secondary cum Calculation'!B840</f>
        <v>Tourism Flows</v>
      </c>
      <c r="C456" s="47" t="str">
        <f>'Secondary cum Calculation'!C840</f>
        <v>International Departures by Destination</v>
      </c>
      <c r="D456" s="47" t="str">
        <f>'Secondary cum Calculation'!D840</f>
        <v>Europe</v>
      </c>
      <c r="E456" s="46" t="str">
        <f>'Secondary cum Calculation'!E840</f>
        <v>Finland</v>
      </c>
      <c r="F456" s="48" t="str">
        <f>'Secondary cum Calculation'!F840</f>
        <v>The number of international departures from a country to Finland</v>
      </c>
      <c r="G456" s="48" t="str">
        <f>'Secondary cum Calculation'!G840</f>
        <v>Tourism Demand &amp; Flows Database</v>
      </c>
      <c r="H456" s="48" t="str">
        <f>'Secondary cum Calculation'!H840</f>
        <v>New</v>
      </c>
      <c r="I456" s="48">
        <f>'Secondary cum Calculation'!I840</f>
        <v>0</v>
      </c>
      <c r="J456" s="48" t="str">
        <f>'Secondary cum Calculation'!J840</f>
        <v>Thousand</v>
      </c>
      <c r="K456" s="49">
        <f>'Secondary cum Calculation'!K840</f>
        <v>0</v>
      </c>
      <c r="L456" s="92"/>
      <c r="M456" s="104" t="e">
        <f>'Final Data-US$'!M390/'Final Data-US$'!L390-1</f>
        <v>#DIV/0!</v>
      </c>
      <c r="N456" s="104" t="e">
        <f>'Final Data-US$'!N390/'Final Data-US$'!M390-1</f>
        <v>#DIV/0!</v>
      </c>
      <c r="O456" s="103" t="e">
        <f>'Final Data-US$'!O390/'Final Data-US$'!N390-1</f>
        <v>#DIV/0!</v>
      </c>
      <c r="P456" s="103" t="e">
        <f>'Final Data-US$'!P390/'Final Data-US$'!O390-1</f>
        <v>#DIV/0!</v>
      </c>
      <c r="Q456" s="103" t="e">
        <f>'Final Data-US$'!Q390/'Final Data-US$'!P390-1</f>
        <v>#DIV/0!</v>
      </c>
      <c r="R456" s="103" t="e">
        <f>'Final Data-US$'!R390/'Final Data-US$'!Q390-1</f>
        <v>#DIV/0!</v>
      </c>
      <c r="S456" s="103" t="e">
        <f>'Final Data-US$'!S390/'Final Data-US$'!R390-1</f>
        <v>#DIV/0!</v>
      </c>
      <c r="T456" s="103" t="e">
        <f>'Final Data-US$'!T390/'Final Data-US$'!S390-1</f>
        <v>#DIV/0!</v>
      </c>
      <c r="U456" s="103" t="e">
        <f>'Final Data-US$'!U390/'Final Data-US$'!T390-1</f>
        <v>#DIV/0!</v>
      </c>
      <c r="V456" s="103" t="e">
        <f>'Final Data-US$'!V390/'Final Data-US$'!U390-1</f>
        <v>#DIV/0!</v>
      </c>
      <c r="W456" s="102" t="e">
        <f>'Final Data-US$'!W390</f>
        <v>#DIV/0!</v>
      </c>
      <c r="X456" s="102" t="e">
        <f>'Final Data-US$'!X390</f>
        <v>#DIV/0!</v>
      </c>
    </row>
    <row r="457" spans="1:24">
      <c r="A457" s="46" t="str">
        <f>'Secondary cum Calculation'!A842</f>
        <v>Poland</v>
      </c>
      <c r="B457" s="47" t="str">
        <f>'Secondary cum Calculation'!B842</f>
        <v>Tourism Flows</v>
      </c>
      <c r="C457" s="47" t="str">
        <f>'Secondary cum Calculation'!C842</f>
        <v>International Departures by Destination</v>
      </c>
      <c r="D457" s="47" t="str">
        <f>'Secondary cum Calculation'!D842</f>
        <v>Europe</v>
      </c>
      <c r="E457" s="46" t="str">
        <f>'Secondary cum Calculation'!E842</f>
        <v>France</v>
      </c>
      <c r="F457" s="48" t="str">
        <f>'Secondary cum Calculation'!F842</f>
        <v>The number of international departures from a country to France</v>
      </c>
      <c r="G457" s="48" t="str">
        <f>'Secondary cum Calculation'!G842</f>
        <v>Tourism Demand &amp; Flows Database</v>
      </c>
      <c r="H457" s="48" t="str">
        <f>'Secondary cum Calculation'!H842</f>
        <v>New</v>
      </c>
      <c r="I457" s="48">
        <f>'Secondary cum Calculation'!I842</f>
        <v>0</v>
      </c>
      <c r="J457" s="48" t="str">
        <f>'Secondary cum Calculation'!J842</f>
        <v>Thousand</v>
      </c>
      <c r="K457" s="49">
        <f>'Secondary cum Calculation'!K842</f>
        <v>2231</v>
      </c>
      <c r="L457" s="53"/>
      <c r="M457" s="51">
        <f>'Final Data-US$'!M391/'Final Data-US$'!L391-1</f>
        <v>-0.31904761904761902</v>
      </c>
      <c r="N457" s="51">
        <f>'Final Data-US$'!N391/'Final Data-US$'!M391-1</f>
        <v>-0.33566433566433562</v>
      </c>
      <c r="O457" s="51">
        <f>'Final Data-US$'!O391/'Final Data-US$'!N391-1</f>
        <v>1.1842105263157894</v>
      </c>
      <c r="P457" s="51">
        <f>'Final Data-US$'!P391/'Final Data-US$'!O391-1</f>
        <v>-0.12530120481927709</v>
      </c>
      <c r="Q457" s="51">
        <f>'Final Data-US$'!Q391/'Final Data-US$'!P391-1</f>
        <v>-3.4842008150245407E-2</v>
      </c>
      <c r="R457" s="51">
        <f>'Final Data-US$'!R391/'Final Data-US$'!Q391-1</f>
        <v>-1</v>
      </c>
      <c r="S457" s="51" t="e">
        <f>'Final Data-US$'!S391/'Final Data-US$'!R391-1</f>
        <v>#DIV/0!</v>
      </c>
      <c r="T457" s="51" t="e">
        <f>'Final Data-US$'!T391/'Final Data-US$'!S391-1</f>
        <v>#DIV/0!</v>
      </c>
      <c r="U457" s="51" t="e">
        <f>'Final Data-US$'!U391/'Final Data-US$'!T391-1</f>
        <v>#DIV/0!</v>
      </c>
      <c r="V457" s="51" t="e">
        <f>'Final Data-US$'!V391/'Final Data-US$'!U391-1</f>
        <v>#DIV/0!</v>
      </c>
      <c r="W457" s="102">
        <f>'Final Data-US$'!W391</f>
        <v>5.2046051588065412E-2</v>
      </c>
      <c r="X457" s="102">
        <f>'Final Data-US$'!X391</f>
        <v>-1</v>
      </c>
    </row>
    <row r="458" spans="1:24">
      <c r="A458" s="46" t="str">
        <f>'Secondary cum Calculation'!A844</f>
        <v>Poland</v>
      </c>
      <c r="B458" s="47" t="str">
        <f>'Secondary cum Calculation'!B844</f>
        <v>Tourism Flows</v>
      </c>
      <c r="C458" s="47" t="str">
        <f>'Secondary cum Calculation'!C844</f>
        <v>International Departures by Destination</v>
      </c>
      <c r="D458" s="47" t="str">
        <f>'Secondary cum Calculation'!D844</f>
        <v>Europe</v>
      </c>
      <c r="E458" s="46" t="str">
        <f>'Secondary cum Calculation'!E844</f>
        <v>Georgia</v>
      </c>
      <c r="F458" s="48" t="str">
        <f>'Secondary cum Calculation'!F844</f>
        <v>The number of international departures from a country to Georgia</v>
      </c>
      <c r="G458" s="48" t="str">
        <f>'Secondary cum Calculation'!G844</f>
        <v>Tourism Demand &amp; Flows Database</v>
      </c>
      <c r="H458" s="48" t="str">
        <f>'Secondary cum Calculation'!H844</f>
        <v>New</v>
      </c>
      <c r="I458" s="48">
        <f>'Secondary cum Calculation'!I844</f>
        <v>0</v>
      </c>
      <c r="J458" s="48" t="str">
        <f>'Secondary cum Calculation'!J844</f>
        <v>Thousand</v>
      </c>
      <c r="K458" s="49">
        <f>'Secondary cum Calculation'!K844</f>
        <v>0</v>
      </c>
      <c r="L458" s="92"/>
      <c r="M458" s="104" t="e">
        <f>'Final Data-US$'!M392/'Final Data-US$'!L392-1</f>
        <v>#DIV/0!</v>
      </c>
      <c r="N458" s="104" t="e">
        <f>'Final Data-US$'!N392/'Final Data-US$'!M392-1</f>
        <v>#DIV/0!</v>
      </c>
      <c r="O458" s="103" t="e">
        <f>'Final Data-US$'!O392/'Final Data-US$'!N392-1</f>
        <v>#DIV/0!</v>
      </c>
      <c r="P458" s="103" t="e">
        <f>'Final Data-US$'!P392/'Final Data-US$'!O392-1</f>
        <v>#DIV/0!</v>
      </c>
      <c r="Q458" s="103" t="e">
        <f>'Final Data-US$'!Q392/'Final Data-US$'!P392-1</f>
        <v>#DIV/0!</v>
      </c>
      <c r="R458" s="103" t="e">
        <f>'Final Data-US$'!R392/'Final Data-US$'!Q392-1</f>
        <v>#DIV/0!</v>
      </c>
      <c r="S458" s="103" t="e">
        <f>'Final Data-US$'!S392/'Final Data-US$'!R392-1</f>
        <v>#DIV/0!</v>
      </c>
      <c r="T458" s="103" t="e">
        <f>'Final Data-US$'!T392/'Final Data-US$'!S392-1</f>
        <v>#DIV/0!</v>
      </c>
      <c r="U458" s="103" t="e">
        <f>'Final Data-US$'!U392/'Final Data-US$'!T392-1</f>
        <v>#DIV/0!</v>
      </c>
      <c r="V458" s="103" t="e">
        <f>'Final Data-US$'!V392/'Final Data-US$'!U392-1</f>
        <v>#DIV/0!</v>
      </c>
      <c r="W458" s="102" t="e">
        <f>'Final Data-US$'!W392</f>
        <v>#DIV/0!</v>
      </c>
      <c r="X458" s="102" t="e">
        <f>'Final Data-US$'!X392</f>
        <v>#DIV/0!</v>
      </c>
    </row>
    <row r="459" spans="1:24">
      <c r="A459" s="46" t="str">
        <f>'Secondary cum Calculation'!A846</f>
        <v>Poland</v>
      </c>
      <c r="B459" s="47" t="str">
        <f>'Secondary cum Calculation'!B846</f>
        <v>Tourism Flows</v>
      </c>
      <c r="C459" s="47" t="str">
        <f>'Secondary cum Calculation'!C846</f>
        <v>International Departures by Destination</v>
      </c>
      <c r="D459" s="47" t="str">
        <f>'Secondary cum Calculation'!D846</f>
        <v>Europe</v>
      </c>
      <c r="E459" s="46" t="str">
        <f>'Secondary cum Calculation'!E846</f>
        <v>Germany</v>
      </c>
      <c r="F459" s="48" t="str">
        <f>'Secondary cum Calculation'!F846</f>
        <v>The number of international departures from a country to Germany</v>
      </c>
      <c r="G459" s="48" t="str">
        <f>'Secondary cum Calculation'!G846</f>
        <v>Tourism Demand &amp; Flows Database</v>
      </c>
      <c r="H459" s="48" t="str">
        <f>'Secondary cum Calculation'!H846</f>
        <v>New</v>
      </c>
      <c r="I459" s="48">
        <f>'Secondary cum Calculation'!I846</f>
        <v>0</v>
      </c>
      <c r="J459" s="48" t="str">
        <f>'Secondary cum Calculation'!J846</f>
        <v>Thousand</v>
      </c>
      <c r="K459" s="49">
        <f>'Secondary cum Calculation'!K846</f>
        <v>1688</v>
      </c>
      <c r="L459" s="53"/>
      <c r="M459" s="51">
        <f>'Final Data-US$'!M393/'Final Data-US$'!L393-1</f>
        <v>0.15013966480446927</v>
      </c>
      <c r="N459" s="51">
        <f>'Final Data-US$'!N393/'Final Data-US$'!M393-1</f>
        <v>-0.26958105646630237</v>
      </c>
      <c r="O459" s="51">
        <f>'Final Data-US$'!O393/'Final Data-US$'!N393-1</f>
        <v>6.8162926018287662E-2</v>
      </c>
      <c r="P459" s="51">
        <f>'Final Data-US$'!P393/'Final Data-US$'!O393-1</f>
        <v>-0.290272373540856</v>
      </c>
      <c r="Q459" s="51">
        <f>'Final Data-US$'!Q393/'Final Data-US$'!P393-1</f>
        <v>-0.10577453626074096</v>
      </c>
      <c r="R459" s="51">
        <f>'Final Data-US$'!R393/'Final Data-US$'!Q393-1</f>
        <v>-1</v>
      </c>
      <c r="S459" s="51" t="e">
        <f>'Final Data-US$'!S393/'Final Data-US$'!R393-1</f>
        <v>#DIV/0!</v>
      </c>
      <c r="T459" s="51" t="e">
        <f>'Final Data-US$'!T393/'Final Data-US$'!S393-1</f>
        <v>#DIV/0!</v>
      </c>
      <c r="U459" s="51" t="e">
        <f>'Final Data-US$'!U393/'Final Data-US$'!T393-1</f>
        <v>#DIV/0!</v>
      </c>
      <c r="V459" s="51" t="e">
        <f>'Final Data-US$'!V393/'Final Data-US$'!U393-1</f>
        <v>#DIV/0!</v>
      </c>
      <c r="W459" s="102">
        <f>'Final Data-US$'!W393</f>
        <v>-0.16114467078346673</v>
      </c>
      <c r="X459" s="102">
        <f>'Final Data-US$'!X393</f>
        <v>-1</v>
      </c>
    </row>
    <row r="460" spans="1:24">
      <c r="A460" s="46" t="str">
        <f>'Secondary cum Calculation'!A848</f>
        <v>Poland</v>
      </c>
      <c r="B460" s="47" t="str">
        <f>'Secondary cum Calculation'!B848</f>
        <v>Tourism Flows</v>
      </c>
      <c r="C460" s="47" t="str">
        <f>'Secondary cum Calculation'!C848</f>
        <v>International Departures by Destination</v>
      </c>
      <c r="D460" s="47" t="str">
        <f>'Secondary cum Calculation'!D848</f>
        <v>Europe</v>
      </c>
      <c r="E460" s="46" t="str">
        <f>'Secondary cum Calculation'!E848</f>
        <v>Greece</v>
      </c>
      <c r="F460" s="48" t="str">
        <f>'Secondary cum Calculation'!F848</f>
        <v>The number of international departures from a country to Greece</v>
      </c>
      <c r="G460" s="48" t="str">
        <f>'Secondary cum Calculation'!G848</f>
        <v>Tourism Demand &amp; Flows Database</v>
      </c>
      <c r="H460" s="48" t="str">
        <f>'Secondary cum Calculation'!H848</f>
        <v>New</v>
      </c>
      <c r="I460" s="48">
        <f>'Secondary cum Calculation'!I848</f>
        <v>0</v>
      </c>
      <c r="J460" s="48" t="str">
        <f>'Secondary cum Calculation'!J848</f>
        <v>Thousand</v>
      </c>
      <c r="K460" s="49">
        <f>'Secondary cum Calculation'!K848</f>
        <v>482</v>
      </c>
      <c r="L460" s="53"/>
      <c r="M460" s="51" t="e">
        <f>'Final Data-US$'!M394/'Final Data-US$'!L394-1</f>
        <v>#DIV/0!</v>
      </c>
      <c r="N460" s="51" t="e">
        <f>'Final Data-US$'!N394/'Final Data-US$'!M394-1</f>
        <v>#DIV/0!</v>
      </c>
      <c r="O460" s="51" t="e">
        <f>'Final Data-US$'!O394/'Final Data-US$'!N394-1</f>
        <v>#DIV/0!</v>
      </c>
      <c r="P460" s="51" t="e">
        <f>'Final Data-US$'!P394/'Final Data-US$'!O394-1</f>
        <v>#DIV/0!</v>
      </c>
      <c r="Q460" s="51" t="e">
        <f>'Final Data-US$'!Q394/'Final Data-US$'!P394-1</f>
        <v>#DIV/0!</v>
      </c>
      <c r="R460" s="51" t="e">
        <f>'Final Data-US$'!R394/'Final Data-US$'!Q394-1</f>
        <v>#DIV/0!</v>
      </c>
      <c r="S460" s="51" t="e">
        <f>'Final Data-US$'!S394/'Final Data-US$'!R394-1</f>
        <v>#DIV/0!</v>
      </c>
      <c r="T460" s="51" t="e">
        <f>'Final Data-US$'!T394/'Final Data-US$'!S394-1</f>
        <v>#DIV/0!</v>
      </c>
      <c r="U460" s="51" t="e">
        <f>'Final Data-US$'!U394/'Final Data-US$'!T394-1</f>
        <v>#DIV/0!</v>
      </c>
      <c r="V460" s="51" t="e">
        <f>'Final Data-US$'!V394/'Final Data-US$'!U394-1</f>
        <v>#DIV/0!</v>
      </c>
      <c r="W460" s="102" t="e">
        <f>'Final Data-US$'!W394</f>
        <v>#DIV/0!</v>
      </c>
      <c r="X460" s="102" t="e">
        <f>'Final Data-US$'!X394</f>
        <v>#DIV/0!</v>
      </c>
    </row>
    <row r="461" spans="1:24">
      <c r="A461" s="46" t="str">
        <f>'Secondary cum Calculation'!A850</f>
        <v>Poland</v>
      </c>
      <c r="B461" s="47" t="str">
        <f>'Secondary cum Calculation'!B850</f>
        <v>Tourism Flows</v>
      </c>
      <c r="C461" s="47" t="str">
        <f>'Secondary cum Calculation'!C850</f>
        <v>International Departures by Destination</v>
      </c>
      <c r="D461" s="47" t="str">
        <f>'Secondary cum Calculation'!D850</f>
        <v>Europe</v>
      </c>
      <c r="E461" s="46" t="str">
        <f>'Secondary cum Calculation'!E850</f>
        <v>Hungary</v>
      </c>
      <c r="F461" s="48" t="str">
        <f>'Secondary cum Calculation'!F850</f>
        <v>The number of international departures from a country to Hungary</v>
      </c>
      <c r="G461" s="48" t="str">
        <f>'Secondary cum Calculation'!G850</f>
        <v>Tourism Demand &amp; Flows Database</v>
      </c>
      <c r="H461" s="48" t="str">
        <f>'Secondary cum Calculation'!H850</f>
        <v>New</v>
      </c>
      <c r="I461" s="48">
        <f>'Secondary cum Calculation'!I850</f>
        <v>0</v>
      </c>
      <c r="J461" s="48" t="str">
        <f>'Secondary cum Calculation'!J850</f>
        <v>Thousand</v>
      </c>
      <c r="K461" s="49">
        <f>'Secondary cum Calculation'!K850</f>
        <v>0</v>
      </c>
      <c r="L461" s="92"/>
      <c r="M461" s="104" t="e">
        <f>'Final Data-US$'!M395/'Final Data-US$'!L395-1</f>
        <v>#DIV/0!</v>
      </c>
      <c r="N461" s="104" t="e">
        <f>'Final Data-US$'!N395/'Final Data-US$'!M395-1</f>
        <v>#DIV/0!</v>
      </c>
      <c r="O461" s="103" t="e">
        <f>'Final Data-US$'!O395/'Final Data-US$'!N395-1</f>
        <v>#DIV/0!</v>
      </c>
      <c r="P461" s="103" t="e">
        <f>'Final Data-US$'!P395/'Final Data-US$'!O395-1</f>
        <v>#DIV/0!</v>
      </c>
      <c r="Q461" s="103" t="e">
        <f>'Final Data-US$'!Q395/'Final Data-US$'!P395-1</f>
        <v>#DIV/0!</v>
      </c>
      <c r="R461" s="103" t="e">
        <f>'Final Data-US$'!R395/'Final Data-US$'!Q395-1</f>
        <v>#DIV/0!</v>
      </c>
      <c r="S461" s="103" t="e">
        <f>'Final Data-US$'!S395/'Final Data-US$'!R395-1</f>
        <v>#DIV/0!</v>
      </c>
      <c r="T461" s="103" t="e">
        <f>'Final Data-US$'!T395/'Final Data-US$'!S395-1</f>
        <v>#DIV/0!</v>
      </c>
      <c r="U461" s="103" t="e">
        <f>'Final Data-US$'!U395/'Final Data-US$'!T395-1</f>
        <v>#DIV/0!</v>
      </c>
      <c r="V461" s="103" t="e">
        <f>'Final Data-US$'!V395/'Final Data-US$'!U395-1</f>
        <v>#DIV/0!</v>
      </c>
      <c r="W461" s="102" t="e">
        <f>'Final Data-US$'!W395</f>
        <v>#DIV/0!</v>
      </c>
      <c r="X461" s="102" t="e">
        <f>'Final Data-US$'!X395</f>
        <v>#DIV/0!</v>
      </c>
    </row>
    <row r="462" spans="1:24">
      <c r="A462" s="46" t="str">
        <f>'Secondary cum Calculation'!A852</f>
        <v>Poland</v>
      </c>
      <c r="B462" s="47" t="str">
        <f>'Secondary cum Calculation'!B852</f>
        <v>Tourism Flows</v>
      </c>
      <c r="C462" s="47" t="str">
        <f>'Secondary cum Calculation'!C852</f>
        <v>International Departures by Destination</v>
      </c>
      <c r="D462" s="47" t="str">
        <f>'Secondary cum Calculation'!D852</f>
        <v>Europe</v>
      </c>
      <c r="E462" s="46" t="str">
        <f>'Secondary cum Calculation'!E852</f>
        <v>Iceland</v>
      </c>
      <c r="F462" s="48" t="str">
        <f>'Secondary cum Calculation'!F852</f>
        <v>The number of international departures from a country to Iceland</v>
      </c>
      <c r="G462" s="48" t="str">
        <f>'Secondary cum Calculation'!G852</f>
        <v>Tourism Demand &amp; Flows Database</v>
      </c>
      <c r="H462" s="48" t="str">
        <f>'Secondary cum Calculation'!H852</f>
        <v>New</v>
      </c>
      <c r="I462" s="48">
        <f>'Secondary cum Calculation'!I852</f>
        <v>0</v>
      </c>
      <c r="J462" s="48" t="str">
        <f>'Secondary cum Calculation'!J852</f>
        <v>Thousand</v>
      </c>
      <c r="K462" s="49">
        <f>'Secondary cum Calculation'!K852</f>
        <v>0</v>
      </c>
      <c r="L462" s="92"/>
      <c r="M462" s="104" t="e">
        <f>'Final Data-US$'!M396/'Final Data-US$'!L396-1</f>
        <v>#DIV/0!</v>
      </c>
      <c r="N462" s="104" t="e">
        <f>'Final Data-US$'!N396/'Final Data-US$'!M396-1</f>
        <v>#DIV/0!</v>
      </c>
      <c r="O462" s="103" t="e">
        <f>'Final Data-US$'!O396/'Final Data-US$'!N396-1</f>
        <v>#DIV/0!</v>
      </c>
      <c r="P462" s="103" t="e">
        <f>'Final Data-US$'!P396/'Final Data-US$'!O396-1</f>
        <v>#DIV/0!</v>
      </c>
      <c r="Q462" s="103" t="e">
        <f>'Final Data-US$'!Q396/'Final Data-US$'!P396-1</f>
        <v>#DIV/0!</v>
      </c>
      <c r="R462" s="103" t="e">
        <f>'Final Data-US$'!R396/'Final Data-US$'!Q396-1</f>
        <v>#DIV/0!</v>
      </c>
      <c r="S462" s="103" t="e">
        <f>'Final Data-US$'!S396/'Final Data-US$'!R396-1</f>
        <v>#DIV/0!</v>
      </c>
      <c r="T462" s="103" t="e">
        <f>'Final Data-US$'!T396/'Final Data-US$'!S396-1</f>
        <v>#DIV/0!</v>
      </c>
      <c r="U462" s="103" t="e">
        <f>'Final Data-US$'!U396/'Final Data-US$'!T396-1</f>
        <v>#DIV/0!</v>
      </c>
      <c r="V462" s="103" t="e">
        <f>'Final Data-US$'!V396/'Final Data-US$'!U396-1</f>
        <v>#DIV/0!</v>
      </c>
      <c r="W462" s="102" t="e">
        <f>'Final Data-US$'!W396</f>
        <v>#DIV/0!</v>
      </c>
      <c r="X462" s="102" t="e">
        <f>'Final Data-US$'!X396</f>
        <v>#DIV/0!</v>
      </c>
    </row>
    <row r="463" spans="1:24">
      <c r="A463" s="46" t="str">
        <f>'Secondary cum Calculation'!A854</f>
        <v>Poland</v>
      </c>
      <c r="B463" s="47" t="str">
        <f>'Secondary cum Calculation'!B854</f>
        <v>Tourism Flows</v>
      </c>
      <c r="C463" s="47" t="str">
        <f>'Secondary cum Calculation'!C854</f>
        <v>International Departures by Destination</v>
      </c>
      <c r="D463" s="47" t="str">
        <f>'Secondary cum Calculation'!D854</f>
        <v>Europe</v>
      </c>
      <c r="E463" s="46" t="str">
        <f>'Secondary cum Calculation'!E854</f>
        <v>Ireland</v>
      </c>
      <c r="F463" s="48" t="str">
        <f>'Secondary cum Calculation'!F854</f>
        <v>The number of international departures from a country to Ireland</v>
      </c>
      <c r="G463" s="48" t="str">
        <f>'Secondary cum Calculation'!G854</f>
        <v>Tourism Demand &amp; Flows Database</v>
      </c>
      <c r="H463" s="48" t="str">
        <f>'Secondary cum Calculation'!H854</f>
        <v>New</v>
      </c>
      <c r="I463" s="48">
        <f>'Secondary cum Calculation'!I854</f>
        <v>0</v>
      </c>
      <c r="J463" s="48" t="str">
        <f>'Secondary cum Calculation'!J854</f>
        <v>Thousand</v>
      </c>
      <c r="K463" s="49">
        <f>'Secondary cum Calculation'!K854</f>
        <v>844</v>
      </c>
      <c r="L463" s="53"/>
      <c r="M463" s="51" t="e">
        <f>'Final Data-US$'!M397/'Final Data-US$'!L397-1</f>
        <v>#DIV/0!</v>
      </c>
      <c r="N463" s="51" t="e">
        <f>'Final Data-US$'!N397/'Final Data-US$'!M397-1</f>
        <v>#DIV/0!</v>
      </c>
      <c r="O463" s="51" t="e">
        <f>'Final Data-US$'!O397/'Final Data-US$'!N397-1</f>
        <v>#DIV/0!</v>
      </c>
      <c r="P463" s="51" t="e">
        <f>'Final Data-US$'!P397/'Final Data-US$'!O397-1</f>
        <v>#DIV/0!</v>
      </c>
      <c r="Q463" s="51" t="e">
        <f>'Final Data-US$'!Q397/'Final Data-US$'!P397-1</f>
        <v>#DIV/0!</v>
      </c>
      <c r="R463" s="51" t="e">
        <f>'Final Data-US$'!R397/'Final Data-US$'!Q397-1</f>
        <v>#DIV/0!</v>
      </c>
      <c r="S463" s="51" t="e">
        <f>'Final Data-US$'!S397/'Final Data-US$'!R397-1</f>
        <v>#DIV/0!</v>
      </c>
      <c r="T463" s="51" t="e">
        <f>'Final Data-US$'!T397/'Final Data-US$'!S397-1</f>
        <v>#DIV/0!</v>
      </c>
      <c r="U463" s="51" t="e">
        <f>'Final Data-US$'!U397/'Final Data-US$'!T397-1</f>
        <v>#DIV/0!</v>
      </c>
      <c r="V463" s="51" t="e">
        <f>'Final Data-US$'!V397/'Final Data-US$'!U397-1</f>
        <v>#DIV/0!</v>
      </c>
      <c r="W463" s="102" t="e">
        <f>'Final Data-US$'!W397</f>
        <v>#DIV/0!</v>
      </c>
      <c r="X463" s="102" t="e">
        <f>'Final Data-US$'!X397</f>
        <v>#DIV/0!</v>
      </c>
    </row>
    <row r="464" spans="1:24">
      <c r="A464" s="46" t="str">
        <f>'Secondary cum Calculation'!A856</f>
        <v>Poland</v>
      </c>
      <c r="B464" s="47" t="str">
        <f>'Secondary cum Calculation'!B856</f>
        <v>Tourism Flows</v>
      </c>
      <c r="C464" s="47" t="str">
        <f>'Secondary cum Calculation'!C856</f>
        <v>International Departures by Destination</v>
      </c>
      <c r="D464" s="47" t="str">
        <f>'Secondary cum Calculation'!D856</f>
        <v>Europe</v>
      </c>
      <c r="E464" s="46" t="str">
        <f>'Secondary cum Calculation'!E856</f>
        <v>Italy</v>
      </c>
      <c r="F464" s="48" t="str">
        <f>'Secondary cum Calculation'!F856</f>
        <v>The number of international departures from a country to Italy</v>
      </c>
      <c r="G464" s="48" t="str">
        <f>'Secondary cum Calculation'!G856</f>
        <v>Tourism Demand &amp; Flows Database</v>
      </c>
      <c r="H464" s="48" t="str">
        <f>'Secondary cum Calculation'!H856</f>
        <v>New</v>
      </c>
      <c r="I464" s="48">
        <f>'Secondary cum Calculation'!I856</f>
        <v>0</v>
      </c>
      <c r="J464" s="48" t="str">
        <f>'Secondary cum Calculation'!J856</f>
        <v>Thousand</v>
      </c>
      <c r="K464" s="49">
        <f>'Secondary cum Calculation'!K856</f>
        <v>2201</v>
      </c>
      <c r="L464" s="53"/>
      <c r="M464" s="51" t="e">
        <f>'Final Data-US$'!M398/'Final Data-US$'!L398-1</f>
        <v>#DIV/0!</v>
      </c>
      <c r="N464" s="51" t="e">
        <f>'Final Data-US$'!N398/'Final Data-US$'!M398-1</f>
        <v>#DIV/0!</v>
      </c>
      <c r="O464" s="51" t="e">
        <f>'Final Data-US$'!O398/'Final Data-US$'!N398-1</f>
        <v>#DIV/0!</v>
      </c>
      <c r="P464" s="51" t="e">
        <f>'Final Data-US$'!P398/'Final Data-US$'!O398-1</f>
        <v>#DIV/0!</v>
      </c>
      <c r="Q464" s="51" t="e">
        <f>'Final Data-US$'!Q398/'Final Data-US$'!P398-1</f>
        <v>#DIV/0!</v>
      </c>
      <c r="R464" s="51" t="e">
        <f>'Final Data-US$'!R398/'Final Data-US$'!Q398-1</f>
        <v>#DIV/0!</v>
      </c>
      <c r="S464" s="51" t="e">
        <f>'Final Data-US$'!S398/'Final Data-US$'!R398-1</f>
        <v>#DIV/0!</v>
      </c>
      <c r="T464" s="51" t="e">
        <f>'Final Data-US$'!T398/'Final Data-US$'!S398-1</f>
        <v>#DIV/0!</v>
      </c>
      <c r="U464" s="51" t="e">
        <f>'Final Data-US$'!U398/'Final Data-US$'!T398-1</f>
        <v>#DIV/0!</v>
      </c>
      <c r="V464" s="51" t="e">
        <f>'Final Data-US$'!V398/'Final Data-US$'!U398-1</f>
        <v>#DIV/0!</v>
      </c>
      <c r="W464" s="102" t="e">
        <f>'Final Data-US$'!W398</f>
        <v>#DIV/0!</v>
      </c>
      <c r="X464" s="102" t="e">
        <f>'Final Data-US$'!X398</f>
        <v>#DIV/0!</v>
      </c>
    </row>
    <row r="465" spans="1:24">
      <c r="A465" s="46" t="str">
        <f>'Secondary cum Calculation'!A858</f>
        <v>Poland</v>
      </c>
      <c r="B465" s="47" t="str">
        <f>'Secondary cum Calculation'!B858</f>
        <v>Tourism Flows</v>
      </c>
      <c r="C465" s="47" t="str">
        <f>'Secondary cum Calculation'!C858</f>
        <v>International Departures by Destination</v>
      </c>
      <c r="D465" s="47" t="str">
        <f>'Secondary cum Calculation'!D858</f>
        <v>Europe</v>
      </c>
      <c r="E465" s="46" t="str">
        <f>'Secondary cum Calculation'!E858</f>
        <v>Latvia</v>
      </c>
      <c r="F465" s="48" t="str">
        <f>'Secondary cum Calculation'!F858</f>
        <v>The number of international departures from a country to Latvia</v>
      </c>
      <c r="G465" s="48" t="str">
        <f>'Secondary cum Calculation'!G858</f>
        <v>Tourism Demand &amp; Flows Database</v>
      </c>
      <c r="H465" s="48" t="str">
        <f>'Secondary cum Calculation'!H858</f>
        <v>New</v>
      </c>
      <c r="I465" s="48">
        <f>'Secondary cum Calculation'!I858</f>
        <v>0</v>
      </c>
      <c r="J465" s="48" t="str">
        <f>'Secondary cum Calculation'!J858</f>
        <v>Thousand</v>
      </c>
      <c r="K465" s="49">
        <f>'Secondary cum Calculation'!K858</f>
        <v>0</v>
      </c>
      <c r="L465" s="92"/>
      <c r="M465" s="104" t="e">
        <f>'Final Data-US$'!M399/'Final Data-US$'!L399-1</f>
        <v>#DIV/0!</v>
      </c>
      <c r="N465" s="104" t="e">
        <f>'Final Data-US$'!N399/'Final Data-US$'!M399-1</f>
        <v>#DIV/0!</v>
      </c>
      <c r="O465" s="103" t="e">
        <f>'Final Data-US$'!O399/'Final Data-US$'!N399-1</f>
        <v>#DIV/0!</v>
      </c>
      <c r="P465" s="103" t="e">
        <f>'Final Data-US$'!P399/'Final Data-US$'!O399-1</f>
        <v>#DIV/0!</v>
      </c>
      <c r="Q465" s="103" t="e">
        <f>'Final Data-US$'!Q399/'Final Data-US$'!P399-1</f>
        <v>#DIV/0!</v>
      </c>
      <c r="R465" s="103" t="e">
        <f>'Final Data-US$'!R399/'Final Data-US$'!Q399-1</f>
        <v>#DIV/0!</v>
      </c>
      <c r="S465" s="103" t="e">
        <f>'Final Data-US$'!S399/'Final Data-US$'!R399-1</f>
        <v>#DIV/0!</v>
      </c>
      <c r="T465" s="103" t="e">
        <f>'Final Data-US$'!T399/'Final Data-US$'!S399-1</f>
        <v>#DIV/0!</v>
      </c>
      <c r="U465" s="103" t="e">
        <f>'Final Data-US$'!U399/'Final Data-US$'!T399-1</f>
        <v>#DIV/0!</v>
      </c>
      <c r="V465" s="103" t="e">
        <f>'Final Data-US$'!V399/'Final Data-US$'!U399-1</f>
        <v>#DIV/0!</v>
      </c>
      <c r="W465" s="102" t="e">
        <f>'Final Data-US$'!W399</f>
        <v>#DIV/0!</v>
      </c>
      <c r="X465" s="102" t="e">
        <f>'Final Data-US$'!X399</f>
        <v>#DIV/0!</v>
      </c>
    </row>
    <row r="466" spans="1:24">
      <c r="A466" s="46" t="str">
        <f>'Secondary cum Calculation'!A860</f>
        <v>Poland</v>
      </c>
      <c r="B466" s="47" t="str">
        <f>'Secondary cum Calculation'!B860</f>
        <v>Tourism Flows</v>
      </c>
      <c r="C466" s="47" t="str">
        <f>'Secondary cum Calculation'!C860</f>
        <v>International Departures by Destination</v>
      </c>
      <c r="D466" s="47" t="str">
        <f>'Secondary cum Calculation'!D860</f>
        <v>Europe</v>
      </c>
      <c r="E466" s="46" t="str">
        <f>'Secondary cum Calculation'!E860</f>
        <v>Lithuania</v>
      </c>
      <c r="F466" s="48" t="str">
        <f>'Secondary cum Calculation'!F860</f>
        <v>The number of international departures from a country to Lithuania</v>
      </c>
      <c r="G466" s="48" t="str">
        <f>'Secondary cum Calculation'!G860</f>
        <v>Tourism Demand &amp; Flows Database</v>
      </c>
      <c r="H466" s="48" t="str">
        <f>'Secondary cum Calculation'!H860</f>
        <v>New</v>
      </c>
      <c r="I466" s="48">
        <f>'Secondary cum Calculation'!I860</f>
        <v>0</v>
      </c>
      <c r="J466" s="48" t="str">
        <f>'Secondary cum Calculation'!J860</f>
        <v>Thousand</v>
      </c>
      <c r="K466" s="49">
        <f>'Secondary cum Calculation'!K860</f>
        <v>0</v>
      </c>
      <c r="L466" s="92"/>
      <c r="M466" s="104" t="e">
        <f>'Final Data-US$'!M400/'Final Data-US$'!L400-1</f>
        <v>#DIV/0!</v>
      </c>
      <c r="N466" s="104" t="e">
        <f>'Final Data-US$'!N400/'Final Data-US$'!M400-1</f>
        <v>#DIV/0!</v>
      </c>
      <c r="O466" s="51" t="e">
        <f>'Final Data-US$'!O400/'Final Data-US$'!N400-1</f>
        <v>#DIV/0!</v>
      </c>
      <c r="P466" s="51" t="e">
        <f>'Final Data-US$'!P400/'Final Data-US$'!O400-1</f>
        <v>#DIV/0!</v>
      </c>
      <c r="Q466" s="51" t="e">
        <f>'Final Data-US$'!Q400/'Final Data-US$'!P400-1</f>
        <v>#DIV/0!</v>
      </c>
      <c r="R466" s="51" t="e">
        <f>'Final Data-US$'!R400/'Final Data-US$'!Q400-1</f>
        <v>#DIV/0!</v>
      </c>
      <c r="S466" s="51" t="e">
        <f>'Final Data-US$'!S400/'Final Data-US$'!R400-1</f>
        <v>#DIV/0!</v>
      </c>
      <c r="T466" s="51" t="e">
        <f>'Final Data-US$'!T400/'Final Data-US$'!S400-1</f>
        <v>#DIV/0!</v>
      </c>
      <c r="U466" s="51" t="e">
        <f>'Final Data-US$'!U400/'Final Data-US$'!T400-1</f>
        <v>#DIV/0!</v>
      </c>
      <c r="V466" s="51" t="e">
        <f>'Final Data-US$'!V400/'Final Data-US$'!U400-1</f>
        <v>#DIV/0!</v>
      </c>
      <c r="W466" s="102" t="e">
        <f>'Final Data-US$'!W400</f>
        <v>#DIV/0!</v>
      </c>
      <c r="X466" s="102" t="e">
        <f>'Final Data-US$'!X400</f>
        <v>#DIV/0!</v>
      </c>
    </row>
    <row r="467" spans="1:24">
      <c r="A467" s="46" t="str">
        <f>'Secondary cum Calculation'!A862</f>
        <v>Poland</v>
      </c>
      <c r="B467" s="47" t="str">
        <f>'Secondary cum Calculation'!B862</f>
        <v>Tourism Flows</v>
      </c>
      <c r="C467" s="47" t="str">
        <f>'Secondary cum Calculation'!C862</f>
        <v>International Departures by Destination</v>
      </c>
      <c r="D467" s="47" t="str">
        <f>'Secondary cum Calculation'!D862</f>
        <v>Europe</v>
      </c>
      <c r="E467" s="46" t="str">
        <f>'Secondary cum Calculation'!E862</f>
        <v>Luxembourg</v>
      </c>
      <c r="F467" s="48" t="str">
        <f>'Secondary cum Calculation'!F862</f>
        <v>The number of international departures from a country to Luxembourg</v>
      </c>
      <c r="G467" s="48" t="str">
        <f>'Secondary cum Calculation'!G862</f>
        <v>Tourism Demand &amp; Flows Database</v>
      </c>
      <c r="H467" s="48" t="str">
        <f>'Secondary cum Calculation'!H862</f>
        <v>New</v>
      </c>
      <c r="I467" s="48">
        <f>'Secondary cum Calculation'!I862</f>
        <v>0</v>
      </c>
      <c r="J467" s="48" t="str">
        <f>'Secondary cum Calculation'!J862</f>
        <v>Thousand</v>
      </c>
      <c r="K467" s="49">
        <f>'Secondary cum Calculation'!K862</f>
        <v>0</v>
      </c>
      <c r="L467" s="92"/>
      <c r="M467" s="104" t="e">
        <f>'Final Data-US$'!M401/'Final Data-US$'!L401-1</f>
        <v>#DIV/0!</v>
      </c>
      <c r="N467" s="104" t="e">
        <f>'Final Data-US$'!N401/'Final Data-US$'!M401-1</f>
        <v>#DIV/0!</v>
      </c>
      <c r="O467" s="51" t="e">
        <f>'Final Data-US$'!O401/'Final Data-US$'!N401-1</f>
        <v>#DIV/0!</v>
      </c>
      <c r="P467" s="51" t="e">
        <f>'Final Data-US$'!P401/'Final Data-US$'!O401-1</f>
        <v>#DIV/0!</v>
      </c>
      <c r="Q467" s="51" t="e">
        <f>'Final Data-US$'!Q401/'Final Data-US$'!P401-1</f>
        <v>#DIV/0!</v>
      </c>
      <c r="R467" s="51" t="e">
        <f>'Final Data-US$'!R401/'Final Data-US$'!Q401-1</f>
        <v>#DIV/0!</v>
      </c>
      <c r="S467" s="51" t="e">
        <f>'Final Data-US$'!S401/'Final Data-US$'!R401-1</f>
        <v>#DIV/0!</v>
      </c>
      <c r="T467" s="51" t="e">
        <f>'Final Data-US$'!T401/'Final Data-US$'!S401-1</f>
        <v>#DIV/0!</v>
      </c>
      <c r="U467" s="51" t="e">
        <f>'Final Data-US$'!U401/'Final Data-US$'!T401-1</f>
        <v>#DIV/0!</v>
      </c>
      <c r="V467" s="51" t="e">
        <f>'Final Data-US$'!V401/'Final Data-US$'!U401-1</f>
        <v>#DIV/0!</v>
      </c>
      <c r="W467" s="102" t="e">
        <f>'Final Data-US$'!W401</f>
        <v>#DIV/0!</v>
      </c>
      <c r="X467" s="102" t="e">
        <f>'Final Data-US$'!X401</f>
        <v>#DIV/0!</v>
      </c>
    </row>
    <row r="468" spans="1:24">
      <c r="A468" s="46" t="str">
        <f>'Secondary cum Calculation'!A864</f>
        <v>Poland</v>
      </c>
      <c r="B468" s="47" t="str">
        <f>'Secondary cum Calculation'!B864</f>
        <v>Tourism Flows</v>
      </c>
      <c r="C468" s="47" t="str">
        <f>'Secondary cum Calculation'!C864</f>
        <v>International Departures by Destination</v>
      </c>
      <c r="D468" s="47" t="str">
        <f>'Secondary cum Calculation'!D864</f>
        <v>Europe</v>
      </c>
      <c r="E468" s="46" t="str">
        <f>'Secondary cum Calculation'!E864</f>
        <v>Malta</v>
      </c>
      <c r="F468" s="48" t="str">
        <f>'Secondary cum Calculation'!F864</f>
        <v>The number of international departures from a country to Malta</v>
      </c>
      <c r="G468" s="48" t="str">
        <f>'Secondary cum Calculation'!G864</f>
        <v>Tourism Demand &amp; Flows Database</v>
      </c>
      <c r="H468" s="48" t="str">
        <f>'Secondary cum Calculation'!H864</f>
        <v>New</v>
      </c>
      <c r="I468" s="48">
        <f>'Secondary cum Calculation'!I864</f>
        <v>0</v>
      </c>
      <c r="J468" s="48" t="str">
        <f>'Secondary cum Calculation'!J864</f>
        <v>Thousand</v>
      </c>
      <c r="K468" s="49">
        <f>'Secondary cum Calculation'!K864</f>
        <v>0</v>
      </c>
      <c r="L468" s="92"/>
      <c r="M468" s="104" t="e">
        <f>'Final Data-US$'!M402/'Final Data-US$'!L402-1</f>
        <v>#DIV/0!</v>
      </c>
      <c r="N468" s="104" t="e">
        <f>'Final Data-US$'!N402/'Final Data-US$'!M402-1</f>
        <v>#DIV/0!</v>
      </c>
      <c r="O468" s="51" t="e">
        <f>'Final Data-US$'!O402/'Final Data-US$'!N402-1</f>
        <v>#DIV/0!</v>
      </c>
      <c r="P468" s="51" t="e">
        <f>'Final Data-US$'!P402/'Final Data-US$'!O402-1</f>
        <v>#DIV/0!</v>
      </c>
      <c r="Q468" s="51" t="e">
        <f>'Final Data-US$'!Q402/'Final Data-US$'!P402-1</f>
        <v>#DIV/0!</v>
      </c>
      <c r="R468" s="51" t="e">
        <f>'Final Data-US$'!R402/'Final Data-US$'!Q402-1</f>
        <v>#DIV/0!</v>
      </c>
      <c r="S468" s="51" t="e">
        <f>'Final Data-US$'!S402/'Final Data-US$'!R402-1</f>
        <v>#DIV/0!</v>
      </c>
      <c r="T468" s="51" t="e">
        <f>'Final Data-US$'!T402/'Final Data-US$'!S402-1</f>
        <v>#DIV/0!</v>
      </c>
      <c r="U468" s="51" t="e">
        <f>'Final Data-US$'!U402/'Final Data-US$'!T402-1</f>
        <v>#DIV/0!</v>
      </c>
      <c r="V468" s="51" t="e">
        <f>'Final Data-US$'!V402/'Final Data-US$'!U402-1</f>
        <v>#DIV/0!</v>
      </c>
      <c r="W468" s="102" t="e">
        <f>'Final Data-US$'!W402</f>
        <v>#DIV/0!</v>
      </c>
      <c r="X468" s="102" t="e">
        <f>'Final Data-US$'!X402</f>
        <v>#DIV/0!</v>
      </c>
    </row>
    <row r="469" spans="1:24">
      <c r="A469" s="46" t="str">
        <f>'Secondary cum Calculation'!A866</f>
        <v>Poland</v>
      </c>
      <c r="B469" s="47" t="str">
        <f>'Secondary cum Calculation'!B866</f>
        <v>Tourism Flows</v>
      </c>
      <c r="C469" s="47" t="str">
        <f>'Secondary cum Calculation'!C866</f>
        <v>International Departures by Destination</v>
      </c>
      <c r="D469" s="47" t="str">
        <f>'Secondary cum Calculation'!D866</f>
        <v>Europe</v>
      </c>
      <c r="E469" s="46" t="str">
        <f>'Secondary cum Calculation'!E866</f>
        <v>Montenegro</v>
      </c>
      <c r="F469" s="48" t="str">
        <f>'Secondary cum Calculation'!F866</f>
        <v>The number of international departures from a country to Montenegro</v>
      </c>
      <c r="G469" s="48" t="str">
        <f>'Secondary cum Calculation'!G866</f>
        <v>Tourism Demand &amp; Flows Database</v>
      </c>
      <c r="H469" s="48" t="str">
        <f>'Secondary cum Calculation'!H866</f>
        <v>New</v>
      </c>
      <c r="I469" s="48">
        <f>'Secondary cum Calculation'!I866</f>
        <v>0</v>
      </c>
      <c r="J469" s="48" t="str">
        <f>'Secondary cum Calculation'!J866</f>
        <v>Thousand</v>
      </c>
      <c r="K469" s="49">
        <f>'Secondary cum Calculation'!K866</f>
        <v>0</v>
      </c>
      <c r="L469" s="92"/>
      <c r="M469" s="104" t="e">
        <f>'Final Data-US$'!M403/'Final Data-US$'!L403-1</f>
        <v>#DIV/0!</v>
      </c>
      <c r="N469" s="104" t="e">
        <f>'Final Data-US$'!N403/'Final Data-US$'!M403-1</f>
        <v>#DIV/0!</v>
      </c>
      <c r="O469" s="51" t="e">
        <f>'Final Data-US$'!O403/'Final Data-US$'!N403-1</f>
        <v>#DIV/0!</v>
      </c>
      <c r="P469" s="51" t="e">
        <f>'Final Data-US$'!P403/'Final Data-US$'!O403-1</f>
        <v>#DIV/0!</v>
      </c>
      <c r="Q469" s="51" t="e">
        <f>'Final Data-US$'!Q403/'Final Data-US$'!P403-1</f>
        <v>#DIV/0!</v>
      </c>
      <c r="R469" s="51" t="e">
        <f>'Final Data-US$'!R403/'Final Data-US$'!Q403-1</f>
        <v>#DIV/0!</v>
      </c>
      <c r="S469" s="51" t="e">
        <f>'Final Data-US$'!S403/'Final Data-US$'!R403-1</f>
        <v>#DIV/0!</v>
      </c>
      <c r="T469" s="51" t="e">
        <f>'Final Data-US$'!T403/'Final Data-US$'!S403-1</f>
        <v>#DIV/0!</v>
      </c>
      <c r="U469" s="51" t="e">
        <f>'Final Data-US$'!U403/'Final Data-US$'!T403-1</f>
        <v>#DIV/0!</v>
      </c>
      <c r="V469" s="51" t="e">
        <f>'Final Data-US$'!V403/'Final Data-US$'!U403-1</f>
        <v>#DIV/0!</v>
      </c>
      <c r="W469" s="102" t="e">
        <f>'Final Data-US$'!W403</f>
        <v>#DIV/0!</v>
      </c>
      <c r="X469" s="102" t="e">
        <f>'Final Data-US$'!X403</f>
        <v>#DIV/0!</v>
      </c>
    </row>
    <row r="470" spans="1:24">
      <c r="A470" s="46" t="str">
        <f>'Secondary cum Calculation'!A868</f>
        <v>Poland</v>
      </c>
      <c r="B470" s="47" t="str">
        <f>'Secondary cum Calculation'!B868</f>
        <v>Tourism Flows</v>
      </c>
      <c r="C470" s="47" t="str">
        <f>'Secondary cum Calculation'!C868</f>
        <v>International Departures by Destination</v>
      </c>
      <c r="D470" s="47" t="str">
        <f>'Secondary cum Calculation'!D868</f>
        <v>Europe</v>
      </c>
      <c r="E470" s="46" t="str">
        <f>'Secondary cum Calculation'!E868</f>
        <v>Netherlands</v>
      </c>
      <c r="F470" s="48" t="str">
        <f>'Secondary cum Calculation'!F868</f>
        <v>The number of international departures from a country to Netherlands</v>
      </c>
      <c r="G470" s="48" t="str">
        <f>'Secondary cum Calculation'!G868</f>
        <v>Tourism Demand &amp; Flows Database</v>
      </c>
      <c r="H470" s="48" t="str">
        <f>'Secondary cum Calculation'!H868</f>
        <v>New</v>
      </c>
      <c r="I470" s="48">
        <f>'Secondary cum Calculation'!I868</f>
        <v>0</v>
      </c>
      <c r="J470" s="48" t="str">
        <f>'Secondary cum Calculation'!J868</f>
        <v>Thousand</v>
      </c>
      <c r="K470" s="49">
        <f>'Secondary cum Calculation'!K868</f>
        <v>904</v>
      </c>
      <c r="L470" s="53"/>
      <c r="M470" s="51">
        <f>'Final Data-US$'!M404/'Final Data-US$'!L404-1</f>
        <v>0.21789883268482479</v>
      </c>
      <c r="N470" s="51">
        <f>'Final Data-US$'!N404/'Final Data-US$'!M404-1</f>
        <v>1.5974440894568787E-2</v>
      </c>
      <c r="O470" s="51">
        <f>'Final Data-US$'!O404/'Final Data-US$'!N404-1</f>
        <v>-0.55031446540880502</v>
      </c>
      <c r="P470" s="51">
        <f>'Final Data-US$'!P404/'Final Data-US$'!O404-1</f>
        <v>-9.7902097902097918E-2</v>
      </c>
      <c r="Q470" s="51">
        <f>'Final Data-US$'!Q404/'Final Data-US$'!P404-1</f>
        <v>-0.15744506977452344</v>
      </c>
      <c r="R470" s="51">
        <f>'Final Data-US$'!R404/'Final Data-US$'!Q404-1</f>
        <v>-1</v>
      </c>
      <c r="S470" s="51" t="e">
        <f>'Final Data-US$'!S404/'Final Data-US$'!R404-1</f>
        <v>#DIV/0!</v>
      </c>
      <c r="T470" s="51" t="e">
        <f>'Final Data-US$'!T404/'Final Data-US$'!S404-1</f>
        <v>#DIV/0!</v>
      </c>
      <c r="U470" s="51" t="e">
        <f>'Final Data-US$'!U404/'Final Data-US$'!T404-1</f>
        <v>#DIV/0!</v>
      </c>
      <c r="V470" s="51" t="e">
        <f>'Final Data-US$'!V404/'Final Data-US$'!U404-1</f>
        <v>#DIV/0!</v>
      </c>
      <c r="W470" s="102">
        <f>'Final Data-US$'!W404</f>
        <v>-0.23235416266101239</v>
      </c>
      <c r="X470" s="102">
        <f>'Final Data-US$'!X404</f>
        <v>-1</v>
      </c>
    </row>
    <row r="471" spans="1:24">
      <c r="A471" s="46" t="str">
        <f>'Secondary cum Calculation'!A870</f>
        <v>Poland</v>
      </c>
      <c r="B471" s="47" t="str">
        <f>'Secondary cum Calculation'!B870</f>
        <v>Tourism Flows</v>
      </c>
      <c r="C471" s="47" t="str">
        <f>'Secondary cum Calculation'!C870</f>
        <v>International Departures by Destination</v>
      </c>
      <c r="D471" s="47" t="str">
        <f>'Secondary cum Calculation'!D870</f>
        <v>Europe</v>
      </c>
      <c r="E471" s="46" t="str">
        <f>'Secondary cum Calculation'!E870</f>
        <v>Norway</v>
      </c>
      <c r="F471" s="48" t="str">
        <f>'Secondary cum Calculation'!F870</f>
        <v>The number of international departures from a country to Norway</v>
      </c>
      <c r="G471" s="48" t="str">
        <f>'Secondary cum Calculation'!G870</f>
        <v>Tourism Demand &amp; Flows Database</v>
      </c>
      <c r="H471" s="48" t="str">
        <f>'Secondary cum Calculation'!H870</f>
        <v>New</v>
      </c>
      <c r="I471" s="48">
        <f>'Secondary cum Calculation'!I870</f>
        <v>0</v>
      </c>
      <c r="J471" s="48" t="str">
        <f>'Secondary cum Calculation'!J870</f>
        <v>Thousand</v>
      </c>
      <c r="K471" s="49">
        <f>'Secondary cum Calculation'!K870</f>
        <v>0</v>
      </c>
      <c r="L471" s="92"/>
      <c r="M471" s="104">
        <f>'Final Data-US$'!M405/'Final Data-US$'!L405-1</f>
        <v>-0.22535211267605637</v>
      </c>
      <c r="N471" s="104">
        <f>'Final Data-US$'!N405/'Final Data-US$'!M405-1</f>
        <v>-0.50909090909090904</v>
      </c>
      <c r="O471" s="103">
        <f>'Final Data-US$'!O405/'Final Data-US$'!N405-1</f>
        <v>0.62962962962962954</v>
      </c>
      <c r="P471" s="103">
        <f>'Final Data-US$'!P405/'Final Data-US$'!O405-1</f>
        <v>-0.20454545454545459</v>
      </c>
      <c r="Q471" s="103">
        <f>'Final Data-US$'!Q405/'Final Data-US$'!P405-1</f>
        <v>-0.12856346616901526</v>
      </c>
      <c r="R471" s="103">
        <f>'Final Data-US$'!R405/'Final Data-US$'!Q405-1</f>
        <v>-1</v>
      </c>
      <c r="S471" s="103" t="e">
        <f>'Final Data-US$'!S405/'Final Data-US$'!R405-1</f>
        <v>#DIV/0!</v>
      </c>
      <c r="T471" s="103" t="e">
        <f>'Final Data-US$'!T405/'Final Data-US$'!S405-1</f>
        <v>#DIV/0!</v>
      </c>
      <c r="U471" s="103" t="e">
        <f>'Final Data-US$'!U405/'Final Data-US$'!T405-1</f>
        <v>#DIV/0!</v>
      </c>
      <c r="V471" s="103" t="e">
        <f>'Final Data-US$'!V405/'Final Data-US$'!U405-1</f>
        <v>#DIV/0!</v>
      </c>
      <c r="W471" s="102">
        <f>'Final Data-US$'!W405</f>
        <v>-0.13705070254000562</v>
      </c>
      <c r="X471" s="102">
        <f>'Final Data-US$'!X405</f>
        <v>-1</v>
      </c>
    </row>
    <row r="472" spans="1:24">
      <c r="A472" s="46" t="str">
        <f>'Secondary cum Calculation'!A872</f>
        <v>Poland</v>
      </c>
      <c r="B472" s="47" t="str">
        <f>'Secondary cum Calculation'!B872</f>
        <v>Tourism Flows</v>
      </c>
      <c r="C472" s="47" t="str">
        <f>'Secondary cum Calculation'!C872</f>
        <v>International Departures by Destination</v>
      </c>
      <c r="D472" s="47" t="str">
        <f>'Secondary cum Calculation'!D872</f>
        <v>Europe</v>
      </c>
      <c r="E472" s="46" t="str">
        <f>'Secondary cum Calculation'!E872</f>
        <v>Poland</v>
      </c>
      <c r="F472" s="48" t="str">
        <f>'Secondary cum Calculation'!F872</f>
        <v>The number of international departures from a country to Poland</v>
      </c>
      <c r="G472" s="48" t="str">
        <f>'Secondary cum Calculation'!G872</f>
        <v>Tourism Demand &amp; Flows Database</v>
      </c>
      <c r="H472" s="48" t="str">
        <f>'Secondary cum Calculation'!H872</f>
        <v>New</v>
      </c>
      <c r="I472" s="48">
        <f>'Secondary cum Calculation'!I872</f>
        <v>0</v>
      </c>
      <c r="J472" s="48" t="str">
        <f>'Secondary cum Calculation'!J872</f>
        <v>Thousand</v>
      </c>
      <c r="K472" s="49">
        <f>'Secondary cum Calculation'!K872</f>
        <v>0</v>
      </c>
      <c r="L472" s="53"/>
      <c r="M472" s="51" t="e">
        <f>'Final Data-US$'!M406/'Final Data-US$'!L406-1</f>
        <v>#DIV/0!</v>
      </c>
      <c r="N472" s="51" t="e">
        <f>'Final Data-US$'!N406/'Final Data-US$'!M406-1</f>
        <v>#DIV/0!</v>
      </c>
      <c r="O472" s="51" t="e">
        <f>'Final Data-US$'!O406/'Final Data-US$'!N406-1</f>
        <v>#DIV/0!</v>
      </c>
      <c r="P472" s="51" t="e">
        <f>'Final Data-US$'!P406/'Final Data-US$'!O406-1</f>
        <v>#DIV/0!</v>
      </c>
      <c r="Q472" s="51" t="e">
        <f>'Final Data-US$'!Q406/'Final Data-US$'!P406-1</f>
        <v>#DIV/0!</v>
      </c>
      <c r="R472" s="51" t="e">
        <f>'Final Data-US$'!R406/'Final Data-US$'!Q406-1</f>
        <v>#DIV/0!</v>
      </c>
      <c r="S472" s="51" t="e">
        <f>'Final Data-US$'!S406/'Final Data-US$'!R406-1</f>
        <v>#DIV/0!</v>
      </c>
      <c r="T472" s="51" t="e">
        <f>'Final Data-US$'!T406/'Final Data-US$'!S406-1</f>
        <v>#DIV/0!</v>
      </c>
      <c r="U472" s="51" t="e">
        <f>'Final Data-US$'!U406/'Final Data-US$'!T406-1</f>
        <v>#DIV/0!</v>
      </c>
      <c r="V472" s="51" t="e">
        <f>'Final Data-US$'!V406/'Final Data-US$'!U406-1</f>
        <v>#DIV/0!</v>
      </c>
      <c r="W472" s="102" t="e">
        <f>'Final Data-US$'!W406</f>
        <v>#DIV/0!</v>
      </c>
      <c r="X472" s="102" t="e">
        <f>'Final Data-US$'!X406</f>
        <v>#DIV/0!</v>
      </c>
    </row>
    <row r="473" spans="1:24">
      <c r="A473" s="46" t="str">
        <f>'Secondary cum Calculation'!A874</f>
        <v>Poland</v>
      </c>
      <c r="B473" s="47" t="str">
        <f>'Secondary cum Calculation'!B874</f>
        <v>Tourism Flows</v>
      </c>
      <c r="C473" s="47" t="str">
        <f>'Secondary cum Calculation'!C874</f>
        <v>International Departures by Destination</v>
      </c>
      <c r="D473" s="47" t="str">
        <f>'Secondary cum Calculation'!D874</f>
        <v>Europe</v>
      </c>
      <c r="E473" s="46" t="str">
        <f>'Secondary cum Calculation'!E874</f>
        <v>Portugal</v>
      </c>
      <c r="F473" s="48" t="str">
        <f>'Secondary cum Calculation'!F874</f>
        <v>The number of international departures from a country to Portugal</v>
      </c>
      <c r="G473" s="48" t="str">
        <f>'Secondary cum Calculation'!G874</f>
        <v>Tourism Demand &amp; Flows Database</v>
      </c>
      <c r="H473" s="48" t="str">
        <f>'Secondary cum Calculation'!H874</f>
        <v>New</v>
      </c>
      <c r="I473" s="48">
        <f>'Secondary cum Calculation'!I874</f>
        <v>0</v>
      </c>
      <c r="J473" s="48" t="str">
        <f>'Secondary cum Calculation'!J874</f>
        <v>Thousand</v>
      </c>
      <c r="K473" s="49">
        <f>'Secondary cum Calculation'!K874</f>
        <v>0</v>
      </c>
      <c r="L473" s="92"/>
      <c r="M473" s="104" t="e">
        <f>'Final Data-US$'!M407/'Final Data-US$'!L407-1</f>
        <v>#DIV/0!</v>
      </c>
      <c r="N473" s="104" t="e">
        <f>'Final Data-US$'!N407/'Final Data-US$'!M407-1</f>
        <v>#DIV/0!</v>
      </c>
      <c r="O473" s="51" t="e">
        <f>'Final Data-US$'!O407/'Final Data-US$'!N407-1</f>
        <v>#DIV/0!</v>
      </c>
      <c r="P473" s="51" t="e">
        <f>'Final Data-US$'!P407/'Final Data-US$'!O407-1</f>
        <v>#DIV/0!</v>
      </c>
      <c r="Q473" s="51" t="e">
        <f>'Final Data-US$'!Q407/'Final Data-US$'!P407-1</f>
        <v>#DIV/0!</v>
      </c>
      <c r="R473" s="51" t="e">
        <f>'Final Data-US$'!R407/'Final Data-US$'!Q407-1</f>
        <v>#DIV/0!</v>
      </c>
      <c r="S473" s="51" t="e">
        <f>'Final Data-US$'!S407/'Final Data-US$'!R407-1</f>
        <v>#DIV/0!</v>
      </c>
      <c r="T473" s="51" t="e">
        <f>'Final Data-US$'!T407/'Final Data-US$'!S407-1</f>
        <v>#DIV/0!</v>
      </c>
      <c r="U473" s="51" t="e">
        <f>'Final Data-US$'!U407/'Final Data-US$'!T407-1</f>
        <v>#DIV/0!</v>
      </c>
      <c r="V473" s="51" t="e">
        <f>'Final Data-US$'!V407/'Final Data-US$'!U407-1</f>
        <v>#DIV/0!</v>
      </c>
      <c r="W473" s="102" t="e">
        <f>'Final Data-US$'!W407</f>
        <v>#DIV/0!</v>
      </c>
      <c r="X473" s="102" t="e">
        <f>'Final Data-US$'!X407</f>
        <v>#DIV/0!</v>
      </c>
    </row>
    <row r="474" spans="1:24">
      <c r="A474" s="46" t="str">
        <f>'Secondary cum Calculation'!A876</f>
        <v>Poland</v>
      </c>
      <c r="B474" s="47" t="str">
        <f>'Secondary cum Calculation'!B876</f>
        <v>Tourism Flows</v>
      </c>
      <c r="C474" s="47" t="str">
        <f>'Secondary cum Calculation'!C876</f>
        <v>International Departures by Destination</v>
      </c>
      <c r="D474" s="47" t="str">
        <f>'Secondary cum Calculation'!D876</f>
        <v>Europe</v>
      </c>
      <c r="E474" s="46" t="str">
        <f>'Secondary cum Calculation'!E876</f>
        <v>Republic of Moldova</v>
      </c>
      <c r="F474" s="48" t="str">
        <f>'Secondary cum Calculation'!F876</f>
        <v>The number of international departures from a country to Republic of Moldova</v>
      </c>
      <c r="G474" s="48" t="str">
        <f>'Secondary cum Calculation'!G876</f>
        <v>Tourism Demand &amp; Flows Database</v>
      </c>
      <c r="H474" s="48" t="str">
        <f>'Secondary cum Calculation'!H876</f>
        <v>New</v>
      </c>
      <c r="I474" s="48">
        <f>'Secondary cum Calculation'!I876</f>
        <v>0</v>
      </c>
      <c r="J474" s="48" t="str">
        <f>'Secondary cum Calculation'!J876</f>
        <v>Thousand</v>
      </c>
      <c r="K474" s="49">
        <f>'Secondary cum Calculation'!K876</f>
        <v>0</v>
      </c>
      <c r="L474" s="92"/>
      <c r="M474" s="104" t="e">
        <f>'Final Data-US$'!M408/'Final Data-US$'!L408-1</f>
        <v>#DIV/0!</v>
      </c>
      <c r="N474" s="104" t="e">
        <f>'Final Data-US$'!N408/'Final Data-US$'!M408-1</f>
        <v>#DIV/0!</v>
      </c>
      <c r="O474" s="51" t="e">
        <f>'Final Data-US$'!O408/'Final Data-US$'!N408-1</f>
        <v>#DIV/0!</v>
      </c>
      <c r="P474" s="51" t="e">
        <f>'Final Data-US$'!P408/'Final Data-US$'!O408-1</f>
        <v>#DIV/0!</v>
      </c>
      <c r="Q474" s="51" t="e">
        <f>'Final Data-US$'!Q408/'Final Data-US$'!P408-1</f>
        <v>#DIV/0!</v>
      </c>
      <c r="R474" s="51" t="e">
        <f>'Final Data-US$'!R408/'Final Data-US$'!Q408-1</f>
        <v>#DIV/0!</v>
      </c>
      <c r="S474" s="51" t="e">
        <f>'Final Data-US$'!S408/'Final Data-US$'!R408-1</f>
        <v>#DIV/0!</v>
      </c>
      <c r="T474" s="51" t="e">
        <f>'Final Data-US$'!T408/'Final Data-US$'!S408-1</f>
        <v>#DIV/0!</v>
      </c>
      <c r="U474" s="51" t="e">
        <f>'Final Data-US$'!U408/'Final Data-US$'!T408-1</f>
        <v>#DIV/0!</v>
      </c>
      <c r="V474" s="51" t="e">
        <f>'Final Data-US$'!V408/'Final Data-US$'!U408-1</f>
        <v>#DIV/0!</v>
      </c>
      <c r="W474" s="102" t="e">
        <f>'Final Data-US$'!W408</f>
        <v>#DIV/0!</v>
      </c>
      <c r="X474" s="102" t="e">
        <f>'Final Data-US$'!X408</f>
        <v>#DIV/0!</v>
      </c>
    </row>
    <row r="475" spans="1:24">
      <c r="A475" s="46" t="str">
        <f>'Secondary cum Calculation'!A878</f>
        <v>Poland</v>
      </c>
      <c r="B475" s="47" t="str">
        <f>'Secondary cum Calculation'!B878</f>
        <v>Tourism Flows</v>
      </c>
      <c r="C475" s="47" t="str">
        <f>'Secondary cum Calculation'!C878</f>
        <v>International Departures by Destination</v>
      </c>
      <c r="D475" s="47" t="str">
        <f>'Secondary cum Calculation'!D878</f>
        <v>Europe</v>
      </c>
      <c r="E475" s="46" t="str">
        <f>'Secondary cum Calculation'!E878</f>
        <v>Romania</v>
      </c>
      <c r="F475" s="48" t="str">
        <f>'Secondary cum Calculation'!F878</f>
        <v>The number of international departures from a country to Romania</v>
      </c>
      <c r="G475" s="48" t="str">
        <f>'Secondary cum Calculation'!G878</f>
        <v>Tourism Demand &amp; Flows Database</v>
      </c>
      <c r="H475" s="48" t="str">
        <f>'Secondary cum Calculation'!H878</f>
        <v>New</v>
      </c>
      <c r="I475" s="48">
        <f>'Secondary cum Calculation'!I878</f>
        <v>0</v>
      </c>
      <c r="J475" s="48" t="str">
        <f>'Secondary cum Calculation'!J878</f>
        <v>Thousand</v>
      </c>
      <c r="K475" s="49">
        <f>'Secondary cum Calculation'!K878</f>
        <v>0</v>
      </c>
      <c r="L475" s="92"/>
      <c r="M475" s="104" t="e">
        <f>'Final Data-US$'!M409/'Final Data-US$'!L409-1</f>
        <v>#DIV/0!</v>
      </c>
      <c r="N475" s="104" t="e">
        <f>'Final Data-US$'!N409/'Final Data-US$'!M409-1</f>
        <v>#DIV/0!</v>
      </c>
      <c r="O475" s="51" t="e">
        <f>'Final Data-US$'!O409/'Final Data-US$'!N409-1</f>
        <v>#DIV/0!</v>
      </c>
      <c r="P475" s="51" t="e">
        <f>'Final Data-US$'!P409/'Final Data-US$'!O409-1</f>
        <v>#DIV/0!</v>
      </c>
      <c r="Q475" s="51" t="e">
        <f>'Final Data-US$'!Q409/'Final Data-US$'!P409-1</f>
        <v>#DIV/0!</v>
      </c>
      <c r="R475" s="51" t="e">
        <f>'Final Data-US$'!R409/'Final Data-US$'!Q409-1</f>
        <v>#DIV/0!</v>
      </c>
      <c r="S475" s="51" t="e">
        <f>'Final Data-US$'!S409/'Final Data-US$'!R409-1</f>
        <v>#DIV/0!</v>
      </c>
      <c r="T475" s="51" t="e">
        <f>'Final Data-US$'!T409/'Final Data-US$'!S409-1</f>
        <v>#DIV/0!</v>
      </c>
      <c r="U475" s="51" t="e">
        <f>'Final Data-US$'!U409/'Final Data-US$'!T409-1</f>
        <v>#DIV/0!</v>
      </c>
      <c r="V475" s="51" t="e">
        <f>'Final Data-US$'!V409/'Final Data-US$'!U409-1</f>
        <v>#DIV/0!</v>
      </c>
      <c r="W475" s="102" t="e">
        <f>'Final Data-US$'!W409</f>
        <v>#DIV/0!</v>
      </c>
      <c r="X475" s="102" t="e">
        <f>'Final Data-US$'!X409</f>
        <v>#DIV/0!</v>
      </c>
    </row>
    <row r="476" spans="1:24">
      <c r="A476" s="46" t="str">
        <f>'Secondary cum Calculation'!A880</f>
        <v>Poland</v>
      </c>
      <c r="B476" s="47" t="str">
        <f>'Secondary cum Calculation'!B880</f>
        <v>Tourism Flows</v>
      </c>
      <c r="C476" s="47" t="str">
        <f>'Secondary cum Calculation'!C880</f>
        <v>International Departures by Destination</v>
      </c>
      <c r="D476" s="47" t="str">
        <f>'Secondary cum Calculation'!D880</f>
        <v>Europe</v>
      </c>
      <c r="E476" s="46" t="str">
        <f>'Secondary cum Calculation'!E880</f>
        <v>Russian Federation</v>
      </c>
      <c r="F476" s="48" t="str">
        <f>'Secondary cum Calculation'!F880</f>
        <v>The number of international departures from a country to Russian Federation</v>
      </c>
      <c r="G476" s="48" t="str">
        <f>'Secondary cum Calculation'!G880</f>
        <v>Tourism Demand &amp; Flows Database</v>
      </c>
      <c r="H476" s="48" t="str">
        <f>'Secondary cum Calculation'!H880</f>
        <v>New</v>
      </c>
      <c r="I476" s="48">
        <f>'Secondary cum Calculation'!I880</f>
        <v>0</v>
      </c>
      <c r="J476" s="48" t="str">
        <f>'Secondary cum Calculation'!J880</f>
        <v>Thousand</v>
      </c>
      <c r="K476" s="49">
        <f>'Secondary cum Calculation'!K880</f>
        <v>0</v>
      </c>
      <c r="L476" s="53"/>
      <c r="M476" s="51" t="e">
        <f>'Final Data-US$'!M410/'Final Data-US$'!L410-1</f>
        <v>#DIV/0!</v>
      </c>
      <c r="N476" s="51" t="e">
        <f>'Final Data-US$'!N410/'Final Data-US$'!M410-1</f>
        <v>#DIV/0!</v>
      </c>
      <c r="O476" s="51" t="e">
        <f>'Final Data-US$'!O410/'Final Data-US$'!N410-1</f>
        <v>#DIV/0!</v>
      </c>
      <c r="P476" s="51" t="e">
        <f>'Final Data-US$'!P410/'Final Data-US$'!O410-1</f>
        <v>#DIV/0!</v>
      </c>
      <c r="Q476" s="51" t="e">
        <f>'Final Data-US$'!Q410/'Final Data-US$'!P410-1</f>
        <v>#DIV/0!</v>
      </c>
      <c r="R476" s="51" t="e">
        <f>'Final Data-US$'!R410/'Final Data-US$'!Q410-1</f>
        <v>#DIV/0!</v>
      </c>
      <c r="S476" s="51" t="e">
        <f>'Final Data-US$'!S410/'Final Data-US$'!R410-1</f>
        <v>#DIV/0!</v>
      </c>
      <c r="T476" s="51" t="e">
        <f>'Final Data-US$'!T410/'Final Data-US$'!S410-1</f>
        <v>#DIV/0!</v>
      </c>
      <c r="U476" s="51" t="e">
        <f>'Final Data-US$'!U410/'Final Data-US$'!T410-1</f>
        <v>#DIV/0!</v>
      </c>
      <c r="V476" s="51" t="e">
        <f>'Final Data-US$'!V410/'Final Data-US$'!U410-1</f>
        <v>#DIV/0!</v>
      </c>
      <c r="W476" s="102" t="e">
        <f>'Final Data-US$'!W410</f>
        <v>#DIV/0!</v>
      </c>
      <c r="X476" s="102" t="e">
        <f>'Final Data-US$'!X410</f>
        <v>#DIV/0!</v>
      </c>
    </row>
    <row r="477" spans="1:24">
      <c r="A477" s="46" t="str">
        <f>'Secondary cum Calculation'!A882</f>
        <v>Poland</v>
      </c>
      <c r="B477" s="47" t="str">
        <f>'Secondary cum Calculation'!B882</f>
        <v>Tourism Flows</v>
      </c>
      <c r="C477" s="47" t="str">
        <f>'Secondary cum Calculation'!C882</f>
        <v>International Departures by Destination</v>
      </c>
      <c r="D477" s="47" t="str">
        <f>'Secondary cum Calculation'!D882</f>
        <v>Europe</v>
      </c>
      <c r="E477" s="46" t="str">
        <f>'Secondary cum Calculation'!E882</f>
        <v>Serbia</v>
      </c>
      <c r="F477" s="48" t="str">
        <f>'Secondary cum Calculation'!F882</f>
        <v>The number of international departures from a country to Serbia</v>
      </c>
      <c r="G477" s="48" t="str">
        <f>'Secondary cum Calculation'!G882</f>
        <v>Tourism Demand &amp; Flows Database</v>
      </c>
      <c r="H477" s="48" t="str">
        <f>'Secondary cum Calculation'!H882</f>
        <v>New</v>
      </c>
      <c r="I477" s="48">
        <f>'Secondary cum Calculation'!I882</f>
        <v>0</v>
      </c>
      <c r="J477" s="48" t="str">
        <f>'Secondary cum Calculation'!J882</f>
        <v>Thousand</v>
      </c>
      <c r="K477" s="49">
        <f>'Secondary cum Calculation'!K882</f>
        <v>0</v>
      </c>
      <c r="L477" s="92"/>
      <c r="M477" s="104" t="e">
        <f>'Final Data-US$'!M411/'Final Data-US$'!L411-1</f>
        <v>#DIV/0!</v>
      </c>
      <c r="N477" s="104" t="e">
        <f>'Final Data-US$'!N411/'Final Data-US$'!M411-1</f>
        <v>#DIV/0!</v>
      </c>
      <c r="O477" s="51" t="e">
        <f>'Final Data-US$'!O411/'Final Data-US$'!N411-1</f>
        <v>#DIV/0!</v>
      </c>
      <c r="P477" s="51" t="e">
        <f>'Final Data-US$'!P411/'Final Data-US$'!O411-1</f>
        <v>#DIV/0!</v>
      </c>
      <c r="Q477" s="51" t="e">
        <f>'Final Data-US$'!Q411/'Final Data-US$'!P411-1</f>
        <v>#DIV/0!</v>
      </c>
      <c r="R477" s="51" t="e">
        <f>'Final Data-US$'!R411/'Final Data-US$'!Q411-1</f>
        <v>#DIV/0!</v>
      </c>
      <c r="S477" s="51" t="e">
        <f>'Final Data-US$'!S411/'Final Data-US$'!R411-1</f>
        <v>#DIV/0!</v>
      </c>
      <c r="T477" s="51" t="e">
        <f>'Final Data-US$'!T411/'Final Data-US$'!S411-1</f>
        <v>#DIV/0!</v>
      </c>
      <c r="U477" s="51" t="e">
        <f>'Final Data-US$'!U411/'Final Data-US$'!T411-1</f>
        <v>#DIV/0!</v>
      </c>
      <c r="V477" s="51" t="e">
        <f>'Final Data-US$'!V411/'Final Data-US$'!U411-1</f>
        <v>#DIV/0!</v>
      </c>
      <c r="W477" s="102" t="e">
        <f>'Final Data-US$'!W411</f>
        <v>#DIV/0!</v>
      </c>
      <c r="X477" s="102" t="e">
        <f>'Final Data-US$'!X411</f>
        <v>#DIV/0!</v>
      </c>
    </row>
    <row r="478" spans="1:24">
      <c r="A478" s="46" t="str">
        <f>'Secondary cum Calculation'!A884</f>
        <v>Poland</v>
      </c>
      <c r="B478" s="47" t="str">
        <f>'Secondary cum Calculation'!B884</f>
        <v>Tourism Flows</v>
      </c>
      <c r="C478" s="47" t="str">
        <f>'Secondary cum Calculation'!C884</f>
        <v>International Departures by Destination</v>
      </c>
      <c r="D478" s="47" t="str">
        <f>'Secondary cum Calculation'!D884</f>
        <v>Europe</v>
      </c>
      <c r="E478" s="46" t="str">
        <f>'Secondary cum Calculation'!E884</f>
        <v>Slovakia</v>
      </c>
      <c r="F478" s="48" t="str">
        <f>'Secondary cum Calculation'!F884</f>
        <v>The number of international departures from a country to Slovakia</v>
      </c>
      <c r="G478" s="48" t="str">
        <f>'Secondary cum Calculation'!G884</f>
        <v>Tourism Demand &amp; Flows Database</v>
      </c>
      <c r="H478" s="48" t="str">
        <f>'Secondary cum Calculation'!H884</f>
        <v>New</v>
      </c>
      <c r="I478" s="48">
        <f>'Secondary cum Calculation'!I884</f>
        <v>0</v>
      </c>
      <c r="J478" s="48" t="str">
        <f>'Secondary cum Calculation'!J884</f>
        <v>Thousand</v>
      </c>
      <c r="K478" s="49">
        <f>'Secondary cum Calculation'!K884</f>
        <v>0</v>
      </c>
      <c r="L478" s="92"/>
      <c r="M478" s="104" t="e">
        <f>'Final Data-US$'!M412/'Final Data-US$'!L412-1</f>
        <v>#DIV/0!</v>
      </c>
      <c r="N478" s="104" t="e">
        <f>'Final Data-US$'!N412/'Final Data-US$'!M412-1</f>
        <v>#DIV/0!</v>
      </c>
      <c r="O478" s="51" t="e">
        <f>'Final Data-US$'!O412/'Final Data-US$'!N412-1</f>
        <v>#DIV/0!</v>
      </c>
      <c r="P478" s="51" t="e">
        <f>'Final Data-US$'!P412/'Final Data-US$'!O412-1</f>
        <v>#DIV/0!</v>
      </c>
      <c r="Q478" s="51" t="e">
        <f>'Final Data-US$'!Q412/'Final Data-US$'!P412-1</f>
        <v>#DIV/0!</v>
      </c>
      <c r="R478" s="51" t="e">
        <f>'Final Data-US$'!R412/'Final Data-US$'!Q412-1</f>
        <v>#DIV/0!</v>
      </c>
      <c r="S478" s="51" t="e">
        <f>'Final Data-US$'!S412/'Final Data-US$'!R412-1</f>
        <v>#DIV/0!</v>
      </c>
      <c r="T478" s="51" t="e">
        <f>'Final Data-US$'!T412/'Final Data-US$'!S412-1</f>
        <v>#DIV/0!</v>
      </c>
      <c r="U478" s="51" t="e">
        <f>'Final Data-US$'!U412/'Final Data-US$'!T412-1</f>
        <v>#DIV/0!</v>
      </c>
      <c r="V478" s="51" t="e">
        <f>'Final Data-US$'!V412/'Final Data-US$'!U412-1</f>
        <v>#DIV/0!</v>
      </c>
      <c r="W478" s="102" t="e">
        <f>'Final Data-US$'!W412</f>
        <v>#DIV/0!</v>
      </c>
      <c r="X478" s="102" t="e">
        <f>'Final Data-US$'!X412</f>
        <v>#DIV/0!</v>
      </c>
    </row>
    <row r="479" spans="1:24">
      <c r="A479" s="46" t="str">
        <f>'Secondary cum Calculation'!A886</f>
        <v>Poland</v>
      </c>
      <c r="B479" s="47" t="str">
        <f>'Secondary cum Calculation'!B886</f>
        <v>Tourism Flows</v>
      </c>
      <c r="C479" s="47" t="str">
        <f>'Secondary cum Calculation'!C886</f>
        <v>International Departures by Destination</v>
      </c>
      <c r="D479" s="47" t="str">
        <f>'Secondary cum Calculation'!D886</f>
        <v>Europe</v>
      </c>
      <c r="E479" s="46" t="str">
        <f>'Secondary cum Calculation'!E886</f>
        <v>Slovenia</v>
      </c>
      <c r="F479" s="48" t="str">
        <f>'Secondary cum Calculation'!F886</f>
        <v>The number of international departures from a country to Slovenia</v>
      </c>
      <c r="G479" s="48" t="str">
        <f>'Secondary cum Calculation'!G886</f>
        <v>Tourism Demand &amp; Flows Database</v>
      </c>
      <c r="H479" s="48" t="str">
        <f>'Secondary cum Calculation'!H886</f>
        <v>New</v>
      </c>
      <c r="I479" s="48">
        <f>'Secondary cum Calculation'!I886</f>
        <v>0</v>
      </c>
      <c r="J479" s="48" t="str">
        <f>'Secondary cum Calculation'!J886</f>
        <v>Thousand</v>
      </c>
      <c r="K479" s="49">
        <f>'Secondary cum Calculation'!K886</f>
        <v>0</v>
      </c>
      <c r="L479" s="92"/>
      <c r="M479" s="104" t="e">
        <f>'Final Data-US$'!M413/'Final Data-US$'!L413-1</f>
        <v>#DIV/0!</v>
      </c>
      <c r="N479" s="104" t="e">
        <f>'Final Data-US$'!N413/'Final Data-US$'!M413-1</f>
        <v>#DIV/0!</v>
      </c>
      <c r="O479" s="51" t="e">
        <f>'Final Data-US$'!O413/'Final Data-US$'!N413-1</f>
        <v>#DIV/0!</v>
      </c>
      <c r="P479" s="51" t="e">
        <f>'Final Data-US$'!P413/'Final Data-US$'!O413-1</f>
        <v>#DIV/0!</v>
      </c>
      <c r="Q479" s="51" t="e">
        <f>'Final Data-US$'!Q413/'Final Data-US$'!P413-1</f>
        <v>#DIV/0!</v>
      </c>
      <c r="R479" s="51" t="e">
        <f>'Final Data-US$'!R413/'Final Data-US$'!Q413-1</f>
        <v>#DIV/0!</v>
      </c>
      <c r="S479" s="51" t="e">
        <f>'Final Data-US$'!S413/'Final Data-US$'!R413-1</f>
        <v>#DIV/0!</v>
      </c>
      <c r="T479" s="51" t="e">
        <f>'Final Data-US$'!T413/'Final Data-US$'!S413-1</f>
        <v>#DIV/0!</v>
      </c>
      <c r="U479" s="51" t="e">
        <f>'Final Data-US$'!U413/'Final Data-US$'!T413-1</f>
        <v>#DIV/0!</v>
      </c>
      <c r="V479" s="51" t="e">
        <f>'Final Data-US$'!V413/'Final Data-US$'!U413-1</f>
        <v>#DIV/0!</v>
      </c>
      <c r="W479" s="102" t="e">
        <f>'Final Data-US$'!W413</f>
        <v>#DIV/0!</v>
      </c>
      <c r="X479" s="102" t="e">
        <f>'Final Data-US$'!X413</f>
        <v>#DIV/0!</v>
      </c>
    </row>
    <row r="480" spans="1:24">
      <c r="A480" s="46" t="str">
        <f>'Secondary cum Calculation'!A888</f>
        <v>Poland</v>
      </c>
      <c r="B480" s="47" t="str">
        <f>'Secondary cum Calculation'!B888</f>
        <v>Tourism Flows</v>
      </c>
      <c r="C480" s="47" t="str">
        <f>'Secondary cum Calculation'!C888</f>
        <v>International Departures by Destination</v>
      </c>
      <c r="D480" s="47" t="str">
        <f>'Secondary cum Calculation'!D888</f>
        <v>Europe</v>
      </c>
      <c r="E480" s="46" t="str">
        <f>'Secondary cum Calculation'!E888</f>
        <v>Spain</v>
      </c>
      <c r="F480" s="48" t="str">
        <f>'Secondary cum Calculation'!F888</f>
        <v>The number of international departures from a country to Spain</v>
      </c>
      <c r="G480" s="48" t="str">
        <f>'Secondary cum Calculation'!G888</f>
        <v>Tourism Demand &amp; Flows Database</v>
      </c>
      <c r="H480" s="48" t="str">
        <f>'Secondary cum Calculation'!H888</f>
        <v>New</v>
      </c>
      <c r="I480" s="48">
        <f>'Secondary cum Calculation'!I888</f>
        <v>0</v>
      </c>
      <c r="J480" s="48" t="str">
        <f>'Secondary cum Calculation'!J888</f>
        <v>Thousand</v>
      </c>
      <c r="K480" s="49">
        <f>'Secondary cum Calculation'!K888</f>
        <v>995</v>
      </c>
      <c r="L480" s="53"/>
      <c r="M480" s="51" t="e">
        <f>'Final Data-US$'!M414/'Final Data-US$'!L414-1</f>
        <v>#DIV/0!</v>
      </c>
      <c r="N480" s="51" t="e">
        <f>'Final Data-US$'!N414/'Final Data-US$'!M414-1</f>
        <v>#DIV/0!</v>
      </c>
      <c r="O480" s="51" t="e">
        <f>'Final Data-US$'!O414/'Final Data-US$'!N414-1</f>
        <v>#DIV/0!</v>
      </c>
      <c r="P480" s="51" t="e">
        <f>'Final Data-US$'!P414/'Final Data-US$'!O414-1</f>
        <v>#DIV/0!</v>
      </c>
      <c r="Q480" s="51" t="e">
        <f>'Final Data-US$'!Q414/'Final Data-US$'!P414-1</f>
        <v>#DIV/0!</v>
      </c>
      <c r="R480" s="51" t="e">
        <f>'Final Data-US$'!R414/'Final Data-US$'!Q414-1</f>
        <v>#DIV/0!</v>
      </c>
      <c r="S480" s="51" t="e">
        <f>'Final Data-US$'!S414/'Final Data-US$'!R414-1</f>
        <v>#DIV/0!</v>
      </c>
      <c r="T480" s="51" t="e">
        <f>'Final Data-US$'!T414/'Final Data-US$'!S414-1</f>
        <v>#DIV/0!</v>
      </c>
      <c r="U480" s="51" t="e">
        <f>'Final Data-US$'!U414/'Final Data-US$'!T414-1</f>
        <v>#DIV/0!</v>
      </c>
      <c r="V480" s="51" t="e">
        <f>'Final Data-US$'!V414/'Final Data-US$'!U414-1</f>
        <v>#DIV/0!</v>
      </c>
      <c r="W480" s="102" t="e">
        <f>'Final Data-US$'!W414</f>
        <v>#DIV/0!</v>
      </c>
      <c r="X480" s="102" t="e">
        <f>'Final Data-US$'!X414</f>
        <v>#DIV/0!</v>
      </c>
    </row>
    <row r="481" spans="1:24">
      <c r="A481" s="46" t="str">
        <f>'Secondary cum Calculation'!A890</f>
        <v>Poland</v>
      </c>
      <c r="B481" s="47" t="str">
        <f>'Secondary cum Calculation'!B890</f>
        <v>Tourism Flows</v>
      </c>
      <c r="C481" s="47" t="str">
        <f>'Secondary cum Calculation'!C890</f>
        <v>International Departures by Destination</v>
      </c>
      <c r="D481" s="47" t="str">
        <f>'Secondary cum Calculation'!D890</f>
        <v>Europe</v>
      </c>
      <c r="E481" s="46" t="str">
        <f>'Secondary cum Calculation'!E890</f>
        <v>Sweden</v>
      </c>
      <c r="F481" s="48" t="str">
        <f>'Secondary cum Calculation'!F890</f>
        <v>The number of international departures from a country to Sweden</v>
      </c>
      <c r="G481" s="48" t="str">
        <f>'Secondary cum Calculation'!G890</f>
        <v>Tourism Demand &amp; Flows Database</v>
      </c>
      <c r="H481" s="48" t="str">
        <f>'Secondary cum Calculation'!H890</f>
        <v>New</v>
      </c>
      <c r="I481" s="48">
        <f>'Secondary cum Calculation'!I890</f>
        <v>0</v>
      </c>
      <c r="J481" s="48" t="str">
        <f>'Secondary cum Calculation'!J890</f>
        <v>Thousand</v>
      </c>
      <c r="K481" s="49">
        <f>'Secondary cum Calculation'!K890</f>
        <v>0</v>
      </c>
      <c r="L481" s="92"/>
      <c r="M481" s="104">
        <f>'Final Data-US$'!M415/'Final Data-US$'!L415-1</f>
        <v>-7.3170731707317027E-2</v>
      </c>
      <c r="N481" s="104">
        <f>'Final Data-US$'!N415/'Final Data-US$'!M415-1</f>
        <v>0.34210526315789469</v>
      </c>
      <c r="O481" s="51">
        <f>'Final Data-US$'!O415/'Final Data-US$'!N415-1</f>
        <v>-0.22875816993464049</v>
      </c>
      <c r="P481" s="51">
        <f>'Final Data-US$'!P415/'Final Data-US$'!O415-1</f>
        <v>-0.25423728813559321</v>
      </c>
      <c r="Q481" s="51">
        <f>'Final Data-US$'!Q415/'Final Data-US$'!P415-1</f>
        <v>-5.8231095305574687E-2</v>
      </c>
      <c r="R481" s="51">
        <f>'Final Data-US$'!R415/'Final Data-US$'!Q415-1</f>
        <v>-1</v>
      </c>
      <c r="S481" s="51" t="e">
        <f>'Final Data-US$'!S415/'Final Data-US$'!R415-1</f>
        <v>#DIV/0!</v>
      </c>
      <c r="T481" s="51" t="e">
        <f>'Final Data-US$'!T415/'Final Data-US$'!S415-1</f>
        <v>#DIV/0!</v>
      </c>
      <c r="U481" s="51" t="e">
        <f>'Final Data-US$'!U415/'Final Data-US$'!T415-1</f>
        <v>#DIV/0!</v>
      </c>
      <c r="V481" s="51" t="e">
        <f>'Final Data-US$'!V415/'Final Data-US$'!U415-1</f>
        <v>#DIV/0!</v>
      </c>
      <c r="W481" s="102">
        <f>'Final Data-US$'!W415</f>
        <v>-7.6619833700018014E-2</v>
      </c>
      <c r="X481" s="102">
        <f>'Final Data-US$'!X415</f>
        <v>-1</v>
      </c>
    </row>
    <row r="482" spans="1:24">
      <c r="A482" s="46" t="str">
        <f>'Secondary cum Calculation'!A892</f>
        <v>Poland</v>
      </c>
      <c r="B482" s="47" t="str">
        <f>'Secondary cum Calculation'!B892</f>
        <v>Tourism Flows</v>
      </c>
      <c r="C482" s="47" t="str">
        <f>'Secondary cum Calculation'!C892</f>
        <v>International Departures by Destination</v>
      </c>
      <c r="D482" s="47" t="str">
        <f>'Secondary cum Calculation'!D892</f>
        <v>Europe</v>
      </c>
      <c r="E482" s="46" t="str">
        <f>'Secondary cum Calculation'!E892</f>
        <v>Switzerland</v>
      </c>
      <c r="F482" s="48" t="str">
        <f>'Secondary cum Calculation'!F892</f>
        <v>The number of international departures from a country to Switzerland</v>
      </c>
      <c r="G482" s="48" t="str">
        <f>'Secondary cum Calculation'!G892</f>
        <v>Tourism Demand &amp; Flows Database</v>
      </c>
      <c r="H482" s="48" t="str">
        <f>'Secondary cum Calculation'!H892</f>
        <v>New</v>
      </c>
      <c r="I482" s="48">
        <f>'Secondary cum Calculation'!I892</f>
        <v>0</v>
      </c>
      <c r="J482" s="48" t="str">
        <f>'Secondary cum Calculation'!J892</f>
        <v>Thousand</v>
      </c>
      <c r="K482" s="49">
        <f>'Secondary cum Calculation'!K892</f>
        <v>633</v>
      </c>
      <c r="L482" s="53"/>
      <c r="M482" s="51">
        <f>'Final Data-US$'!M416/'Final Data-US$'!L416-1</f>
        <v>-0.4375</v>
      </c>
      <c r="N482" s="51">
        <f>'Final Data-US$'!N416/'Final Data-US$'!M416-1</f>
        <v>0.11111111111111116</v>
      </c>
      <c r="O482" s="51">
        <f>'Final Data-US$'!O416/'Final Data-US$'!N416-1</f>
        <v>2.0750000000000002</v>
      </c>
      <c r="P482" s="51">
        <f>'Final Data-US$'!P416/'Final Data-US$'!O416-1</f>
        <v>-2.4390243902439046E-2</v>
      </c>
      <c r="Q482" s="51">
        <f>'Final Data-US$'!Q416/'Final Data-US$'!P416-1</f>
        <v>0.10464393471937794</v>
      </c>
      <c r="R482" s="51">
        <f>'Final Data-US$'!R416/'Final Data-US$'!Q416-1</f>
        <v>-1</v>
      </c>
      <c r="S482" s="51" t="e">
        <f>'Final Data-US$'!S416/'Final Data-US$'!R416-1</f>
        <v>#DIV/0!</v>
      </c>
      <c r="T482" s="51" t="e">
        <f>'Final Data-US$'!T416/'Final Data-US$'!S416-1</f>
        <v>#DIV/0!</v>
      </c>
      <c r="U482" s="51" t="e">
        <f>'Final Data-US$'!U416/'Final Data-US$'!T416-1</f>
        <v>#DIV/0!</v>
      </c>
      <c r="V482" s="51" t="e">
        <f>'Final Data-US$'!V416/'Final Data-US$'!U416-1</f>
        <v>#DIV/0!</v>
      </c>
      <c r="W482" s="102">
        <f>'Final Data-US$'!W416</f>
        <v>0.38524076778404348</v>
      </c>
      <c r="X482" s="102">
        <f>'Final Data-US$'!X416</f>
        <v>-1</v>
      </c>
    </row>
    <row r="483" spans="1:24">
      <c r="A483" s="46" t="str">
        <f>'Secondary cum Calculation'!A894</f>
        <v>Poland</v>
      </c>
      <c r="B483" s="47" t="str">
        <f>'Secondary cum Calculation'!B894</f>
        <v>Tourism Flows</v>
      </c>
      <c r="C483" s="47" t="str">
        <f>'Secondary cum Calculation'!C894</f>
        <v>International Departures by Destination</v>
      </c>
      <c r="D483" s="47" t="str">
        <f>'Secondary cum Calculation'!D894</f>
        <v>Europe</v>
      </c>
      <c r="E483" s="46" t="str">
        <f>'Secondary cum Calculation'!E894</f>
        <v>TFYR Macedonia</v>
      </c>
      <c r="F483" s="48" t="str">
        <f>'Secondary cum Calculation'!F894</f>
        <v>The number of international departures from a country to TFYR Macedonia</v>
      </c>
      <c r="G483" s="48" t="str">
        <f>'Secondary cum Calculation'!G894</f>
        <v>Tourism Demand &amp; Flows Database</v>
      </c>
      <c r="H483" s="48" t="str">
        <f>'Secondary cum Calculation'!H894</f>
        <v>New</v>
      </c>
      <c r="I483" s="48">
        <f>'Secondary cum Calculation'!I894</f>
        <v>0</v>
      </c>
      <c r="J483" s="48" t="str">
        <f>'Secondary cum Calculation'!J894</f>
        <v>Thousand</v>
      </c>
      <c r="K483" s="49">
        <f>'Secondary cum Calculation'!K894</f>
        <v>0</v>
      </c>
      <c r="L483" s="92"/>
      <c r="M483" s="104" t="e">
        <f>'Final Data-US$'!M417/'Final Data-US$'!L417-1</f>
        <v>#DIV/0!</v>
      </c>
      <c r="N483" s="104" t="e">
        <f>'Final Data-US$'!N417/'Final Data-US$'!M417-1</f>
        <v>#DIV/0!</v>
      </c>
      <c r="O483" s="51" t="e">
        <f>'Final Data-US$'!O417/'Final Data-US$'!N417-1</f>
        <v>#DIV/0!</v>
      </c>
      <c r="P483" s="51" t="e">
        <f>'Final Data-US$'!P417/'Final Data-US$'!O417-1</f>
        <v>#DIV/0!</v>
      </c>
      <c r="Q483" s="51" t="e">
        <f>'Final Data-US$'!Q417/'Final Data-US$'!P417-1</f>
        <v>#DIV/0!</v>
      </c>
      <c r="R483" s="51" t="e">
        <f>'Final Data-US$'!R417/'Final Data-US$'!Q417-1</f>
        <v>#DIV/0!</v>
      </c>
      <c r="S483" s="51" t="e">
        <f>'Final Data-US$'!S417/'Final Data-US$'!R417-1</f>
        <v>#DIV/0!</v>
      </c>
      <c r="T483" s="51" t="e">
        <f>'Final Data-US$'!T417/'Final Data-US$'!S417-1</f>
        <v>#DIV/0!</v>
      </c>
      <c r="U483" s="51" t="e">
        <f>'Final Data-US$'!U417/'Final Data-US$'!T417-1</f>
        <v>#DIV/0!</v>
      </c>
      <c r="V483" s="51" t="e">
        <f>'Final Data-US$'!V417/'Final Data-US$'!U417-1</f>
        <v>#DIV/0!</v>
      </c>
      <c r="W483" s="102" t="e">
        <f>'Final Data-US$'!W417</f>
        <v>#DIV/0!</v>
      </c>
      <c r="X483" s="102" t="e">
        <f>'Final Data-US$'!X417</f>
        <v>#DIV/0!</v>
      </c>
    </row>
    <row r="484" spans="1:24">
      <c r="A484" s="46" t="str">
        <f>'Secondary cum Calculation'!A896</f>
        <v>Poland</v>
      </c>
      <c r="B484" s="47" t="str">
        <f>'Secondary cum Calculation'!B896</f>
        <v>Tourism Flows</v>
      </c>
      <c r="C484" s="47" t="str">
        <f>'Secondary cum Calculation'!C896</f>
        <v>International Departures by Destination</v>
      </c>
      <c r="D484" s="47" t="str">
        <f>'Secondary cum Calculation'!D896</f>
        <v>Europe</v>
      </c>
      <c r="E484" s="46" t="str">
        <f>'Secondary cum Calculation'!E896</f>
        <v>Turkey</v>
      </c>
      <c r="F484" s="48" t="str">
        <f>'Secondary cum Calculation'!F896</f>
        <v>The number of international departures from a country to Turkey</v>
      </c>
      <c r="G484" s="48" t="str">
        <f>'Secondary cum Calculation'!G896</f>
        <v>Tourism Demand &amp; Flows Database</v>
      </c>
      <c r="H484" s="48" t="str">
        <f>'Secondary cum Calculation'!H896</f>
        <v>New</v>
      </c>
      <c r="I484" s="48">
        <f>'Secondary cum Calculation'!I896</f>
        <v>0</v>
      </c>
      <c r="J484" s="48" t="str">
        <f>'Secondary cum Calculation'!J896</f>
        <v>Thousand</v>
      </c>
      <c r="K484" s="49" t="str">
        <f>'Secondary cum Calculation'!K896</f>
        <v>**</v>
      </c>
      <c r="L484" s="53"/>
      <c r="M484" s="51" t="e">
        <f>'Final Data-US$'!M418/'Final Data-US$'!L418-1</f>
        <v>#DIV/0!</v>
      </c>
      <c r="N484" s="51" t="e">
        <f>'Final Data-US$'!N418/'Final Data-US$'!M418-1</f>
        <v>#DIV/0!</v>
      </c>
      <c r="O484" s="51" t="e">
        <f>'Final Data-US$'!O418/'Final Data-US$'!N418-1</f>
        <v>#DIV/0!</v>
      </c>
      <c r="P484" s="51" t="e">
        <f>'Final Data-US$'!P418/'Final Data-US$'!O418-1</f>
        <v>#DIV/0!</v>
      </c>
      <c r="Q484" s="51" t="e">
        <f>'Final Data-US$'!Q418/'Final Data-US$'!P418-1</f>
        <v>#DIV/0!</v>
      </c>
      <c r="R484" s="51" t="e">
        <f>'Final Data-US$'!R418/'Final Data-US$'!Q418-1</f>
        <v>#DIV/0!</v>
      </c>
      <c r="S484" s="51" t="e">
        <f>'Final Data-US$'!S418/'Final Data-US$'!R418-1</f>
        <v>#DIV/0!</v>
      </c>
      <c r="T484" s="51" t="e">
        <f>'Final Data-US$'!T418/'Final Data-US$'!S418-1</f>
        <v>#DIV/0!</v>
      </c>
      <c r="U484" s="51" t="e">
        <f>'Final Data-US$'!U418/'Final Data-US$'!T418-1</f>
        <v>#DIV/0!</v>
      </c>
      <c r="V484" s="51" t="e">
        <f>'Final Data-US$'!V418/'Final Data-US$'!U418-1</f>
        <v>#DIV/0!</v>
      </c>
      <c r="W484" s="102" t="e">
        <f>'Final Data-US$'!W418</f>
        <v>#DIV/0!</v>
      </c>
      <c r="X484" s="102" t="e">
        <f>'Final Data-US$'!X418</f>
        <v>#DIV/0!</v>
      </c>
    </row>
    <row r="485" spans="1:24">
      <c r="A485" s="46" t="str">
        <f>'Secondary cum Calculation'!A898</f>
        <v>Poland</v>
      </c>
      <c r="B485" s="47" t="str">
        <f>'Secondary cum Calculation'!B898</f>
        <v>Tourism Flows</v>
      </c>
      <c r="C485" s="47" t="str">
        <f>'Secondary cum Calculation'!C898</f>
        <v>International Departures by Destination</v>
      </c>
      <c r="D485" s="47" t="str">
        <f>'Secondary cum Calculation'!D898</f>
        <v>Europe</v>
      </c>
      <c r="E485" s="46" t="str">
        <f>'Secondary cum Calculation'!E898</f>
        <v>Ukraine</v>
      </c>
      <c r="F485" s="48" t="str">
        <f>'Secondary cum Calculation'!F898</f>
        <v>The number of international departures from a country to Ukraine</v>
      </c>
      <c r="G485" s="48" t="str">
        <f>'Secondary cum Calculation'!G898</f>
        <v>Tourism Demand &amp; Flows Database</v>
      </c>
      <c r="H485" s="48" t="str">
        <f>'Secondary cum Calculation'!H898</f>
        <v>New</v>
      </c>
      <c r="I485" s="48">
        <f>'Secondary cum Calculation'!I898</f>
        <v>0</v>
      </c>
      <c r="J485" s="48" t="str">
        <f>'Secondary cum Calculation'!J898</f>
        <v>Thousand</v>
      </c>
      <c r="K485" s="49">
        <f>'Secondary cum Calculation'!K898</f>
        <v>0</v>
      </c>
      <c r="L485" s="92"/>
      <c r="M485" s="104" t="e">
        <f>'Final Data-US$'!M419/'Final Data-US$'!L419-1</f>
        <v>#DIV/0!</v>
      </c>
      <c r="N485" s="104" t="e">
        <f>'Final Data-US$'!N419/'Final Data-US$'!M419-1</f>
        <v>#DIV/0!</v>
      </c>
      <c r="O485" s="51" t="e">
        <f>'Final Data-US$'!O419/'Final Data-US$'!N419-1</f>
        <v>#DIV/0!</v>
      </c>
      <c r="P485" s="51" t="e">
        <f>'Final Data-US$'!P419/'Final Data-US$'!O419-1</f>
        <v>#DIV/0!</v>
      </c>
      <c r="Q485" s="51" t="e">
        <f>'Final Data-US$'!Q419/'Final Data-US$'!P419-1</f>
        <v>#DIV/0!</v>
      </c>
      <c r="R485" s="51" t="e">
        <f>'Final Data-US$'!R419/'Final Data-US$'!Q419-1</f>
        <v>#DIV/0!</v>
      </c>
      <c r="S485" s="51" t="e">
        <f>'Final Data-US$'!S419/'Final Data-US$'!R419-1</f>
        <v>#DIV/0!</v>
      </c>
      <c r="T485" s="51" t="e">
        <f>'Final Data-US$'!T419/'Final Data-US$'!S419-1</f>
        <v>#DIV/0!</v>
      </c>
      <c r="U485" s="51" t="e">
        <f>'Final Data-US$'!U419/'Final Data-US$'!T419-1</f>
        <v>#DIV/0!</v>
      </c>
      <c r="V485" s="51" t="e">
        <f>'Final Data-US$'!V419/'Final Data-US$'!U419-1</f>
        <v>#DIV/0!</v>
      </c>
      <c r="W485" s="102" t="e">
        <f>'Final Data-US$'!W419</f>
        <v>#DIV/0!</v>
      </c>
      <c r="X485" s="102" t="e">
        <f>'Final Data-US$'!X419</f>
        <v>#DIV/0!</v>
      </c>
    </row>
    <row r="486" spans="1:24">
      <c r="A486" s="46" t="str">
        <f>'Secondary cum Calculation'!A900</f>
        <v>Poland</v>
      </c>
      <c r="B486" s="47" t="str">
        <f>'Secondary cum Calculation'!B900</f>
        <v>Tourism Flows</v>
      </c>
      <c r="C486" s="47" t="str">
        <f>'Secondary cum Calculation'!C900</f>
        <v>International Departures by Destination</v>
      </c>
      <c r="D486" s="47" t="str">
        <f>'Secondary cum Calculation'!D900</f>
        <v>Europe</v>
      </c>
      <c r="E486" s="46" t="str">
        <f>'Secondary cum Calculation'!E900</f>
        <v>United Kingdom</v>
      </c>
      <c r="F486" s="48" t="str">
        <f>'Secondary cum Calculation'!F900</f>
        <v>The number of international departures from a country to United Kingdom</v>
      </c>
      <c r="G486" s="48" t="str">
        <f>'Secondary cum Calculation'!G900</f>
        <v>Tourism Demand &amp; Flows Database</v>
      </c>
      <c r="H486" s="48" t="str">
        <f>'Secondary cum Calculation'!H900</f>
        <v>New</v>
      </c>
      <c r="I486" s="48">
        <f>'Secondary cum Calculation'!I900</f>
        <v>0</v>
      </c>
      <c r="J486" s="48" t="str">
        <f>'Secondary cum Calculation'!J900</f>
        <v>Thousand</v>
      </c>
      <c r="K486" s="49">
        <f>'Secondary cum Calculation'!K900</f>
        <v>3286</v>
      </c>
      <c r="L486" s="53"/>
      <c r="M486" s="51">
        <f>'Final Data-US$'!M420/'Final Data-US$'!L420-1</f>
        <v>-0.46395806028833553</v>
      </c>
      <c r="N486" s="51">
        <f>'Final Data-US$'!N420/'Final Data-US$'!M420-1</f>
        <v>0.13202933985330079</v>
      </c>
      <c r="O486" s="51">
        <f>'Final Data-US$'!O420/'Final Data-US$'!N420-1</f>
        <v>0.23110151187904959</v>
      </c>
      <c r="P486" s="51">
        <f>'Final Data-US$'!P420/'Final Data-US$'!O420-1</f>
        <v>-0.13684210526315788</v>
      </c>
      <c r="Q486" s="51">
        <f>'Final Data-US$'!Q420/'Final Data-US$'!P420-1</f>
        <v>-5.9087062121289669E-2</v>
      </c>
      <c r="R486" s="51">
        <f>'Final Data-US$'!R420/'Final Data-US$'!Q420-1</f>
        <v>-1</v>
      </c>
      <c r="S486" s="51" t="e">
        <f>'Final Data-US$'!S420/'Final Data-US$'!R420-1</f>
        <v>#DIV/0!</v>
      </c>
      <c r="T486" s="51" t="e">
        <f>'Final Data-US$'!T420/'Final Data-US$'!S420-1</f>
        <v>#DIV/0!</v>
      </c>
      <c r="U486" s="51" t="e">
        <f>'Final Data-US$'!U420/'Final Data-US$'!T420-1</f>
        <v>#DIV/0!</v>
      </c>
      <c r="V486" s="51" t="e">
        <f>'Final Data-US$'!V420/'Final Data-US$'!U420-1</f>
        <v>#DIV/0!</v>
      </c>
      <c r="W486" s="102">
        <f>'Final Data-US$'!W420</f>
        <v>3.1449117825271822E-2</v>
      </c>
      <c r="X486" s="102">
        <f>'Final Data-US$'!X420</f>
        <v>-1</v>
      </c>
    </row>
    <row r="487" spans="1:24">
      <c r="A487" s="46" t="str">
        <f>'Secondary cum Calculation'!A902</f>
        <v>Poland</v>
      </c>
      <c r="B487" s="47" t="str">
        <f>'Secondary cum Calculation'!B902</f>
        <v>Tourism Flows</v>
      </c>
      <c r="C487" s="47" t="str">
        <f>'Secondary cum Calculation'!C902</f>
        <v>International Departures by Destination</v>
      </c>
      <c r="D487" s="94" t="str">
        <f>'Secondary cum Calculation'!D902</f>
        <v>Europe</v>
      </c>
      <c r="E487" s="95" t="str">
        <f>'Secondary cum Calculation'!E902</f>
        <v>Other European Countries</v>
      </c>
      <c r="F487" s="94" t="str">
        <f>'Secondary cum Calculation'!F902</f>
        <v>To be defined according to the gaps in the country data above</v>
      </c>
      <c r="G487" s="48">
        <f>'Secondary cum Calculation'!G902</f>
        <v>0</v>
      </c>
      <c r="H487" s="48">
        <f>'Secondary cum Calculation'!H902</f>
        <v>0</v>
      </c>
      <c r="I487" s="48">
        <f>'Secondary cum Calculation'!I902</f>
        <v>0</v>
      </c>
      <c r="J487" s="48" t="str">
        <f>'Secondary cum Calculation'!J902</f>
        <v>Thousand</v>
      </c>
      <c r="K487" s="49">
        <f>'Secondary cum Calculation'!K902</f>
        <v>0</v>
      </c>
      <c r="L487" s="53"/>
      <c r="M487" s="51">
        <f>'Final Data-US$'!M421/'Final Data-US$'!L421-1</f>
        <v>0.41071465045840738</v>
      </c>
      <c r="N487" s="51">
        <f>'Final Data-US$'!N421/'Final Data-US$'!M421-1</f>
        <v>-0.23114801595763834</v>
      </c>
      <c r="O487" s="51">
        <f>'Final Data-US$'!O421/'Final Data-US$'!N421-1</f>
        <v>0.33175553280218573</v>
      </c>
      <c r="P487" s="51">
        <f>'Final Data-US$'!P421/'Final Data-US$'!O421-1</f>
        <v>-5.8539137395752228E-4</v>
      </c>
      <c r="Q487" s="51">
        <f>'Final Data-US$'!Q421/'Final Data-US$'!P421-1</f>
        <v>2.7186982933475878E-2</v>
      </c>
      <c r="R487" s="51">
        <f>'Final Data-US$'!R421/'Final Data-US$'!Q421-1</f>
        <v>-1</v>
      </c>
      <c r="S487" s="51" t="e">
        <f>'Final Data-US$'!S421/'Final Data-US$'!R421-1</f>
        <v>#DIV/0!</v>
      </c>
      <c r="T487" s="51" t="e">
        <f>'Final Data-US$'!T421/'Final Data-US$'!S421-1</f>
        <v>#DIV/0!</v>
      </c>
      <c r="U487" s="51" t="e">
        <f>'Final Data-US$'!U421/'Final Data-US$'!T421-1</f>
        <v>#DIV/0!</v>
      </c>
      <c r="V487" s="51" t="e">
        <f>'Final Data-US$'!V421/'Final Data-US$'!U421-1</f>
        <v>#DIV/0!</v>
      </c>
      <c r="W487" s="102">
        <f>'Final Data-US$'!W421</f>
        <v>1.2547981884027282E-2</v>
      </c>
      <c r="X487" s="102">
        <f>'Final Data-US$'!X421</f>
        <v>-1</v>
      </c>
    </row>
    <row r="488" spans="1:24">
      <c r="A488" s="46" t="str">
        <f>'Secondary cum Calculation'!A904</f>
        <v>Poland</v>
      </c>
      <c r="B488" s="47" t="str">
        <f>'Secondary cum Calculation'!B904</f>
        <v>Tourism Flows</v>
      </c>
      <c r="C488" s="47" t="str">
        <f>'Secondary cum Calculation'!C904</f>
        <v>International Departures by Destination</v>
      </c>
      <c r="D488" s="46" t="str">
        <f>'Secondary cum Calculation'!D904</f>
        <v>Middle East</v>
      </c>
      <c r="E488" s="48"/>
      <c r="F488" s="48" t="str">
        <f>'Secondary cum Calculation'!F904</f>
        <v>The number of international departures from a country to the Middle East</v>
      </c>
      <c r="G488" s="48" t="str">
        <f>'Secondary cum Calculation'!G904</f>
        <v>Tourism Demand &amp; Flows Database</v>
      </c>
      <c r="H488" s="48" t="str">
        <f>'Secondary cum Calculation'!H904</f>
        <v>New</v>
      </c>
      <c r="I488" s="48">
        <f>'Secondary cum Calculation'!I904</f>
        <v>0</v>
      </c>
      <c r="J488" s="48" t="str">
        <f>'Secondary cum Calculation'!J904</f>
        <v>Thousand</v>
      </c>
      <c r="K488" s="76">
        <f>'Secondary cum Calculation'!K904</f>
        <v>0</v>
      </c>
      <c r="L488" s="91"/>
      <c r="M488" s="78">
        <f>'Final Data-US$'!M422/'Final Data-US$'!L422-1</f>
        <v>0.37410812456606624</v>
      </c>
      <c r="N488" s="78">
        <f>'Final Data-US$'!N422/'Final Data-US$'!M422-1</f>
        <v>-0.14247864978053193</v>
      </c>
      <c r="O488" s="78">
        <f>'Final Data-US$'!O422/'Final Data-US$'!N422-1</f>
        <v>0.13591646655432865</v>
      </c>
      <c r="P488" s="78">
        <f>'Final Data-US$'!P422/'Final Data-US$'!O422-1</f>
        <v>0.12885723239011782</v>
      </c>
      <c r="Q488" s="78">
        <f>'Final Data-US$'!Q422/'Final Data-US$'!P422-1</f>
        <v>5.3462582984163509E-2</v>
      </c>
      <c r="R488" s="78">
        <f>'Final Data-US$'!R422/'Final Data-US$'!Q422-1</f>
        <v>4.7438519405705648E-2</v>
      </c>
      <c r="S488" s="78">
        <f>'Final Data-US$'!S422/'Final Data-US$'!R422-1</f>
        <v>4.1817540340355341E-2</v>
      </c>
      <c r="T488" s="78">
        <f>'Final Data-US$'!T422/'Final Data-US$'!S422-1</f>
        <v>3.3037103073331187E-2</v>
      </c>
      <c r="U488" s="78">
        <f>'Final Data-US$'!U422/'Final Data-US$'!T422-1</f>
        <v>4.0969651924748662E-2</v>
      </c>
      <c r="V488" s="78">
        <f>'Final Data-US$'!V422/'Final Data-US$'!U422-1</f>
        <v>3.8709361908972895E-2</v>
      </c>
      <c r="W488" s="102">
        <f>'Final Data-US$'!W422</f>
        <v>3.7438516749683126E-2</v>
      </c>
      <c r="X488" s="102">
        <f>'Final Data-US$'!X422</f>
        <v>4.0383960523816986E-2</v>
      </c>
    </row>
    <row r="489" spans="1:24">
      <c r="A489" s="46" t="str">
        <f>'Secondary cum Calculation'!A906</f>
        <v>Poland</v>
      </c>
      <c r="B489" s="47" t="str">
        <f>'Secondary cum Calculation'!B906</f>
        <v>Tourism Flows</v>
      </c>
      <c r="C489" s="47" t="str">
        <f>'Secondary cum Calculation'!C906</f>
        <v>International Departures by Destination</v>
      </c>
      <c r="D489" s="47" t="str">
        <f>'Secondary cum Calculation'!D906</f>
        <v>Middle East</v>
      </c>
      <c r="E489" s="46" t="str">
        <f>'Secondary cum Calculation'!E906</f>
        <v>Bahrain</v>
      </c>
      <c r="F489" s="48" t="str">
        <f>'Secondary cum Calculation'!F906</f>
        <v>The number of international departures from a country to Bahrain</v>
      </c>
      <c r="G489" s="48" t="str">
        <f>'Secondary cum Calculation'!G906</f>
        <v>Tourism Demand &amp; Flows Database</v>
      </c>
      <c r="H489" s="48" t="str">
        <f>'Secondary cum Calculation'!H906</f>
        <v>New</v>
      </c>
      <c r="I489" s="48">
        <f>'Secondary cum Calculation'!I906</f>
        <v>0</v>
      </c>
      <c r="J489" s="48" t="str">
        <f>'Secondary cum Calculation'!J906</f>
        <v>Thousand</v>
      </c>
      <c r="K489" s="49">
        <f>'Secondary cum Calculation'!K906</f>
        <v>0</v>
      </c>
      <c r="L489" s="92"/>
      <c r="M489" s="104" t="e">
        <f>'Final Data-US$'!M423/'Final Data-US$'!L423-1</f>
        <v>#DIV/0!</v>
      </c>
      <c r="N489" s="104" t="e">
        <f>'Final Data-US$'!N423/'Final Data-US$'!M423-1</f>
        <v>#DIV/0!</v>
      </c>
      <c r="O489" s="51" t="e">
        <f>'Final Data-US$'!O423/'Final Data-US$'!N423-1</f>
        <v>#DIV/0!</v>
      </c>
      <c r="P489" s="51" t="e">
        <f>'Final Data-US$'!P423/'Final Data-US$'!O423-1</f>
        <v>#DIV/0!</v>
      </c>
      <c r="Q489" s="51" t="e">
        <f>'Final Data-US$'!Q423/'Final Data-US$'!P423-1</f>
        <v>#DIV/0!</v>
      </c>
      <c r="R489" s="51" t="e">
        <f>'Final Data-US$'!R423/'Final Data-US$'!Q423-1</f>
        <v>#DIV/0!</v>
      </c>
      <c r="S489" s="51" t="e">
        <f>'Final Data-US$'!S423/'Final Data-US$'!R423-1</f>
        <v>#DIV/0!</v>
      </c>
      <c r="T489" s="51" t="e">
        <f>'Final Data-US$'!T423/'Final Data-US$'!S423-1</f>
        <v>#DIV/0!</v>
      </c>
      <c r="U489" s="51" t="e">
        <f>'Final Data-US$'!U423/'Final Data-US$'!T423-1</f>
        <v>#DIV/0!</v>
      </c>
      <c r="V489" s="51" t="e">
        <f>'Final Data-US$'!V423/'Final Data-US$'!U423-1</f>
        <v>#DIV/0!</v>
      </c>
      <c r="W489" s="102" t="e">
        <f>'Final Data-US$'!W423</f>
        <v>#DIV/0!</v>
      </c>
      <c r="X489" s="102" t="e">
        <f>'Final Data-US$'!X423</f>
        <v>#DIV/0!</v>
      </c>
    </row>
    <row r="490" spans="1:24">
      <c r="A490" s="46" t="str">
        <f>'Secondary cum Calculation'!A908</f>
        <v>Poland</v>
      </c>
      <c r="B490" s="47" t="str">
        <f>'Secondary cum Calculation'!B908</f>
        <v>Tourism Flows</v>
      </c>
      <c r="C490" s="47" t="str">
        <f>'Secondary cum Calculation'!C908</f>
        <v>International Departures by Destination</v>
      </c>
      <c r="D490" s="47" t="str">
        <f>'Secondary cum Calculation'!D908</f>
        <v>Middle East</v>
      </c>
      <c r="E490" s="46" t="str">
        <f>'Secondary cum Calculation'!E908</f>
        <v>Iran (Islamic Republic of)</v>
      </c>
      <c r="F490" s="48" t="str">
        <f>'Secondary cum Calculation'!F908</f>
        <v>The number of international departures from a country to Iran (Islamic Republic of)</v>
      </c>
      <c r="G490" s="48" t="str">
        <f>'Secondary cum Calculation'!G908</f>
        <v>Tourism Demand &amp; Flows Database</v>
      </c>
      <c r="H490" s="48" t="str">
        <f>'Secondary cum Calculation'!H908</f>
        <v>New</v>
      </c>
      <c r="I490" s="48">
        <f>'Secondary cum Calculation'!I908</f>
        <v>0</v>
      </c>
      <c r="J490" s="48" t="str">
        <f>'Secondary cum Calculation'!J908</f>
        <v>Thousand</v>
      </c>
      <c r="K490" s="49">
        <f>'Secondary cum Calculation'!K908</f>
        <v>0</v>
      </c>
      <c r="L490" s="92"/>
      <c r="M490" s="104" t="e">
        <f>'Final Data-US$'!M424/'Final Data-US$'!L424-1</f>
        <v>#DIV/0!</v>
      </c>
      <c r="N490" s="104" t="e">
        <f>'Final Data-US$'!N424/'Final Data-US$'!M424-1</f>
        <v>#DIV/0!</v>
      </c>
      <c r="O490" s="51" t="e">
        <f>'Final Data-US$'!O424/'Final Data-US$'!N424-1</f>
        <v>#DIV/0!</v>
      </c>
      <c r="P490" s="51" t="e">
        <f>'Final Data-US$'!P424/'Final Data-US$'!O424-1</f>
        <v>#DIV/0!</v>
      </c>
      <c r="Q490" s="51" t="e">
        <f>'Final Data-US$'!Q424/'Final Data-US$'!P424-1</f>
        <v>#DIV/0!</v>
      </c>
      <c r="R490" s="51" t="e">
        <f>'Final Data-US$'!R424/'Final Data-US$'!Q424-1</f>
        <v>#DIV/0!</v>
      </c>
      <c r="S490" s="51" t="e">
        <f>'Final Data-US$'!S424/'Final Data-US$'!R424-1</f>
        <v>#DIV/0!</v>
      </c>
      <c r="T490" s="51" t="e">
        <f>'Final Data-US$'!T424/'Final Data-US$'!S424-1</f>
        <v>#DIV/0!</v>
      </c>
      <c r="U490" s="51" t="e">
        <f>'Final Data-US$'!U424/'Final Data-US$'!T424-1</f>
        <v>#DIV/0!</v>
      </c>
      <c r="V490" s="51" t="e">
        <f>'Final Data-US$'!V424/'Final Data-US$'!U424-1</f>
        <v>#DIV/0!</v>
      </c>
      <c r="W490" s="102" t="e">
        <f>'Final Data-US$'!W424</f>
        <v>#DIV/0!</v>
      </c>
      <c r="X490" s="102" t="e">
        <f>'Final Data-US$'!X424</f>
        <v>#DIV/0!</v>
      </c>
    </row>
    <row r="491" spans="1:24">
      <c r="A491" s="46" t="str">
        <f>'Secondary cum Calculation'!A910</f>
        <v>Poland</v>
      </c>
      <c r="B491" s="47" t="str">
        <f>'Secondary cum Calculation'!B910</f>
        <v>Tourism Flows</v>
      </c>
      <c r="C491" s="47" t="str">
        <f>'Secondary cum Calculation'!C910</f>
        <v>International Departures by Destination</v>
      </c>
      <c r="D491" s="47" t="str">
        <f>'Secondary cum Calculation'!D910</f>
        <v>Middle East</v>
      </c>
      <c r="E491" s="46" t="str">
        <f>'Secondary cum Calculation'!E910</f>
        <v>Iraq</v>
      </c>
      <c r="F491" s="48" t="str">
        <f>'Secondary cum Calculation'!F910</f>
        <v>The number of international departures from a country to Iraq</v>
      </c>
      <c r="G491" s="48" t="str">
        <f>'Secondary cum Calculation'!G910</f>
        <v>Tourism Demand &amp; Flows Database</v>
      </c>
      <c r="H491" s="48" t="str">
        <f>'Secondary cum Calculation'!H910</f>
        <v>New</v>
      </c>
      <c r="I491" s="48">
        <f>'Secondary cum Calculation'!I910</f>
        <v>0</v>
      </c>
      <c r="J491" s="48" t="str">
        <f>'Secondary cum Calculation'!J910</f>
        <v>Thousand</v>
      </c>
      <c r="K491" s="49">
        <f>'Secondary cum Calculation'!K910</f>
        <v>0</v>
      </c>
      <c r="L491" s="92"/>
      <c r="M491" s="104" t="e">
        <f>'Final Data-US$'!M425/'Final Data-US$'!L425-1</f>
        <v>#DIV/0!</v>
      </c>
      <c r="N491" s="104" t="e">
        <f>'Final Data-US$'!N425/'Final Data-US$'!M425-1</f>
        <v>#DIV/0!</v>
      </c>
      <c r="O491" s="51" t="e">
        <f>'Final Data-US$'!O425/'Final Data-US$'!N425-1</f>
        <v>#DIV/0!</v>
      </c>
      <c r="P491" s="51" t="e">
        <f>'Final Data-US$'!P425/'Final Data-US$'!O425-1</f>
        <v>#DIV/0!</v>
      </c>
      <c r="Q491" s="51" t="e">
        <f>'Final Data-US$'!Q425/'Final Data-US$'!P425-1</f>
        <v>#DIV/0!</v>
      </c>
      <c r="R491" s="51" t="e">
        <f>'Final Data-US$'!R425/'Final Data-US$'!Q425-1</f>
        <v>#DIV/0!</v>
      </c>
      <c r="S491" s="51" t="e">
        <f>'Final Data-US$'!S425/'Final Data-US$'!R425-1</f>
        <v>#DIV/0!</v>
      </c>
      <c r="T491" s="51" t="e">
        <f>'Final Data-US$'!T425/'Final Data-US$'!S425-1</f>
        <v>#DIV/0!</v>
      </c>
      <c r="U491" s="51" t="e">
        <f>'Final Data-US$'!U425/'Final Data-US$'!T425-1</f>
        <v>#DIV/0!</v>
      </c>
      <c r="V491" s="51" t="e">
        <f>'Final Data-US$'!V425/'Final Data-US$'!U425-1</f>
        <v>#DIV/0!</v>
      </c>
      <c r="W491" s="102" t="e">
        <f>'Final Data-US$'!W425</f>
        <v>#DIV/0!</v>
      </c>
      <c r="X491" s="102" t="e">
        <f>'Final Data-US$'!X425</f>
        <v>#DIV/0!</v>
      </c>
    </row>
    <row r="492" spans="1:24">
      <c r="A492" s="46" t="str">
        <f>'Secondary cum Calculation'!A912</f>
        <v>Poland</v>
      </c>
      <c r="B492" s="47" t="str">
        <f>'Secondary cum Calculation'!B912</f>
        <v>Tourism Flows</v>
      </c>
      <c r="C492" s="47" t="str">
        <f>'Secondary cum Calculation'!C912</f>
        <v>International Departures by Destination</v>
      </c>
      <c r="D492" s="47" t="str">
        <f>'Secondary cum Calculation'!D912</f>
        <v>Middle East</v>
      </c>
      <c r="E492" s="46" t="str">
        <f>'Secondary cum Calculation'!E912</f>
        <v>Israel</v>
      </c>
      <c r="F492" s="48" t="str">
        <f>'Secondary cum Calculation'!F912</f>
        <v>The number of international departures from a country to Israel</v>
      </c>
      <c r="G492" s="48" t="str">
        <f>'Secondary cum Calculation'!G912</f>
        <v>Tourism Demand &amp; Flows Database</v>
      </c>
      <c r="H492" s="48" t="str">
        <f>'Secondary cum Calculation'!H912</f>
        <v>New</v>
      </c>
      <c r="I492" s="48">
        <f>'Secondary cum Calculation'!I912</f>
        <v>0</v>
      </c>
      <c r="J492" s="48" t="str">
        <f>'Secondary cum Calculation'!J912</f>
        <v>Thousand</v>
      </c>
      <c r="K492" s="49">
        <f>'Secondary cum Calculation'!K912</f>
        <v>0</v>
      </c>
      <c r="L492" s="53"/>
      <c r="M492" s="51" t="e">
        <f>'Final Data-US$'!M426/'Final Data-US$'!L426-1</f>
        <v>#DIV/0!</v>
      </c>
      <c r="N492" s="51" t="e">
        <f>'Final Data-US$'!N426/'Final Data-US$'!M426-1</f>
        <v>#DIV/0!</v>
      </c>
      <c r="O492" s="51" t="e">
        <f>'Final Data-US$'!O426/'Final Data-US$'!N426-1</f>
        <v>#DIV/0!</v>
      </c>
      <c r="P492" s="51" t="e">
        <f>'Final Data-US$'!P426/'Final Data-US$'!O426-1</f>
        <v>#DIV/0!</v>
      </c>
      <c r="Q492" s="51" t="e">
        <f>'Final Data-US$'!Q426/'Final Data-US$'!P426-1</f>
        <v>#DIV/0!</v>
      </c>
      <c r="R492" s="51" t="e">
        <f>'Final Data-US$'!R426/'Final Data-US$'!Q426-1</f>
        <v>#DIV/0!</v>
      </c>
      <c r="S492" s="51" t="e">
        <f>'Final Data-US$'!S426/'Final Data-US$'!R426-1</f>
        <v>#DIV/0!</v>
      </c>
      <c r="T492" s="51" t="e">
        <f>'Final Data-US$'!T426/'Final Data-US$'!S426-1</f>
        <v>#DIV/0!</v>
      </c>
      <c r="U492" s="51" t="e">
        <f>'Final Data-US$'!U426/'Final Data-US$'!T426-1</f>
        <v>#DIV/0!</v>
      </c>
      <c r="V492" s="51" t="e">
        <f>'Final Data-US$'!V426/'Final Data-US$'!U426-1</f>
        <v>#DIV/0!</v>
      </c>
      <c r="W492" s="102" t="e">
        <f>'Final Data-US$'!W426</f>
        <v>#DIV/0!</v>
      </c>
      <c r="X492" s="102" t="e">
        <f>'Final Data-US$'!X426</f>
        <v>#DIV/0!</v>
      </c>
    </row>
    <row r="493" spans="1:24">
      <c r="A493" s="46" t="str">
        <f>'Secondary cum Calculation'!A914</f>
        <v>Poland</v>
      </c>
      <c r="B493" s="47" t="str">
        <f>'Secondary cum Calculation'!B914</f>
        <v>Tourism Flows</v>
      </c>
      <c r="C493" s="47" t="str">
        <f>'Secondary cum Calculation'!C914</f>
        <v>International Departures by Destination</v>
      </c>
      <c r="D493" s="47" t="str">
        <f>'Secondary cum Calculation'!D914</f>
        <v>Middle East</v>
      </c>
      <c r="E493" s="46" t="str">
        <f>'Secondary cum Calculation'!E914</f>
        <v>Jordan</v>
      </c>
      <c r="F493" s="48" t="str">
        <f>'Secondary cum Calculation'!F914</f>
        <v>The number of international departures from a country to Jordan</v>
      </c>
      <c r="G493" s="48" t="str">
        <f>'Secondary cum Calculation'!G914</f>
        <v>Tourism Demand &amp; Flows Database</v>
      </c>
      <c r="H493" s="48" t="str">
        <f>'Secondary cum Calculation'!H914</f>
        <v>New</v>
      </c>
      <c r="I493" s="48">
        <f>'Secondary cum Calculation'!I914</f>
        <v>0</v>
      </c>
      <c r="J493" s="48" t="str">
        <f>'Secondary cum Calculation'!J914</f>
        <v>Thousand</v>
      </c>
      <c r="K493" s="49">
        <f>'Secondary cum Calculation'!K914</f>
        <v>0</v>
      </c>
      <c r="L493" s="92"/>
      <c r="M493" s="104" t="e">
        <f>'Final Data-US$'!M427/'Final Data-US$'!L427-1</f>
        <v>#DIV/0!</v>
      </c>
      <c r="N493" s="104" t="e">
        <f>'Final Data-US$'!N427/'Final Data-US$'!M427-1</f>
        <v>#DIV/0!</v>
      </c>
      <c r="O493" s="51" t="e">
        <f>'Final Data-US$'!O427/'Final Data-US$'!N427-1</f>
        <v>#DIV/0!</v>
      </c>
      <c r="P493" s="51" t="e">
        <f>'Final Data-US$'!P427/'Final Data-US$'!O427-1</f>
        <v>#DIV/0!</v>
      </c>
      <c r="Q493" s="51" t="e">
        <f>'Final Data-US$'!Q427/'Final Data-US$'!P427-1</f>
        <v>#DIV/0!</v>
      </c>
      <c r="R493" s="51" t="e">
        <f>'Final Data-US$'!R427/'Final Data-US$'!Q427-1</f>
        <v>#DIV/0!</v>
      </c>
      <c r="S493" s="51" t="e">
        <f>'Final Data-US$'!S427/'Final Data-US$'!R427-1</f>
        <v>#DIV/0!</v>
      </c>
      <c r="T493" s="51" t="e">
        <f>'Final Data-US$'!T427/'Final Data-US$'!S427-1</f>
        <v>#DIV/0!</v>
      </c>
      <c r="U493" s="51" t="e">
        <f>'Final Data-US$'!U427/'Final Data-US$'!T427-1</f>
        <v>#DIV/0!</v>
      </c>
      <c r="V493" s="51" t="e">
        <f>'Final Data-US$'!V427/'Final Data-US$'!U427-1</f>
        <v>#DIV/0!</v>
      </c>
      <c r="W493" s="102" t="e">
        <f>'Final Data-US$'!W427</f>
        <v>#DIV/0!</v>
      </c>
      <c r="X493" s="102" t="e">
        <f>'Final Data-US$'!X427</f>
        <v>#DIV/0!</v>
      </c>
    </row>
    <row r="494" spans="1:24">
      <c r="A494" s="46" t="str">
        <f>'Secondary cum Calculation'!A916</f>
        <v>Poland</v>
      </c>
      <c r="B494" s="47" t="str">
        <f>'Secondary cum Calculation'!B916</f>
        <v>Tourism Flows</v>
      </c>
      <c r="C494" s="47" t="str">
        <f>'Secondary cum Calculation'!C916</f>
        <v>International Departures by Destination</v>
      </c>
      <c r="D494" s="47" t="str">
        <f>'Secondary cum Calculation'!D916</f>
        <v>Middle East</v>
      </c>
      <c r="E494" s="46" t="str">
        <f>'Secondary cum Calculation'!E916</f>
        <v>Kuwait</v>
      </c>
      <c r="F494" s="48" t="str">
        <f>'Secondary cum Calculation'!F916</f>
        <v>The number of international departures from a country to Kuwait</v>
      </c>
      <c r="G494" s="48" t="str">
        <f>'Secondary cum Calculation'!G916</f>
        <v>Tourism Demand &amp; Flows Database</v>
      </c>
      <c r="H494" s="48" t="str">
        <f>'Secondary cum Calculation'!H916</f>
        <v>New</v>
      </c>
      <c r="I494" s="48">
        <f>'Secondary cum Calculation'!I916</f>
        <v>0</v>
      </c>
      <c r="J494" s="48" t="str">
        <f>'Secondary cum Calculation'!J916</f>
        <v>Thousand</v>
      </c>
      <c r="K494" s="49">
        <f>'Secondary cum Calculation'!K916</f>
        <v>0</v>
      </c>
      <c r="L494" s="92"/>
      <c r="M494" s="104" t="e">
        <f>'Final Data-US$'!M428/'Final Data-US$'!L428-1</f>
        <v>#DIV/0!</v>
      </c>
      <c r="N494" s="104" t="e">
        <f>'Final Data-US$'!N428/'Final Data-US$'!M428-1</f>
        <v>#DIV/0!</v>
      </c>
      <c r="O494" s="51" t="e">
        <f>'Final Data-US$'!O428/'Final Data-US$'!N428-1</f>
        <v>#DIV/0!</v>
      </c>
      <c r="P494" s="51" t="e">
        <f>'Final Data-US$'!P428/'Final Data-US$'!O428-1</f>
        <v>#DIV/0!</v>
      </c>
      <c r="Q494" s="51" t="e">
        <f>'Final Data-US$'!Q428/'Final Data-US$'!P428-1</f>
        <v>#DIV/0!</v>
      </c>
      <c r="R494" s="51" t="e">
        <f>'Final Data-US$'!R428/'Final Data-US$'!Q428-1</f>
        <v>#DIV/0!</v>
      </c>
      <c r="S494" s="51" t="e">
        <f>'Final Data-US$'!S428/'Final Data-US$'!R428-1</f>
        <v>#DIV/0!</v>
      </c>
      <c r="T494" s="51" t="e">
        <f>'Final Data-US$'!T428/'Final Data-US$'!S428-1</f>
        <v>#DIV/0!</v>
      </c>
      <c r="U494" s="51" t="e">
        <f>'Final Data-US$'!U428/'Final Data-US$'!T428-1</f>
        <v>#DIV/0!</v>
      </c>
      <c r="V494" s="51" t="e">
        <f>'Final Data-US$'!V428/'Final Data-US$'!U428-1</f>
        <v>#DIV/0!</v>
      </c>
      <c r="W494" s="102" t="e">
        <f>'Final Data-US$'!W428</f>
        <v>#DIV/0!</v>
      </c>
      <c r="X494" s="102" t="e">
        <f>'Final Data-US$'!X428</f>
        <v>#DIV/0!</v>
      </c>
    </row>
    <row r="495" spans="1:24">
      <c r="A495" s="46" t="str">
        <f>'Secondary cum Calculation'!A918</f>
        <v>Poland</v>
      </c>
      <c r="B495" s="47" t="str">
        <f>'Secondary cum Calculation'!B918</f>
        <v>Tourism Flows</v>
      </c>
      <c r="C495" s="47" t="str">
        <f>'Secondary cum Calculation'!C918</f>
        <v>International Departures by Destination</v>
      </c>
      <c r="D495" s="47" t="str">
        <f>'Secondary cum Calculation'!D918</f>
        <v>Middle East</v>
      </c>
      <c r="E495" s="46" t="str">
        <f>'Secondary cum Calculation'!E918</f>
        <v>Lebanon</v>
      </c>
      <c r="F495" s="48" t="str">
        <f>'Secondary cum Calculation'!F918</f>
        <v>The number of international departures from a country to Lebanon</v>
      </c>
      <c r="G495" s="48" t="str">
        <f>'Secondary cum Calculation'!G918</f>
        <v>Tourism Demand &amp; Flows Database</v>
      </c>
      <c r="H495" s="48" t="str">
        <f>'Secondary cum Calculation'!H918</f>
        <v>New</v>
      </c>
      <c r="I495" s="48">
        <f>'Secondary cum Calculation'!I918</f>
        <v>0</v>
      </c>
      <c r="J495" s="48" t="str">
        <f>'Secondary cum Calculation'!J918</f>
        <v>Thousand</v>
      </c>
      <c r="K495" s="49">
        <f>'Secondary cum Calculation'!K918</f>
        <v>0</v>
      </c>
      <c r="L495" s="92"/>
      <c r="M495" s="104" t="e">
        <f>'Final Data-US$'!M429/'Final Data-US$'!L429-1</f>
        <v>#DIV/0!</v>
      </c>
      <c r="N495" s="104" t="e">
        <f>'Final Data-US$'!N429/'Final Data-US$'!M429-1</f>
        <v>#DIV/0!</v>
      </c>
      <c r="O495" s="51" t="e">
        <f>'Final Data-US$'!O429/'Final Data-US$'!N429-1</f>
        <v>#DIV/0!</v>
      </c>
      <c r="P495" s="51" t="e">
        <f>'Final Data-US$'!P429/'Final Data-US$'!O429-1</f>
        <v>#DIV/0!</v>
      </c>
      <c r="Q495" s="51" t="e">
        <f>'Final Data-US$'!Q429/'Final Data-US$'!P429-1</f>
        <v>#DIV/0!</v>
      </c>
      <c r="R495" s="51" t="e">
        <f>'Final Data-US$'!R429/'Final Data-US$'!Q429-1</f>
        <v>#DIV/0!</v>
      </c>
      <c r="S495" s="51" t="e">
        <f>'Final Data-US$'!S429/'Final Data-US$'!R429-1</f>
        <v>#DIV/0!</v>
      </c>
      <c r="T495" s="51" t="e">
        <f>'Final Data-US$'!T429/'Final Data-US$'!S429-1</f>
        <v>#DIV/0!</v>
      </c>
      <c r="U495" s="51" t="e">
        <f>'Final Data-US$'!U429/'Final Data-US$'!T429-1</f>
        <v>#DIV/0!</v>
      </c>
      <c r="V495" s="51" t="e">
        <f>'Final Data-US$'!V429/'Final Data-US$'!U429-1</f>
        <v>#DIV/0!</v>
      </c>
      <c r="W495" s="102" t="e">
        <f>'Final Data-US$'!W429</f>
        <v>#DIV/0!</v>
      </c>
      <c r="X495" s="102" t="e">
        <f>'Final Data-US$'!X429</f>
        <v>#DIV/0!</v>
      </c>
    </row>
    <row r="496" spans="1:24">
      <c r="A496" s="46" t="str">
        <f>'Secondary cum Calculation'!A920</f>
        <v>Poland</v>
      </c>
      <c r="B496" s="47" t="str">
        <f>'Secondary cum Calculation'!B920</f>
        <v>Tourism Flows</v>
      </c>
      <c r="C496" s="47" t="str">
        <f>'Secondary cum Calculation'!C920</f>
        <v>International Departures by Destination</v>
      </c>
      <c r="D496" s="47" t="str">
        <f>'Secondary cum Calculation'!D920</f>
        <v>Middle East</v>
      </c>
      <c r="E496" s="46" t="str">
        <f>'Secondary cum Calculation'!E920</f>
        <v>Occupied Palestinian Territory</v>
      </c>
      <c r="F496" s="48" t="str">
        <f>'Secondary cum Calculation'!F920</f>
        <v>The number of international departures from a country to Occupied Palestinian Territory</v>
      </c>
      <c r="G496" s="48" t="str">
        <f>'Secondary cum Calculation'!G920</f>
        <v>Tourism Demand &amp; Flows Database</v>
      </c>
      <c r="H496" s="48" t="str">
        <f>'Secondary cum Calculation'!H920</f>
        <v>New</v>
      </c>
      <c r="I496" s="48">
        <f>'Secondary cum Calculation'!I920</f>
        <v>0</v>
      </c>
      <c r="J496" s="48" t="str">
        <f>'Secondary cum Calculation'!J920</f>
        <v>Thousand</v>
      </c>
      <c r="K496" s="49">
        <f>'Secondary cum Calculation'!K920</f>
        <v>0</v>
      </c>
      <c r="L496" s="92"/>
      <c r="M496" s="104" t="e">
        <f>'Final Data-US$'!M430/'Final Data-US$'!L430-1</f>
        <v>#DIV/0!</v>
      </c>
      <c r="N496" s="104" t="e">
        <f>'Final Data-US$'!N430/'Final Data-US$'!M430-1</f>
        <v>#DIV/0!</v>
      </c>
      <c r="O496" s="51" t="e">
        <f>'Final Data-US$'!O430/'Final Data-US$'!N430-1</f>
        <v>#DIV/0!</v>
      </c>
      <c r="P496" s="51" t="e">
        <f>'Final Data-US$'!P430/'Final Data-US$'!O430-1</f>
        <v>#DIV/0!</v>
      </c>
      <c r="Q496" s="51" t="e">
        <f>'Final Data-US$'!Q430/'Final Data-US$'!P430-1</f>
        <v>#DIV/0!</v>
      </c>
      <c r="R496" s="51" t="e">
        <f>'Final Data-US$'!R430/'Final Data-US$'!Q430-1</f>
        <v>#DIV/0!</v>
      </c>
      <c r="S496" s="51" t="e">
        <f>'Final Data-US$'!S430/'Final Data-US$'!R430-1</f>
        <v>#DIV/0!</v>
      </c>
      <c r="T496" s="51" t="e">
        <f>'Final Data-US$'!T430/'Final Data-US$'!S430-1</f>
        <v>#DIV/0!</v>
      </c>
      <c r="U496" s="51" t="e">
        <f>'Final Data-US$'!U430/'Final Data-US$'!T430-1</f>
        <v>#DIV/0!</v>
      </c>
      <c r="V496" s="51" t="e">
        <f>'Final Data-US$'!V430/'Final Data-US$'!U430-1</f>
        <v>#DIV/0!</v>
      </c>
      <c r="W496" s="102" t="e">
        <f>'Final Data-US$'!W430</f>
        <v>#DIV/0!</v>
      </c>
      <c r="X496" s="102" t="e">
        <f>'Final Data-US$'!X430</f>
        <v>#DIV/0!</v>
      </c>
    </row>
    <row r="497" spans="1:24">
      <c r="A497" s="46" t="str">
        <f>'Secondary cum Calculation'!A922</f>
        <v>Poland</v>
      </c>
      <c r="B497" s="47" t="str">
        <f>'Secondary cum Calculation'!B922</f>
        <v>Tourism Flows</v>
      </c>
      <c r="C497" s="47" t="str">
        <f>'Secondary cum Calculation'!C922</f>
        <v>International Departures by Destination</v>
      </c>
      <c r="D497" s="47" t="str">
        <f>'Secondary cum Calculation'!D922</f>
        <v>Middle East</v>
      </c>
      <c r="E497" s="46" t="str">
        <f>'Secondary cum Calculation'!E922</f>
        <v>Oman</v>
      </c>
      <c r="F497" s="48" t="str">
        <f>'Secondary cum Calculation'!F922</f>
        <v>The number of international departures from a country to Oman</v>
      </c>
      <c r="G497" s="48" t="str">
        <f>'Secondary cum Calculation'!G922</f>
        <v>Tourism Demand &amp; Flows Database</v>
      </c>
      <c r="H497" s="48" t="str">
        <f>'Secondary cum Calculation'!H922</f>
        <v>New</v>
      </c>
      <c r="I497" s="48">
        <f>'Secondary cum Calculation'!I922</f>
        <v>0</v>
      </c>
      <c r="J497" s="48" t="str">
        <f>'Secondary cum Calculation'!J922</f>
        <v>Thousand</v>
      </c>
      <c r="K497" s="49">
        <f>'Secondary cum Calculation'!K922</f>
        <v>0</v>
      </c>
      <c r="L497" s="92"/>
      <c r="M497" s="104" t="e">
        <f>'Final Data-US$'!M431/'Final Data-US$'!L431-1</f>
        <v>#DIV/0!</v>
      </c>
      <c r="N497" s="104" t="e">
        <f>'Final Data-US$'!N431/'Final Data-US$'!M431-1</f>
        <v>#DIV/0!</v>
      </c>
      <c r="O497" s="51" t="e">
        <f>'Final Data-US$'!O431/'Final Data-US$'!N431-1</f>
        <v>#DIV/0!</v>
      </c>
      <c r="P497" s="51" t="e">
        <f>'Final Data-US$'!P431/'Final Data-US$'!O431-1</f>
        <v>#DIV/0!</v>
      </c>
      <c r="Q497" s="51" t="e">
        <f>'Final Data-US$'!Q431/'Final Data-US$'!P431-1</f>
        <v>#DIV/0!</v>
      </c>
      <c r="R497" s="51" t="e">
        <f>'Final Data-US$'!R431/'Final Data-US$'!Q431-1</f>
        <v>#DIV/0!</v>
      </c>
      <c r="S497" s="51" t="e">
        <f>'Final Data-US$'!S431/'Final Data-US$'!R431-1</f>
        <v>#DIV/0!</v>
      </c>
      <c r="T497" s="51" t="e">
        <f>'Final Data-US$'!T431/'Final Data-US$'!S431-1</f>
        <v>#DIV/0!</v>
      </c>
      <c r="U497" s="51" t="e">
        <f>'Final Data-US$'!U431/'Final Data-US$'!T431-1</f>
        <v>#DIV/0!</v>
      </c>
      <c r="V497" s="51" t="e">
        <f>'Final Data-US$'!V431/'Final Data-US$'!U431-1</f>
        <v>#DIV/0!</v>
      </c>
      <c r="W497" s="102" t="e">
        <f>'Final Data-US$'!W431</f>
        <v>#DIV/0!</v>
      </c>
      <c r="X497" s="102" t="e">
        <f>'Final Data-US$'!X431</f>
        <v>#DIV/0!</v>
      </c>
    </row>
    <row r="498" spans="1:24">
      <c r="A498" s="46" t="str">
        <f>'Secondary cum Calculation'!A924</f>
        <v>Poland</v>
      </c>
      <c r="B498" s="47" t="str">
        <f>'Secondary cum Calculation'!B924</f>
        <v>Tourism Flows</v>
      </c>
      <c r="C498" s="47" t="str">
        <f>'Secondary cum Calculation'!C924</f>
        <v>International Departures by Destination</v>
      </c>
      <c r="D498" s="47" t="str">
        <f>'Secondary cum Calculation'!D924</f>
        <v>Middle East</v>
      </c>
      <c r="E498" s="46" t="str">
        <f>'Secondary cum Calculation'!E924</f>
        <v>Qatar</v>
      </c>
      <c r="F498" s="48" t="str">
        <f>'Secondary cum Calculation'!F924</f>
        <v>The number of international departures from a country to Qatar</v>
      </c>
      <c r="G498" s="48" t="str">
        <f>'Secondary cum Calculation'!G924</f>
        <v>Tourism Demand &amp; Flows Database</v>
      </c>
      <c r="H498" s="48" t="str">
        <f>'Secondary cum Calculation'!H924</f>
        <v>New</v>
      </c>
      <c r="I498" s="48">
        <f>'Secondary cum Calculation'!I924</f>
        <v>0</v>
      </c>
      <c r="J498" s="48" t="str">
        <f>'Secondary cum Calculation'!J924</f>
        <v>Thousand</v>
      </c>
      <c r="K498" s="49">
        <f>'Secondary cum Calculation'!K924</f>
        <v>0</v>
      </c>
      <c r="L498" s="92"/>
      <c r="M498" s="104" t="e">
        <f>'Final Data-US$'!M432/'Final Data-US$'!L432-1</f>
        <v>#DIV/0!</v>
      </c>
      <c r="N498" s="104" t="e">
        <f>'Final Data-US$'!N432/'Final Data-US$'!M432-1</f>
        <v>#DIV/0!</v>
      </c>
      <c r="O498" s="51" t="e">
        <f>'Final Data-US$'!O432/'Final Data-US$'!N432-1</f>
        <v>#DIV/0!</v>
      </c>
      <c r="P498" s="51" t="e">
        <f>'Final Data-US$'!P432/'Final Data-US$'!O432-1</f>
        <v>#DIV/0!</v>
      </c>
      <c r="Q498" s="51" t="e">
        <f>'Final Data-US$'!Q432/'Final Data-US$'!P432-1</f>
        <v>#DIV/0!</v>
      </c>
      <c r="R498" s="51" t="e">
        <f>'Final Data-US$'!R432/'Final Data-US$'!Q432-1</f>
        <v>#DIV/0!</v>
      </c>
      <c r="S498" s="51" t="e">
        <f>'Final Data-US$'!S432/'Final Data-US$'!R432-1</f>
        <v>#DIV/0!</v>
      </c>
      <c r="T498" s="51" t="e">
        <f>'Final Data-US$'!T432/'Final Data-US$'!S432-1</f>
        <v>#DIV/0!</v>
      </c>
      <c r="U498" s="51" t="e">
        <f>'Final Data-US$'!U432/'Final Data-US$'!T432-1</f>
        <v>#DIV/0!</v>
      </c>
      <c r="V498" s="51" t="e">
        <f>'Final Data-US$'!V432/'Final Data-US$'!U432-1</f>
        <v>#DIV/0!</v>
      </c>
      <c r="W498" s="102" t="e">
        <f>'Final Data-US$'!W432</f>
        <v>#DIV/0!</v>
      </c>
      <c r="X498" s="102" t="e">
        <f>'Final Data-US$'!X432</f>
        <v>#DIV/0!</v>
      </c>
    </row>
    <row r="499" spans="1:24">
      <c r="A499" s="46" t="str">
        <f>'Secondary cum Calculation'!A926</f>
        <v>Poland</v>
      </c>
      <c r="B499" s="47" t="str">
        <f>'Secondary cum Calculation'!B926</f>
        <v>Tourism Flows</v>
      </c>
      <c r="C499" s="47" t="str">
        <f>'Secondary cum Calculation'!C926</f>
        <v>International Departures by Destination</v>
      </c>
      <c r="D499" s="47" t="str">
        <f>'Secondary cum Calculation'!D926</f>
        <v>Middle East</v>
      </c>
      <c r="E499" s="46" t="str">
        <f>'Secondary cum Calculation'!E926</f>
        <v>Saudi Arabia</v>
      </c>
      <c r="F499" s="48" t="str">
        <f>'Secondary cum Calculation'!F926</f>
        <v>The number of international departures from a country to Saudi Arabia</v>
      </c>
      <c r="G499" s="48" t="str">
        <f>'Secondary cum Calculation'!G926</f>
        <v>Tourism Demand &amp; Flows Database</v>
      </c>
      <c r="H499" s="48" t="str">
        <f>'Secondary cum Calculation'!H926</f>
        <v>New</v>
      </c>
      <c r="I499" s="48">
        <f>'Secondary cum Calculation'!I926</f>
        <v>0</v>
      </c>
      <c r="J499" s="48" t="str">
        <f>'Secondary cum Calculation'!J926</f>
        <v>Thousand</v>
      </c>
      <c r="K499" s="49">
        <f>'Secondary cum Calculation'!K926</f>
        <v>0</v>
      </c>
      <c r="L499" s="92"/>
      <c r="M499" s="104" t="e">
        <f>'Final Data-US$'!M433/'Final Data-US$'!L433-1</f>
        <v>#DIV/0!</v>
      </c>
      <c r="N499" s="104" t="e">
        <f>'Final Data-US$'!N433/'Final Data-US$'!M433-1</f>
        <v>#DIV/0!</v>
      </c>
      <c r="O499" s="51" t="e">
        <f>'Final Data-US$'!O433/'Final Data-US$'!N433-1</f>
        <v>#DIV/0!</v>
      </c>
      <c r="P499" s="51" t="e">
        <f>'Final Data-US$'!P433/'Final Data-US$'!O433-1</f>
        <v>#DIV/0!</v>
      </c>
      <c r="Q499" s="51" t="e">
        <f>'Final Data-US$'!Q433/'Final Data-US$'!P433-1</f>
        <v>#DIV/0!</v>
      </c>
      <c r="R499" s="51" t="e">
        <f>'Final Data-US$'!R433/'Final Data-US$'!Q433-1</f>
        <v>#DIV/0!</v>
      </c>
      <c r="S499" s="51" t="e">
        <f>'Final Data-US$'!S433/'Final Data-US$'!R433-1</f>
        <v>#DIV/0!</v>
      </c>
      <c r="T499" s="51" t="e">
        <f>'Final Data-US$'!T433/'Final Data-US$'!S433-1</f>
        <v>#DIV/0!</v>
      </c>
      <c r="U499" s="51" t="e">
        <f>'Final Data-US$'!U433/'Final Data-US$'!T433-1</f>
        <v>#DIV/0!</v>
      </c>
      <c r="V499" s="51" t="e">
        <f>'Final Data-US$'!V433/'Final Data-US$'!U433-1</f>
        <v>#DIV/0!</v>
      </c>
      <c r="W499" s="102" t="e">
        <f>'Final Data-US$'!W433</f>
        <v>#DIV/0!</v>
      </c>
      <c r="X499" s="102" t="e">
        <f>'Final Data-US$'!X433</f>
        <v>#DIV/0!</v>
      </c>
    </row>
    <row r="500" spans="1:24">
      <c r="A500" s="46" t="str">
        <f>'Secondary cum Calculation'!A928</f>
        <v>Poland</v>
      </c>
      <c r="B500" s="47" t="str">
        <f>'Secondary cum Calculation'!B928</f>
        <v>Tourism Flows</v>
      </c>
      <c r="C500" s="47" t="str">
        <f>'Secondary cum Calculation'!C928</f>
        <v>International Departures by Destination</v>
      </c>
      <c r="D500" s="47" t="str">
        <f>'Secondary cum Calculation'!D928</f>
        <v>Middle East</v>
      </c>
      <c r="E500" s="46" t="str">
        <f>'Secondary cum Calculation'!E928</f>
        <v>Syrian Arab Republic</v>
      </c>
      <c r="F500" s="48" t="str">
        <f>'Secondary cum Calculation'!F928</f>
        <v>The number of international departures from a country to Syrian Arab Republic</v>
      </c>
      <c r="G500" s="48" t="str">
        <f>'Secondary cum Calculation'!G928</f>
        <v>Tourism Demand &amp; Flows Database</v>
      </c>
      <c r="H500" s="48" t="str">
        <f>'Secondary cum Calculation'!H928</f>
        <v>New</v>
      </c>
      <c r="I500" s="48">
        <f>'Secondary cum Calculation'!I928</f>
        <v>0</v>
      </c>
      <c r="J500" s="48" t="str">
        <f>'Secondary cum Calculation'!J928</f>
        <v>Thousand</v>
      </c>
      <c r="K500" s="49">
        <f>'Secondary cum Calculation'!K928</f>
        <v>0</v>
      </c>
      <c r="L500" s="92"/>
      <c r="M500" s="104" t="e">
        <f>'Final Data-US$'!M434/'Final Data-US$'!L434-1</f>
        <v>#DIV/0!</v>
      </c>
      <c r="N500" s="104" t="e">
        <f>'Final Data-US$'!N434/'Final Data-US$'!M434-1</f>
        <v>#DIV/0!</v>
      </c>
      <c r="O500" s="51" t="e">
        <f>'Final Data-US$'!O434/'Final Data-US$'!N434-1</f>
        <v>#DIV/0!</v>
      </c>
      <c r="P500" s="51" t="e">
        <f>'Final Data-US$'!P434/'Final Data-US$'!O434-1</f>
        <v>#DIV/0!</v>
      </c>
      <c r="Q500" s="51" t="e">
        <f>'Final Data-US$'!Q434/'Final Data-US$'!P434-1</f>
        <v>#DIV/0!</v>
      </c>
      <c r="R500" s="51" t="e">
        <f>'Final Data-US$'!R434/'Final Data-US$'!Q434-1</f>
        <v>#DIV/0!</v>
      </c>
      <c r="S500" s="51" t="e">
        <f>'Final Data-US$'!S434/'Final Data-US$'!R434-1</f>
        <v>#DIV/0!</v>
      </c>
      <c r="T500" s="51" t="e">
        <f>'Final Data-US$'!T434/'Final Data-US$'!S434-1</f>
        <v>#DIV/0!</v>
      </c>
      <c r="U500" s="51" t="e">
        <f>'Final Data-US$'!U434/'Final Data-US$'!T434-1</f>
        <v>#DIV/0!</v>
      </c>
      <c r="V500" s="51" t="e">
        <f>'Final Data-US$'!V434/'Final Data-US$'!U434-1</f>
        <v>#DIV/0!</v>
      </c>
      <c r="W500" s="102" t="e">
        <f>'Final Data-US$'!W434</f>
        <v>#DIV/0!</v>
      </c>
      <c r="X500" s="102" t="e">
        <f>'Final Data-US$'!X434</f>
        <v>#DIV/0!</v>
      </c>
    </row>
    <row r="501" spans="1:24">
      <c r="A501" s="46" t="str">
        <f>'Secondary cum Calculation'!A930</f>
        <v>Poland</v>
      </c>
      <c r="B501" s="47" t="str">
        <f>'Secondary cum Calculation'!B930</f>
        <v>Tourism Flows</v>
      </c>
      <c r="C501" s="47" t="str">
        <f>'Secondary cum Calculation'!C930</f>
        <v>International Departures by Destination</v>
      </c>
      <c r="D501" s="47" t="str">
        <f>'Secondary cum Calculation'!D930</f>
        <v>Middle East</v>
      </c>
      <c r="E501" s="46" t="str">
        <f>'Secondary cum Calculation'!E930</f>
        <v>United Arab Emirates</v>
      </c>
      <c r="F501" s="48" t="str">
        <f>'Secondary cum Calculation'!F930</f>
        <v>The number of international departures from a country to United Arab Emirates</v>
      </c>
      <c r="G501" s="48" t="str">
        <f>'Secondary cum Calculation'!G930</f>
        <v>Tourism Demand &amp; Flows Database</v>
      </c>
      <c r="H501" s="48" t="str">
        <f>'Secondary cum Calculation'!H930</f>
        <v>New</v>
      </c>
      <c r="I501" s="48">
        <f>'Secondary cum Calculation'!I930</f>
        <v>0</v>
      </c>
      <c r="J501" s="48" t="str">
        <f>'Secondary cum Calculation'!J930</f>
        <v>Thousand</v>
      </c>
      <c r="K501" s="49">
        <f>'Secondary cum Calculation'!K930</f>
        <v>0</v>
      </c>
      <c r="L501" s="92"/>
      <c r="M501" s="104" t="e">
        <f>'Final Data-US$'!M435/'Final Data-US$'!L435-1</f>
        <v>#DIV/0!</v>
      </c>
      <c r="N501" s="104" t="e">
        <f>'Final Data-US$'!N435/'Final Data-US$'!M435-1</f>
        <v>#DIV/0!</v>
      </c>
      <c r="O501" s="51" t="e">
        <f>'Final Data-US$'!O435/'Final Data-US$'!N435-1</f>
        <v>#DIV/0!</v>
      </c>
      <c r="P501" s="51" t="e">
        <f>'Final Data-US$'!P435/'Final Data-US$'!O435-1</f>
        <v>#DIV/0!</v>
      </c>
      <c r="Q501" s="51" t="e">
        <f>'Final Data-US$'!Q435/'Final Data-US$'!P435-1</f>
        <v>#DIV/0!</v>
      </c>
      <c r="R501" s="51" t="e">
        <f>'Final Data-US$'!R435/'Final Data-US$'!Q435-1</f>
        <v>#DIV/0!</v>
      </c>
      <c r="S501" s="51" t="e">
        <f>'Final Data-US$'!S435/'Final Data-US$'!R435-1</f>
        <v>#DIV/0!</v>
      </c>
      <c r="T501" s="51" t="e">
        <f>'Final Data-US$'!T435/'Final Data-US$'!S435-1</f>
        <v>#DIV/0!</v>
      </c>
      <c r="U501" s="51" t="e">
        <f>'Final Data-US$'!U435/'Final Data-US$'!T435-1</f>
        <v>#DIV/0!</v>
      </c>
      <c r="V501" s="51" t="e">
        <f>'Final Data-US$'!V435/'Final Data-US$'!U435-1</f>
        <v>#DIV/0!</v>
      </c>
      <c r="W501" s="102" t="e">
        <f>'Final Data-US$'!W435</f>
        <v>#DIV/0!</v>
      </c>
      <c r="X501" s="102" t="e">
        <f>'Final Data-US$'!X435</f>
        <v>#DIV/0!</v>
      </c>
    </row>
    <row r="502" spans="1:24">
      <c r="A502" s="46" t="str">
        <f>'Secondary cum Calculation'!A932</f>
        <v>Poland</v>
      </c>
      <c r="B502" s="47" t="str">
        <f>'Secondary cum Calculation'!B932</f>
        <v>Tourism Flows</v>
      </c>
      <c r="C502" s="47" t="str">
        <f>'Secondary cum Calculation'!C932</f>
        <v>International Departures by Destination</v>
      </c>
      <c r="D502" s="47" t="str">
        <f>'Secondary cum Calculation'!D932</f>
        <v>Middle East</v>
      </c>
      <c r="E502" s="46" t="str">
        <f>'Secondary cum Calculation'!E932</f>
        <v>Yemen</v>
      </c>
      <c r="F502" s="48" t="str">
        <f>'Secondary cum Calculation'!F932</f>
        <v>The number of international departures from a country to Yemen</v>
      </c>
      <c r="G502" s="48" t="str">
        <f>'Secondary cum Calculation'!G932</f>
        <v>Tourism Demand &amp; Flows Database</v>
      </c>
      <c r="H502" s="48" t="str">
        <f>'Secondary cum Calculation'!H932</f>
        <v>New</v>
      </c>
      <c r="I502" s="48">
        <f>'Secondary cum Calculation'!I932</f>
        <v>0</v>
      </c>
      <c r="J502" s="48" t="str">
        <f>'Secondary cum Calculation'!J932</f>
        <v>Thousand</v>
      </c>
      <c r="K502" s="49">
        <f>'Secondary cum Calculation'!K932</f>
        <v>0</v>
      </c>
      <c r="L502" s="92"/>
      <c r="M502" s="104" t="e">
        <f>'Final Data-US$'!M436/'Final Data-US$'!L436-1</f>
        <v>#DIV/0!</v>
      </c>
      <c r="N502" s="104" t="e">
        <f>'Final Data-US$'!N436/'Final Data-US$'!M436-1</f>
        <v>#DIV/0!</v>
      </c>
      <c r="O502" s="103" t="e">
        <f>'Final Data-US$'!O436/'Final Data-US$'!N436-1</f>
        <v>#DIV/0!</v>
      </c>
      <c r="P502" s="103" t="e">
        <f>'Final Data-US$'!P436/'Final Data-US$'!O436-1</f>
        <v>#DIV/0!</v>
      </c>
      <c r="Q502" s="103" t="e">
        <f>'Final Data-US$'!Q436/'Final Data-US$'!P436-1</f>
        <v>#DIV/0!</v>
      </c>
      <c r="R502" s="103" t="e">
        <f>'Final Data-US$'!R436/'Final Data-US$'!Q436-1</f>
        <v>#DIV/0!</v>
      </c>
      <c r="S502" s="103" t="e">
        <f>'Final Data-US$'!S436/'Final Data-US$'!R436-1</f>
        <v>#DIV/0!</v>
      </c>
      <c r="T502" s="103" t="e">
        <f>'Final Data-US$'!T436/'Final Data-US$'!S436-1</f>
        <v>#DIV/0!</v>
      </c>
      <c r="U502" s="103" t="e">
        <f>'Final Data-US$'!U436/'Final Data-US$'!T436-1</f>
        <v>#DIV/0!</v>
      </c>
      <c r="V502" s="103" t="e">
        <f>'Final Data-US$'!V436/'Final Data-US$'!U436-1</f>
        <v>#DIV/0!</v>
      </c>
      <c r="W502" s="102" t="e">
        <f>'Final Data-US$'!W436</f>
        <v>#DIV/0!</v>
      </c>
      <c r="X502" s="102" t="e">
        <f>'Final Data-US$'!X436</f>
        <v>#DIV/0!</v>
      </c>
    </row>
    <row r="503" spans="1:24">
      <c r="A503" s="46" t="str">
        <f>'Secondary cum Calculation'!A934</f>
        <v>Poland</v>
      </c>
      <c r="B503" s="47" t="str">
        <f>'Secondary cum Calculation'!B934</f>
        <v>Tourism Flows</v>
      </c>
      <c r="C503" s="47" t="str">
        <f>'Secondary cum Calculation'!C934</f>
        <v>International Departures by Destination</v>
      </c>
      <c r="D503" s="94" t="str">
        <f>'Secondary cum Calculation'!D934</f>
        <v>Middle East</v>
      </c>
      <c r="E503" s="95" t="str">
        <f>'Secondary cum Calculation'!E934</f>
        <v>Other Middle Eastern Countries</v>
      </c>
      <c r="F503" s="94" t="str">
        <f>'Secondary cum Calculation'!F934</f>
        <v>To be defined according to the gaps in the country data above</v>
      </c>
      <c r="G503" s="48">
        <f>'Secondary cum Calculation'!G934</f>
        <v>0</v>
      </c>
      <c r="H503" s="48">
        <f>'Secondary cum Calculation'!H934</f>
        <v>0</v>
      </c>
      <c r="I503" s="48">
        <f>'Secondary cum Calculation'!I934</f>
        <v>0</v>
      </c>
      <c r="J503" s="48" t="str">
        <f>'Secondary cum Calculation'!J934</f>
        <v>Thousand</v>
      </c>
      <c r="K503" s="49">
        <f>'Secondary cum Calculation'!K934</f>
        <v>0</v>
      </c>
      <c r="L503" s="92"/>
      <c r="M503" s="104">
        <f>'Final Data-US$'!M437/'Final Data-US$'!L437-1</f>
        <v>0.37410812456606624</v>
      </c>
      <c r="N503" s="104">
        <f>'Final Data-US$'!N437/'Final Data-US$'!M437-1</f>
        <v>-0.14247864978053193</v>
      </c>
      <c r="O503" s="103">
        <f>'Final Data-US$'!O437/'Final Data-US$'!N437-1</f>
        <v>0.13591646655432865</v>
      </c>
      <c r="P503" s="103">
        <f>'Final Data-US$'!P437/'Final Data-US$'!O437-1</f>
        <v>0.12885723239011782</v>
      </c>
      <c r="Q503" s="103">
        <f>'Final Data-US$'!Q437/'Final Data-US$'!P437-1</f>
        <v>5.3462582984163509E-2</v>
      </c>
      <c r="R503" s="103">
        <f>'Final Data-US$'!R437/'Final Data-US$'!Q437-1</f>
        <v>-1</v>
      </c>
      <c r="S503" s="103" t="e">
        <f>'Final Data-US$'!S437/'Final Data-US$'!R437-1</f>
        <v>#DIV/0!</v>
      </c>
      <c r="T503" s="103" t="e">
        <f>'Final Data-US$'!T437/'Final Data-US$'!S437-1</f>
        <v>#DIV/0!</v>
      </c>
      <c r="U503" s="103" t="e">
        <f>'Final Data-US$'!U437/'Final Data-US$'!T437-1</f>
        <v>#DIV/0!</v>
      </c>
      <c r="V503" s="103" t="e">
        <f>'Final Data-US$'!V437/'Final Data-US$'!U437-1</f>
        <v>#DIV/0!</v>
      </c>
      <c r="W503" s="102">
        <f>'Final Data-US$'!W437</f>
        <v>3.7438516749683126E-2</v>
      </c>
      <c r="X503" s="102">
        <f>'Final Data-US$'!X437</f>
        <v>-1</v>
      </c>
    </row>
    <row r="504" spans="1:24">
      <c r="A504" s="46" t="str">
        <f>'Secondary cum Calculation'!A936</f>
        <v>Poland</v>
      </c>
      <c r="B504" s="47" t="str">
        <f>'Secondary cum Calculation'!B936</f>
        <v>Tourism Flows</v>
      </c>
      <c r="C504" s="47" t="str">
        <f>'Secondary cum Calculation'!C936</f>
        <v>International Departures by Destination</v>
      </c>
      <c r="D504" s="46" t="str">
        <f>'Secondary cum Calculation'!D936</f>
        <v>North America</v>
      </c>
      <c r="E504" s="48"/>
      <c r="F504" s="48" t="str">
        <f>'Secondary cum Calculation'!F936</f>
        <v>The number of international departures from a country to North America</v>
      </c>
      <c r="G504" s="48" t="str">
        <f>'Secondary cum Calculation'!G936</f>
        <v>Tourism Demand &amp; Flows Database</v>
      </c>
      <c r="H504" s="48" t="str">
        <f>'Secondary cum Calculation'!H936</f>
        <v>New</v>
      </c>
      <c r="I504" s="48">
        <f>'Secondary cum Calculation'!I936</f>
        <v>0</v>
      </c>
      <c r="J504" s="48" t="str">
        <f>'Secondary cum Calculation'!J936</f>
        <v>Thousand</v>
      </c>
      <c r="K504" s="76">
        <f>'Secondary cum Calculation'!K936</f>
        <v>13855</v>
      </c>
      <c r="L504" s="91"/>
      <c r="M504" s="78">
        <f>'Final Data-US$'!M438/'Final Data-US$'!L438-1</f>
        <v>4.3035262911881755E-2</v>
      </c>
      <c r="N504" s="78">
        <f>'Final Data-US$'!N438/'Final Data-US$'!M438-1</f>
        <v>-0.23689822437788011</v>
      </c>
      <c r="O504" s="78">
        <f>'Final Data-US$'!O438/'Final Data-US$'!N438-1</f>
        <v>-0.11190053285968027</v>
      </c>
      <c r="P504" s="78">
        <f>'Final Data-US$'!P438/'Final Data-US$'!O438-1</f>
        <v>-1.5000000000000013E-2</v>
      </c>
      <c r="Q504" s="78">
        <f>'Final Data-US$'!Q438/'Final Data-US$'!P438-1</f>
        <v>5.1913663544138622E-3</v>
      </c>
      <c r="R504" s="78">
        <f>'Final Data-US$'!R438/'Final Data-US$'!Q438-1</f>
        <v>7.1030601490531531E-3</v>
      </c>
      <c r="S504" s="78">
        <f>'Final Data-US$'!S438/'Final Data-US$'!R438-1</f>
        <v>1.0777166485699041E-2</v>
      </c>
      <c r="T504" s="78">
        <f>'Final Data-US$'!T438/'Final Data-US$'!S438-1</f>
        <v>9.315530915555259E-3</v>
      </c>
      <c r="U504" s="78">
        <f>'Final Data-US$'!U438/'Final Data-US$'!T438-1</f>
        <v>5.6407580908321986E-3</v>
      </c>
      <c r="V504" s="78">
        <f>'Final Data-US$'!V438/'Final Data-US$'!U438-1</f>
        <v>7.7891270643408728E-3</v>
      </c>
      <c r="W504" s="102">
        <f>'Final Data-US$'!W438</f>
        <v>-9.4929804701033627E-2</v>
      </c>
      <c r="X504" s="102">
        <f>'Final Data-US$'!X438</f>
        <v>8.1235635137792972E-3</v>
      </c>
    </row>
    <row r="505" spans="1:24">
      <c r="A505" s="46" t="str">
        <f>'Secondary cum Calculation'!A938</f>
        <v>Poland</v>
      </c>
      <c r="B505" s="47" t="str">
        <f>'Secondary cum Calculation'!B938</f>
        <v>Tourism Flows</v>
      </c>
      <c r="C505" s="47" t="str">
        <f>'Secondary cum Calculation'!C938</f>
        <v>International Departures by Destination</v>
      </c>
      <c r="D505" s="47" t="str">
        <f>'Secondary cum Calculation'!D938</f>
        <v>North America</v>
      </c>
      <c r="E505" s="46" t="str">
        <f>'Secondary cum Calculation'!E938</f>
        <v>Canada</v>
      </c>
      <c r="F505" s="48" t="str">
        <f>'Secondary cum Calculation'!F938</f>
        <v>The number of international departures from a country to Canada</v>
      </c>
      <c r="G505" s="48" t="str">
        <f>'Secondary cum Calculation'!G938</f>
        <v>Tourism Demand &amp; Flows Database</v>
      </c>
      <c r="H505" s="48" t="str">
        <f>'Secondary cum Calculation'!H938</f>
        <v>New</v>
      </c>
      <c r="I505" s="48">
        <f>'Secondary cum Calculation'!I938</f>
        <v>0</v>
      </c>
      <c r="J505" s="48" t="str">
        <f>'Secondary cum Calculation'!J938</f>
        <v>Thousand</v>
      </c>
      <c r="K505" s="49">
        <f>'Secondary cum Calculation'!K938</f>
        <v>13855</v>
      </c>
      <c r="L505" s="53"/>
      <c r="M505" s="51">
        <f>'Final Data-US$'!M439/'Final Data-US$'!L439-1</f>
        <v>-4.550781892704503E-2</v>
      </c>
      <c r="N505" s="51">
        <f>'Final Data-US$'!N439/'Final Data-US$'!M439-1</f>
        <v>-0.21101293534193843</v>
      </c>
      <c r="O505" s="51">
        <f>'Final Data-US$'!O439/'Final Data-US$'!N439-1</f>
        <v>-0.11109982464275281</v>
      </c>
      <c r="P505" s="51">
        <f>'Final Data-US$'!P439/'Final Data-US$'!O439-1</f>
        <v>-4.6745600708015145E-2</v>
      </c>
      <c r="Q505" s="51">
        <f>'Final Data-US$'!Q439/'Final Data-US$'!P439-1</f>
        <v>-2.5790152891921436E-2</v>
      </c>
      <c r="R505" s="51">
        <f>'Final Data-US$'!R439/'Final Data-US$'!Q439-1</f>
        <v>-1</v>
      </c>
      <c r="S505" s="51" t="e">
        <f>'Final Data-US$'!S439/'Final Data-US$'!R439-1</f>
        <v>#DIV/0!</v>
      </c>
      <c r="T505" s="51" t="e">
        <f>'Final Data-US$'!T439/'Final Data-US$'!S439-1</f>
        <v>#DIV/0!</v>
      </c>
      <c r="U505" s="51" t="e">
        <f>'Final Data-US$'!U439/'Final Data-US$'!T439-1</f>
        <v>#DIV/0!</v>
      </c>
      <c r="V505" s="51" t="e">
        <f>'Final Data-US$'!V439/'Final Data-US$'!U439-1</f>
        <v>#DIV/0!</v>
      </c>
      <c r="W505" s="102">
        <f>'Final Data-US$'!W439</f>
        <v>-0.10164900729992665</v>
      </c>
      <c r="X505" s="102">
        <f>'Final Data-US$'!X439</f>
        <v>-1</v>
      </c>
    </row>
    <row r="506" spans="1:24">
      <c r="A506" s="46" t="str">
        <f>'Secondary cum Calculation'!A940</f>
        <v>Poland</v>
      </c>
      <c r="B506" s="47" t="str">
        <f>'Secondary cum Calculation'!B940</f>
        <v>Tourism Flows</v>
      </c>
      <c r="C506" s="47" t="str">
        <f>'Secondary cum Calculation'!C940</f>
        <v>International Departures by Destination</v>
      </c>
      <c r="D506" s="47" t="str">
        <f>'Secondary cum Calculation'!D940</f>
        <v>North America</v>
      </c>
      <c r="E506" s="46" t="str">
        <f>'Secondary cum Calculation'!E940</f>
        <v>Mexico</v>
      </c>
      <c r="F506" s="48" t="str">
        <f>'Secondary cum Calculation'!F940</f>
        <v>The number of international departures from a country to Mexico</v>
      </c>
      <c r="G506" s="48" t="str">
        <f>'Secondary cum Calculation'!G940</f>
        <v>Tourism Demand &amp; Flows Database</v>
      </c>
      <c r="H506" s="48" t="str">
        <f>'Secondary cum Calculation'!H940</f>
        <v>New</v>
      </c>
      <c r="I506" s="48">
        <f>'Secondary cum Calculation'!I940</f>
        <v>0</v>
      </c>
      <c r="J506" s="48" t="str">
        <f>'Secondary cum Calculation'!J940</f>
        <v>Thousand</v>
      </c>
      <c r="K506" s="49">
        <f>'Secondary cum Calculation'!K940</f>
        <v>19659</v>
      </c>
      <c r="L506" s="53"/>
      <c r="M506" s="51">
        <f>'Final Data-US$'!M440/'Final Data-US$'!L440-1</f>
        <v>-4.7748274420727044E-2</v>
      </c>
      <c r="N506" s="51">
        <f>'Final Data-US$'!N440/'Final Data-US$'!M440-1</f>
        <v>-0.28272765657247212</v>
      </c>
      <c r="O506" s="51">
        <f>'Final Data-US$'!O440/'Final Data-US$'!N440-1</f>
        <v>-7.981280931734025E-2</v>
      </c>
      <c r="P506" s="51">
        <f>'Final Data-US$'!P440/'Final Data-US$'!O440-1</f>
        <v>-2.2599726432158129E-2</v>
      </c>
      <c r="Q506" s="51">
        <f>'Final Data-US$'!Q440/'Final Data-US$'!P440-1</f>
        <v>-8.451079432926778E-3</v>
      </c>
      <c r="R506" s="51">
        <f>'Final Data-US$'!R440/'Final Data-US$'!Q440-1</f>
        <v>-1</v>
      </c>
      <c r="S506" s="51" t="e">
        <f>'Final Data-US$'!S440/'Final Data-US$'!R440-1</f>
        <v>#DIV/0!</v>
      </c>
      <c r="T506" s="51" t="e">
        <f>'Final Data-US$'!T440/'Final Data-US$'!S440-1</f>
        <v>#DIV/0!</v>
      </c>
      <c r="U506" s="51" t="e">
        <f>'Final Data-US$'!U440/'Final Data-US$'!T440-1</f>
        <v>#DIV/0!</v>
      </c>
      <c r="V506" s="51" t="e">
        <f>'Final Data-US$'!V440/'Final Data-US$'!U440-1</f>
        <v>#DIV/0!</v>
      </c>
      <c r="W506" s="102">
        <f>'Final Data-US$'!W440</f>
        <v>-0.10569281932438956</v>
      </c>
      <c r="X506" s="102">
        <f>'Final Data-US$'!X440</f>
        <v>-1</v>
      </c>
    </row>
    <row r="507" spans="1:24">
      <c r="A507" s="46" t="str">
        <f>'Secondary cum Calculation'!A942</f>
        <v>Poland</v>
      </c>
      <c r="B507" s="47" t="str">
        <f>'Secondary cum Calculation'!B942</f>
        <v>Tourism Flows</v>
      </c>
      <c r="C507" s="47" t="str">
        <f>'Secondary cum Calculation'!C942</f>
        <v>International Departures by Destination</v>
      </c>
      <c r="D507" s="47" t="str">
        <f>'Secondary cum Calculation'!D942</f>
        <v>North America</v>
      </c>
      <c r="E507" s="46" t="str">
        <f>'Secondary cum Calculation'!E942</f>
        <v>United States of America</v>
      </c>
      <c r="F507" s="48" t="str">
        <f>'Secondary cum Calculation'!F942</f>
        <v>The number of international departures from a country to United States of America</v>
      </c>
      <c r="G507" s="48" t="str">
        <f>'Secondary cum Calculation'!G942</f>
        <v>Tourism Demand &amp; Flows Database</v>
      </c>
      <c r="H507" s="48" t="str">
        <f>'Secondary cum Calculation'!H942</f>
        <v>New</v>
      </c>
      <c r="I507" s="48">
        <f>'Secondary cum Calculation'!I942</f>
        <v>0</v>
      </c>
      <c r="J507" s="48" t="str">
        <f>'Secondary cum Calculation'!J942</f>
        <v>Thousand</v>
      </c>
      <c r="K507" s="49">
        <f>'Secondary cum Calculation'!K942</f>
        <v>0</v>
      </c>
      <c r="L507" s="89"/>
      <c r="M507" s="103">
        <f>'Final Data-US$'!M441/'Final Data-US$'!L441-1</f>
        <v>6.9900683013842668E-2</v>
      </c>
      <c r="N507" s="103">
        <f>'Final Data-US$'!N441/'Final Data-US$'!M441-1</f>
        <v>-0.23747717927502732</v>
      </c>
      <c r="O507" s="103">
        <f>'Final Data-US$'!O441/'Final Data-US$'!N441-1</f>
        <v>-0.11472782051569586</v>
      </c>
      <c r="P507" s="103">
        <f>'Final Data-US$'!P441/'Final Data-US$'!O441-1</f>
        <v>-8.4208234383625902E-3</v>
      </c>
      <c r="Q507" s="103">
        <f>'Final Data-US$'!Q441/'Final Data-US$'!P441-1</f>
        <v>1.1912163599561598E-2</v>
      </c>
      <c r="R507" s="103">
        <f>'Final Data-US$'!R441/'Final Data-US$'!Q441-1</f>
        <v>-1</v>
      </c>
      <c r="S507" s="103" t="e">
        <f>'Final Data-US$'!S441/'Final Data-US$'!R441-1</f>
        <v>#DIV/0!</v>
      </c>
      <c r="T507" s="103" t="e">
        <f>'Final Data-US$'!T441/'Final Data-US$'!S441-1</f>
        <v>#DIV/0!</v>
      </c>
      <c r="U507" s="103" t="e">
        <f>'Final Data-US$'!U441/'Final Data-US$'!T441-1</f>
        <v>#DIV/0!</v>
      </c>
      <c r="V507" s="103" t="e">
        <f>'Final Data-US$'!V441/'Final Data-US$'!U441-1</f>
        <v>#DIV/0!</v>
      </c>
      <c r="W507" s="102">
        <f>'Final Data-US$'!W441</f>
        <v>-9.280641808930723E-2</v>
      </c>
      <c r="X507" s="102">
        <f>'Final Data-US$'!X441</f>
        <v>-1</v>
      </c>
    </row>
    <row r="508" spans="1:24">
      <c r="A508" s="46" t="str">
        <f>'Secondary cum Calculation'!A944</f>
        <v>Poland</v>
      </c>
      <c r="B508" s="47" t="str">
        <f>'Secondary cum Calculation'!B944</f>
        <v>Tourism Flows</v>
      </c>
      <c r="C508" s="47" t="str">
        <f>'Secondary cum Calculation'!C944</f>
        <v>International Departures by Destination</v>
      </c>
      <c r="D508" s="46" t="str">
        <f>'Secondary cum Calculation'!D944</f>
        <v>South &amp; Central America</v>
      </c>
      <c r="E508" s="48"/>
      <c r="F508" s="48" t="str">
        <f>'Secondary cum Calculation'!F944</f>
        <v>The number of international departures from a country to South &amp; Central America</v>
      </c>
      <c r="G508" s="48" t="str">
        <f>'Secondary cum Calculation'!G944</f>
        <v>Tourism Demand &amp; Flows Database</v>
      </c>
      <c r="H508" s="48" t="str">
        <f>'Secondary cum Calculation'!H944</f>
        <v>New</v>
      </c>
      <c r="I508" s="48">
        <f>'Secondary cum Calculation'!I944</f>
        <v>0</v>
      </c>
      <c r="J508" s="48" t="str">
        <f>'Secondary cum Calculation'!J944</f>
        <v>Thousand</v>
      </c>
      <c r="K508" s="76">
        <f>'Secondary cum Calculation'!K944</f>
        <v>0</v>
      </c>
      <c r="L508" s="91"/>
      <c r="M508" s="78">
        <f>'Final Data-US$'!M442/'Final Data-US$'!L442-1</f>
        <v>4.3992687973323008E-2</v>
      </c>
      <c r="N508" s="78">
        <f>'Final Data-US$'!N442/'Final Data-US$'!M442-1</f>
        <v>-8.6971580304400553E-2</v>
      </c>
      <c r="O508" s="78">
        <f>'Final Data-US$'!O442/'Final Data-US$'!N442-1</f>
        <v>5.6852788490583395E-2</v>
      </c>
      <c r="P508" s="78">
        <f>'Final Data-US$'!P442/'Final Data-US$'!O442-1</f>
        <v>-7.8940835746793558E-2</v>
      </c>
      <c r="Q508" s="78">
        <f>'Final Data-US$'!Q442/'Final Data-US$'!P442-1</f>
        <v>-1.8543750815809168E-2</v>
      </c>
      <c r="R508" s="78">
        <f>'Final Data-US$'!R442/'Final Data-US$'!Q442-1</f>
        <v>1.1751530033897284E-2</v>
      </c>
      <c r="S508" s="78">
        <f>'Final Data-US$'!S442/'Final Data-US$'!R442-1</f>
        <v>8.9024057528075407E-3</v>
      </c>
      <c r="T508" s="78">
        <f>'Final Data-US$'!T442/'Final Data-US$'!S442-1</f>
        <v>1.9505535512197136E-2</v>
      </c>
      <c r="U508" s="78">
        <f>'Final Data-US$'!U442/'Final Data-US$'!T442-1</f>
        <v>1.4635407364705921E-2</v>
      </c>
      <c r="V508" s="78">
        <f>'Final Data-US$'!V442/'Final Data-US$'!U442-1</f>
        <v>1.8096977617742649E-2</v>
      </c>
      <c r="W508" s="102">
        <f>'Final Data-US$'!W442</f>
        <v>-3.3583543753666789E-2</v>
      </c>
      <c r="X508" s="102">
        <f>'Final Data-US$'!X442</f>
        <v>1.4570792069248606E-2</v>
      </c>
    </row>
    <row r="509" spans="1:24">
      <c r="A509" s="46" t="str">
        <f>'Secondary cum Calculation'!A946</f>
        <v>Poland</v>
      </c>
      <c r="B509" s="47" t="str">
        <f>'Secondary cum Calculation'!B946</f>
        <v>Tourism Flows</v>
      </c>
      <c r="C509" s="47" t="str">
        <f>'Secondary cum Calculation'!C946</f>
        <v>International Departures by Destination</v>
      </c>
      <c r="D509" s="47" t="str">
        <f>'Secondary cum Calculation'!D946</f>
        <v>South &amp; Central America</v>
      </c>
      <c r="E509" s="46" t="str">
        <f>'Secondary cum Calculation'!E946</f>
        <v>Argentina</v>
      </c>
      <c r="F509" s="48" t="str">
        <f>'Secondary cum Calculation'!F946</f>
        <v>The number of international departures from a country to Argentina</v>
      </c>
      <c r="G509" s="48" t="str">
        <f>'Secondary cum Calculation'!G946</f>
        <v>Tourism Demand &amp; Flows Database</v>
      </c>
      <c r="H509" s="48" t="str">
        <f>'Secondary cum Calculation'!H946</f>
        <v>New</v>
      </c>
      <c r="I509" s="48">
        <f>'Secondary cum Calculation'!I946</f>
        <v>0</v>
      </c>
      <c r="J509" s="48" t="str">
        <f>'Secondary cum Calculation'!J946</f>
        <v>Thousand</v>
      </c>
      <c r="K509" s="49">
        <f>'Secondary cum Calculation'!K946</f>
        <v>0</v>
      </c>
      <c r="L509" s="92"/>
      <c r="M509" s="104" t="e">
        <f>'Final Data-US$'!M443/'Final Data-US$'!L443-1</f>
        <v>#DIV/0!</v>
      </c>
      <c r="N509" s="104" t="e">
        <f>'Final Data-US$'!N443/'Final Data-US$'!M443-1</f>
        <v>#DIV/0!</v>
      </c>
      <c r="O509" s="51" t="e">
        <f>'Final Data-US$'!O443/'Final Data-US$'!N443-1</f>
        <v>#DIV/0!</v>
      </c>
      <c r="P509" s="51" t="e">
        <f>'Final Data-US$'!P443/'Final Data-US$'!O443-1</f>
        <v>#DIV/0!</v>
      </c>
      <c r="Q509" s="51" t="e">
        <f>'Final Data-US$'!Q443/'Final Data-US$'!P443-1</f>
        <v>#DIV/0!</v>
      </c>
      <c r="R509" s="51" t="e">
        <f>'Final Data-US$'!R443/'Final Data-US$'!Q443-1</f>
        <v>#DIV/0!</v>
      </c>
      <c r="S509" s="51" t="e">
        <f>'Final Data-US$'!S443/'Final Data-US$'!R443-1</f>
        <v>#DIV/0!</v>
      </c>
      <c r="T509" s="51" t="e">
        <f>'Final Data-US$'!T443/'Final Data-US$'!S443-1</f>
        <v>#DIV/0!</v>
      </c>
      <c r="U509" s="51" t="e">
        <f>'Final Data-US$'!U443/'Final Data-US$'!T443-1</f>
        <v>#DIV/0!</v>
      </c>
      <c r="V509" s="51" t="e">
        <f>'Final Data-US$'!V443/'Final Data-US$'!U443-1</f>
        <v>#DIV/0!</v>
      </c>
      <c r="W509" s="102" t="e">
        <f>'Final Data-US$'!W443</f>
        <v>#DIV/0!</v>
      </c>
      <c r="X509" s="102" t="e">
        <f>'Final Data-US$'!X443</f>
        <v>#DIV/0!</v>
      </c>
    </row>
    <row r="510" spans="1:24">
      <c r="A510" s="46" t="str">
        <f>'Secondary cum Calculation'!A948</f>
        <v>Poland</v>
      </c>
      <c r="B510" s="47" t="str">
        <f>'Secondary cum Calculation'!B948</f>
        <v>Tourism Flows</v>
      </c>
      <c r="C510" s="47" t="str">
        <f>'Secondary cum Calculation'!C948</f>
        <v>International Departures by Destination</v>
      </c>
      <c r="D510" s="47" t="str">
        <f>'Secondary cum Calculation'!D948</f>
        <v>South &amp; Central America</v>
      </c>
      <c r="E510" s="46" t="str">
        <f>'Secondary cum Calculation'!E948</f>
        <v>Aruba</v>
      </c>
      <c r="F510" s="48" t="str">
        <f>'Secondary cum Calculation'!F948</f>
        <v>The number of international departures from a country to Aruba</v>
      </c>
      <c r="G510" s="48" t="str">
        <f>'Secondary cum Calculation'!G948</f>
        <v>Tourism Demand &amp; Flows Database</v>
      </c>
      <c r="H510" s="48" t="str">
        <f>'Secondary cum Calculation'!H948</f>
        <v>New</v>
      </c>
      <c r="I510" s="48">
        <f>'Secondary cum Calculation'!I948</f>
        <v>0</v>
      </c>
      <c r="J510" s="48" t="str">
        <f>'Secondary cum Calculation'!J948</f>
        <v>Thousand</v>
      </c>
      <c r="K510" s="49">
        <f>'Secondary cum Calculation'!K948</f>
        <v>0</v>
      </c>
      <c r="L510" s="53"/>
      <c r="M510" s="51" t="e">
        <f>'Final Data-US$'!M444/'Final Data-US$'!L444-1</f>
        <v>#DIV/0!</v>
      </c>
      <c r="N510" s="51" t="e">
        <f>'Final Data-US$'!N444/'Final Data-US$'!M444-1</f>
        <v>#DIV/0!</v>
      </c>
      <c r="O510" s="51" t="e">
        <f>'Final Data-US$'!O444/'Final Data-US$'!N444-1</f>
        <v>#DIV/0!</v>
      </c>
      <c r="P510" s="51" t="e">
        <f>'Final Data-US$'!P444/'Final Data-US$'!O444-1</f>
        <v>#DIV/0!</v>
      </c>
      <c r="Q510" s="51" t="e">
        <f>'Final Data-US$'!Q444/'Final Data-US$'!P444-1</f>
        <v>#DIV/0!</v>
      </c>
      <c r="R510" s="51" t="e">
        <f>'Final Data-US$'!R444/'Final Data-US$'!Q444-1</f>
        <v>#DIV/0!</v>
      </c>
      <c r="S510" s="51" t="e">
        <f>'Final Data-US$'!S444/'Final Data-US$'!R444-1</f>
        <v>#DIV/0!</v>
      </c>
      <c r="T510" s="51" t="e">
        <f>'Final Data-US$'!T444/'Final Data-US$'!S444-1</f>
        <v>#DIV/0!</v>
      </c>
      <c r="U510" s="51" t="e">
        <f>'Final Data-US$'!U444/'Final Data-US$'!T444-1</f>
        <v>#DIV/0!</v>
      </c>
      <c r="V510" s="51" t="e">
        <f>'Final Data-US$'!V444/'Final Data-US$'!U444-1</f>
        <v>#DIV/0!</v>
      </c>
      <c r="W510" s="102" t="e">
        <f>'Final Data-US$'!W444</f>
        <v>#DIV/0!</v>
      </c>
      <c r="X510" s="102" t="e">
        <f>'Final Data-US$'!X444</f>
        <v>#DIV/0!</v>
      </c>
    </row>
    <row r="511" spans="1:24">
      <c r="A511" s="46" t="str">
        <f>'Secondary cum Calculation'!A950</f>
        <v>Poland</v>
      </c>
      <c r="B511" s="47" t="str">
        <f>'Secondary cum Calculation'!B950</f>
        <v>Tourism Flows</v>
      </c>
      <c r="C511" s="47" t="str">
        <f>'Secondary cum Calculation'!C950</f>
        <v>International Departures by Destination</v>
      </c>
      <c r="D511" s="47" t="str">
        <f>'Secondary cum Calculation'!D950</f>
        <v>South &amp; Central America</v>
      </c>
      <c r="E511" s="46" t="str">
        <f>'Secondary cum Calculation'!E950</f>
        <v>Bahamas</v>
      </c>
      <c r="F511" s="48" t="str">
        <f>'Secondary cum Calculation'!F950</f>
        <v>The number of international departures from a country to Bahamas</v>
      </c>
      <c r="G511" s="48" t="str">
        <f>'Secondary cum Calculation'!G950</f>
        <v>Tourism Demand &amp; Flows Database</v>
      </c>
      <c r="H511" s="48" t="str">
        <f>'Secondary cum Calculation'!H950</f>
        <v>New</v>
      </c>
      <c r="I511" s="48">
        <f>'Secondary cum Calculation'!I950</f>
        <v>0</v>
      </c>
      <c r="J511" s="48" t="str">
        <f>'Secondary cum Calculation'!J950</f>
        <v>Thousand</v>
      </c>
      <c r="K511" s="49">
        <f>'Secondary cum Calculation'!K950</f>
        <v>0</v>
      </c>
      <c r="L511" s="92"/>
      <c r="M511" s="104" t="e">
        <f>'Final Data-US$'!M445/'Final Data-US$'!L445-1</f>
        <v>#DIV/0!</v>
      </c>
      <c r="N511" s="104" t="e">
        <f>'Final Data-US$'!N445/'Final Data-US$'!M445-1</f>
        <v>#DIV/0!</v>
      </c>
      <c r="O511" s="51" t="e">
        <f>'Final Data-US$'!O445/'Final Data-US$'!N445-1</f>
        <v>#DIV/0!</v>
      </c>
      <c r="P511" s="51" t="e">
        <f>'Final Data-US$'!P445/'Final Data-US$'!O445-1</f>
        <v>#DIV/0!</v>
      </c>
      <c r="Q511" s="51" t="e">
        <f>'Final Data-US$'!Q445/'Final Data-US$'!P445-1</f>
        <v>#DIV/0!</v>
      </c>
      <c r="R511" s="51" t="e">
        <f>'Final Data-US$'!R445/'Final Data-US$'!Q445-1</f>
        <v>#DIV/0!</v>
      </c>
      <c r="S511" s="51" t="e">
        <f>'Final Data-US$'!S445/'Final Data-US$'!R445-1</f>
        <v>#DIV/0!</v>
      </c>
      <c r="T511" s="51" t="e">
        <f>'Final Data-US$'!T445/'Final Data-US$'!S445-1</f>
        <v>#DIV/0!</v>
      </c>
      <c r="U511" s="51" t="e">
        <f>'Final Data-US$'!U445/'Final Data-US$'!T445-1</f>
        <v>#DIV/0!</v>
      </c>
      <c r="V511" s="51" t="e">
        <f>'Final Data-US$'!V445/'Final Data-US$'!U445-1</f>
        <v>#DIV/0!</v>
      </c>
      <c r="W511" s="102" t="e">
        <f>'Final Data-US$'!W445</f>
        <v>#DIV/0!</v>
      </c>
      <c r="X511" s="102" t="e">
        <f>'Final Data-US$'!X445</f>
        <v>#DIV/0!</v>
      </c>
    </row>
    <row r="512" spans="1:24">
      <c r="A512" s="46" t="str">
        <f>'Secondary cum Calculation'!A952</f>
        <v>Poland</v>
      </c>
      <c r="B512" s="47" t="str">
        <f>'Secondary cum Calculation'!B952</f>
        <v>Tourism Flows</v>
      </c>
      <c r="C512" s="47" t="str">
        <f>'Secondary cum Calculation'!C952</f>
        <v>International Departures by Destination</v>
      </c>
      <c r="D512" s="47" t="str">
        <f>'Secondary cum Calculation'!D952</f>
        <v>South &amp; Central America</v>
      </c>
      <c r="E512" s="46" t="str">
        <f>'Secondary cum Calculation'!E952</f>
        <v>Barbados</v>
      </c>
      <c r="F512" s="48" t="str">
        <f>'Secondary cum Calculation'!F952</f>
        <v>The number of international departures from a country to Barbados</v>
      </c>
      <c r="G512" s="48" t="str">
        <f>'Secondary cum Calculation'!G952</f>
        <v>Tourism Demand &amp; Flows Database</v>
      </c>
      <c r="H512" s="48" t="str">
        <f>'Secondary cum Calculation'!H952</f>
        <v>New</v>
      </c>
      <c r="I512" s="48">
        <f>'Secondary cum Calculation'!I952</f>
        <v>0</v>
      </c>
      <c r="J512" s="48" t="str">
        <f>'Secondary cum Calculation'!J952</f>
        <v>Thousand</v>
      </c>
      <c r="K512" s="49">
        <f>'Secondary cum Calculation'!K952</f>
        <v>0</v>
      </c>
      <c r="L512" s="92"/>
      <c r="M512" s="104" t="e">
        <f>'Final Data-US$'!M446/'Final Data-US$'!L446-1</f>
        <v>#DIV/0!</v>
      </c>
      <c r="N512" s="104" t="e">
        <f>'Final Data-US$'!N446/'Final Data-US$'!M446-1</f>
        <v>#DIV/0!</v>
      </c>
      <c r="O512" s="51" t="e">
        <f>'Final Data-US$'!O446/'Final Data-US$'!N446-1</f>
        <v>#DIV/0!</v>
      </c>
      <c r="P512" s="51" t="e">
        <f>'Final Data-US$'!P446/'Final Data-US$'!O446-1</f>
        <v>#DIV/0!</v>
      </c>
      <c r="Q512" s="51" t="e">
        <f>'Final Data-US$'!Q446/'Final Data-US$'!P446-1</f>
        <v>#DIV/0!</v>
      </c>
      <c r="R512" s="51" t="e">
        <f>'Final Data-US$'!R446/'Final Data-US$'!Q446-1</f>
        <v>#DIV/0!</v>
      </c>
      <c r="S512" s="51" t="e">
        <f>'Final Data-US$'!S446/'Final Data-US$'!R446-1</f>
        <v>#DIV/0!</v>
      </c>
      <c r="T512" s="51" t="e">
        <f>'Final Data-US$'!T446/'Final Data-US$'!S446-1</f>
        <v>#DIV/0!</v>
      </c>
      <c r="U512" s="51" t="e">
        <f>'Final Data-US$'!U446/'Final Data-US$'!T446-1</f>
        <v>#DIV/0!</v>
      </c>
      <c r="V512" s="51" t="e">
        <f>'Final Data-US$'!V446/'Final Data-US$'!U446-1</f>
        <v>#DIV/0!</v>
      </c>
      <c r="W512" s="102" t="e">
        <f>'Final Data-US$'!W446</f>
        <v>#DIV/0!</v>
      </c>
      <c r="X512" s="102" t="e">
        <f>'Final Data-US$'!X446</f>
        <v>#DIV/0!</v>
      </c>
    </row>
    <row r="513" spans="1:24">
      <c r="A513" s="46" t="str">
        <f>'Secondary cum Calculation'!A954</f>
        <v>Poland</v>
      </c>
      <c r="B513" s="47" t="str">
        <f>'Secondary cum Calculation'!B954</f>
        <v>Tourism Flows</v>
      </c>
      <c r="C513" s="47" t="str">
        <f>'Secondary cum Calculation'!C954</f>
        <v>International Departures by Destination</v>
      </c>
      <c r="D513" s="47" t="str">
        <f>'Secondary cum Calculation'!D954</f>
        <v>South &amp; Central America</v>
      </c>
      <c r="E513" s="46" t="str">
        <f>'Secondary cum Calculation'!E954</f>
        <v>Belize</v>
      </c>
      <c r="F513" s="48" t="str">
        <f>'Secondary cum Calculation'!F954</f>
        <v>The number of international departures from a country to Belize</v>
      </c>
      <c r="G513" s="48" t="str">
        <f>'Secondary cum Calculation'!G954</f>
        <v>Tourism Demand &amp; Flows Database</v>
      </c>
      <c r="H513" s="48" t="str">
        <f>'Secondary cum Calculation'!H954</f>
        <v>New</v>
      </c>
      <c r="I513" s="48">
        <f>'Secondary cum Calculation'!I954</f>
        <v>0</v>
      </c>
      <c r="J513" s="48" t="str">
        <f>'Secondary cum Calculation'!J954</f>
        <v>Thousand</v>
      </c>
      <c r="K513" s="49">
        <f>'Secondary cum Calculation'!K954</f>
        <v>0</v>
      </c>
      <c r="L513" s="92"/>
      <c r="M513" s="104" t="e">
        <f>'Final Data-US$'!M447/'Final Data-US$'!L447-1</f>
        <v>#DIV/0!</v>
      </c>
      <c r="N513" s="104" t="e">
        <f>'Final Data-US$'!N447/'Final Data-US$'!M447-1</f>
        <v>#DIV/0!</v>
      </c>
      <c r="O513" s="51" t="e">
        <f>'Final Data-US$'!O447/'Final Data-US$'!N447-1</f>
        <v>#DIV/0!</v>
      </c>
      <c r="P513" s="51" t="e">
        <f>'Final Data-US$'!P447/'Final Data-US$'!O447-1</f>
        <v>#DIV/0!</v>
      </c>
      <c r="Q513" s="51" t="e">
        <f>'Final Data-US$'!Q447/'Final Data-US$'!P447-1</f>
        <v>#DIV/0!</v>
      </c>
      <c r="R513" s="51" t="e">
        <f>'Final Data-US$'!R447/'Final Data-US$'!Q447-1</f>
        <v>#DIV/0!</v>
      </c>
      <c r="S513" s="51" t="e">
        <f>'Final Data-US$'!S447/'Final Data-US$'!R447-1</f>
        <v>#DIV/0!</v>
      </c>
      <c r="T513" s="51" t="e">
        <f>'Final Data-US$'!T447/'Final Data-US$'!S447-1</f>
        <v>#DIV/0!</v>
      </c>
      <c r="U513" s="51" t="e">
        <f>'Final Data-US$'!U447/'Final Data-US$'!T447-1</f>
        <v>#DIV/0!</v>
      </c>
      <c r="V513" s="51" t="e">
        <f>'Final Data-US$'!V447/'Final Data-US$'!U447-1</f>
        <v>#DIV/0!</v>
      </c>
      <c r="W513" s="102" t="e">
        <f>'Final Data-US$'!W447</f>
        <v>#DIV/0!</v>
      </c>
      <c r="X513" s="102" t="e">
        <f>'Final Data-US$'!X447</f>
        <v>#DIV/0!</v>
      </c>
    </row>
    <row r="514" spans="1:24">
      <c r="A514" s="46" t="str">
        <f>'Secondary cum Calculation'!A956</f>
        <v>Poland</v>
      </c>
      <c r="B514" s="47" t="str">
        <f>'Secondary cum Calculation'!B956</f>
        <v>Tourism Flows</v>
      </c>
      <c r="C514" s="47" t="str">
        <f>'Secondary cum Calculation'!C956</f>
        <v>International Departures by Destination</v>
      </c>
      <c r="D514" s="47" t="str">
        <f>'Secondary cum Calculation'!D956</f>
        <v>South &amp; Central America</v>
      </c>
      <c r="E514" s="46" t="str">
        <f>'Secondary cum Calculation'!E956</f>
        <v>Bolivia (Plurinational State of)</v>
      </c>
      <c r="F514" s="48" t="str">
        <f>'Secondary cum Calculation'!F956</f>
        <v>The number of international departures from a country to Bolivia (Plurinational State of)</v>
      </c>
      <c r="G514" s="48" t="str">
        <f>'Secondary cum Calculation'!G956</f>
        <v>Tourism Demand &amp; Flows Database</v>
      </c>
      <c r="H514" s="48" t="str">
        <f>'Secondary cum Calculation'!H956</f>
        <v>New</v>
      </c>
      <c r="I514" s="48">
        <f>'Secondary cum Calculation'!I956</f>
        <v>0</v>
      </c>
      <c r="J514" s="48" t="str">
        <f>'Secondary cum Calculation'!J956</f>
        <v>Thousand</v>
      </c>
      <c r="K514" s="49">
        <f>'Secondary cum Calculation'!K956</f>
        <v>0</v>
      </c>
      <c r="L514" s="92"/>
      <c r="M514" s="104" t="e">
        <f>'Final Data-US$'!M448/'Final Data-US$'!L448-1</f>
        <v>#DIV/0!</v>
      </c>
      <c r="N514" s="104" t="e">
        <f>'Final Data-US$'!N448/'Final Data-US$'!M448-1</f>
        <v>#DIV/0!</v>
      </c>
      <c r="O514" s="51" t="e">
        <f>'Final Data-US$'!O448/'Final Data-US$'!N448-1</f>
        <v>#DIV/0!</v>
      </c>
      <c r="P514" s="51" t="e">
        <f>'Final Data-US$'!P448/'Final Data-US$'!O448-1</f>
        <v>#DIV/0!</v>
      </c>
      <c r="Q514" s="51" t="e">
        <f>'Final Data-US$'!Q448/'Final Data-US$'!P448-1</f>
        <v>#DIV/0!</v>
      </c>
      <c r="R514" s="51" t="e">
        <f>'Final Data-US$'!R448/'Final Data-US$'!Q448-1</f>
        <v>#DIV/0!</v>
      </c>
      <c r="S514" s="51" t="e">
        <f>'Final Data-US$'!S448/'Final Data-US$'!R448-1</f>
        <v>#DIV/0!</v>
      </c>
      <c r="T514" s="51" t="e">
        <f>'Final Data-US$'!T448/'Final Data-US$'!S448-1</f>
        <v>#DIV/0!</v>
      </c>
      <c r="U514" s="51" t="e">
        <f>'Final Data-US$'!U448/'Final Data-US$'!T448-1</f>
        <v>#DIV/0!</v>
      </c>
      <c r="V514" s="51" t="e">
        <f>'Final Data-US$'!V448/'Final Data-US$'!U448-1</f>
        <v>#DIV/0!</v>
      </c>
      <c r="W514" s="102" t="e">
        <f>'Final Data-US$'!W448</f>
        <v>#DIV/0!</v>
      </c>
      <c r="X514" s="102" t="e">
        <f>'Final Data-US$'!X448</f>
        <v>#DIV/0!</v>
      </c>
    </row>
    <row r="515" spans="1:24">
      <c r="A515" s="46" t="str">
        <f>'Secondary cum Calculation'!A958</f>
        <v>Poland</v>
      </c>
      <c r="B515" s="47" t="str">
        <f>'Secondary cum Calculation'!B958</f>
        <v>Tourism Flows</v>
      </c>
      <c r="C515" s="47" t="str">
        <f>'Secondary cum Calculation'!C958</f>
        <v>International Departures by Destination</v>
      </c>
      <c r="D515" s="47" t="str">
        <f>'Secondary cum Calculation'!D958</f>
        <v>South &amp; Central America</v>
      </c>
      <c r="E515" s="46" t="str">
        <f>'Secondary cum Calculation'!E958</f>
        <v>Brazil</v>
      </c>
      <c r="F515" s="48" t="str">
        <f>'Secondary cum Calculation'!F958</f>
        <v>The number of international departures from a country to Brazil</v>
      </c>
      <c r="G515" s="48" t="str">
        <f>'Secondary cum Calculation'!G958</f>
        <v>Tourism Demand &amp; Flows Database</v>
      </c>
      <c r="H515" s="48" t="str">
        <f>'Secondary cum Calculation'!H958</f>
        <v>New</v>
      </c>
      <c r="I515" s="48">
        <f>'Secondary cum Calculation'!I958</f>
        <v>0</v>
      </c>
      <c r="J515" s="48" t="str">
        <f>'Secondary cum Calculation'!J958</f>
        <v>Thousand</v>
      </c>
      <c r="K515" s="49">
        <f>'Secondary cum Calculation'!K958</f>
        <v>0</v>
      </c>
      <c r="L515" s="53"/>
      <c r="M515" s="51" t="e">
        <f>'Final Data-US$'!M449/'Final Data-US$'!L449-1</f>
        <v>#DIV/0!</v>
      </c>
      <c r="N515" s="51" t="e">
        <f>'Final Data-US$'!N449/'Final Data-US$'!M449-1</f>
        <v>#DIV/0!</v>
      </c>
      <c r="O515" s="51" t="e">
        <f>'Final Data-US$'!O449/'Final Data-US$'!N449-1</f>
        <v>#DIV/0!</v>
      </c>
      <c r="P515" s="51" t="e">
        <f>'Final Data-US$'!P449/'Final Data-US$'!O449-1</f>
        <v>#DIV/0!</v>
      </c>
      <c r="Q515" s="51" t="e">
        <f>'Final Data-US$'!Q449/'Final Data-US$'!P449-1</f>
        <v>#DIV/0!</v>
      </c>
      <c r="R515" s="51" t="e">
        <f>'Final Data-US$'!R449/'Final Data-US$'!Q449-1</f>
        <v>#DIV/0!</v>
      </c>
      <c r="S515" s="51" t="e">
        <f>'Final Data-US$'!S449/'Final Data-US$'!R449-1</f>
        <v>#DIV/0!</v>
      </c>
      <c r="T515" s="51" t="e">
        <f>'Final Data-US$'!T449/'Final Data-US$'!S449-1</f>
        <v>#DIV/0!</v>
      </c>
      <c r="U515" s="51" t="e">
        <f>'Final Data-US$'!U449/'Final Data-US$'!T449-1</f>
        <v>#DIV/0!</v>
      </c>
      <c r="V515" s="51" t="e">
        <f>'Final Data-US$'!V449/'Final Data-US$'!U449-1</f>
        <v>#DIV/0!</v>
      </c>
      <c r="W515" s="102" t="e">
        <f>'Final Data-US$'!W449</f>
        <v>#DIV/0!</v>
      </c>
      <c r="X515" s="102" t="e">
        <f>'Final Data-US$'!X449</f>
        <v>#DIV/0!</v>
      </c>
    </row>
    <row r="516" spans="1:24">
      <c r="A516" s="46" t="str">
        <f>'Secondary cum Calculation'!A960</f>
        <v>Poland</v>
      </c>
      <c r="B516" s="47" t="str">
        <f>'Secondary cum Calculation'!B960</f>
        <v>Tourism Flows</v>
      </c>
      <c r="C516" s="47" t="str">
        <f>'Secondary cum Calculation'!C960</f>
        <v>International Departures by Destination</v>
      </c>
      <c r="D516" s="47" t="str">
        <f>'Secondary cum Calculation'!D960</f>
        <v>South &amp; Central America</v>
      </c>
      <c r="E516" s="46" t="str">
        <f>'Secondary cum Calculation'!E960</f>
        <v>Chile</v>
      </c>
      <c r="F516" s="48" t="str">
        <f>'Secondary cum Calculation'!F960</f>
        <v>The number of international departures from a country to Chile</v>
      </c>
      <c r="G516" s="48" t="str">
        <f>'Secondary cum Calculation'!G960</f>
        <v>Tourism Demand &amp; Flows Database</v>
      </c>
      <c r="H516" s="48" t="str">
        <f>'Secondary cum Calculation'!H960</f>
        <v>New</v>
      </c>
      <c r="I516" s="48">
        <f>'Secondary cum Calculation'!I960</f>
        <v>0</v>
      </c>
      <c r="J516" s="48" t="str">
        <f>'Secondary cum Calculation'!J960</f>
        <v>Thousand</v>
      </c>
      <c r="K516" s="49">
        <f>'Secondary cum Calculation'!K960</f>
        <v>0</v>
      </c>
      <c r="L516" s="92"/>
      <c r="M516" s="104" t="e">
        <f>'Final Data-US$'!M450/'Final Data-US$'!L450-1</f>
        <v>#DIV/0!</v>
      </c>
      <c r="N516" s="104" t="e">
        <f>'Final Data-US$'!N450/'Final Data-US$'!M450-1</f>
        <v>#DIV/0!</v>
      </c>
      <c r="O516" s="51" t="e">
        <f>'Final Data-US$'!O450/'Final Data-US$'!N450-1</f>
        <v>#DIV/0!</v>
      </c>
      <c r="P516" s="51" t="e">
        <f>'Final Data-US$'!P450/'Final Data-US$'!O450-1</f>
        <v>#DIV/0!</v>
      </c>
      <c r="Q516" s="51" t="e">
        <f>'Final Data-US$'!Q450/'Final Data-US$'!P450-1</f>
        <v>#DIV/0!</v>
      </c>
      <c r="R516" s="51" t="e">
        <f>'Final Data-US$'!R450/'Final Data-US$'!Q450-1</f>
        <v>#DIV/0!</v>
      </c>
      <c r="S516" s="51" t="e">
        <f>'Final Data-US$'!S450/'Final Data-US$'!R450-1</f>
        <v>#DIV/0!</v>
      </c>
      <c r="T516" s="51" t="e">
        <f>'Final Data-US$'!T450/'Final Data-US$'!S450-1</f>
        <v>#DIV/0!</v>
      </c>
      <c r="U516" s="51" t="e">
        <f>'Final Data-US$'!U450/'Final Data-US$'!T450-1</f>
        <v>#DIV/0!</v>
      </c>
      <c r="V516" s="51" t="e">
        <f>'Final Data-US$'!V450/'Final Data-US$'!U450-1</f>
        <v>#DIV/0!</v>
      </c>
      <c r="W516" s="102" t="e">
        <f>'Final Data-US$'!W450</f>
        <v>#DIV/0!</v>
      </c>
      <c r="X516" s="102" t="e">
        <f>'Final Data-US$'!X450</f>
        <v>#DIV/0!</v>
      </c>
    </row>
    <row r="517" spans="1:24">
      <c r="A517" s="46" t="str">
        <f>'Secondary cum Calculation'!A962</f>
        <v>Poland</v>
      </c>
      <c r="B517" s="47" t="str">
        <f>'Secondary cum Calculation'!B962</f>
        <v>Tourism Flows</v>
      </c>
      <c r="C517" s="47" t="str">
        <f>'Secondary cum Calculation'!C962</f>
        <v>International Departures by Destination</v>
      </c>
      <c r="D517" s="47" t="str">
        <f>'Secondary cum Calculation'!D962</f>
        <v>South &amp; Central America</v>
      </c>
      <c r="E517" s="46" t="str">
        <f>'Secondary cum Calculation'!E962</f>
        <v>Colombia</v>
      </c>
      <c r="F517" s="48" t="str">
        <f>'Secondary cum Calculation'!F962</f>
        <v>The number of international departures from a country to Colombia</v>
      </c>
      <c r="G517" s="48" t="str">
        <f>'Secondary cum Calculation'!G962</f>
        <v>Tourism Demand &amp; Flows Database</v>
      </c>
      <c r="H517" s="48" t="str">
        <f>'Secondary cum Calculation'!H962</f>
        <v>New</v>
      </c>
      <c r="I517" s="48">
        <f>'Secondary cum Calculation'!I962</f>
        <v>0</v>
      </c>
      <c r="J517" s="48" t="str">
        <f>'Secondary cum Calculation'!J962</f>
        <v>Thousand</v>
      </c>
      <c r="K517" s="49">
        <f>'Secondary cum Calculation'!K962</f>
        <v>0</v>
      </c>
      <c r="L517" s="53"/>
      <c r="M517" s="51" t="e">
        <f>'Final Data-US$'!M451/'Final Data-US$'!L451-1</f>
        <v>#DIV/0!</v>
      </c>
      <c r="N517" s="51" t="e">
        <f>'Final Data-US$'!N451/'Final Data-US$'!M451-1</f>
        <v>#DIV/0!</v>
      </c>
      <c r="O517" s="51" t="e">
        <f>'Final Data-US$'!O451/'Final Data-US$'!N451-1</f>
        <v>#DIV/0!</v>
      </c>
      <c r="P517" s="51" t="e">
        <f>'Final Data-US$'!P451/'Final Data-US$'!O451-1</f>
        <v>#DIV/0!</v>
      </c>
      <c r="Q517" s="51" t="e">
        <f>'Final Data-US$'!Q451/'Final Data-US$'!P451-1</f>
        <v>#DIV/0!</v>
      </c>
      <c r="R517" s="51" t="e">
        <f>'Final Data-US$'!R451/'Final Data-US$'!Q451-1</f>
        <v>#DIV/0!</v>
      </c>
      <c r="S517" s="51" t="e">
        <f>'Final Data-US$'!S451/'Final Data-US$'!R451-1</f>
        <v>#DIV/0!</v>
      </c>
      <c r="T517" s="51" t="e">
        <f>'Final Data-US$'!T451/'Final Data-US$'!S451-1</f>
        <v>#DIV/0!</v>
      </c>
      <c r="U517" s="51" t="e">
        <f>'Final Data-US$'!U451/'Final Data-US$'!T451-1</f>
        <v>#DIV/0!</v>
      </c>
      <c r="V517" s="51" t="e">
        <f>'Final Data-US$'!V451/'Final Data-US$'!U451-1</f>
        <v>#DIV/0!</v>
      </c>
      <c r="W517" s="102" t="e">
        <f>'Final Data-US$'!W451</f>
        <v>#DIV/0!</v>
      </c>
      <c r="X517" s="102" t="e">
        <f>'Final Data-US$'!X451</f>
        <v>#DIV/0!</v>
      </c>
    </row>
    <row r="518" spans="1:24">
      <c r="A518" s="46" t="str">
        <f>'Secondary cum Calculation'!A964</f>
        <v>Poland</v>
      </c>
      <c r="B518" s="47" t="str">
        <f>'Secondary cum Calculation'!B964</f>
        <v>Tourism Flows</v>
      </c>
      <c r="C518" s="47" t="str">
        <f>'Secondary cum Calculation'!C964</f>
        <v>International Departures by Destination</v>
      </c>
      <c r="D518" s="47" t="str">
        <f>'Secondary cum Calculation'!D964</f>
        <v>South &amp; Central America</v>
      </c>
      <c r="E518" s="46" t="str">
        <f>'Secondary cum Calculation'!E964</f>
        <v>Costa Rica</v>
      </c>
      <c r="F518" s="48" t="str">
        <f>'Secondary cum Calculation'!F964</f>
        <v>The number of international departures from a country to Costa Rica</v>
      </c>
      <c r="G518" s="48" t="str">
        <f>'Secondary cum Calculation'!G964</f>
        <v>Tourism Demand &amp; Flows Database</v>
      </c>
      <c r="H518" s="48" t="str">
        <f>'Secondary cum Calculation'!H964</f>
        <v>New</v>
      </c>
      <c r="I518" s="48">
        <f>'Secondary cum Calculation'!I964</f>
        <v>0</v>
      </c>
      <c r="J518" s="48" t="str">
        <f>'Secondary cum Calculation'!J964</f>
        <v>Thousand</v>
      </c>
      <c r="K518" s="49">
        <f>'Secondary cum Calculation'!K964</f>
        <v>0</v>
      </c>
      <c r="L518" s="92"/>
      <c r="M518" s="104" t="e">
        <f>'Final Data-US$'!M452/'Final Data-US$'!L452-1</f>
        <v>#DIV/0!</v>
      </c>
      <c r="N518" s="104" t="e">
        <f>'Final Data-US$'!N452/'Final Data-US$'!M452-1</f>
        <v>#DIV/0!</v>
      </c>
      <c r="O518" s="103" t="e">
        <f>'Final Data-US$'!O452/'Final Data-US$'!N452-1</f>
        <v>#DIV/0!</v>
      </c>
      <c r="P518" s="103" t="e">
        <f>'Final Data-US$'!P452/'Final Data-US$'!O452-1</f>
        <v>#DIV/0!</v>
      </c>
      <c r="Q518" s="103" t="e">
        <f>'Final Data-US$'!Q452/'Final Data-US$'!P452-1</f>
        <v>#DIV/0!</v>
      </c>
      <c r="R518" s="103" t="e">
        <f>'Final Data-US$'!R452/'Final Data-US$'!Q452-1</f>
        <v>#DIV/0!</v>
      </c>
      <c r="S518" s="103" t="e">
        <f>'Final Data-US$'!S452/'Final Data-US$'!R452-1</f>
        <v>#DIV/0!</v>
      </c>
      <c r="T518" s="103" t="e">
        <f>'Final Data-US$'!T452/'Final Data-US$'!S452-1</f>
        <v>#DIV/0!</v>
      </c>
      <c r="U518" s="103" t="e">
        <f>'Final Data-US$'!U452/'Final Data-US$'!T452-1</f>
        <v>#DIV/0!</v>
      </c>
      <c r="V518" s="103" t="e">
        <f>'Final Data-US$'!V452/'Final Data-US$'!U452-1</f>
        <v>#DIV/0!</v>
      </c>
      <c r="W518" s="102" t="e">
        <f>'Final Data-US$'!W452</f>
        <v>#DIV/0!</v>
      </c>
      <c r="X518" s="102" t="e">
        <f>'Final Data-US$'!X452</f>
        <v>#DIV/0!</v>
      </c>
    </row>
    <row r="519" spans="1:24">
      <c r="A519" s="46" t="str">
        <f>'Secondary cum Calculation'!A966</f>
        <v>Poland</v>
      </c>
      <c r="B519" s="47" t="str">
        <f>'Secondary cum Calculation'!B966</f>
        <v>Tourism Flows</v>
      </c>
      <c r="C519" s="47" t="str">
        <f>'Secondary cum Calculation'!C966</f>
        <v>International Departures by Destination</v>
      </c>
      <c r="D519" s="47" t="str">
        <f>'Secondary cum Calculation'!D966</f>
        <v>South &amp; Central America</v>
      </c>
      <c r="E519" s="46" t="str">
        <f>'Secondary cum Calculation'!E966</f>
        <v>Cuba</v>
      </c>
      <c r="F519" s="48" t="str">
        <f>'Secondary cum Calculation'!F966</f>
        <v>The number of international departures from a country to Cuba</v>
      </c>
      <c r="G519" s="48" t="str">
        <f>'Secondary cum Calculation'!G966</f>
        <v>Tourism Demand &amp; Flows Database</v>
      </c>
      <c r="H519" s="48" t="str">
        <f>'Secondary cum Calculation'!H966</f>
        <v>New</v>
      </c>
      <c r="I519" s="48">
        <f>'Secondary cum Calculation'!I966</f>
        <v>0</v>
      </c>
      <c r="J519" s="48" t="str">
        <f>'Secondary cum Calculation'!J966</f>
        <v>Thousand</v>
      </c>
      <c r="K519" s="49">
        <f>'Secondary cum Calculation'!K966</f>
        <v>0</v>
      </c>
      <c r="L519" s="92"/>
      <c r="M519" s="104" t="e">
        <f>'Final Data-US$'!M453/'Final Data-US$'!L453-1</f>
        <v>#DIV/0!</v>
      </c>
      <c r="N519" s="104" t="e">
        <f>'Final Data-US$'!N453/'Final Data-US$'!M453-1</f>
        <v>#DIV/0!</v>
      </c>
      <c r="O519" s="51" t="e">
        <f>'Final Data-US$'!O453/'Final Data-US$'!N453-1</f>
        <v>#DIV/0!</v>
      </c>
      <c r="P519" s="51" t="e">
        <f>'Final Data-US$'!P453/'Final Data-US$'!O453-1</f>
        <v>#DIV/0!</v>
      </c>
      <c r="Q519" s="51" t="e">
        <f>'Final Data-US$'!Q453/'Final Data-US$'!P453-1</f>
        <v>#DIV/0!</v>
      </c>
      <c r="R519" s="51" t="e">
        <f>'Final Data-US$'!R453/'Final Data-US$'!Q453-1</f>
        <v>#DIV/0!</v>
      </c>
      <c r="S519" s="51" t="e">
        <f>'Final Data-US$'!S453/'Final Data-US$'!R453-1</f>
        <v>#DIV/0!</v>
      </c>
      <c r="T519" s="51" t="e">
        <f>'Final Data-US$'!T453/'Final Data-US$'!S453-1</f>
        <v>#DIV/0!</v>
      </c>
      <c r="U519" s="51" t="e">
        <f>'Final Data-US$'!U453/'Final Data-US$'!T453-1</f>
        <v>#DIV/0!</v>
      </c>
      <c r="V519" s="51" t="e">
        <f>'Final Data-US$'!V453/'Final Data-US$'!U453-1</f>
        <v>#DIV/0!</v>
      </c>
      <c r="W519" s="102" t="e">
        <f>'Final Data-US$'!W453</f>
        <v>#DIV/0!</v>
      </c>
      <c r="X519" s="102" t="e">
        <f>'Final Data-US$'!X453</f>
        <v>#DIV/0!</v>
      </c>
    </row>
    <row r="520" spans="1:24">
      <c r="A520" s="46" t="str">
        <f>'Secondary cum Calculation'!A968</f>
        <v>Poland</v>
      </c>
      <c r="B520" s="47" t="str">
        <f>'Secondary cum Calculation'!B968</f>
        <v>Tourism Flows</v>
      </c>
      <c r="C520" s="47" t="str">
        <f>'Secondary cum Calculation'!C968</f>
        <v>International Departures by Destination</v>
      </c>
      <c r="D520" s="47" t="str">
        <f>'Secondary cum Calculation'!D968</f>
        <v>South &amp; Central America</v>
      </c>
      <c r="E520" s="46" t="str">
        <f>'Secondary cum Calculation'!E968</f>
        <v>Dominican Republic</v>
      </c>
      <c r="F520" s="48" t="str">
        <f>'Secondary cum Calculation'!F968</f>
        <v>The number of international departures from a country to Dominican Republic</v>
      </c>
      <c r="G520" s="48" t="str">
        <f>'Secondary cum Calculation'!G968</f>
        <v>Tourism Demand &amp; Flows Database</v>
      </c>
      <c r="H520" s="48" t="str">
        <f>'Secondary cum Calculation'!H968</f>
        <v>New</v>
      </c>
      <c r="I520" s="48">
        <f>'Secondary cum Calculation'!I968</f>
        <v>0</v>
      </c>
      <c r="J520" s="48" t="str">
        <f>'Secondary cum Calculation'!J968</f>
        <v>Thousand</v>
      </c>
      <c r="K520" s="49">
        <f>'Secondary cum Calculation'!K968</f>
        <v>0</v>
      </c>
      <c r="L520" s="53"/>
      <c r="M520" s="51" t="e">
        <f>'Final Data-US$'!M454/'Final Data-US$'!L454-1</f>
        <v>#DIV/0!</v>
      </c>
      <c r="N520" s="51" t="e">
        <f>'Final Data-US$'!N454/'Final Data-US$'!M454-1</f>
        <v>#DIV/0!</v>
      </c>
      <c r="O520" s="51" t="e">
        <f>'Final Data-US$'!O454/'Final Data-US$'!N454-1</f>
        <v>#DIV/0!</v>
      </c>
      <c r="P520" s="51" t="e">
        <f>'Final Data-US$'!P454/'Final Data-US$'!O454-1</f>
        <v>#DIV/0!</v>
      </c>
      <c r="Q520" s="51" t="e">
        <f>'Final Data-US$'!Q454/'Final Data-US$'!P454-1</f>
        <v>#DIV/0!</v>
      </c>
      <c r="R520" s="51" t="e">
        <f>'Final Data-US$'!R454/'Final Data-US$'!Q454-1</f>
        <v>#DIV/0!</v>
      </c>
      <c r="S520" s="51" t="e">
        <f>'Final Data-US$'!S454/'Final Data-US$'!R454-1</f>
        <v>#DIV/0!</v>
      </c>
      <c r="T520" s="51" t="e">
        <f>'Final Data-US$'!T454/'Final Data-US$'!S454-1</f>
        <v>#DIV/0!</v>
      </c>
      <c r="U520" s="51" t="e">
        <f>'Final Data-US$'!U454/'Final Data-US$'!T454-1</f>
        <v>#DIV/0!</v>
      </c>
      <c r="V520" s="51" t="e">
        <f>'Final Data-US$'!V454/'Final Data-US$'!U454-1</f>
        <v>#DIV/0!</v>
      </c>
      <c r="W520" s="102" t="e">
        <f>'Final Data-US$'!W454</f>
        <v>#DIV/0!</v>
      </c>
      <c r="X520" s="102" t="e">
        <f>'Final Data-US$'!X454</f>
        <v>#DIV/0!</v>
      </c>
    </row>
    <row r="521" spans="1:24">
      <c r="A521" s="46" t="str">
        <f>'Secondary cum Calculation'!A970</f>
        <v>Poland</v>
      </c>
      <c r="B521" s="47" t="str">
        <f>'Secondary cum Calculation'!B970</f>
        <v>Tourism Flows</v>
      </c>
      <c r="C521" s="47" t="str">
        <f>'Secondary cum Calculation'!C970</f>
        <v>International Departures by Destination</v>
      </c>
      <c r="D521" s="47" t="str">
        <f>'Secondary cum Calculation'!D970</f>
        <v>South &amp; Central America</v>
      </c>
      <c r="E521" s="46" t="str">
        <f>'Secondary cum Calculation'!E970</f>
        <v>Ecuador</v>
      </c>
      <c r="F521" s="48" t="str">
        <f>'Secondary cum Calculation'!F970</f>
        <v>The number of international departures from a country to Ecuador</v>
      </c>
      <c r="G521" s="48" t="str">
        <f>'Secondary cum Calculation'!G970</f>
        <v>Tourism Demand &amp; Flows Database</v>
      </c>
      <c r="H521" s="48" t="str">
        <f>'Secondary cum Calculation'!H970</f>
        <v>New</v>
      </c>
      <c r="I521" s="48">
        <f>'Secondary cum Calculation'!I970</f>
        <v>0</v>
      </c>
      <c r="J521" s="48" t="str">
        <f>'Secondary cum Calculation'!J970</f>
        <v>Thousand</v>
      </c>
      <c r="K521" s="49">
        <f>'Secondary cum Calculation'!K970</f>
        <v>0</v>
      </c>
      <c r="L521" s="92"/>
      <c r="M521" s="104" t="e">
        <f>'Final Data-US$'!M455/'Final Data-US$'!L455-1</f>
        <v>#DIV/0!</v>
      </c>
      <c r="N521" s="104" t="e">
        <f>'Final Data-US$'!N455/'Final Data-US$'!M455-1</f>
        <v>#DIV/0!</v>
      </c>
      <c r="O521" s="51" t="e">
        <f>'Final Data-US$'!O455/'Final Data-US$'!N455-1</f>
        <v>#DIV/0!</v>
      </c>
      <c r="P521" s="51" t="e">
        <f>'Final Data-US$'!P455/'Final Data-US$'!O455-1</f>
        <v>#DIV/0!</v>
      </c>
      <c r="Q521" s="51" t="e">
        <f>'Final Data-US$'!Q455/'Final Data-US$'!P455-1</f>
        <v>#DIV/0!</v>
      </c>
      <c r="R521" s="51" t="e">
        <f>'Final Data-US$'!R455/'Final Data-US$'!Q455-1</f>
        <v>#DIV/0!</v>
      </c>
      <c r="S521" s="51" t="e">
        <f>'Final Data-US$'!S455/'Final Data-US$'!R455-1</f>
        <v>#DIV/0!</v>
      </c>
      <c r="T521" s="51" t="e">
        <f>'Final Data-US$'!T455/'Final Data-US$'!S455-1</f>
        <v>#DIV/0!</v>
      </c>
      <c r="U521" s="51" t="e">
        <f>'Final Data-US$'!U455/'Final Data-US$'!T455-1</f>
        <v>#DIV/0!</v>
      </c>
      <c r="V521" s="51" t="e">
        <f>'Final Data-US$'!V455/'Final Data-US$'!U455-1</f>
        <v>#DIV/0!</v>
      </c>
      <c r="W521" s="102" t="e">
        <f>'Final Data-US$'!W455</f>
        <v>#DIV/0!</v>
      </c>
      <c r="X521" s="102" t="e">
        <f>'Final Data-US$'!X455</f>
        <v>#DIV/0!</v>
      </c>
    </row>
    <row r="522" spans="1:24">
      <c r="A522" s="46" t="str">
        <f>'Secondary cum Calculation'!A972</f>
        <v>Poland</v>
      </c>
      <c r="B522" s="47" t="str">
        <f>'Secondary cum Calculation'!B972</f>
        <v>Tourism Flows</v>
      </c>
      <c r="C522" s="47" t="str">
        <f>'Secondary cum Calculation'!C972</f>
        <v>International Departures by Destination</v>
      </c>
      <c r="D522" s="47" t="str">
        <f>'Secondary cum Calculation'!D972</f>
        <v>South &amp; Central America</v>
      </c>
      <c r="E522" s="46" t="str">
        <f>'Secondary cum Calculation'!E972</f>
        <v>El Salvador</v>
      </c>
      <c r="F522" s="48" t="str">
        <f>'Secondary cum Calculation'!F972</f>
        <v>The number of international departures from a country to El Salvador</v>
      </c>
      <c r="G522" s="48" t="str">
        <f>'Secondary cum Calculation'!G972</f>
        <v>Tourism Demand &amp; Flows Database</v>
      </c>
      <c r="H522" s="48" t="str">
        <f>'Secondary cum Calculation'!H972</f>
        <v>New</v>
      </c>
      <c r="I522" s="48">
        <f>'Secondary cum Calculation'!I972</f>
        <v>0</v>
      </c>
      <c r="J522" s="48" t="str">
        <f>'Secondary cum Calculation'!J972</f>
        <v>Thousand</v>
      </c>
      <c r="K522" s="49">
        <f>'Secondary cum Calculation'!K972</f>
        <v>0</v>
      </c>
      <c r="L522" s="92"/>
      <c r="M522" s="104" t="e">
        <f>'Final Data-US$'!M456/'Final Data-US$'!L456-1</f>
        <v>#DIV/0!</v>
      </c>
      <c r="N522" s="104" t="e">
        <f>'Final Data-US$'!N456/'Final Data-US$'!M456-1</f>
        <v>#DIV/0!</v>
      </c>
      <c r="O522" s="51" t="e">
        <f>'Final Data-US$'!O456/'Final Data-US$'!N456-1</f>
        <v>#DIV/0!</v>
      </c>
      <c r="P522" s="51" t="e">
        <f>'Final Data-US$'!P456/'Final Data-US$'!O456-1</f>
        <v>#DIV/0!</v>
      </c>
      <c r="Q522" s="51" t="e">
        <f>'Final Data-US$'!Q456/'Final Data-US$'!P456-1</f>
        <v>#DIV/0!</v>
      </c>
      <c r="R522" s="51" t="e">
        <f>'Final Data-US$'!R456/'Final Data-US$'!Q456-1</f>
        <v>#DIV/0!</v>
      </c>
      <c r="S522" s="51" t="e">
        <f>'Final Data-US$'!S456/'Final Data-US$'!R456-1</f>
        <v>#DIV/0!</v>
      </c>
      <c r="T522" s="51" t="e">
        <f>'Final Data-US$'!T456/'Final Data-US$'!S456-1</f>
        <v>#DIV/0!</v>
      </c>
      <c r="U522" s="51" t="e">
        <f>'Final Data-US$'!U456/'Final Data-US$'!T456-1</f>
        <v>#DIV/0!</v>
      </c>
      <c r="V522" s="51" t="e">
        <f>'Final Data-US$'!V456/'Final Data-US$'!U456-1</f>
        <v>#DIV/0!</v>
      </c>
      <c r="W522" s="102" t="e">
        <f>'Final Data-US$'!W456</f>
        <v>#DIV/0!</v>
      </c>
      <c r="X522" s="102" t="e">
        <f>'Final Data-US$'!X456</f>
        <v>#DIV/0!</v>
      </c>
    </row>
    <row r="523" spans="1:24">
      <c r="A523" s="46" t="str">
        <f>'Secondary cum Calculation'!A974</f>
        <v>Poland</v>
      </c>
      <c r="B523" s="47" t="str">
        <f>'Secondary cum Calculation'!B974</f>
        <v>Tourism Flows</v>
      </c>
      <c r="C523" s="47" t="str">
        <f>'Secondary cum Calculation'!C974</f>
        <v>International Departures by Destination</v>
      </c>
      <c r="D523" s="47" t="str">
        <f>'Secondary cum Calculation'!D974</f>
        <v>South &amp; Central America</v>
      </c>
      <c r="E523" s="46" t="str">
        <f>'Secondary cum Calculation'!E974</f>
        <v>French Guiana</v>
      </c>
      <c r="F523" s="48" t="str">
        <f>'Secondary cum Calculation'!F974</f>
        <v>The number of international departures from a country to French Guiana</v>
      </c>
      <c r="G523" s="48" t="str">
        <f>'Secondary cum Calculation'!G974</f>
        <v>Tourism Demand &amp; Flows Database</v>
      </c>
      <c r="H523" s="48" t="str">
        <f>'Secondary cum Calculation'!H974</f>
        <v>New</v>
      </c>
      <c r="I523" s="48">
        <f>'Secondary cum Calculation'!I974</f>
        <v>0</v>
      </c>
      <c r="J523" s="48" t="str">
        <f>'Secondary cum Calculation'!J974</f>
        <v>Thousand</v>
      </c>
      <c r="K523" s="49">
        <f>'Secondary cum Calculation'!K974</f>
        <v>0</v>
      </c>
      <c r="L523" s="92"/>
      <c r="M523" s="104" t="e">
        <f>'Final Data-US$'!M457/'Final Data-US$'!L457-1</f>
        <v>#DIV/0!</v>
      </c>
      <c r="N523" s="104" t="e">
        <f>'Final Data-US$'!N457/'Final Data-US$'!M457-1</f>
        <v>#DIV/0!</v>
      </c>
      <c r="O523" s="51" t="e">
        <f>'Final Data-US$'!O457/'Final Data-US$'!N457-1</f>
        <v>#DIV/0!</v>
      </c>
      <c r="P523" s="51" t="e">
        <f>'Final Data-US$'!P457/'Final Data-US$'!O457-1</f>
        <v>#DIV/0!</v>
      </c>
      <c r="Q523" s="51" t="e">
        <f>'Final Data-US$'!Q457/'Final Data-US$'!P457-1</f>
        <v>#DIV/0!</v>
      </c>
      <c r="R523" s="51" t="e">
        <f>'Final Data-US$'!R457/'Final Data-US$'!Q457-1</f>
        <v>#DIV/0!</v>
      </c>
      <c r="S523" s="51" t="e">
        <f>'Final Data-US$'!S457/'Final Data-US$'!R457-1</f>
        <v>#DIV/0!</v>
      </c>
      <c r="T523" s="51" t="e">
        <f>'Final Data-US$'!T457/'Final Data-US$'!S457-1</f>
        <v>#DIV/0!</v>
      </c>
      <c r="U523" s="51" t="e">
        <f>'Final Data-US$'!U457/'Final Data-US$'!T457-1</f>
        <v>#DIV/0!</v>
      </c>
      <c r="V523" s="51" t="e">
        <f>'Final Data-US$'!V457/'Final Data-US$'!U457-1</f>
        <v>#DIV/0!</v>
      </c>
      <c r="W523" s="102" t="e">
        <f>'Final Data-US$'!W457</f>
        <v>#DIV/0!</v>
      </c>
      <c r="X523" s="102" t="e">
        <f>'Final Data-US$'!X457</f>
        <v>#DIV/0!</v>
      </c>
    </row>
    <row r="524" spans="1:24">
      <c r="A524" s="46" t="str">
        <f>'Secondary cum Calculation'!A976</f>
        <v>Poland</v>
      </c>
      <c r="B524" s="47" t="str">
        <f>'Secondary cum Calculation'!B976</f>
        <v>Tourism Flows</v>
      </c>
      <c r="C524" s="47" t="str">
        <f>'Secondary cum Calculation'!C976</f>
        <v>International Departures by Destination</v>
      </c>
      <c r="D524" s="47" t="str">
        <f>'Secondary cum Calculation'!D976</f>
        <v>South &amp; Central America</v>
      </c>
      <c r="E524" s="46" t="str">
        <f>'Secondary cum Calculation'!E976</f>
        <v>Grenada</v>
      </c>
      <c r="F524" s="48" t="str">
        <f>'Secondary cum Calculation'!F976</f>
        <v>The number of international departures from a country to Grenada</v>
      </c>
      <c r="G524" s="48" t="str">
        <f>'Secondary cum Calculation'!G976</f>
        <v>Tourism Demand &amp; Flows Database</v>
      </c>
      <c r="H524" s="48" t="str">
        <f>'Secondary cum Calculation'!H976</f>
        <v>New</v>
      </c>
      <c r="I524" s="48">
        <f>'Secondary cum Calculation'!I976</f>
        <v>0</v>
      </c>
      <c r="J524" s="48" t="str">
        <f>'Secondary cum Calculation'!J976</f>
        <v>Thousand</v>
      </c>
      <c r="K524" s="49">
        <f>'Secondary cum Calculation'!K976</f>
        <v>0</v>
      </c>
      <c r="L524" s="92"/>
      <c r="M524" s="104" t="e">
        <f>'Final Data-US$'!M458/'Final Data-US$'!L458-1</f>
        <v>#DIV/0!</v>
      </c>
      <c r="N524" s="104" t="e">
        <f>'Final Data-US$'!N458/'Final Data-US$'!M458-1</f>
        <v>#DIV/0!</v>
      </c>
      <c r="O524" s="51" t="e">
        <f>'Final Data-US$'!O458/'Final Data-US$'!N458-1</f>
        <v>#DIV/0!</v>
      </c>
      <c r="P524" s="51" t="e">
        <f>'Final Data-US$'!P458/'Final Data-US$'!O458-1</f>
        <v>#DIV/0!</v>
      </c>
      <c r="Q524" s="51" t="e">
        <f>'Final Data-US$'!Q458/'Final Data-US$'!P458-1</f>
        <v>#DIV/0!</v>
      </c>
      <c r="R524" s="51" t="e">
        <f>'Final Data-US$'!R458/'Final Data-US$'!Q458-1</f>
        <v>#DIV/0!</v>
      </c>
      <c r="S524" s="51" t="e">
        <f>'Final Data-US$'!S458/'Final Data-US$'!R458-1</f>
        <v>#DIV/0!</v>
      </c>
      <c r="T524" s="51" t="e">
        <f>'Final Data-US$'!T458/'Final Data-US$'!S458-1</f>
        <v>#DIV/0!</v>
      </c>
      <c r="U524" s="51" t="e">
        <f>'Final Data-US$'!U458/'Final Data-US$'!T458-1</f>
        <v>#DIV/0!</v>
      </c>
      <c r="V524" s="51" t="e">
        <f>'Final Data-US$'!V458/'Final Data-US$'!U458-1</f>
        <v>#DIV/0!</v>
      </c>
      <c r="W524" s="102" t="e">
        <f>'Final Data-US$'!W458</f>
        <v>#DIV/0!</v>
      </c>
      <c r="X524" s="102" t="e">
        <f>'Final Data-US$'!X458</f>
        <v>#DIV/0!</v>
      </c>
    </row>
    <row r="525" spans="1:24">
      <c r="A525" s="46" t="str">
        <f>'Secondary cum Calculation'!A978</f>
        <v>Poland</v>
      </c>
      <c r="B525" s="47" t="str">
        <f>'Secondary cum Calculation'!B978</f>
        <v>Tourism Flows</v>
      </c>
      <c r="C525" s="47" t="str">
        <f>'Secondary cum Calculation'!C978</f>
        <v>International Departures by Destination</v>
      </c>
      <c r="D525" s="47" t="str">
        <f>'Secondary cum Calculation'!D978</f>
        <v>South &amp; Central America</v>
      </c>
      <c r="E525" s="46" t="str">
        <f>'Secondary cum Calculation'!E978</f>
        <v>Guadeloupe</v>
      </c>
      <c r="F525" s="48" t="str">
        <f>'Secondary cum Calculation'!F978</f>
        <v>The number of international departures from a country to Guadeloupe</v>
      </c>
      <c r="G525" s="48" t="str">
        <f>'Secondary cum Calculation'!G978</f>
        <v>Tourism Demand &amp; Flows Database</v>
      </c>
      <c r="H525" s="48" t="str">
        <f>'Secondary cum Calculation'!H978</f>
        <v>New</v>
      </c>
      <c r="I525" s="48">
        <f>'Secondary cum Calculation'!I978</f>
        <v>0</v>
      </c>
      <c r="J525" s="48" t="str">
        <f>'Secondary cum Calculation'!J978</f>
        <v>Thousand</v>
      </c>
      <c r="K525" s="49">
        <f>'Secondary cum Calculation'!K978</f>
        <v>0</v>
      </c>
      <c r="L525" s="92"/>
      <c r="M525" s="104" t="e">
        <f>'Final Data-US$'!M459/'Final Data-US$'!L459-1</f>
        <v>#DIV/0!</v>
      </c>
      <c r="N525" s="104" t="e">
        <f>'Final Data-US$'!N459/'Final Data-US$'!M459-1</f>
        <v>#DIV/0!</v>
      </c>
      <c r="O525" s="51" t="e">
        <f>'Final Data-US$'!O459/'Final Data-US$'!N459-1</f>
        <v>#DIV/0!</v>
      </c>
      <c r="P525" s="51" t="e">
        <f>'Final Data-US$'!P459/'Final Data-US$'!O459-1</f>
        <v>#DIV/0!</v>
      </c>
      <c r="Q525" s="51" t="e">
        <f>'Final Data-US$'!Q459/'Final Data-US$'!P459-1</f>
        <v>#DIV/0!</v>
      </c>
      <c r="R525" s="51" t="e">
        <f>'Final Data-US$'!R459/'Final Data-US$'!Q459-1</f>
        <v>#DIV/0!</v>
      </c>
      <c r="S525" s="51" t="e">
        <f>'Final Data-US$'!S459/'Final Data-US$'!R459-1</f>
        <v>#DIV/0!</v>
      </c>
      <c r="T525" s="51" t="e">
        <f>'Final Data-US$'!T459/'Final Data-US$'!S459-1</f>
        <v>#DIV/0!</v>
      </c>
      <c r="U525" s="51" t="e">
        <f>'Final Data-US$'!U459/'Final Data-US$'!T459-1</f>
        <v>#DIV/0!</v>
      </c>
      <c r="V525" s="51" t="e">
        <f>'Final Data-US$'!V459/'Final Data-US$'!U459-1</f>
        <v>#DIV/0!</v>
      </c>
      <c r="W525" s="102" t="e">
        <f>'Final Data-US$'!W459</f>
        <v>#DIV/0!</v>
      </c>
      <c r="X525" s="102" t="e">
        <f>'Final Data-US$'!X459</f>
        <v>#DIV/0!</v>
      </c>
    </row>
    <row r="526" spans="1:24">
      <c r="A526" s="46" t="str">
        <f>'Secondary cum Calculation'!A980</f>
        <v>Poland</v>
      </c>
      <c r="B526" s="47" t="str">
        <f>'Secondary cum Calculation'!B980</f>
        <v>Tourism Flows</v>
      </c>
      <c r="C526" s="47" t="str">
        <f>'Secondary cum Calculation'!C980</f>
        <v>International Departures by Destination</v>
      </c>
      <c r="D526" s="47" t="str">
        <f>'Secondary cum Calculation'!D980</f>
        <v>South &amp; Central America</v>
      </c>
      <c r="E526" s="46" t="str">
        <f>'Secondary cum Calculation'!E980</f>
        <v>Guatemala</v>
      </c>
      <c r="F526" s="48" t="str">
        <f>'Secondary cum Calculation'!F980</f>
        <v>The number of international departures from a country to Guatemala</v>
      </c>
      <c r="G526" s="48" t="str">
        <f>'Secondary cum Calculation'!G980</f>
        <v>Tourism Demand &amp; Flows Database</v>
      </c>
      <c r="H526" s="48" t="str">
        <f>'Secondary cum Calculation'!H980</f>
        <v>New</v>
      </c>
      <c r="I526" s="48">
        <f>'Secondary cum Calculation'!I980</f>
        <v>0</v>
      </c>
      <c r="J526" s="48" t="str">
        <f>'Secondary cum Calculation'!J980</f>
        <v>Thousand</v>
      </c>
      <c r="K526" s="49">
        <f>'Secondary cum Calculation'!K980</f>
        <v>0</v>
      </c>
      <c r="L526" s="92"/>
      <c r="M526" s="104" t="e">
        <f>'Final Data-US$'!M460/'Final Data-US$'!L460-1</f>
        <v>#DIV/0!</v>
      </c>
      <c r="N526" s="104" t="e">
        <f>'Final Data-US$'!N460/'Final Data-US$'!M460-1</f>
        <v>#DIV/0!</v>
      </c>
      <c r="O526" s="51" t="e">
        <f>'Final Data-US$'!O460/'Final Data-US$'!N460-1</f>
        <v>#DIV/0!</v>
      </c>
      <c r="P526" s="51" t="e">
        <f>'Final Data-US$'!P460/'Final Data-US$'!O460-1</f>
        <v>#DIV/0!</v>
      </c>
      <c r="Q526" s="51" t="e">
        <f>'Final Data-US$'!Q460/'Final Data-US$'!P460-1</f>
        <v>#DIV/0!</v>
      </c>
      <c r="R526" s="51" t="e">
        <f>'Final Data-US$'!R460/'Final Data-US$'!Q460-1</f>
        <v>#DIV/0!</v>
      </c>
      <c r="S526" s="51" t="e">
        <f>'Final Data-US$'!S460/'Final Data-US$'!R460-1</f>
        <v>#DIV/0!</v>
      </c>
      <c r="T526" s="51" t="e">
        <f>'Final Data-US$'!T460/'Final Data-US$'!S460-1</f>
        <v>#DIV/0!</v>
      </c>
      <c r="U526" s="51" t="e">
        <f>'Final Data-US$'!U460/'Final Data-US$'!T460-1</f>
        <v>#DIV/0!</v>
      </c>
      <c r="V526" s="51" t="e">
        <f>'Final Data-US$'!V460/'Final Data-US$'!U460-1</f>
        <v>#DIV/0!</v>
      </c>
      <c r="W526" s="102" t="e">
        <f>'Final Data-US$'!W460</f>
        <v>#DIV/0!</v>
      </c>
      <c r="X526" s="102" t="e">
        <f>'Final Data-US$'!X460</f>
        <v>#DIV/0!</v>
      </c>
    </row>
    <row r="527" spans="1:24">
      <c r="A527" s="46" t="str">
        <f>'Secondary cum Calculation'!A982</f>
        <v>Poland</v>
      </c>
      <c r="B527" s="47" t="str">
        <f>'Secondary cum Calculation'!B982</f>
        <v>Tourism Flows</v>
      </c>
      <c r="C527" s="47" t="str">
        <f>'Secondary cum Calculation'!C982</f>
        <v>International Departures by Destination</v>
      </c>
      <c r="D527" s="47" t="str">
        <f>'Secondary cum Calculation'!D982</f>
        <v>South &amp; Central America</v>
      </c>
      <c r="E527" s="46" t="str">
        <f>'Secondary cum Calculation'!E982</f>
        <v>Guyana</v>
      </c>
      <c r="F527" s="48" t="str">
        <f>'Secondary cum Calculation'!F982</f>
        <v>The number of international departures from a country to Guyana</v>
      </c>
      <c r="G527" s="48" t="str">
        <f>'Secondary cum Calculation'!G982</f>
        <v>Tourism Demand &amp; Flows Database</v>
      </c>
      <c r="H527" s="48" t="str">
        <f>'Secondary cum Calculation'!H982</f>
        <v>New</v>
      </c>
      <c r="I527" s="48">
        <f>'Secondary cum Calculation'!I982</f>
        <v>0</v>
      </c>
      <c r="J527" s="48" t="str">
        <f>'Secondary cum Calculation'!J982</f>
        <v>Thousand</v>
      </c>
      <c r="K527" s="49">
        <f>'Secondary cum Calculation'!K982</f>
        <v>0</v>
      </c>
      <c r="L527" s="92"/>
      <c r="M527" s="104" t="e">
        <f>'Final Data-US$'!M461/'Final Data-US$'!L461-1</f>
        <v>#DIV/0!</v>
      </c>
      <c r="N527" s="104" t="e">
        <f>'Final Data-US$'!N461/'Final Data-US$'!M461-1</f>
        <v>#DIV/0!</v>
      </c>
      <c r="O527" s="51" t="e">
        <f>'Final Data-US$'!O461/'Final Data-US$'!N461-1</f>
        <v>#DIV/0!</v>
      </c>
      <c r="P527" s="51" t="e">
        <f>'Final Data-US$'!P461/'Final Data-US$'!O461-1</f>
        <v>#DIV/0!</v>
      </c>
      <c r="Q527" s="51" t="e">
        <f>'Final Data-US$'!Q461/'Final Data-US$'!P461-1</f>
        <v>#DIV/0!</v>
      </c>
      <c r="R527" s="51" t="e">
        <f>'Final Data-US$'!R461/'Final Data-US$'!Q461-1</f>
        <v>#DIV/0!</v>
      </c>
      <c r="S527" s="51" t="e">
        <f>'Final Data-US$'!S461/'Final Data-US$'!R461-1</f>
        <v>#DIV/0!</v>
      </c>
      <c r="T527" s="51" t="e">
        <f>'Final Data-US$'!T461/'Final Data-US$'!S461-1</f>
        <v>#DIV/0!</v>
      </c>
      <c r="U527" s="51" t="e">
        <f>'Final Data-US$'!U461/'Final Data-US$'!T461-1</f>
        <v>#DIV/0!</v>
      </c>
      <c r="V527" s="51" t="e">
        <f>'Final Data-US$'!V461/'Final Data-US$'!U461-1</f>
        <v>#DIV/0!</v>
      </c>
      <c r="W527" s="102" t="e">
        <f>'Final Data-US$'!W461</f>
        <v>#DIV/0!</v>
      </c>
      <c r="X527" s="102" t="e">
        <f>'Final Data-US$'!X461</f>
        <v>#DIV/0!</v>
      </c>
    </row>
    <row r="528" spans="1:24">
      <c r="A528" s="46" t="str">
        <f>'Secondary cum Calculation'!A984</f>
        <v>Poland</v>
      </c>
      <c r="B528" s="47" t="str">
        <f>'Secondary cum Calculation'!B984</f>
        <v>Tourism Flows</v>
      </c>
      <c r="C528" s="47" t="str">
        <f>'Secondary cum Calculation'!C984</f>
        <v>International Departures by Destination</v>
      </c>
      <c r="D528" s="47" t="str">
        <f>'Secondary cum Calculation'!D984</f>
        <v>South &amp; Central America</v>
      </c>
      <c r="E528" s="46" t="str">
        <f>'Secondary cum Calculation'!E984</f>
        <v>Haiti</v>
      </c>
      <c r="F528" s="48" t="str">
        <f>'Secondary cum Calculation'!F984</f>
        <v>The number of international departures from a country to Haiti</v>
      </c>
      <c r="G528" s="48" t="str">
        <f>'Secondary cum Calculation'!G984</f>
        <v>Tourism Demand &amp; Flows Database</v>
      </c>
      <c r="H528" s="48" t="str">
        <f>'Secondary cum Calculation'!H984</f>
        <v>New</v>
      </c>
      <c r="I528" s="48">
        <f>'Secondary cum Calculation'!I984</f>
        <v>0</v>
      </c>
      <c r="J528" s="48" t="str">
        <f>'Secondary cum Calculation'!J984</f>
        <v>Thousand</v>
      </c>
      <c r="K528" s="49">
        <f>'Secondary cum Calculation'!K984</f>
        <v>0</v>
      </c>
      <c r="L528" s="92"/>
      <c r="M528" s="104" t="e">
        <f>'Final Data-US$'!M462/'Final Data-US$'!L462-1</f>
        <v>#DIV/0!</v>
      </c>
      <c r="N528" s="104" t="e">
        <f>'Final Data-US$'!N462/'Final Data-US$'!M462-1</f>
        <v>#DIV/0!</v>
      </c>
      <c r="O528" s="51" t="e">
        <f>'Final Data-US$'!O462/'Final Data-US$'!N462-1</f>
        <v>#DIV/0!</v>
      </c>
      <c r="P528" s="51" t="e">
        <f>'Final Data-US$'!P462/'Final Data-US$'!O462-1</f>
        <v>#DIV/0!</v>
      </c>
      <c r="Q528" s="51" t="e">
        <f>'Final Data-US$'!Q462/'Final Data-US$'!P462-1</f>
        <v>#DIV/0!</v>
      </c>
      <c r="R528" s="51" t="e">
        <f>'Final Data-US$'!R462/'Final Data-US$'!Q462-1</f>
        <v>#DIV/0!</v>
      </c>
      <c r="S528" s="51" t="e">
        <f>'Final Data-US$'!S462/'Final Data-US$'!R462-1</f>
        <v>#DIV/0!</v>
      </c>
      <c r="T528" s="51" t="e">
        <f>'Final Data-US$'!T462/'Final Data-US$'!S462-1</f>
        <v>#DIV/0!</v>
      </c>
      <c r="U528" s="51" t="e">
        <f>'Final Data-US$'!U462/'Final Data-US$'!T462-1</f>
        <v>#DIV/0!</v>
      </c>
      <c r="V528" s="51" t="e">
        <f>'Final Data-US$'!V462/'Final Data-US$'!U462-1</f>
        <v>#DIV/0!</v>
      </c>
      <c r="W528" s="102" t="e">
        <f>'Final Data-US$'!W462</f>
        <v>#DIV/0!</v>
      </c>
      <c r="X528" s="102" t="e">
        <f>'Final Data-US$'!X462</f>
        <v>#DIV/0!</v>
      </c>
    </row>
    <row r="529" spans="1:24">
      <c r="A529" s="46" t="str">
        <f>'Secondary cum Calculation'!A986</f>
        <v>Poland</v>
      </c>
      <c r="B529" s="47" t="str">
        <f>'Secondary cum Calculation'!B986</f>
        <v>Tourism Flows</v>
      </c>
      <c r="C529" s="47" t="str">
        <f>'Secondary cum Calculation'!C986</f>
        <v>International Departures by Destination</v>
      </c>
      <c r="D529" s="47" t="str">
        <f>'Secondary cum Calculation'!D986</f>
        <v>South &amp; Central America</v>
      </c>
      <c r="E529" s="46" t="str">
        <f>'Secondary cum Calculation'!E986</f>
        <v>Honduras</v>
      </c>
      <c r="F529" s="48" t="str">
        <f>'Secondary cum Calculation'!F986</f>
        <v>The number of international departures from a country to Honduras</v>
      </c>
      <c r="G529" s="48" t="str">
        <f>'Secondary cum Calculation'!G986</f>
        <v>Tourism Demand &amp; Flows Database</v>
      </c>
      <c r="H529" s="48" t="str">
        <f>'Secondary cum Calculation'!H986</f>
        <v>New</v>
      </c>
      <c r="I529" s="48">
        <f>'Secondary cum Calculation'!I986</f>
        <v>0</v>
      </c>
      <c r="J529" s="48" t="str">
        <f>'Secondary cum Calculation'!J986</f>
        <v>Thousand</v>
      </c>
      <c r="K529" s="49">
        <f>'Secondary cum Calculation'!K986</f>
        <v>0</v>
      </c>
      <c r="L529" s="92"/>
      <c r="M529" s="104" t="e">
        <f>'Final Data-US$'!M463/'Final Data-US$'!L463-1</f>
        <v>#DIV/0!</v>
      </c>
      <c r="N529" s="104" t="e">
        <f>'Final Data-US$'!N463/'Final Data-US$'!M463-1</f>
        <v>#DIV/0!</v>
      </c>
      <c r="O529" s="51" t="e">
        <f>'Final Data-US$'!O463/'Final Data-US$'!N463-1</f>
        <v>#DIV/0!</v>
      </c>
      <c r="P529" s="51" t="e">
        <f>'Final Data-US$'!P463/'Final Data-US$'!O463-1</f>
        <v>#DIV/0!</v>
      </c>
      <c r="Q529" s="51" t="e">
        <f>'Final Data-US$'!Q463/'Final Data-US$'!P463-1</f>
        <v>#DIV/0!</v>
      </c>
      <c r="R529" s="51" t="e">
        <f>'Final Data-US$'!R463/'Final Data-US$'!Q463-1</f>
        <v>#DIV/0!</v>
      </c>
      <c r="S529" s="51" t="e">
        <f>'Final Data-US$'!S463/'Final Data-US$'!R463-1</f>
        <v>#DIV/0!</v>
      </c>
      <c r="T529" s="51" t="e">
        <f>'Final Data-US$'!T463/'Final Data-US$'!S463-1</f>
        <v>#DIV/0!</v>
      </c>
      <c r="U529" s="51" t="e">
        <f>'Final Data-US$'!U463/'Final Data-US$'!T463-1</f>
        <v>#DIV/0!</v>
      </c>
      <c r="V529" s="51" t="e">
        <f>'Final Data-US$'!V463/'Final Data-US$'!U463-1</f>
        <v>#DIV/0!</v>
      </c>
      <c r="W529" s="102" t="e">
        <f>'Final Data-US$'!W463</f>
        <v>#DIV/0!</v>
      </c>
      <c r="X529" s="102" t="e">
        <f>'Final Data-US$'!X463</f>
        <v>#DIV/0!</v>
      </c>
    </row>
    <row r="530" spans="1:24">
      <c r="A530" s="46" t="str">
        <f>'Secondary cum Calculation'!A988</f>
        <v>Poland</v>
      </c>
      <c r="B530" s="47" t="str">
        <f>'Secondary cum Calculation'!B988</f>
        <v>Tourism Flows</v>
      </c>
      <c r="C530" s="47" t="str">
        <f>'Secondary cum Calculation'!C988</f>
        <v>International Departures by Destination</v>
      </c>
      <c r="D530" s="47" t="str">
        <f>'Secondary cum Calculation'!D988</f>
        <v>South &amp; Central America</v>
      </c>
      <c r="E530" s="46" t="str">
        <f>'Secondary cum Calculation'!E988</f>
        <v>Jamaica</v>
      </c>
      <c r="F530" s="48" t="str">
        <f>'Secondary cum Calculation'!F988</f>
        <v>The number of international departures from a country to Jamaica</v>
      </c>
      <c r="G530" s="48" t="str">
        <f>'Secondary cum Calculation'!G988</f>
        <v>Tourism Demand &amp; Flows Database</v>
      </c>
      <c r="H530" s="48" t="str">
        <f>'Secondary cum Calculation'!H988</f>
        <v>New</v>
      </c>
      <c r="I530" s="48">
        <f>'Secondary cum Calculation'!I988</f>
        <v>0</v>
      </c>
      <c r="J530" s="48" t="str">
        <f>'Secondary cum Calculation'!J988</f>
        <v>Thousand</v>
      </c>
      <c r="K530" s="49">
        <f>'Secondary cum Calculation'!K988</f>
        <v>1688</v>
      </c>
      <c r="L530" s="53"/>
      <c r="M530" s="51" t="e">
        <f>'Final Data-US$'!M464/'Final Data-US$'!L464-1</f>
        <v>#DIV/0!</v>
      </c>
      <c r="N530" s="51" t="e">
        <f>'Final Data-US$'!N464/'Final Data-US$'!M464-1</f>
        <v>#DIV/0!</v>
      </c>
      <c r="O530" s="51" t="e">
        <f>'Final Data-US$'!O464/'Final Data-US$'!N464-1</f>
        <v>#DIV/0!</v>
      </c>
      <c r="P530" s="51" t="e">
        <f>'Final Data-US$'!P464/'Final Data-US$'!O464-1</f>
        <v>#DIV/0!</v>
      </c>
      <c r="Q530" s="51" t="e">
        <f>'Final Data-US$'!Q464/'Final Data-US$'!P464-1</f>
        <v>#DIV/0!</v>
      </c>
      <c r="R530" s="51" t="e">
        <f>'Final Data-US$'!R464/'Final Data-US$'!Q464-1</f>
        <v>#DIV/0!</v>
      </c>
      <c r="S530" s="51" t="e">
        <f>'Final Data-US$'!S464/'Final Data-US$'!R464-1</f>
        <v>#DIV/0!</v>
      </c>
      <c r="T530" s="51" t="e">
        <f>'Final Data-US$'!T464/'Final Data-US$'!S464-1</f>
        <v>#DIV/0!</v>
      </c>
      <c r="U530" s="51" t="e">
        <f>'Final Data-US$'!U464/'Final Data-US$'!T464-1</f>
        <v>#DIV/0!</v>
      </c>
      <c r="V530" s="51" t="e">
        <f>'Final Data-US$'!V464/'Final Data-US$'!U464-1</f>
        <v>#DIV/0!</v>
      </c>
      <c r="W530" s="102" t="e">
        <f>'Final Data-US$'!W464</f>
        <v>#DIV/0!</v>
      </c>
      <c r="X530" s="102" t="e">
        <f>'Final Data-US$'!X464</f>
        <v>#DIV/0!</v>
      </c>
    </row>
    <row r="531" spans="1:24">
      <c r="A531" s="46" t="str">
        <f>'Secondary cum Calculation'!A990</f>
        <v>Poland</v>
      </c>
      <c r="B531" s="47" t="str">
        <f>'Secondary cum Calculation'!B990</f>
        <v>Tourism Flows</v>
      </c>
      <c r="C531" s="47" t="str">
        <f>'Secondary cum Calculation'!C990</f>
        <v>International Departures by Destination</v>
      </c>
      <c r="D531" s="47" t="str">
        <f>'Secondary cum Calculation'!D990</f>
        <v>South &amp; Central America</v>
      </c>
      <c r="E531" s="46" t="str">
        <f>'Secondary cum Calculation'!E990</f>
        <v>Martinique</v>
      </c>
      <c r="F531" s="48" t="str">
        <f>'Secondary cum Calculation'!F990</f>
        <v>The number of international departures from a country to Martinique</v>
      </c>
      <c r="G531" s="48" t="str">
        <f>'Secondary cum Calculation'!G990</f>
        <v>Tourism Demand &amp; Flows Database</v>
      </c>
      <c r="H531" s="48" t="str">
        <f>'Secondary cum Calculation'!H990</f>
        <v>New</v>
      </c>
      <c r="I531" s="48">
        <f>'Secondary cum Calculation'!I990</f>
        <v>0</v>
      </c>
      <c r="J531" s="48" t="str">
        <f>'Secondary cum Calculation'!J990</f>
        <v>Thousand</v>
      </c>
      <c r="K531" s="49">
        <f>'Secondary cum Calculation'!K990</f>
        <v>0</v>
      </c>
      <c r="L531" s="92"/>
      <c r="M531" s="104" t="e">
        <f>'Final Data-US$'!M465/'Final Data-US$'!L465-1</f>
        <v>#DIV/0!</v>
      </c>
      <c r="N531" s="104" t="e">
        <f>'Final Data-US$'!N465/'Final Data-US$'!M465-1</f>
        <v>#DIV/0!</v>
      </c>
      <c r="O531" s="51" t="e">
        <f>'Final Data-US$'!O465/'Final Data-US$'!N465-1</f>
        <v>#DIV/0!</v>
      </c>
      <c r="P531" s="51" t="e">
        <f>'Final Data-US$'!P465/'Final Data-US$'!O465-1</f>
        <v>#DIV/0!</v>
      </c>
      <c r="Q531" s="51" t="e">
        <f>'Final Data-US$'!Q465/'Final Data-US$'!P465-1</f>
        <v>#DIV/0!</v>
      </c>
      <c r="R531" s="51" t="e">
        <f>'Final Data-US$'!R465/'Final Data-US$'!Q465-1</f>
        <v>#DIV/0!</v>
      </c>
      <c r="S531" s="51" t="e">
        <f>'Final Data-US$'!S465/'Final Data-US$'!R465-1</f>
        <v>#DIV/0!</v>
      </c>
      <c r="T531" s="51" t="e">
        <f>'Final Data-US$'!T465/'Final Data-US$'!S465-1</f>
        <v>#DIV/0!</v>
      </c>
      <c r="U531" s="51" t="e">
        <f>'Final Data-US$'!U465/'Final Data-US$'!T465-1</f>
        <v>#DIV/0!</v>
      </c>
      <c r="V531" s="51" t="e">
        <f>'Final Data-US$'!V465/'Final Data-US$'!U465-1</f>
        <v>#DIV/0!</v>
      </c>
      <c r="W531" s="102" t="e">
        <f>'Final Data-US$'!W465</f>
        <v>#DIV/0!</v>
      </c>
      <c r="X531" s="102" t="e">
        <f>'Final Data-US$'!X465</f>
        <v>#DIV/0!</v>
      </c>
    </row>
    <row r="532" spans="1:24">
      <c r="A532" s="46" t="str">
        <f>'Secondary cum Calculation'!A992</f>
        <v>Poland</v>
      </c>
      <c r="B532" s="47" t="str">
        <f>'Secondary cum Calculation'!B992</f>
        <v>Tourism Flows</v>
      </c>
      <c r="C532" s="47" t="str">
        <f>'Secondary cum Calculation'!C992</f>
        <v>International Departures by Destination</v>
      </c>
      <c r="D532" s="47" t="str">
        <f>'Secondary cum Calculation'!D992</f>
        <v>South &amp; Central America</v>
      </c>
      <c r="E532" s="46" t="str">
        <f>'Secondary cum Calculation'!E992</f>
        <v>Netherlands Antilles</v>
      </c>
      <c r="F532" s="48" t="str">
        <f>'Secondary cum Calculation'!F992</f>
        <v>The number of international departures from a country to Netherlands Antilles</v>
      </c>
      <c r="G532" s="48" t="str">
        <f>'Secondary cum Calculation'!G992</f>
        <v>Tourism Demand &amp; Flows Database</v>
      </c>
      <c r="H532" s="48" t="str">
        <f>'Secondary cum Calculation'!H992</f>
        <v>New</v>
      </c>
      <c r="I532" s="48">
        <f>'Secondary cum Calculation'!I992</f>
        <v>0</v>
      </c>
      <c r="J532" s="48" t="str">
        <f>'Secondary cum Calculation'!J992</f>
        <v>Thousand</v>
      </c>
      <c r="K532" s="49">
        <f>'Secondary cum Calculation'!K992</f>
        <v>0</v>
      </c>
      <c r="L532" s="92"/>
      <c r="M532" s="104" t="e">
        <f>'Final Data-US$'!M466/'Final Data-US$'!L466-1</f>
        <v>#DIV/0!</v>
      </c>
      <c r="N532" s="104" t="e">
        <f>'Final Data-US$'!N466/'Final Data-US$'!M466-1</f>
        <v>#DIV/0!</v>
      </c>
      <c r="O532" s="51" t="e">
        <f>'Final Data-US$'!O466/'Final Data-US$'!N466-1</f>
        <v>#DIV/0!</v>
      </c>
      <c r="P532" s="51" t="e">
        <f>'Final Data-US$'!P466/'Final Data-US$'!O466-1</f>
        <v>#DIV/0!</v>
      </c>
      <c r="Q532" s="51" t="e">
        <f>'Final Data-US$'!Q466/'Final Data-US$'!P466-1</f>
        <v>#DIV/0!</v>
      </c>
      <c r="R532" s="51" t="e">
        <f>'Final Data-US$'!R466/'Final Data-US$'!Q466-1</f>
        <v>#DIV/0!</v>
      </c>
      <c r="S532" s="51" t="e">
        <f>'Final Data-US$'!S466/'Final Data-US$'!R466-1</f>
        <v>#DIV/0!</v>
      </c>
      <c r="T532" s="51" t="e">
        <f>'Final Data-US$'!T466/'Final Data-US$'!S466-1</f>
        <v>#DIV/0!</v>
      </c>
      <c r="U532" s="51" t="e">
        <f>'Final Data-US$'!U466/'Final Data-US$'!T466-1</f>
        <v>#DIV/0!</v>
      </c>
      <c r="V532" s="51" t="e">
        <f>'Final Data-US$'!V466/'Final Data-US$'!U466-1</f>
        <v>#DIV/0!</v>
      </c>
      <c r="W532" s="102" t="e">
        <f>'Final Data-US$'!W466</f>
        <v>#DIV/0!</v>
      </c>
      <c r="X532" s="102" t="e">
        <f>'Final Data-US$'!X466</f>
        <v>#DIV/0!</v>
      </c>
    </row>
    <row r="533" spans="1:24">
      <c r="A533" s="46" t="str">
        <f>'Secondary cum Calculation'!A994</f>
        <v>Poland</v>
      </c>
      <c r="B533" s="47" t="str">
        <f>'Secondary cum Calculation'!B994</f>
        <v>Tourism Flows</v>
      </c>
      <c r="C533" s="47" t="str">
        <f>'Secondary cum Calculation'!C994</f>
        <v>International Departures by Destination</v>
      </c>
      <c r="D533" s="47" t="str">
        <f>'Secondary cum Calculation'!D994</f>
        <v>South &amp; Central America</v>
      </c>
      <c r="E533" s="46" t="str">
        <f>'Secondary cum Calculation'!E994</f>
        <v>Nicaragua</v>
      </c>
      <c r="F533" s="48" t="str">
        <f>'Secondary cum Calculation'!F994</f>
        <v>The number of international departures from a country to Nicaragua</v>
      </c>
      <c r="G533" s="48" t="str">
        <f>'Secondary cum Calculation'!G994</f>
        <v>Tourism Demand &amp; Flows Database</v>
      </c>
      <c r="H533" s="48" t="str">
        <f>'Secondary cum Calculation'!H994</f>
        <v>New</v>
      </c>
      <c r="I533" s="48">
        <f>'Secondary cum Calculation'!I994</f>
        <v>0</v>
      </c>
      <c r="J533" s="48" t="str">
        <f>'Secondary cum Calculation'!J994</f>
        <v>Thousand</v>
      </c>
      <c r="K533" s="49">
        <f>'Secondary cum Calculation'!K994</f>
        <v>0</v>
      </c>
      <c r="L533" s="92"/>
      <c r="M533" s="104" t="e">
        <f>'Final Data-US$'!M467/'Final Data-US$'!L467-1</f>
        <v>#DIV/0!</v>
      </c>
      <c r="N533" s="104" t="e">
        <f>'Final Data-US$'!N467/'Final Data-US$'!M467-1</f>
        <v>#DIV/0!</v>
      </c>
      <c r="O533" s="51" t="e">
        <f>'Final Data-US$'!O467/'Final Data-US$'!N467-1</f>
        <v>#DIV/0!</v>
      </c>
      <c r="P533" s="51" t="e">
        <f>'Final Data-US$'!P467/'Final Data-US$'!O467-1</f>
        <v>#DIV/0!</v>
      </c>
      <c r="Q533" s="51" t="e">
        <f>'Final Data-US$'!Q467/'Final Data-US$'!P467-1</f>
        <v>#DIV/0!</v>
      </c>
      <c r="R533" s="51" t="e">
        <f>'Final Data-US$'!R467/'Final Data-US$'!Q467-1</f>
        <v>#DIV/0!</v>
      </c>
      <c r="S533" s="51" t="e">
        <f>'Final Data-US$'!S467/'Final Data-US$'!R467-1</f>
        <v>#DIV/0!</v>
      </c>
      <c r="T533" s="51" t="e">
        <f>'Final Data-US$'!T467/'Final Data-US$'!S467-1</f>
        <v>#DIV/0!</v>
      </c>
      <c r="U533" s="51" t="e">
        <f>'Final Data-US$'!U467/'Final Data-US$'!T467-1</f>
        <v>#DIV/0!</v>
      </c>
      <c r="V533" s="51" t="e">
        <f>'Final Data-US$'!V467/'Final Data-US$'!U467-1</f>
        <v>#DIV/0!</v>
      </c>
      <c r="W533" s="102" t="e">
        <f>'Final Data-US$'!W467</f>
        <v>#DIV/0!</v>
      </c>
      <c r="X533" s="102" t="e">
        <f>'Final Data-US$'!X467</f>
        <v>#DIV/0!</v>
      </c>
    </row>
    <row r="534" spans="1:24">
      <c r="A534" s="46" t="str">
        <f>'Secondary cum Calculation'!A996</f>
        <v>Poland</v>
      </c>
      <c r="B534" s="47" t="str">
        <f>'Secondary cum Calculation'!B996</f>
        <v>Tourism Flows</v>
      </c>
      <c r="C534" s="47" t="str">
        <f>'Secondary cum Calculation'!C996</f>
        <v>International Departures by Destination</v>
      </c>
      <c r="D534" s="47" t="str">
        <f>'Secondary cum Calculation'!D996</f>
        <v>South &amp; Central America</v>
      </c>
      <c r="E534" s="46" t="str">
        <f>'Secondary cum Calculation'!E996</f>
        <v>Panama</v>
      </c>
      <c r="F534" s="48" t="str">
        <f>'Secondary cum Calculation'!F996</f>
        <v>The number of international departures from a country to Panama</v>
      </c>
      <c r="G534" s="48" t="str">
        <f>'Secondary cum Calculation'!G996</f>
        <v>Tourism Demand &amp; Flows Database</v>
      </c>
      <c r="H534" s="48" t="str">
        <f>'Secondary cum Calculation'!H996</f>
        <v>New</v>
      </c>
      <c r="I534" s="48">
        <f>'Secondary cum Calculation'!I996</f>
        <v>0</v>
      </c>
      <c r="J534" s="48" t="str">
        <f>'Secondary cum Calculation'!J996</f>
        <v>Thousand</v>
      </c>
      <c r="K534" s="49">
        <f>'Secondary cum Calculation'!K996</f>
        <v>0</v>
      </c>
      <c r="L534" s="92"/>
      <c r="M534" s="104" t="e">
        <f>'Final Data-US$'!M468/'Final Data-US$'!L468-1</f>
        <v>#DIV/0!</v>
      </c>
      <c r="N534" s="104" t="e">
        <f>'Final Data-US$'!N468/'Final Data-US$'!M468-1</f>
        <v>#DIV/0!</v>
      </c>
      <c r="O534" s="51" t="e">
        <f>'Final Data-US$'!O468/'Final Data-US$'!N468-1</f>
        <v>#DIV/0!</v>
      </c>
      <c r="P534" s="51" t="e">
        <f>'Final Data-US$'!P468/'Final Data-US$'!O468-1</f>
        <v>#DIV/0!</v>
      </c>
      <c r="Q534" s="51" t="e">
        <f>'Final Data-US$'!Q468/'Final Data-US$'!P468-1</f>
        <v>#DIV/0!</v>
      </c>
      <c r="R534" s="51" t="e">
        <f>'Final Data-US$'!R468/'Final Data-US$'!Q468-1</f>
        <v>#DIV/0!</v>
      </c>
      <c r="S534" s="51" t="e">
        <f>'Final Data-US$'!S468/'Final Data-US$'!R468-1</f>
        <v>#DIV/0!</v>
      </c>
      <c r="T534" s="51" t="e">
        <f>'Final Data-US$'!T468/'Final Data-US$'!S468-1</f>
        <v>#DIV/0!</v>
      </c>
      <c r="U534" s="51" t="e">
        <f>'Final Data-US$'!U468/'Final Data-US$'!T468-1</f>
        <v>#DIV/0!</v>
      </c>
      <c r="V534" s="51" t="e">
        <f>'Final Data-US$'!V468/'Final Data-US$'!U468-1</f>
        <v>#DIV/0!</v>
      </c>
      <c r="W534" s="102" t="e">
        <f>'Final Data-US$'!W468</f>
        <v>#DIV/0!</v>
      </c>
      <c r="X534" s="102" t="e">
        <f>'Final Data-US$'!X468</f>
        <v>#DIV/0!</v>
      </c>
    </row>
    <row r="535" spans="1:24">
      <c r="A535" s="46" t="str">
        <f>'Secondary cum Calculation'!A998</f>
        <v>Poland</v>
      </c>
      <c r="B535" s="47" t="str">
        <f>'Secondary cum Calculation'!B998</f>
        <v>Tourism Flows</v>
      </c>
      <c r="C535" s="47" t="str">
        <f>'Secondary cum Calculation'!C998</f>
        <v>International Departures by Destination</v>
      </c>
      <c r="D535" s="47" t="str">
        <f>'Secondary cum Calculation'!D998</f>
        <v>South &amp; Central America</v>
      </c>
      <c r="E535" s="46" t="str">
        <f>'Secondary cum Calculation'!E998</f>
        <v>Paraguay</v>
      </c>
      <c r="F535" s="48" t="str">
        <f>'Secondary cum Calculation'!F998</f>
        <v>The number of international departures from a country to Paraguay</v>
      </c>
      <c r="G535" s="48" t="str">
        <f>'Secondary cum Calculation'!G998</f>
        <v>Tourism Demand &amp; Flows Database</v>
      </c>
      <c r="H535" s="48" t="str">
        <f>'Secondary cum Calculation'!H998</f>
        <v>New</v>
      </c>
      <c r="I535" s="48">
        <f>'Secondary cum Calculation'!I998</f>
        <v>0</v>
      </c>
      <c r="J535" s="48" t="str">
        <f>'Secondary cum Calculation'!J998</f>
        <v>Thousand</v>
      </c>
      <c r="K535" s="49">
        <f>'Secondary cum Calculation'!K998</f>
        <v>0</v>
      </c>
      <c r="L535" s="92"/>
      <c r="M535" s="104" t="e">
        <f>'Final Data-US$'!M469/'Final Data-US$'!L469-1</f>
        <v>#DIV/0!</v>
      </c>
      <c r="N535" s="104" t="e">
        <f>'Final Data-US$'!N469/'Final Data-US$'!M469-1</f>
        <v>#DIV/0!</v>
      </c>
      <c r="O535" s="51" t="e">
        <f>'Final Data-US$'!O469/'Final Data-US$'!N469-1</f>
        <v>#DIV/0!</v>
      </c>
      <c r="P535" s="51" t="e">
        <f>'Final Data-US$'!P469/'Final Data-US$'!O469-1</f>
        <v>#DIV/0!</v>
      </c>
      <c r="Q535" s="51" t="e">
        <f>'Final Data-US$'!Q469/'Final Data-US$'!P469-1</f>
        <v>#DIV/0!</v>
      </c>
      <c r="R535" s="51" t="e">
        <f>'Final Data-US$'!R469/'Final Data-US$'!Q469-1</f>
        <v>#DIV/0!</v>
      </c>
      <c r="S535" s="51" t="e">
        <f>'Final Data-US$'!S469/'Final Data-US$'!R469-1</f>
        <v>#DIV/0!</v>
      </c>
      <c r="T535" s="51" t="e">
        <f>'Final Data-US$'!T469/'Final Data-US$'!S469-1</f>
        <v>#DIV/0!</v>
      </c>
      <c r="U535" s="51" t="e">
        <f>'Final Data-US$'!U469/'Final Data-US$'!T469-1</f>
        <v>#DIV/0!</v>
      </c>
      <c r="V535" s="51" t="e">
        <f>'Final Data-US$'!V469/'Final Data-US$'!U469-1</f>
        <v>#DIV/0!</v>
      </c>
      <c r="W535" s="102" t="e">
        <f>'Final Data-US$'!W469</f>
        <v>#DIV/0!</v>
      </c>
      <c r="X535" s="102" t="e">
        <f>'Final Data-US$'!X469</f>
        <v>#DIV/0!</v>
      </c>
    </row>
    <row r="536" spans="1:24">
      <c r="A536" s="46" t="str">
        <f>'Secondary cum Calculation'!A1000</f>
        <v>Poland</v>
      </c>
      <c r="B536" s="47" t="str">
        <f>'Secondary cum Calculation'!B1000</f>
        <v>Tourism Flows</v>
      </c>
      <c r="C536" s="47" t="str">
        <f>'Secondary cum Calculation'!C1000</f>
        <v>International Departures by Destination</v>
      </c>
      <c r="D536" s="47" t="str">
        <f>'Secondary cum Calculation'!D1000</f>
        <v>South &amp; Central America</v>
      </c>
      <c r="E536" s="46" t="str">
        <f>'Secondary cum Calculation'!E1000</f>
        <v>Peru</v>
      </c>
      <c r="F536" s="48" t="str">
        <f>'Secondary cum Calculation'!F1000</f>
        <v>The number of international departures from a country to Peru</v>
      </c>
      <c r="G536" s="48" t="str">
        <f>'Secondary cum Calculation'!G1000</f>
        <v>Tourism Demand &amp; Flows Database</v>
      </c>
      <c r="H536" s="48" t="str">
        <f>'Secondary cum Calculation'!H1000</f>
        <v>New</v>
      </c>
      <c r="I536" s="48">
        <f>'Secondary cum Calculation'!I1000</f>
        <v>0</v>
      </c>
      <c r="J536" s="48" t="str">
        <f>'Secondary cum Calculation'!J1000</f>
        <v>Thousand</v>
      </c>
      <c r="K536" s="49">
        <f>'Secondary cum Calculation'!K1000</f>
        <v>0</v>
      </c>
      <c r="L536" s="92"/>
      <c r="M536" s="104" t="e">
        <f>'Final Data-US$'!M470/'Final Data-US$'!L470-1</f>
        <v>#DIV/0!</v>
      </c>
      <c r="N536" s="104" t="e">
        <f>'Final Data-US$'!N470/'Final Data-US$'!M470-1</f>
        <v>#DIV/0!</v>
      </c>
      <c r="O536" s="51" t="e">
        <f>'Final Data-US$'!O470/'Final Data-US$'!N470-1</f>
        <v>#DIV/0!</v>
      </c>
      <c r="P536" s="51" t="e">
        <f>'Final Data-US$'!P470/'Final Data-US$'!O470-1</f>
        <v>#DIV/0!</v>
      </c>
      <c r="Q536" s="51" t="e">
        <f>'Final Data-US$'!Q470/'Final Data-US$'!P470-1</f>
        <v>#DIV/0!</v>
      </c>
      <c r="R536" s="51" t="e">
        <f>'Final Data-US$'!R470/'Final Data-US$'!Q470-1</f>
        <v>#DIV/0!</v>
      </c>
      <c r="S536" s="51" t="e">
        <f>'Final Data-US$'!S470/'Final Data-US$'!R470-1</f>
        <v>#DIV/0!</v>
      </c>
      <c r="T536" s="51" t="e">
        <f>'Final Data-US$'!T470/'Final Data-US$'!S470-1</f>
        <v>#DIV/0!</v>
      </c>
      <c r="U536" s="51" t="e">
        <f>'Final Data-US$'!U470/'Final Data-US$'!T470-1</f>
        <v>#DIV/0!</v>
      </c>
      <c r="V536" s="51" t="e">
        <f>'Final Data-US$'!V470/'Final Data-US$'!U470-1</f>
        <v>#DIV/0!</v>
      </c>
      <c r="W536" s="102" t="e">
        <f>'Final Data-US$'!W470</f>
        <v>#DIV/0!</v>
      </c>
      <c r="X536" s="102" t="e">
        <f>'Final Data-US$'!X470</f>
        <v>#DIV/0!</v>
      </c>
    </row>
    <row r="537" spans="1:24">
      <c r="A537" s="46" t="str">
        <f>'Secondary cum Calculation'!A1002</f>
        <v>Poland</v>
      </c>
      <c r="B537" s="47" t="str">
        <f>'Secondary cum Calculation'!B1002</f>
        <v>Tourism Flows</v>
      </c>
      <c r="C537" s="47" t="str">
        <f>'Secondary cum Calculation'!C1002</f>
        <v>International Departures by Destination</v>
      </c>
      <c r="D537" s="47" t="str">
        <f>'Secondary cum Calculation'!D1002</f>
        <v>South &amp; Central America</v>
      </c>
      <c r="E537" s="46" t="str">
        <f>'Secondary cum Calculation'!E1002</f>
        <v>Puerto Rico</v>
      </c>
      <c r="F537" s="48" t="str">
        <f>'Secondary cum Calculation'!F1002</f>
        <v>The number of international departures from a country to Puerto Rico</v>
      </c>
      <c r="G537" s="48" t="str">
        <f>'Secondary cum Calculation'!G1002</f>
        <v>Tourism Demand &amp; Flows Database</v>
      </c>
      <c r="H537" s="48" t="str">
        <f>'Secondary cum Calculation'!H1002</f>
        <v>New</v>
      </c>
      <c r="I537" s="48">
        <f>'Secondary cum Calculation'!I1002</f>
        <v>0</v>
      </c>
      <c r="J537" s="48" t="str">
        <f>'Secondary cum Calculation'!J1002</f>
        <v>Thousand</v>
      </c>
      <c r="K537" s="49">
        <f>'Secondary cum Calculation'!K1002</f>
        <v>0</v>
      </c>
      <c r="L537" s="92"/>
      <c r="M537" s="104" t="e">
        <f>'Final Data-US$'!M471/'Final Data-US$'!L471-1</f>
        <v>#DIV/0!</v>
      </c>
      <c r="N537" s="104" t="e">
        <f>'Final Data-US$'!N471/'Final Data-US$'!M471-1</f>
        <v>#DIV/0!</v>
      </c>
      <c r="O537" s="51" t="e">
        <f>'Final Data-US$'!O471/'Final Data-US$'!N471-1</f>
        <v>#DIV/0!</v>
      </c>
      <c r="P537" s="51" t="e">
        <f>'Final Data-US$'!P471/'Final Data-US$'!O471-1</f>
        <v>#DIV/0!</v>
      </c>
      <c r="Q537" s="51" t="e">
        <f>'Final Data-US$'!Q471/'Final Data-US$'!P471-1</f>
        <v>#DIV/0!</v>
      </c>
      <c r="R537" s="51" t="e">
        <f>'Final Data-US$'!R471/'Final Data-US$'!Q471-1</f>
        <v>#DIV/0!</v>
      </c>
      <c r="S537" s="51" t="e">
        <f>'Final Data-US$'!S471/'Final Data-US$'!R471-1</f>
        <v>#DIV/0!</v>
      </c>
      <c r="T537" s="51" t="e">
        <f>'Final Data-US$'!T471/'Final Data-US$'!S471-1</f>
        <v>#DIV/0!</v>
      </c>
      <c r="U537" s="51" t="e">
        <f>'Final Data-US$'!U471/'Final Data-US$'!T471-1</f>
        <v>#DIV/0!</v>
      </c>
      <c r="V537" s="51" t="e">
        <f>'Final Data-US$'!V471/'Final Data-US$'!U471-1</f>
        <v>#DIV/0!</v>
      </c>
      <c r="W537" s="102" t="e">
        <f>'Final Data-US$'!W471</f>
        <v>#DIV/0!</v>
      </c>
      <c r="X537" s="102" t="e">
        <f>'Final Data-US$'!X471</f>
        <v>#DIV/0!</v>
      </c>
    </row>
    <row r="538" spans="1:24">
      <c r="A538" s="46" t="str">
        <f>'Secondary cum Calculation'!A1004</f>
        <v>Poland</v>
      </c>
      <c r="B538" s="47" t="str">
        <f>'Secondary cum Calculation'!B1004</f>
        <v>Tourism Flows</v>
      </c>
      <c r="C538" s="47" t="str">
        <f>'Secondary cum Calculation'!C1004</f>
        <v>International Departures by Destination</v>
      </c>
      <c r="D538" s="47" t="str">
        <f>'Secondary cum Calculation'!D1004</f>
        <v>South &amp; Central America</v>
      </c>
      <c r="E538" s="46" t="str">
        <f>'Secondary cum Calculation'!E1004</f>
        <v>Saint Lucia</v>
      </c>
      <c r="F538" s="48" t="str">
        <f>'Secondary cum Calculation'!F1004</f>
        <v>The number of international departures from a country to Saint Lucia</v>
      </c>
      <c r="G538" s="48" t="str">
        <f>'Secondary cum Calculation'!G1004</f>
        <v>Tourism Demand &amp; Flows Database</v>
      </c>
      <c r="H538" s="48" t="str">
        <f>'Secondary cum Calculation'!H1004</f>
        <v>New</v>
      </c>
      <c r="I538" s="48">
        <f>'Secondary cum Calculation'!I1004</f>
        <v>0</v>
      </c>
      <c r="J538" s="48" t="str">
        <f>'Secondary cum Calculation'!J1004</f>
        <v>Thousand</v>
      </c>
      <c r="K538" s="49">
        <f>'Secondary cum Calculation'!K1004</f>
        <v>0</v>
      </c>
      <c r="L538" s="92"/>
      <c r="M538" s="104" t="e">
        <f>'Final Data-US$'!M472/'Final Data-US$'!L472-1</f>
        <v>#DIV/0!</v>
      </c>
      <c r="N538" s="104" t="e">
        <f>'Final Data-US$'!N472/'Final Data-US$'!M472-1</f>
        <v>#DIV/0!</v>
      </c>
      <c r="O538" s="51" t="e">
        <f>'Final Data-US$'!O472/'Final Data-US$'!N472-1</f>
        <v>#DIV/0!</v>
      </c>
      <c r="P538" s="51" t="e">
        <f>'Final Data-US$'!P472/'Final Data-US$'!O472-1</f>
        <v>#DIV/0!</v>
      </c>
      <c r="Q538" s="51" t="e">
        <f>'Final Data-US$'!Q472/'Final Data-US$'!P472-1</f>
        <v>#DIV/0!</v>
      </c>
      <c r="R538" s="51" t="e">
        <f>'Final Data-US$'!R472/'Final Data-US$'!Q472-1</f>
        <v>#DIV/0!</v>
      </c>
      <c r="S538" s="51" t="e">
        <f>'Final Data-US$'!S472/'Final Data-US$'!R472-1</f>
        <v>#DIV/0!</v>
      </c>
      <c r="T538" s="51" t="e">
        <f>'Final Data-US$'!T472/'Final Data-US$'!S472-1</f>
        <v>#DIV/0!</v>
      </c>
      <c r="U538" s="51" t="e">
        <f>'Final Data-US$'!U472/'Final Data-US$'!T472-1</f>
        <v>#DIV/0!</v>
      </c>
      <c r="V538" s="51" t="e">
        <f>'Final Data-US$'!V472/'Final Data-US$'!U472-1</f>
        <v>#DIV/0!</v>
      </c>
      <c r="W538" s="102" t="e">
        <f>'Final Data-US$'!W472</f>
        <v>#DIV/0!</v>
      </c>
      <c r="X538" s="102" t="e">
        <f>'Final Data-US$'!X472</f>
        <v>#DIV/0!</v>
      </c>
    </row>
    <row r="539" spans="1:24">
      <c r="A539" s="46" t="str">
        <f>'Secondary cum Calculation'!A1006</f>
        <v>Poland</v>
      </c>
      <c r="B539" s="47" t="str">
        <f>'Secondary cum Calculation'!B1006</f>
        <v>Tourism Flows</v>
      </c>
      <c r="C539" s="47" t="str">
        <f>'Secondary cum Calculation'!C1006</f>
        <v>International Departures by Destination</v>
      </c>
      <c r="D539" s="47" t="str">
        <f>'Secondary cum Calculation'!D1006</f>
        <v>South &amp; Central America</v>
      </c>
      <c r="E539" s="46" t="str">
        <f>'Secondary cum Calculation'!E1006</f>
        <v>Sao Tome and Principe</v>
      </c>
      <c r="F539" s="48" t="str">
        <f>'Secondary cum Calculation'!F1006</f>
        <v>The number of international departures from a country to Sao Tome and Principe</v>
      </c>
      <c r="G539" s="48" t="str">
        <f>'Secondary cum Calculation'!G1006</f>
        <v>Tourism Demand &amp; Flows Database</v>
      </c>
      <c r="H539" s="48" t="str">
        <f>'Secondary cum Calculation'!H1006</f>
        <v>New</v>
      </c>
      <c r="I539" s="48">
        <f>'Secondary cum Calculation'!I1006</f>
        <v>0</v>
      </c>
      <c r="J539" s="48" t="str">
        <f>'Secondary cum Calculation'!J1006</f>
        <v>Thousand</v>
      </c>
      <c r="K539" s="49">
        <f>'Secondary cum Calculation'!K1006</f>
        <v>0</v>
      </c>
      <c r="L539" s="92"/>
      <c r="M539" s="104" t="e">
        <f>'Final Data-US$'!M473/'Final Data-US$'!L473-1</f>
        <v>#DIV/0!</v>
      </c>
      <c r="N539" s="104" t="e">
        <f>'Final Data-US$'!N473/'Final Data-US$'!M473-1</f>
        <v>#DIV/0!</v>
      </c>
      <c r="O539" s="51" t="e">
        <f>'Final Data-US$'!O473/'Final Data-US$'!N473-1</f>
        <v>#DIV/0!</v>
      </c>
      <c r="P539" s="51" t="e">
        <f>'Final Data-US$'!P473/'Final Data-US$'!O473-1</f>
        <v>#DIV/0!</v>
      </c>
      <c r="Q539" s="51" t="e">
        <f>'Final Data-US$'!Q473/'Final Data-US$'!P473-1</f>
        <v>#DIV/0!</v>
      </c>
      <c r="R539" s="51" t="e">
        <f>'Final Data-US$'!R473/'Final Data-US$'!Q473-1</f>
        <v>#DIV/0!</v>
      </c>
      <c r="S539" s="51" t="e">
        <f>'Final Data-US$'!S473/'Final Data-US$'!R473-1</f>
        <v>#DIV/0!</v>
      </c>
      <c r="T539" s="51" t="e">
        <f>'Final Data-US$'!T473/'Final Data-US$'!S473-1</f>
        <v>#DIV/0!</v>
      </c>
      <c r="U539" s="51" t="e">
        <f>'Final Data-US$'!U473/'Final Data-US$'!T473-1</f>
        <v>#DIV/0!</v>
      </c>
      <c r="V539" s="51" t="e">
        <f>'Final Data-US$'!V473/'Final Data-US$'!U473-1</f>
        <v>#DIV/0!</v>
      </c>
      <c r="W539" s="102" t="e">
        <f>'Final Data-US$'!W473</f>
        <v>#DIV/0!</v>
      </c>
      <c r="X539" s="102" t="e">
        <f>'Final Data-US$'!X473</f>
        <v>#DIV/0!</v>
      </c>
    </row>
    <row r="540" spans="1:24">
      <c r="A540" s="46" t="str">
        <f>'Secondary cum Calculation'!A1008</f>
        <v>Poland</v>
      </c>
      <c r="B540" s="47" t="str">
        <f>'Secondary cum Calculation'!B1008</f>
        <v>Tourism Flows</v>
      </c>
      <c r="C540" s="47" t="str">
        <f>'Secondary cum Calculation'!C1008</f>
        <v>International Departures by Destination</v>
      </c>
      <c r="D540" s="47" t="str">
        <f>'Secondary cum Calculation'!D1008</f>
        <v>South &amp; Central America</v>
      </c>
      <c r="E540" s="46" t="str">
        <f>'Secondary cum Calculation'!E1008</f>
        <v>St. Vincent and the Grenadines</v>
      </c>
      <c r="F540" s="48" t="str">
        <f>'Secondary cum Calculation'!F1008</f>
        <v>The number of international departures from a country to St. Vincent and the Grenadines</v>
      </c>
      <c r="G540" s="48" t="str">
        <f>'Secondary cum Calculation'!G1008</f>
        <v>Tourism Demand &amp; Flows Database</v>
      </c>
      <c r="H540" s="48" t="str">
        <f>'Secondary cum Calculation'!H1008</f>
        <v>New</v>
      </c>
      <c r="I540" s="48">
        <f>'Secondary cum Calculation'!I1008</f>
        <v>0</v>
      </c>
      <c r="J540" s="48" t="str">
        <f>'Secondary cum Calculation'!J1008</f>
        <v>Thousand</v>
      </c>
      <c r="K540" s="49">
        <f>'Secondary cum Calculation'!K1008</f>
        <v>0</v>
      </c>
      <c r="L540" s="92"/>
      <c r="M540" s="104" t="e">
        <f>'Final Data-US$'!M474/'Final Data-US$'!L474-1</f>
        <v>#DIV/0!</v>
      </c>
      <c r="N540" s="104" t="e">
        <f>'Final Data-US$'!N474/'Final Data-US$'!M474-1</f>
        <v>#DIV/0!</v>
      </c>
      <c r="O540" s="51" t="e">
        <f>'Final Data-US$'!O474/'Final Data-US$'!N474-1</f>
        <v>#DIV/0!</v>
      </c>
      <c r="P540" s="51" t="e">
        <f>'Final Data-US$'!P474/'Final Data-US$'!O474-1</f>
        <v>#DIV/0!</v>
      </c>
      <c r="Q540" s="51" t="e">
        <f>'Final Data-US$'!Q474/'Final Data-US$'!P474-1</f>
        <v>#DIV/0!</v>
      </c>
      <c r="R540" s="51" t="e">
        <f>'Final Data-US$'!R474/'Final Data-US$'!Q474-1</f>
        <v>#DIV/0!</v>
      </c>
      <c r="S540" s="51" t="e">
        <f>'Final Data-US$'!S474/'Final Data-US$'!R474-1</f>
        <v>#DIV/0!</v>
      </c>
      <c r="T540" s="51" t="e">
        <f>'Final Data-US$'!T474/'Final Data-US$'!S474-1</f>
        <v>#DIV/0!</v>
      </c>
      <c r="U540" s="51" t="e">
        <f>'Final Data-US$'!U474/'Final Data-US$'!T474-1</f>
        <v>#DIV/0!</v>
      </c>
      <c r="V540" s="51" t="e">
        <f>'Final Data-US$'!V474/'Final Data-US$'!U474-1</f>
        <v>#DIV/0!</v>
      </c>
      <c r="W540" s="102" t="e">
        <f>'Final Data-US$'!W474</f>
        <v>#DIV/0!</v>
      </c>
      <c r="X540" s="102" t="e">
        <f>'Final Data-US$'!X474</f>
        <v>#DIV/0!</v>
      </c>
    </row>
    <row r="541" spans="1:24">
      <c r="A541" s="46" t="str">
        <f>'Secondary cum Calculation'!A1010</f>
        <v>Poland</v>
      </c>
      <c r="B541" s="47" t="str">
        <f>'Secondary cum Calculation'!B1010</f>
        <v>Tourism Flows</v>
      </c>
      <c r="C541" s="47" t="str">
        <f>'Secondary cum Calculation'!C1010</f>
        <v>International Departures by Destination</v>
      </c>
      <c r="D541" s="47" t="str">
        <f>'Secondary cum Calculation'!D1010</f>
        <v>South &amp; Central America</v>
      </c>
      <c r="E541" s="46" t="str">
        <f>'Secondary cum Calculation'!E1010</f>
        <v>Suriname</v>
      </c>
      <c r="F541" s="48" t="str">
        <f>'Secondary cum Calculation'!F1010</f>
        <v>The number of international departures from a country to Suriname</v>
      </c>
      <c r="G541" s="48" t="str">
        <f>'Secondary cum Calculation'!G1010</f>
        <v>Tourism Demand &amp; Flows Database</v>
      </c>
      <c r="H541" s="48" t="str">
        <f>'Secondary cum Calculation'!H1010</f>
        <v>New</v>
      </c>
      <c r="I541" s="48">
        <f>'Secondary cum Calculation'!I1010</f>
        <v>0</v>
      </c>
      <c r="J541" s="48" t="str">
        <f>'Secondary cum Calculation'!J1010</f>
        <v>Thousand</v>
      </c>
      <c r="K541" s="49">
        <f>'Secondary cum Calculation'!K1010</f>
        <v>0</v>
      </c>
      <c r="L541" s="92"/>
      <c r="M541" s="104" t="e">
        <f>'Final Data-US$'!M475/'Final Data-US$'!L475-1</f>
        <v>#DIV/0!</v>
      </c>
      <c r="N541" s="104" t="e">
        <f>'Final Data-US$'!N475/'Final Data-US$'!M475-1</f>
        <v>#DIV/0!</v>
      </c>
      <c r="O541" s="51" t="e">
        <f>'Final Data-US$'!O475/'Final Data-US$'!N475-1</f>
        <v>#DIV/0!</v>
      </c>
      <c r="P541" s="51" t="e">
        <f>'Final Data-US$'!P475/'Final Data-US$'!O475-1</f>
        <v>#DIV/0!</v>
      </c>
      <c r="Q541" s="51" t="e">
        <f>'Final Data-US$'!Q475/'Final Data-US$'!P475-1</f>
        <v>#DIV/0!</v>
      </c>
      <c r="R541" s="51" t="e">
        <f>'Final Data-US$'!R475/'Final Data-US$'!Q475-1</f>
        <v>#DIV/0!</v>
      </c>
      <c r="S541" s="51" t="e">
        <f>'Final Data-US$'!S475/'Final Data-US$'!R475-1</f>
        <v>#DIV/0!</v>
      </c>
      <c r="T541" s="51" t="e">
        <f>'Final Data-US$'!T475/'Final Data-US$'!S475-1</f>
        <v>#DIV/0!</v>
      </c>
      <c r="U541" s="51" t="e">
        <f>'Final Data-US$'!U475/'Final Data-US$'!T475-1</f>
        <v>#DIV/0!</v>
      </c>
      <c r="V541" s="51" t="e">
        <f>'Final Data-US$'!V475/'Final Data-US$'!U475-1</f>
        <v>#DIV/0!</v>
      </c>
      <c r="W541" s="102" t="e">
        <f>'Final Data-US$'!W475</f>
        <v>#DIV/0!</v>
      </c>
      <c r="X541" s="102" t="e">
        <f>'Final Data-US$'!X475</f>
        <v>#DIV/0!</v>
      </c>
    </row>
    <row r="542" spans="1:24">
      <c r="A542" s="46" t="str">
        <f>'Secondary cum Calculation'!A1012</f>
        <v>Poland</v>
      </c>
      <c r="B542" s="47" t="str">
        <f>'Secondary cum Calculation'!B1012</f>
        <v>Tourism Flows</v>
      </c>
      <c r="C542" s="47" t="str">
        <f>'Secondary cum Calculation'!C1012</f>
        <v>International Departures by Destination</v>
      </c>
      <c r="D542" s="47" t="str">
        <f>'Secondary cum Calculation'!D1012</f>
        <v>South &amp; Central America</v>
      </c>
      <c r="E542" s="46" t="str">
        <f>'Secondary cum Calculation'!E1012</f>
        <v>Trinidad and Tobago</v>
      </c>
      <c r="F542" s="48" t="str">
        <f>'Secondary cum Calculation'!F1012</f>
        <v>The number of international departures from a country to Trinidad and Tobago</v>
      </c>
      <c r="G542" s="48" t="str">
        <f>'Secondary cum Calculation'!G1012</f>
        <v>Tourism Demand &amp; Flows Database</v>
      </c>
      <c r="H542" s="48" t="str">
        <f>'Secondary cum Calculation'!H1012</f>
        <v>New</v>
      </c>
      <c r="I542" s="48">
        <f>'Secondary cum Calculation'!I1012</f>
        <v>0</v>
      </c>
      <c r="J542" s="48" t="str">
        <f>'Secondary cum Calculation'!J1012</f>
        <v>Thousand</v>
      </c>
      <c r="K542" s="49">
        <f>'Secondary cum Calculation'!K1012</f>
        <v>0</v>
      </c>
      <c r="L542" s="92"/>
      <c r="M542" s="104" t="e">
        <f>'Final Data-US$'!M476/'Final Data-US$'!L476-1</f>
        <v>#DIV/0!</v>
      </c>
      <c r="N542" s="104" t="e">
        <f>'Final Data-US$'!N476/'Final Data-US$'!M476-1</f>
        <v>#DIV/0!</v>
      </c>
      <c r="O542" s="51" t="e">
        <f>'Final Data-US$'!O476/'Final Data-US$'!N476-1</f>
        <v>#DIV/0!</v>
      </c>
      <c r="P542" s="51" t="e">
        <f>'Final Data-US$'!P476/'Final Data-US$'!O476-1</f>
        <v>#DIV/0!</v>
      </c>
      <c r="Q542" s="51" t="e">
        <f>'Final Data-US$'!Q476/'Final Data-US$'!P476-1</f>
        <v>#DIV/0!</v>
      </c>
      <c r="R542" s="51" t="e">
        <f>'Final Data-US$'!R476/'Final Data-US$'!Q476-1</f>
        <v>#DIV/0!</v>
      </c>
      <c r="S542" s="51" t="e">
        <f>'Final Data-US$'!S476/'Final Data-US$'!R476-1</f>
        <v>#DIV/0!</v>
      </c>
      <c r="T542" s="51" t="e">
        <f>'Final Data-US$'!T476/'Final Data-US$'!S476-1</f>
        <v>#DIV/0!</v>
      </c>
      <c r="U542" s="51" t="e">
        <f>'Final Data-US$'!U476/'Final Data-US$'!T476-1</f>
        <v>#DIV/0!</v>
      </c>
      <c r="V542" s="51" t="e">
        <f>'Final Data-US$'!V476/'Final Data-US$'!U476-1</f>
        <v>#DIV/0!</v>
      </c>
      <c r="W542" s="102" t="e">
        <f>'Final Data-US$'!W476</f>
        <v>#DIV/0!</v>
      </c>
      <c r="X542" s="102" t="e">
        <f>'Final Data-US$'!X476</f>
        <v>#DIV/0!</v>
      </c>
    </row>
    <row r="543" spans="1:24">
      <c r="A543" s="46" t="str">
        <f>'Secondary cum Calculation'!A1014</f>
        <v>Poland</v>
      </c>
      <c r="B543" s="47" t="str">
        <f>'Secondary cum Calculation'!B1014</f>
        <v>Tourism Flows</v>
      </c>
      <c r="C543" s="47" t="str">
        <f>'Secondary cum Calculation'!C1014</f>
        <v>International Departures by Destination</v>
      </c>
      <c r="D543" s="47" t="str">
        <f>'Secondary cum Calculation'!D1014</f>
        <v>South &amp; Central America</v>
      </c>
      <c r="E543" s="46" t="str">
        <f>'Secondary cum Calculation'!E1014</f>
        <v>United States Virgin Islands</v>
      </c>
      <c r="F543" s="48" t="str">
        <f>'Secondary cum Calculation'!F1014</f>
        <v>The number of international departures from a country to United States Virgin Islands</v>
      </c>
      <c r="G543" s="48" t="str">
        <f>'Secondary cum Calculation'!G1014</f>
        <v>Tourism Demand &amp; Flows Database</v>
      </c>
      <c r="H543" s="48" t="str">
        <f>'Secondary cum Calculation'!H1014</f>
        <v>New</v>
      </c>
      <c r="I543" s="48">
        <f>'Secondary cum Calculation'!I1014</f>
        <v>0</v>
      </c>
      <c r="J543" s="48" t="str">
        <f>'Secondary cum Calculation'!J1014</f>
        <v>Thousand</v>
      </c>
      <c r="K543" s="49">
        <f>'Secondary cum Calculation'!K1014</f>
        <v>0</v>
      </c>
      <c r="L543" s="92"/>
      <c r="M543" s="104" t="e">
        <f>'Final Data-US$'!M477/'Final Data-US$'!L477-1</f>
        <v>#DIV/0!</v>
      </c>
      <c r="N543" s="104" t="e">
        <f>'Final Data-US$'!N477/'Final Data-US$'!M477-1</f>
        <v>#DIV/0!</v>
      </c>
      <c r="O543" s="51" t="e">
        <f>'Final Data-US$'!O477/'Final Data-US$'!N477-1</f>
        <v>#DIV/0!</v>
      </c>
      <c r="P543" s="51" t="e">
        <f>'Final Data-US$'!P477/'Final Data-US$'!O477-1</f>
        <v>#DIV/0!</v>
      </c>
      <c r="Q543" s="51" t="e">
        <f>'Final Data-US$'!Q477/'Final Data-US$'!P477-1</f>
        <v>#DIV/0!</v>
      </c>
      <c r="R543" s="51" t="e">
        <f>'Final Data-US$'!R477/'Final Data-US$'!Q477-1</f>
        <v>#DIV/0!</v>
      </c>
      <c r="S543" s="51" t="e">
        <f>'Final Data-US$'!S477/'Final Data-US$'!R477-1</f>
        <v>#DIV/0!</v>
      </c>
      <c r="T543" s="51" t="e">
        <f>'Final Data-US$'!T477/'Final Data-US$'!S477-1</f>
        <v>#DIV/0!</v>
      </c>
      <c r="U543" s="51" t="e">
        <f>'Final Data-US$'!U477/'Final Data-US$'!T477-1</f>
        <v>#DIV/0!</v>
      </c>
      <c r="V543" s="51" t="e">
        <f>'Final Data-US$'!V477/'Final Data-US$'!U477-1</f>
        <v>#DIV/0!</v>
      </c>
      <c r="W543" s="102" t="e">
        <f>'Final Data-US$'!W477</f>
        <v>#DIV/0!</v>
      </c>
      <c r="X543" s="102" t="e">
        <f>'Final Data-US$'!X477</f>
        <v>#DIV/0!</v>
      </c>
    </row>
    <row r="544" spans="1:24">
      <c r="A544" s="46" t="str">
        <f>'Secondary cum Calculation'!A1016</f>
        <v>Poland</v>
      </c>
      <c r="B544" s="47" t="str">
        <f>'Secondary cum Calculation'!B1016</f>
        <v>Tourism Flows</v>
      </c>
      <c r="C544" s="47" t="str">
        <f>'Secondary cum Calculation'!C1016</f>
        <v>International Departures by Destination</v>
      </c>
      <c r="D544" s="47" t="str">
        <f>'Secondary cum Calculation'!D1016</f>
        <v>South &amp; Central America</v>
      </c>
      <c r="E544" s="46" t="str">
        <f>'Secondary cum Calculation'!E1016</f>
        <v>Uruguay</v>
      </c>
      <c r="F544" s="48" t="str">
        <f>'Secondary cum Calculation'!F1016</f>
        <v>The number of international departures from a country to Uruguay</v>
      </c>
      <c r="G544" s="48" t="str">
        <f>'Secondary cum Calculation'!G1016</f>
        <v>Tourism Demand &amp; Flows Database</v>
      </c>
      <c r="H544" s="48" t="str">
        <f>'Secondary cum Calculation'!H1016</f>
        <v>New</v>
      </c>
      <c r="I544" s="48">
        <f>'Secondary cum Calculation'!I1016</f>
        <v>0</v>
      </c>
      <c r="J544" s="48" t="str">
        <f>'Secondary cum Calculation'!J1016</f>
        <v>Thousand</v>
      </c>
      <c r="K544" s="49">
        <f>'Secondary cum Calculation'!K1016</f>
        <v>0</v>
      </c>
      <c r="L544" s="92"/>
      <c r="M544" s="104" t="e">
        <f>'Final Data-US$'!M478/'Final Data-US$'!L478-1</f>
        <v>#DIV/0!</v>
      </c>
      <c r="N544" s="104" t="e">
        <f>'Final Data-US$'!N478/'Final Data-US$'!M478-1</f>
        <v>#DIV/0!</v>
      </c>
      <c r="O544" s="51" t="e">
        <f>'Final Data-US$'!O478/'Final Data-US$'!N478-1</f>
        <v>#DIV/0!</v>
      </c>
      <c r="P544" s="51" t="e">
        <f>'Final Data-US$'!P478/'Final Data-US$'!O478-1</f>
        <v>#DIV/0!</v>
      </c>
      <c r="Q544" s="51" t="e">
        <f>'Final Data-US$'!Q478/'Final Data-US$'!P478-1</f>
        <v>#DIV/0!</v>
      </c>
      <c r="R544" s="51" t="e">
        <f>'Final Data-US$'!R478/'Final Data-US$'!Q478-1</f>
        <v>#DIV/0!</v>
      </c>
      <c r="S544" s="51" t="e">
        <f>'Final Data-US$'!S478/'Final Data-US$'!R478-1</f>
        <v>#DIV/0!</v>
      </c>
      <c r="T544" s="51" t="e">
        <f>'Final Data-US$'!T478/'Final Data-US$'!S478-1</f>
        <v>#DIV/0!</v>
      </c>
      <c r="U544" s="51" t="e">
        <f>'Final Data-US$'!U478/'Final Data-US$'!T478-1</f>
        <v>#DIV/0!</v>
      </c>
      <c r="V544" s="51" t="e">
        <f>'Final Data-US$'!V478/'Final Data-US$'!U478-1</f>
        <v>#DIV/0!</v>
      </c>
      <c r="W544" s="102" t="e">
        <f>'Final Data-US$'!W478</f>
        <v>#DIV/0!</v>
      </c>
      <c r="X544" s="102" t="e">
        <f>'Final Data-US$'!X478</f>
        <v>#DIV/0!</v>
      </c>
    </row>
    <row r="545" spans="1:24">
      <c r="A545" s="46" t="str">
        <f>'Secondary cum Calculation'!A1018</f>
        <v>Poland</v>
      </c>
      <c r="B545" s="47" t="str">
        <f>'Secondary cum Calculation'!B1018</f>
        <v>Tourism Flows</v>
      </c>
      <c r="C545" s="47" t="str">
        <f>'Secondary cum Calculation'!C1018</f>
        <v>International Departures by Destination</v>
      </c>
      <c r="D545" s="47" t="str">
        <f>'Secondary cum Calculation'!D1018</f>
        <v>South &amp; Central America</v>
      </c>
      <c r="E545" s="46" t="str">
        <f>'Secondary cum Calculation'!E1018</f>
        <v>Venezuela</v>
      </c>
      <c r="F545" s="48" t="str">
        <f>'Secondary cum Calculation'!F1018</f>
        <v>The number of international departures from a country to Venezuela</v>
      </c>
      <c r="G545" s="48" t="str">
        <f>'Secondary cum Calculation'!G1018</f>
        <v>Tourism Demand &amp; Flows Database</v>
      </c>
      <c r="H545" s="48" t="str">
        <f>'Secondary cum Calculation'!H1018</f>
        <v>New</v>
      </c>
      <c r="I545" s="48">
        <f>'Secondary cum Calculation'!I1018</f>
        <v>0</v>
      </c>
      <c r="J545" s="48" t="str">
        <f>'Secondary cum Calculation'!J1018</f>
        <v>Thousand</v>
      </c>
      <c r="K545" s="49">
        <f>'Secondary cum Calculation'!K1018</f>
        <v>0</v>
      </c>
      <c r="L545" s="92"/>
      <c r="M545" s="104" t="e">
        <f>'Final Data-US$'!M479/'Final Data-US$'!L479-1</f>
        <v>#DIV/0!</v>
      </c>
      <c r="N545" s="104" t="e">
        <f>'Final Data-US$'!N479/'Final Data-US$'!M479-1</f>
        <v>#DIV/0!</v>
      </c>
      <c r="O545" s="51" t="e">
        <f>'Final Data-US$'!O479/'Final Data-US$'!N479-1</f>
        <v>#DIV/0!</v>
      </c>
      <c r="P545" s="51" t="e">
        <f>'Final Data-US$'!P479/'Final Data-US$'!O479-1</f>
        <v>#DIV/0!</v>
      </c>
      <c r="Q545" s="51" t="e">
        <f>'Final Data-US$'!Q479/'Final Data-US$'!P479-1</f>
        <v>#DIV/0!</v>
      </c>
      <c r="R545" s="51" t="e">
        <f>'Final Data-US$'!R479/'Final Data-US$'!Q479-1</f>
        <v>#DIV/0!</v>
      </c>
      <c r="S545" s="51" t="e">
        <f>'Final Data-US$'!S479/'Final Data-US$'!R479-1</f>
        <v>#DIV/0!</v>
      </c>
      <c r="T545" s="51" t="e">
        <f>'Final Data-US$'!T479/'Final Data-US$'!S479-1</f>
        <v>#DIV/0!</v>
      </c>
      <c r="U545" s="51" t="e">
        <f>'Final Data-US$'!U479/'Final Data-US$'!T479-1</f>
        <v>#DIV/0!</v>
      </c>
      <c r="V545" s="51" t="e">
        <f>'Final Data-US$'!V479/'Final Data-US$'!U479-1</f>
        <v>#DIV/0!</v>
      </c>
      <c r="W545" s="102" t="e">
        <f>'Final Data-US$'!W479</f>
        <v>#DIV/0!</v>
      </c>
      <c r="X545" s="102" t="e">
        <f>'Final Data-US$'!X479</f>
        <v>#DIV/0!</v>
      </c>
    </row>
    <row r="546" spans="1:24">
      <c r="A546" s="46" t="str">
        <f>'Secondary cum Calculation'!A1020</f>
        <v>Poland</v>
      </c>
      <c r="B546" s="47" t="str">
        <f>'Secondary cum Calculation'!B1020</f>
        <v>Tourism Flows</v>
      </c>
      <c r="C546" s="47" t="str">
        <f>'Secondary cum Calculation'!C1020</f>
        <v>International Departures by Destination</v>
      </c>
      <c r="D546" s="94" t="str">
        <f>'Secondary cum Calculation'!D1020</f>
        <v>South &amp; Central America</v>
      </c>
      <c r="E546" s="95" t="str">
        <f>'Secondary cum Calculation'!E1020</f>
        <v>Other South American Countries</v>
      </c>
      <c r="F546" s="94" t="str">
        <f>'Secondary cum Calculation'!F1020</f>
        <v>To be defined according to the gaps in the country data above</v>
      </c>
      <c r="G546" s="48" t="str">
        <f>'Secondary cum Calculation'!G1020</f>
        <v>Tourism Demand &amp; Flows Database</v>
      </c>
      <c r="H546" s="48" t="str">
        <f>'Secondary cum Calculation'!H1020</f>
        <v>New</v>
      </c>
      <c r="I546" s="48">
        <f>'Secondary cum Calculation'!I1020</f>
        <v>0</v>
      </c>
      <c r="J546" s="48" t="str">
        <f>'Secondary cum Calculation'!J1020</f>
        <v>Thousand</v>
      </c>
      <c r="K546" s="76">
        <f>'Secondary cum Calculation'!K1020</f>
        <v>63662</v>
      </c>
      <c r="L546" s="91"/>
      <c r="M546" s="78">
        <f>'Final Data-US$'!M480/'Final Data-US$'!L480-1</f>
        <v>4.3992687973323008E-2</v>
      </c>
      <c r="N546" s="78">
        <f>'Final Data-US$'!N480/'Final Data-US$'!M480-1</f>
        <v>-8.6971580304400553E-2</v>
      </c>
      <c r="O546" s="78">
        <f>'Final Data-US$'!O480/'Final Data-US$'!N480-1</f>
        <v>5.6852788490583395E-2</v>
      </c>
      <c r="P546" s="78">
        <f>'Final Data-US$'!P480/'Final Data-US$'!O480-1</f>
        <v>-7.8940835746793558E-2</v>
      </c>
      <c r="Q546" s="78">
        <f>'Final Data-US$'!Q480/'Final Data-US$'!P480-1</f>
        <v>-1.8543750815809168E-2</v>
      </c>
      <c r="R546" s="78">
        <f>'Final Data-US$'!R480/'Final Data-US$'!Q480-1</f>
        <v>-1</v>
      </c>
      <c r="S546" s="78" t="e">
        <f>'Final Data-US$'!S480/'Final Data-US$'!R480-1</f>
        <v>#DIV/0!</v>
      </c>
      <c r="T546" s="78" t="e">
        <f>'Final Data-US$'!T480/'Final Data-US$'!S480-1</f>
        <v>#DIV/0!</v>
      </c>
      <c r="U546" s="78" t="e">
        <f>'Final Data-US$'!U480/'Final Data-US$'!T480-1</f>
        <v>#DIV/0!</v>
      </c>
      <c r="V546" s="78" t="e">
        <f>'Final Data-US$'!V480/'Final Data-US$'!U480-1</f>
        <v>#DIV/0!</v>
      </c>
      <c r="W546" s="102">
        <f>'Final Data-US$'!W480</f>
        <v>-3.3583543753666789E-2</v>
      </c>
      <c r="X546" s="102">
        <f>'Final Data-US$'!X480</f>
        <v>-1</v>
      </c>
    </row>
    <row r="547" spans="1:24">
      <c r="A547" s="55" t="str">
        <f>'Secondary cum Calculation'!A1024</f>
        <v>Poland</v>
      </c>
      <c r="B547" s="56" t="str">
        <f>'Secondary cum Calculation'!B1024</f>
        <v>Tourism Flows</v>
      </c>
      <c r="C547" s="55" t="str">
        <f>'Secondary cum Calculation'!C1024</f>
        <v>International Departures by Purpose of Visit</v>
      </c>
      <c r="D547" s="57"/>
      <c r="E547" s="57"/>
      <c r="F547" s="57" t="str">
        <f>'Secondary cum Calculation'!F1024</f>
        <v>The total number of international departures from a country, segmented by the purpose of the visit and the mode of transport used to get to and from the destination.</v>
      </c>
      <c r="G547" s="57" t="str">
        <f>'Secondary cum Calculation'!G1024</f>
        <v>Tourism Demand &amp; Flows Database</v>
      </c>
      <c r="H547" s="57" t="str">
        <f>'Secondary cum Calculation'!H1024</f>
        <v>Exists</v>
      </c>
      <c r="I547" s="57">
        <f>'Secondary cum Calculation'!I1024</f>
        <v>0</v>
      </c>
      <c r="J547" s="57" t="str">
        <f>'Secondary cum Calculation'!J1024</f>
        <v>Thousand</v>
      </c>
      <c r="K547" s="86">
        <f>'Secondary cum Calculation'!K1024</f>
        <v>0</v>
      </c>
      <c r="L547" s="80"/>
      <c r="M547" s="81">
        <f>'Final Data-US$'!M481/'Final Data-US$'!L481-1</f>
        <v>9.498337429521464E-2</v>
      </c>
      <c r="N547" s="81">
        <f>'Final Data-US$'!N481/'Final Data-US$'!M481-1</f>
        <v>-0.16583047266965933</v>
      </c>
      <c r="O547" s="81">
        <f>'Final Data-US$'!O481/'Final Data-US$'!N481-1</f>
        <v>0.12717632162076598</v>
      </c>
      <c r="P547" s="81">
        <f>'Final Data-US$'!P481/'Final Data-US$'!O481-1</f>
        <v>-0.11161974303166478</v>
      </c>
      <c r="Q547" s="81">
        <f>'Final Data-US$'!Q481/'Final Data-US$'!P481-1</f>
        <v>-2.077873173221978E-2</v>
      </c>
      <c r="R547" s="81">
        <f>'Final Data-US$'!R481/'Final Data-US$'!Q481-1</f>
        <v>1.2221781307566015E-2</v>
      </c>
      <c r="S547" s="81">
        <f>'Final Data-US$'!S481/'Final Data-US$'!R481-1</f>
        <v>1.6112723645614002E-2</v>
      </c>
      <c r="T547" s="81">
        <f>'Final Data-US$'!T481/'Final Data-US$'!S481-1</f>
        <v>7.9871617005085049E-3</v>
      </c>
      <c r="U547" s="81">
        <f>'Final Data-US$'!U481/'Final Data-US$'!T481-1</f>
        <v>1.2535622877926311E-2</v>
      </c>
      <c r="V547" s="81">
        <f>'Final Data-US$'!V481/'Final Data-US$'!U481-1</f>
        <v>1.1655343339074031E-2</v>
      </c>
      <c r="W547" s="106">
        <f>'Final Data-US$'!W481</f>
        <v>-4.8997894506850437E-2</v>
      </c>
      <c r="X547" s="106">
        <f>'Final Data-US$'!X481</f>
        <v>1.209922420888665E-2</v>
      </c>
    </row>
    <row r="548" spans="1:24">
      <c r="A548" s="55" t="str">
        <f>'Secondary cum Calculation'!A1026</f>
        <v>Poland</v>
      </c>
      <c r="B548" s="56" t="str">
        <f>'Secondary cum Calculation'!B1026</f>
        <v>Tourism Flows</v>
      </c>
      <c r="C548" s="56" t="str">
        <f>'Secondary cum Calculation'!C1026</f>
        <v>International Departures by Purpose of Visit</v>
      </c>
      <c r="D548" s="55" t="str">
        <f>'Secondary cum Calculation'!D1026</f>
        <v>Business</v>
      </c>
      <c r="E548" s="57"/>
      <c r="F548" s="57" t="str">
        <f>'Secondary cum Calculation'!F1026</f>
        <v>The number of international departures from a country who are engaging in travel &amp; tourism activities on behalf of their business or employer.</v>
      </c>
      <c r="G548" s="57" t="str">
        <f>'Secondary cum Calculation'!G1026</f>
        <v>Tourism Demand &amp; Flows Database</v>
      </c>
      <c r="H548" s="57" t="str">
        <f>'Secondary cum Calculation'!H1026</f>
        <v>Exists</v>
      </c>
      <c r="I548" s="57">
        <f>'Secondary cum Calculation'!I1026</f>
        <v>0</v>
      </c>
      <c r="J548" s="57" t="str">
        <f>'Secondary cum Calculation'!J1026</f>
        <v>Thousand</v>
      </c>
      <c r="K548" s="58">
        <f>'Secondary cum Calculation'!K1026</f>
        <v>0</v>
      </c>
      <c r="L548" s="59"/>
      <c r="M548" s="60">
        <f>'Final Data-US$'!M482/'Final Data-US$'!L482-1</f>
        <v>-0.24193458702639004</v>
      </c>
      <c r="N548" s="60">
        <f>'Final Data-US$'!N482/'Final Data-US$'!M482-1</f>
        <v>-0.21217322418801143</v>
      </c>
      <c r="O548" s="60">
        <f>'Final Data-US$'!O482/'Final Data-US$'!N482-1</f>
        <v>0.25978530063497374</v>
      </c>
      <c r="P548" s="60">
        <f>'Final Data-US$'!P482/'Final Data-US$'!O482-1</f>
        <v>-0.11979262877914687</v>
      </c>
      <c r="Q548" s="60">
        <f>'Final Data-US$'!Q482/'Final Data-US$'!P482-1</f>
        <v>-6.0377195342751211E-3</v>
      </c>
      <c r="R548" s="60">
        <f>'Final Data-US$'!R482/'Final Data-US$'!Q482-1</f>
        <v>1.4102602500743355E-2</v>
      </c>
      <c r="S548" s="60">
        <f>'Final Data-US$'!S482/'Final Data-US$'!R482-1</f>
        <v>1.847704887455337E-2</v>
      </c>
      <c r="T548" s="60">
        <f>'Final Data-US$'!T482/'Final Data-US$'!S482-1</f>
        <v>1.3511357997635809E-2</v>
      </c>
      <c r="U548" s="60">
        <f>'Final Data-US$'!U482/'Final Data-US$'!T482-1</f>
        <v>1.6741190366873493E-2</v>
      </c>
      <c r="V548" s="60">
        <f>'Final Data-US$'!V482/'Final Data-US$'!U482-1</f>
        <v>7.8401919225650207E-3</v>
      </c>
      <c r="W548" s="106">
        <f>'Final Data-US$'!W482</f>
        <v>-3.4681688260488563E-2</v>
      </c>
      <c r="X548" s="106">
        <f>'Final Data-US$'!X482</f>
        <v>1.4127994028339863E-2</v>
      </c>
    </row>
    <row r="549" spans="1:24">
      <c r="A549" s="55" t="str">
        <f>'Secondary cum Calculation'!A1028</f>
        <v>Poland</v>
      </c>
      <c r="B549" s="56" t="str">
        <f>'Secondary cum Calculation'!B1028</f>
        <v>Tourism Flows</v>
      </c>
      <c r="C549" s="56" t="str">
        <f>'Secondary cum Calculation'!C1028</f>
        <v>International Departures by Purpose of Visit</v>
      </c>
      <c r="D549" s="55" t="str">
        <f>'Secondary cum Calculation'!D1028</f>
        <v>Leisure</v>
      </c>
      <c r="E549" s="57"/>
      <c r="F549" s="57" t="str">
        <f>'Secondary cum Calculation'!F1028</f>
        <v>The number of international departures from a country who are engaging in travel &amp; tourism activities for personal reasons related to leisure.</v>
      </c>
      <c r="G549" s="57" t="str">
        <f>'Secondary cum Calculation'!G1028</f>
        <v>Tourism Demand &amp; Flows Database</v>
      </c>
      <c r="H549" s="57" t="str">
        <f>'Secondary cum Calculation'!H1028</f>
        <v>Exists</v>
      </c>
      <c r="I549" s="57">
        <f>'Secondary cum Calculation'!I1028</f>
        <v>0</v>
      </c>
      <c r="J549" s="57" t="str">
        <f>'Secondary cum Calculation'!J1028</f>
        <v>Thousand</v>
      </c>
      <c r="K549" s="58">
        <f>'Secondary cum Calculation'!K1028</f>
        <v>0</v>
      </c>
      <c r="L549" s="59"/>
      <c r="M549" s="60">
        <f>'Final Data-US$'!M483/'Final Data-US$'!L483-1</f>
        <v>0.2584137286676349</v>
      </c>
      <c r="N549" s="60">
        <f>'Final Data-US$'!N483/'Final Data-US$'!M483-1</f>
        <v>-0.19833058412408833</v>
      </c>
      <c r="O549" s="60">
        <f>'Final Data-US$'!O483/'Final Data-US$'!N483-1</f>
        <v>0.15764054652943549</v>
      </c>
      <c r="P549" s="60">
        <f>'Final Data-US$'!P483/'Final Data-US$'!O483-1</f>
        <v>-0.10592803953113927</v>
      </c>
      <c r="Q549" s="60">
        <f>'Final Data-US$'!Q483/'Final Data-US$'!P483-1</f>
        <v>-2.2958557062793594E-2</v>
      </c>
      <c r="R549" s="60">
        <f>'Final Data-US$'!R483/'Final Data-US$'!Q483-1</f>
        <v>1.1988431168128422E-2</v>
      </c>
      <c r="S549" s="60">
        <f>'Final Data-US$'!S483/'Final Data-US$'!R483-1</f>
        <v>1.5723331216964231E-2</v>
      </c>
      <c r="T549" s="60">
        <f>'Final Data-US$'!T483/'Final Data-US$'!S483-1</f>
        <v>6.8628687141594202E-3</v>
      </c>
      <c r="U549" s="60">
        <f>'Final Data-US$'!U483/'Final Data-US$'!T483-1</f>
        <v>1.1635261863767177E-2</v>
      </c>
      <c r="V549" s="60">
        <f>'Final Data-US$'!V483/'Final Data-US$'!U483-1</f>
        <v>1.301504692308697E-2</v>
      </c>
      <c r="W549" s="106">
        <f>'Final Data-US$'!W483</f>
        <v>-5.1114901710595406E-2</v>
      </c>
      <c r="X549" s="106">
        <f>'Final Data-US$'!X483</f>
        <v>1.1840902472200154E-2</v>
      </c>
    </row>
    <row r="550" spans="1:24">
      <c r="A550" s="55" t="str">
        <f>'Secondary cum Calculation'!A1030</f>
        <v>Poland</v>
      </c>
      <c r="B550" s="56" t="str">
        <f>'Secondary cum Calculation'!B1030</f>
        <v>Tourism Flows</v>
      </c>
      <c r="C550" s="56" t="str">
        <f>'Secondary cum Calculation'!C1030</f>
        <v>International Departures by Purpose of Visit</v>
      </c>
      <c r="D550" s="55" t="str">
        <f>'Secondary cum Calculation'!D1030</f>
        <v>Other Personal</v>
      </c>
      <c r="E550" s="55"/>
      <c r="F550" s="57" t="str">
        <f>'Secondary cum Calculation'!F1030</f>
        <v>The number of international departures from a country who are engaging in travel &amp; tourism activities for non-business or non-leisure related personal reasons, including for the purpose of pilgrimage, health and medical, education and training, transit, volunteer work (not included elsewhere), investigative work and migration possibilities, and the undertaking any other temporary non-remunerated activities not included elsewhere.</v>
      </c>
      <c r="G550" s="57" t="str">
        <f>'Secondary cum Calculation'!G1030</f>
        <v>Tourism Demand &amp; Flows Database</v>
      </c>
      <c r="H550" s="57" t="str">
        <f>'Secondary cum Calculation'!H1030</f>
        <v>Exists</v>
      </c>
      <c r="I550" s="57">
        <f>'Secondary cum Calculation'!I1030</f>
        <v>0</v>
      </c>
      <c r="J550" s="57" t="str">
        <f>'Secondary cum Calculation'!J1030</f>
        <v>Thousand</v>
      </c>
      <c r="K550" s="58">
        <f>'Secondary cum Calculation'!K1030</f>
        <v>0</v>
      </c>
      <c r="L550" s="59"/>
      <c r="M550" s="60">
        <f>'Final Data-US$'!M484/'Final Data-US$'!L484-1</f>
        <v>-0.21786901836056105</v>
      </c>
      <c r="N550" s="60">
        <f>'Final Data-US$'!N484/'Final Data-US$'!M484-1</f>
        <v>0.5015051491946112</v>
      </c>
      <c r="O550" s="60">
        <f>'Final Data-US$'!O484/'Final Data-US$'!N484-1</f>
        <v>-0.37379093243290695</v>
      </c>
      <c r="P550" s="60">
        <f>'Final Data-US$'!P484/'Final Data-US$'!O484-1</f>
        <v>-0.16707667039922081</v>
      </c>
      <c r="Q550" s="60">
        <f>'Final Data-US$'!Q484/'Final Data-US$'!P484-1</f>
        <v>-4.4408717136351528E-2</v>
      </c>
      <c r="R550" s="60">
        <f>'Final Data-US$'!R484/'Final Data-US$'!Q484-1</f>
        <v>8.258429119691657E-3</v>
      </c>
      <c r="S550" s="60">
        <f>'Final Data-US$'!S484/'Final Data-US$'!R484-1</f>
        <v>1.2699698294504014E-2</v>
      </c>
      <c r="T550" s="60">
        <f>'Final Data-US$'!T484/'Final Data-US$'!S484-1</f>
        <v>3.5278243550747046E-3</v>
      </c>
      <c r="U550" s="60">
        <f>'Final Data-US$'!U484/'Final Data-US$'!T484-1</f>
        <v>9.7604821728609625E-3</v>
      </c>
      <c r="V550" s="60">
        <f>'Final Data-US$'!V484/'Final Data-US$'!U484-1</f>
        <v>5.0947509782466316E-3</v>
      </c>
      <c r="W550" s="106">
        <f>'Final Data-US$'!W484</f>
        <v>-6.9897426696101883E-2</v>
      </c>
      <c r="X550" s="106">
        <f>'Final Data-US$'!X484</f>
        <v>7.8629191578536428E-3</v>
      </c>
    </row>
    <row r="551" spans="1:24">
      <c r="A551" s="46" t="e">
        <f>'Secondary cum Calculation'!#REF!</f>
        <v>#REF!</v>
      </c>
      <c r="B551" s="47" t="e">
        <f>'Secondary cum Calculation'!#REF!</f>
        <v>#REF!</v>
      </c>
      <c r="C551" s="46" t="e">
        <f>'Secondary cum Calculation'!#REF!</f>
        <v>#REF!</v>
      </c>
      <c r="D551" s="48"/>
      <c r="E551" s="48"/>
      <c r="F551" s="48" t="e">
        <f>'Secondary cum Calculation'!#REF!</f>
        <v>#REF!</v>
      </c>
      <c r="G551" s="48" t="e">
        <f>'Secondary cum Calculation'!#REF!</f>
        <v>#REF!</v>
      </c>
      <c r="H551" s="48" t="e">
        <f>'Secondary cum Calculation'!#REF!</f>
        <v>#REF!</v>
      </c>
      <c r="I551" s="48" t="e">
        <f>'Secondary cum Calculation'!#REF!</f>
        <v>#REF!</v>
      </c>
      <c r="J551" s="48" t="e">
        <f>'Secondary cum Calculation'!#REF!</f>
        <v>#REF!</v>
      </c>
      <c r="K551" s="49" t="e">
        <f>'Secondary cum Calculation'!#REF!</f>
        <v>#REF!</v>
      </c>
      <c r="L551" s="53"/>
      <c r="M551" s="51" t="e">
        <f>'Final Data-US$'!#REF!/'Final Data-US$'!#REF!-1</f>
        <v>#REF!</v>
      </c>
      <c r="N551" s="51" t="e">
        <f>'Final Data-US$'!#REF!/'Final Data-US$'!#REF!-1</f>
        <v>#REF!</v>
      </c>
      <c r="O551" s="51" t="e">
        <f>'Final Data-US$'!#REF!/'Final Data-US$'!#REF!-1</f>
        <v>#REF!</v>
      </c>
      <c r="P551" s="51" t="e">
        <f>'Final Data-US$'!#REF!/'Final Data-US$'!#REF!-1</f>
        <v>#REF!</v>
      </c>
      <c r="Q551" s="51" t="e">
        <f>'Final Data-US$'!#REF!/'Final Data-US$'!#REF!-1</f>
        <v>#REF!</v>
      </c>
      <c r="R551" s="51" t="e">
        <f>'Final Data-US$'!#REF!/'Final Data-US$'!#REF!-1</f>
        <v>#REF!</v>
      </c>
      <c r="S551" s="51" t="e">
        <f>'Final Data-US$'!#REF!/'Final Data-US$'!#REF!-1</f>
        <v>#REF!</v>
      </c>
      <c r="T551" s="51" t="e">
        <f>'Final Data-US$'!#REF!/'Final Data-US$'!#REF!-1</f>
        <v>#REF!</v>
      </c>
      <c r="U551" s="51" t="e">
        <f>'Final Data-US$'!#REF!/'Final Data-US$'!#REF!-1</f>
        <v>#REF!</v>
      </c>
      <c r="V551" s="51" t="e">
        <f>'Final Data-US$'!#REF!/'Final Data-US$'!#REF!-1</f>
        <v>#REF!</v>
      </c>
      <c r="W551" s="102" t="e">
        <f>'Final Data-US$'!#REF!</f>
        <v>#REF!</v>
      </c>
      <c r="X551" s="102" t="e">
        <f>'Final Data-US$'!#REF!</f>
        <v>#REF!</v>
      </c>
    </row>
    <row r="552" spans="1:24">
      <c r="A552" s="46" t="e">
        <f>'Secondary cum Calculation'!#REF!</f>
        <v>#REF!</v>
      </c>
      <c r="B552" s="47" t="e">
        <f>'Secondary cum Calculation'!#REF!</f>
        <v>#REF!</v>
      </c>
      <c r="C552" s="47" t="e">
        <f>'Secondary cum Calculation'!#REF!</f>
        <v>#REF!</v>
      </c>
      <c r="D552" s="46" t="e">
        <f>'Secondary cum Calculation'!#REF!</f>
        <v>#REF!</v>
      </c>
      <c r="E552" s="48"/>
      <c r="F552" s="48" t="e">
        <f>'Secondary cum Calculation'!#REF!</f>
        <v>#REF!</v>
      </c>
      <c r="G552" s="48" t="e">
        <f>'Secondary cum Calculation'!#REF!</f>
        <v>#REF!</v>
      </c>
      <c r="H552" s="48" t="e">
        <f>'Secondary cum Calculation'!#REF!</f>
        <v>#REF!</v>
      </c>
      <c r="I552" s="48" t="e">
        <f>'Secondary cum Calculation'!#REF!</f>
        <v>#REF!</v>
      </c>
      <c r="J552" s="48" t="e">
        <f>'Secondary cum Calculation'!#REF!</f>
        <v>#REF!</v>
      </c>
      <c r="K552" s="49" t="e">
        <f>'Secondary cum Calculation'!#REF!</f>
        <v>#REF!</v>
      </c>
      <c r="L552" s="53"/>
      <c r="M552" s="51" t="e">
        <f>'Final Data-US$'!#REF!/'Final Data-US$'!#REF!-1</f>
        <v>#REF!</v>
      </c>
      <c r="N552" s="51" t="e">
        <f>'Final Data-US$'!#REF!/'Final Data-US$'!#REF!-1</f>
        <v>#REF!</v>
      </c>
      <c r="O552" s="51" t="e">
        <f>'Final Data-US$'!#REF!/'Final Data-US$'!#REF!-1</f>
        <v>#REF!</v>
      </c>
      <c r="P552" s="51" t="e">
        <f>'Final Data-US$'!#REF!/'Final Data-US$'!#REF!-1</f>
        <v>#REF!</v>
      </c>
      <c r="Q552" s="51" t="e">
        <f>'Final Data-US$'!#REF!/'Final Data-US$'!#REF!-1</f>
        <v>#REF!</v>
      </c>
      <c r="R552" s="51" t="e">
        <f>'Final Data-US$'!#REF!/'Final Data-US$'!#REF!-1</f>
        <v>#REF!</v>
      </c>
      <c r="S552" s="51" t="e">
        <f>'Final Data-US$'!#REF!/'Final Data-US$'!#REF!-1</f>
        <v>#REF!</v>
      </c>
      <c r="T552" s="51" t="e">
        <f>'Final Data-US$'!#REF!/'Final Data-US$'!#REF!-1</f>
        <v>#REF!</v>
      </c>
      <c r="U552" s="51" t="e">
        <f>'Final Data-US$'!#REF!/'Final Data-US$'!#REF!-1</f>
        <v>#REF!</v>
      </c>
      <c r="V552" s="51" t="e">
        <f>'Final Data-US$'!#REF!/'Final Data-US$'!#REF!-1</f>
        <v>#REF!</v>
      </c>
      <c r="W552" s="102" t="e">
        <f>'Final Data-US$'!#REF!</f>
        <v>#REF!</v>
      </c>
      <c r="X552" s="102" t="e">
        <f>'Final Data-US$'!#REF!</f>
        <v>#REF!</v>
      </c>
    </row>
    <row r="553" spans="1:24">
      <c r="A553" s="46" t="e">
        <f>'Secondary cum Calculation'!#REF!</f>
        <v>#REF!</v>
      </c>
      <c r="B553" s="47" t="e">
        <f>'Secondary cum Calculation'!#REF!</f>
        <v>#REF!</v>
      </c>
      <c r="C553" s="47" t="e">
        <f>'Secondary cum Calculation'!#REF!</f>
        <v>#REF!</v>
      </c>
      <c r="D553" s="46" t="e">
        <f>'Secondary cum Calculation'!#REF!</f>
        <v>#REF!</v>
      </c>
      <c r="E553" s="48"/>
      <c r="F553" s="48" t="e">
        <f>'Secondary cum Calculation'!#REF!</f>
        <v>#REF!</v>
      </c>
      <c r="G553" s="48" t="e">
        <f>'Secondary cum Calculation'!#REF!</f>
        <v>#REF!</v>
      </c>
      <c r="H553" s="48" t="e">
        <f>'Secondary cum Calculation'!#REF!</f>
        <v>#REF!</v>
      </c>
      <c r="I553" s="48" t="e">
        <f>'Secondary cum Calculation'!#REF!</f>
        <v>#REF!</v>
      </c>
      <c r="J553" s="48" t="e">
        <f>'Secondary cum Calculation'!#REF!</f>
        <v>#REF!</v>
      </c>
      <c r="K553" s="49" t="e">
        <f>'Secondary cum Calculation'!#REF!</f>
        <v>#REF!</v>
      </c>
      <c r="L553" s="53"/>
      <c r="M553" s="51" t="e">
        <f>'Final Data-US$'!#REF!/'Final Data-US$'!#REF!-1</f>
        <v>#REF!</v>
      </c>
      <c r="N553" s="51" t="e">
        <f>'Final Data-US$'!#REF!/'Final Data-US$'!#REF!-1</f>
        <v>#REF!</v>
      </c>
      <c r="O553" s="51" t="e">
        <f>'Final Data-US$'!#REF!/'Final Data-US$'!#REF!-1</f>
        <v>#REF!</v>
      </c>
      <c r="P553" s="51" t="e">
        <f>'Final Data-US$'!#REF!/'Final Data-US$'!#REF!-1</f>
        <v>#REF!</v>
      </c>
      <c r="Q553" s="51" t="e">
        <f>'Final Data-US$'!#REF!/'Final Data-US$'!#REF!-1</f>
        <v>#REF!</v>
      </c>
      <c r="R553" s="51" t="e">
        <f>'Final Data-US$'!#REF!/'Final Data-US$'!#REF!-1</f>
        <v>#REF!</v>
      </c>
      <c r="S553" s="51" t="e">
        <f>'Final Data-US$'!#REF!/'Final Data-US$'!#REF!-1</f>
        <v>#REF!</v>
      </c>
      <c r="T553" s="51" t="e">
        <f>'Final Data-US$'!#REF!/'Final Data-US$'!#REF!-1</f>
        <v>#REF!</v>
      </c>
      <c r="U553" s="51" t="e">
        <f>'Final Data-US$'!#REF!/'Final Data-US$'!#REF!-1</f>
        <v>#REF!</v>
      </c>
      <c r="V553" s="51" t="e">
        <f>'Final Data-US$'!#REF!/'Final Data-US$'!#REF!-1</f>
        <v>#REF!</v>
      </c>
      <c r="W553" s="102" t="e">
        <f>'Final Data-US$'!#REF!</f>
        <v>#REF!</v>
      </c>
      <c r="X553" s="102" t="e">
        <f>'Final Data-US$'!#REF!</f>
        <v>#REF!</v>
      </c>
    </row>
    <row r="554" spans="1:24">
      <c r="A554" s="46" t="e">
        <f>'Secondary cum Calculation'!#REF!</f>
        <v>#REF!</v>
      </c>
      <c r="B554" s="47" t="e">
        <f>'Secondary cum Calculation'!#REF!</f>
        <v>#REF!</v>
      </c>
      <c r="C554" s="47" t="e">
        <f>'Secondary cum Calculation'!#REF!</f>
        <v>#REF!</v>
      </c>
      <c r="D554" s="46" t="e">
        <f>'Secondary cum Calculation'!#REF!</f>
        <v>#REF!</v>
      </c>
      <c r="E554" s="48"/>
      <c r="F554" s="48" t="e">
        <f>'Secondary cum Calculation'!#REF!</f>
        <v>#REF!</v>
      </c>
      <c r="G554" s="48" t="e">
        <f>'Secondary cum Calculation'!#REF!</f>
        <v>#REF!</v>
      </c>
      <c r="H554" s="48" t="e">
        <f>'Secondary cum Calculation'!#REF!</f>
        <v>#REF!</v>
      </c>
      <c r="I554" s="48" t="e">
        <f>'Secondary cum Calculation'!#REF!</f>
        <v>#REF!</v>
      </c>
      <c r="J554" s="48" t="e">
        <f>'Secondary cum Calculation'!#REF!</f>
        <v>#REF!</v>
      </c>
      <c r="K554" s="49" t="e">
        <f>'Secondary cum Calculation'!#REF!</f>
        <v>#REF!</v>
      </c>
      <c r="L554" s="53"/>
      <c r="M554" s="51" t="e">
        <f>'Final Data-US$'!#REF!/'Final Data-US$'!#REF!-1</f>
        <v>#REF!</v>
      </c>
      <c r="N554" s="51" t="e">
        <f>'Final Data-US$'!#REF!/'Final Data-US$'!#REF!-1</f>
        <v>#REF!</v>
      </c>
      <c r="O554" s="51" t="e">
        <f>'Final Data-US$'!#REF!/'Final Data-US$'!#REF!-1</f>
        <v>#REF!</v>
      </c>
      <c r="P554" s="51" t="e">
        <f>'Final Data-US$'!#REF!/'Final Data-US$'!#REF!-1</f>
        <v>#REF!</v>
      </c>
      <c r="Q554" s="51" t="e">
        <f>'Final Data-US$'!#REF!/'Final Data-US$'!#REF!-1</f>
        <v>#REF!</v>
      </c>
      <c r="R554" s="51" t="e">
        <f>'Final Data-US$'!#REF!/'Final Data-US$'!#REF!-1</f>
        <v>#REF!</v>
      </c>
      <c r="S554" s="51" t="e">
        <f>'Final Data-US$'!#REF!/'Final Data-US$'!#REF!-1</f>
        <v>#REF!</v>
      </c>
      <c r="T554" s="51" t="e">
        <f>'Final Data-US$'!#REF!/'Final Data-US$'!#REF!-1</f>
        <v>#REF!</v>
      </c>
      <c r="U554" s="51" t="e">
        <f>'Final Data-US$'!#REF!/'Final Data-US$'!#REF!-1</f>
        <v>#REF!</v>
      </c>
      <c r="V554" s="51" t="e">
        <f>'Final Data-US$'!#REF!/'Final Data-US$'!#REF!-1</f>
        <v>#REF!</v>
      </c>
      <c r="W554" s="102" t="e">
        <f>'Final Data-US$'!#REF!</f>
        <v>#REF!</v>
      </c>
      <c r="X554" s="102" t="e">
        <f>'Final Data-US$'!#REF!</f>
        <v>#REF!</v>
      </c>
    </row>
    <row r="555" spans="1:24">
      <c r="A555" s="46" t="e">
        <f>'Secondary cum Calculation'!#REF!</f>
        <v>#REF!</v>
      </c>
      <c r="B555" s="47" t="e">
        <f>'Secondary cum Calculation'!#REF!</f>
        <v>#REF!</v>
      </c>
      <c r="C555" s="47" t="e">
        <f>'Secondary cum Calculation'!#REF!</f>
        <v>#REF!</v>
      </c>
      <c r="D555" s="46" t="e">
        <f>'Secondary cum Calculation'!#REF!</f>
        <v>#REF!</v>
      </c>
      <c r="E555" s="48"/>
      <c r="F555" s="48" t="e">
        <f>'Secondary cum Calculation'!#REF!</f>
        <v>#REF!</v>
      </c>
      <c r="G555" s="48" t="e">
        <f>'Secondary cum Calculation'!#REF!</f>
        <v>#REF!</v>
      </c>
      <c r="H555" s="48" t="e">
        <f>'Secondary cum Calculation'!#REF!</f>
        <v>#REF!</v>
      </c>
      <c r="I555" s="48" t="e">
        <f>'Secondary cum Calculation'!#REF!</f>
        <v>#REF!</v>
      </c>
      <c r="J555" s="48" t="e">
        <f>'Secondary cum Calculation'!#REF!</f>
        <v>#REF!</v>
      </c>
      <c r="K555" s="49" t="e">
        <f>'Secondary cum Calculation'!#REF!</f>
        <v>#REF!</v>
      </c>
      <c r="L555" s="53"/>
      <c r="M555" s="51" t="e">
        <f>'Final Data-US$'!#REF!/'Final Data-US$'!#REF!-1</f>
        <v>#REF!</v>
      </c>
      <c r="N555" s="51" t="e">
        <f>'Final Data-US$'!#REF!/'Final Data-US$'!#REF!-1</f>
        <v>#REF!</v>
      </c>
      <c r="O555" s="51" t="e">
        <f>'Final Data-US$'!#REF!/'Final Data-US$'!#REF!-1</f>
        <v>#REF!</v>
      </c>
      <c r="P555" s="51" t="e">
        <f>'Final Data-US$'!#REF!/'Final Data-US$'!#REF!-1</f>
        <v>#REF!</v>
      </c>
      <c r="Q555" s="51" t="e">
        <f>'Final Data-US$'!#REF!/'Final Data-US$'!#REF!-1</f>
        <v>#REF!</v>
      </c>
      <c r="R555" s="51" t="e">
        <f>'Final Data-US$'!#REF!/'Final Data-US$'!#REF!-1</f>
        <v>#REF!</v>
      </c>
      <c r="S555" s="51" t="e">
        <f>'Final Data-US$'!#REF!/'Final Data-US$'!#REF!-1</f>
        <v>#REF!</v>
      </c>
      <c r="T555" s="51" t="e">
        <f>'Final Data-US$'!#REF!/'Final Data-US$'!#REF!-1</f>
        <v>#REF!</v>
      </c>
      <c r="U555" s="51" t="e">
        <f>'Final Data-US$'!#REF!/'Final Data-US$'!#REF!-1</f>
        <v>#REF!</v>
      </c>
      <c r="V555" s="51" t="e">
        <f>'Final Data-US$'!#REF!/'Final Data-US$'!#REF!-1</f>
        <v>#REF!</v>
      </c>
      <c r="W555" s="102" t="e">
        <f>'Final Data-US$'!#REF!</f>
        <v>#REF!</v>
      </c>
      <c r="X555" s="102" t="e">
        <f>'Final Data-US$'!#REF!</f>
        <v>#REF!</v>
      </c>
    </row>
    <row r="556" spans="1:24">
      <c r="A556" s="46" t="e">
        <f>'Secondary cum Calculation'!#REF!</f>
        <v>#REF!</v>
      </c>
      <c r="B556" s="47" t="e">
        <f>'Secondary cum Calculation'!#REF!</f>
        <v>#REF!</v>
      </c>
      <c r="C556" s="47" t="e">
        <f>'Secondary cum Calculation'!#REF!</f>
        <v>#REF!</v>
      </c>
      <c r="D556" s="46" t="e">
        <f>'Secondary cum Calculation'!#REF!</f>
        <v>#REF!</v>
      </c>
      <c r="E556" s="48"/>
      <c r="F556" s="48" t="e">
        <f>'Secondary cum Calculation'!#REF!</f>
        <v>#REF!</v>
      </c>
      <c r="G556" s="48" t="e">
        <f>'Secondary cum Calculation'!#REF!</f>
        <v>#REF!</v>
      </c>
      <c r="H556" s="48" t="e">
        <f>'Secondary cum Calculation'!#REF!</f>
        <v>#REF!</v>
      </c>
      <c r="I556" s="48" t="e">
        <f>'Secondary cum Calculation'!#REF!</f>
        <v>#REF!</v>
      </c>
      <c r="J556" s="48" t="e">
        <f>'Secondary cum Calculation'!#REF!</f>
        <v>#REF!</v>
      </c>
      <c r="K556" s="49" t="e">
        <f>'Secondary cum Calculation'!#REF!</f>
        <v>#REF!</v>
      </c>
      <c r="L556" s="53"/>
      <c r="M556" s="51" t="e">
        <f>'Final Data-US$'!#REF!/'Final Data-US$'!#REF!-1</f>
        <v>#REF!</v>
      </c>
      <c r="N556" s="51" t="e">
        <f>'Final Data-US$'!#REF!/'Final Data-US$'!#REF!-1</f>
        <v>#REF!</v>
      </c>
      <c r="O556" s="51" t="e">
        <f>'Final Data-US$'!#REF!/'Final Data-US$'!#REF!-1</f>
        <v>#REF!</v>
      </c>
      <c r="P556" s="51" t="e">
        <f>'Final Data-US$'!#REF!/'Final Data-US$'!#REF!-1</f>
        <v>#REF!</v>
      </c>
      <c r="Q556" s="51" t="e">
        <f>'Final Data-US$'!#REF!/'Final Data-US$'!#REF!-1</f>
        <v>#REF!</v>
      </c>
      <c r="R556" s="51" t="e">
        <f>'Final Data-US$'!#REF!/'Final Data-US$'!#REF!-1</f>
        <v>#REF!</v>
      </c>
      <c r="S556" s="51" t="e">
        <f>'Final Data-US$'!#REF!/'Final Data-US$'!#REF!-1</f>
        <v>#REF!</v>
      </c>
      <c r="T556" s="51" t="e">
        <f>'Final Data-US$'!#REF!/'Final Data-US$'!#REF!-1</f>
        <v>#REF!</v>
      </c>
      <c r="U556" s="51" t="e">
        <f>'Final Data-US$'!#REF!/'Final Data-US$'!#REF!-1</f>
        <v>#REF!</v>
      </c>
      <c r="V556" s="51" t="e">
        <f>'Final Data-US$'!#REF!/'Final Data-US$'!#REF!-1</f>
        <v>#REF!</v>
      </c>
      <c r="W556" s="102" t="e">
        <f>'Final Data-US$'!#REF!</f>
        <v>#REF!</v>
      </c>
      <c r="X556" s="102" t="e">
        <f>'Final Data-US$'!#REF!</f>
        <v>#REF!</v>
      </c>
    </row>
    <row r="557" spans="1:24">
      <c r="A557" s="46" t="e">
        <f>'Secondary cum Calculation'!#REF!</f>
        <v>#REF!</v>
      </c>
      <c r="B557" s="47" t="e">
        <f>'Secondary cum Calculation'!#REF!</f>
        <v>#REF!</v>
      </c>
      <c r="C557" s="47" t="e">
        <f>'Secondary cum Calculation'!#REF!</f>
        <v>#REF!</v>
      </c>
      <c r="D557" s="46" t="e">
        <f>'Secondary cum Calculation'!#REF!</f>
        <v>#REF!</v>
      </c>
      <c r="E557" s="48"/>
      <c r="F557" s="48" t="e">
        <f>'Secondary cum Calculation'!#REF!</f>
        <v>#REF!</v>
      </c>
      <c r="G557" s="48" t="e">
        <f>'Secondary cum Calculation'!#REF!</f>
        <v>#REF!</v>
      </c>
      <c r="H557" s="48" t="e">
        <f>'Secondary cum Calculation'!#REF!</f>
        <v>#REF!</v>
      </c>
      <c r="I557" s="48" t="e">
        <f>'Secondary cum Calculation'!#REF!</f>
        <v>#REF!</v>
      </c>
      <c r="J557" s="48" t="e">
        <f>'Secondary cum Calculation'!#REF!</f>
        <v>#REF!</v>
      </c>
      <c r="K557" s="49" t="e">
        <f>'Secondary cum Calculation'!#REF!</f>
        <v>#REF!</v>
      </c>
      <c r="L557" s="53"/>
      <c r="M557" s="51" t="e">
        <f>'Final Data-US$'!#REF!/'Final Data-US$'!#REF!-1</f>
        <v>#REF!</v>
      </c>
      <c r="N557" s="51" t="e">
        <f>'Final Data-US$'!#REF!/'Final Data-US$'!#REF!-1</f>
        <v>#REF!</v>
      </c>
      <c r="O557" s="51" t="e">
        <f>'Final Data-US$'!#REF!/'Final Data-US$'!#REF!-1</f>
        <v>#REF!</v>
      </c>
      <c r="P557" s="51" t="e">
        <f>'Final Data-US$'!#REF!/'Final Data-US$'!#REF!-1</f>
        <v>#REF!</v>
      </c>
      <c r="Q557" s="51" t="e">
        <f>'Final Data-US$'!#REF!/'Final Data-US$'!#REF!-1</f>
        <v>#REF!</v>
      </c>
      <c r="R557" s="51" t="e">
        <f>'Final Data-US$'!#REF!/'Final Data-US$'!#REF!-1</f>
        <v>#REF!</v>
      </c>
      <c r="S557" s="51" t="e">
        <f>'Final Data-US$'!#REF!/'Final Data-US$'!#REF!-1</f>
        <v>#REF!</v>
      </c>
      <c r="T557" s="51" t="e">
        <f>'Final Data-US$'!#REF!/'Final Data-US$'!#REF!-1</f>
        <v>#REF!</v>
      </c>
      <c r="U557" s="51" t="e">
        <f>'Final Data-US$'!#REF!/'Final Data-US$'!#REF!-1</f>
        <v>#REF!</v>
      </c>
      <c r="V557" s="51" t="e">
        <f>'Final Data-US$'!#REF!/'Final Data-US$'!#REF!-1</f>
        <v>#REF!</v>
      </c>
      <c r="W557" s="102" t="e">
        <f>'Final Data-US$'!#REF!</f>
        <v>#REF!</v>
      </c>
      <c r="X557" s="102" t="e">
        <f>'Final Data-US$'!#REF!</f>
        <v>#REF!</v>
      </c>
    </row>
    <row r="558" spans="1:24">
      <c r="A558" s="46" t="e">
        <f>'Secondary cum Calculation'!#REF!</f>
        <v>#REF!</v>
      </c>
      <c r="B558" s="47" t="e">
        <f>'Secondary cum Calculation'!#REF!</f>
        <v>#REF!</v>
      </c>
      <c r="C558" s="47" t="e">
        <f>'Secondary cum Calculation'!#REF!</f>
        <v>#REF!</v>
      </c>
      <c r="D558" s="46" t="e">
        <f>'Secondary cum Calculation'!#REF!</f>
        <v>#REF!</v>
      </c>
      <c r="E558" s="48"/>
      <c r="F558" s="48" t="e">
        <f>'Secondary cum Calculation'!#REF!</f>
        <v>#REF!</v>
      </c>
      <c r="G558" s="48" t="e">
        <f>'Secondary cum Calculation'!#REF!</f>
        <v>#REF!</v>
      </c>
      <c r="H558" s="48" t="e">
        <f>'Secondary cum Calculation'!#REF!</f>
        <v>#REF!</v>
      </c>
      <c r="I558" s="48" t="e">
        <f>'Secondary cum Calculation'!#REF!</f>
        <v>#REF!</v>
      </c>
      <c r="J558" s="48" t="e">
        <f>'Secondary cum Calculation'!#REF!</f>
        <v>#REF!</v>
      </c>
      <c r="K558" s="49" t="e">
        <f>'Secondary cum Calculation'!#REF!</f>
        <v>#REF!</v>
      </c>
      <c r="L558" s="53"/>
      <c r="M558" s="51" t="e">
        <f>'Final Data-US$'!#REF!/'Final Data-US$'!#REF!-1</f>
        <v>#REF!</v>
      </c>
      <c r="N558" s="51" t="e">
        <f>'Final Data-US$'!#REF!/'Final Data-US$'!#REF!-1</f>
        <v>#REF!</v>
      </c>
      <c r="O558" s="51" t="e">
        <f>'Final Data-US$'!#REF!/'Final Data-US$'!#REF!-1</f>
        <v>#REF!</v>
      </c>
      <c r="P558" s="51" t="e">
        <f>'Final Data-US$'!#REF!/'Final Data-US$'!#REF!-1</f>
        <v>#REF!</v>
      </c>
      <c r="Q558" s="51" t="e">
        <f>'Final Data-US$'!#REF!/'Final Data-US$'!#REF!-1</f>
        <v>#REF!</v>
      </c>
      <c r="R558" s="51" t="e">
        <f>'Final Data-US$'!#REF!/'Final Data-US$'!#REF!-1</f>
        <v>#REF!</v>
      </c>
      <c r="S558" s="51" t="e">
        <f>'Final Data-US$'!#REF!/'Final Data-US$'!#REF!-1</f>
        <v>#REF!</v>
      </c>
      <c r="T558" s="51" t="e">
        <f>'Final Data-US$'!#REF!/'Final Data-US$'!#REF!-1</f>
        <v>#REF!</v>
      </c>
      <c r="U558" s="51" t="e">
        <f>'Final Data-US$'!#REF!/'Final Data-US$'!#REF!-1</f>
        <v>#REF!</v>
      </c>
      <c r="V558" s="51" t="e">
        <f>'Final Data-US$'!#REF!/'Final Data-US$'!#REF!-1</f>
        <v>#REF!</v>
      </c>
      <c r="W558" s="102" t="e">
        <f>'Final Data-US$'!#REF!</f>
        <v>#REF!</v>
      </c>
      <c r="X558" s="102" t="e">
        <f>'Final Data-US$'!#REF!</f>
        <v>#REF!</v>
      </c>
    </row>
    <row r="559" spans="1:24">
      <c r="A559" s="46" t="e">
        <f>'Secondary cum Calculation'!#REF!</f>
        <v>#REF!</v>
      </c>
      <c r="B559" s="47" t="e">
        <f>'Secondary cum Calculation'!#REF!</f>
        <v>#REF!</v>
      </c>
      <c r="C559" s="47" t="e">
        <f>'Secondary cum Calculation'!#REF!</f>
        <v>#REF!</v>
      </c>
      <c r="D559" s="46" t="e">
        <f>'Secondary cum Calculation'!#REF!</f>
        <v>#REF!</v>
      </c>
      <c r="E559" s="48"/>
      <c r="F559" s="48" t="e">
        <f>'Secondary cum Calculation'!#REF!</f>
        <v>#REF!</v>
      </c>
      <c r="G559" s="48" t="e">
        <f>'Secondary cum Calculation'!#REF!</f>
        <v>#REF!</v>
      </c>
      <c r="H559" s="48" t="e">
        <f>'Secondary cum Calculation'!#REF!</f>
        <v>#REF!</v>
      </c>
      <c r="I559" s="48" t="e">
        <f>'Secondary cum Calculation'!#REF!</f>
        <v>#REF!</v>
      </c>
      <c r="J559" s="48" t="e">
        <f>'Secondary cum Calculation'!#REF!</f>
        <v>#REF!</v>
      </c>
      <c r="K559" s="49" t="e">
        <f>'Secondary cum Calculation'!#REF!</f>
        <v>#REF!</v>
      </c>
      <c r="L559" s="53"/>
      <c r="M559" s="51" t="e">
        <f>'Final Data-US$'!#REF!/'Final Data-US$'!#REF!-1</f>
        <v>#REF!</v>
      </c>
      <c r="N559" s="51" t="e">
        <f>'Final Data-US$'!#REF!/'Final Data-US$'!#REF!-1</f>
        <v>#REF!</v>
      </c>
      <c r="O559" s="51" t="e">
        <f>'Final Data-US$'!#REF!/'Final Data-US$'!#REF!-1</f>
        <v>#REF!</v>
      </c>
      <c r="P559" s="51" t="e">
        <f>'Final Data-US$'!#REF!/'Final Data-US$'!#REF!-1</f>
        <v>#REF!</v>
      </c>
      <c r="Q559" s="51" t="e">
        <f>'Final Data-US$'!#REF!/'Final Data-US$'!#REF!-1</f>
        <v>#REF!</v>
      </c>
      <c r="R559" s="51" t="e">
        <f>'Final Data-US$'!#REF!/'Final Data-US$'!#REF!-1</f>
        <v>#REF!</v>
      </c>
      <c r="S559" s="51" t="e">
        <f>'Final Data-US$'!#REF!/'Final Data-US$'!#REF!-1</f>
        <v>#REF!</v>
      </c>
      <c r="T559" s="51" t="e">
        <f>'Final Data-US$'!#REF!/'Final Data-US$'!#REF!-1</f>
        <v>#REF!</v>
      </c>
      <c r="U559" s="51" t="e">
        <f>'Final Data-US$'!#REF!/'Final Data-US$'!#REF!-1</f>
        <v>#REF!</v>
      </c>
      <c r="V559" s="51" t="e">
        <f>'Final Data-US$'!#REF!/'Final Data-US$'!#REF!-1</f>
        <v>#REF!</v>
      </c>
      <c r="W559" s="102" t="e">
        <f>'Final Data-US$'!#REF!</f>
        <v>#REF!</v>
      </c>
      <c r="X559" s="102" t="e">
        <f>'Final Data-US$'!#REF!</f>
        <v>#REF!</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L27"/>
  <sheetViews>
    <sheetView workbookViewId="0">
      <selection activeCell="X540" sqref="X540"/>
    </sheetView>
  </sheetViews>
  <sheetFormatPr defaultRowHeight="15"/>
  <cols>
    <col min="1" max="1" width="50.140625" bestFit="1" customWidth="1"/>
  </cols>
  <sheetData>
    <row r="1" spans="1:12">
      <c r="A1" s="44" t="s">
        <v>2</v>
      </c>
      <c r="B1" s="66">
        <v>2007</v>
      </c>
      <c r="C1" s="66">
        <v>2008</v>
      </c>
      <c r="D1" s="66">
        <v>2009</v>
      </c>
      <c r="E1" s="66">
        <v>2010</v>
      </c>
      <c r="F1" s="66">
        <v>2011</v>
      </c>
      <c r="G1" s="66">
        <v>2012</v>
      </c>
      <c r="H1" s="66">
        <v>2013</v>
      </c>
      <c r="I1" s="66">
        <v>2014</v>
      </c>
      <c r="J1" s="66">
        <v>2015</v>
      </c>
      <c r="K1" s="66">
        <v>2016</v>
      </c>
      <c r="L1" s="66">
        <v>2017</v>
      </c>
    </row>
    <row r="2" spans="1:12">
      <c r="A2" s="6" t="s">
        <v>27</v>
      </c>
      <c r="B2" t="b">
        <f>'Secondary cum Calculation'!L12='Secondary cum Calculation'!L14+'Secondary cum Calculation'!L16+'Secondary cum Calculation'!L18+'Secondary cum Calculation'!L20+'Secondary cum Calculation'!L22+'Secondary cum Calculation'!L24+'Secondary cum Calculation'!L26</f>
        <v>1</v>
      </c>
      <c r="C2" t="b">
        <f>'Secondary cum Calculation'!M12='Secondary cum Calculation'!M14+'Secondary cum Calculation'!M16+'Secondary cum Calculation'!M18+'Secondary cum Calculation'!M20+'Secondary cum Calculation'!M22+'Secondary cum Calculation'!M24+'Secondary cum Calculation'!M26</f>
        <v>1</v>
      </c>
      <c r="D2" t="b">
        <f>'Secondary cum Calculation'!N12='Secondary cum Calculation'!N14+'Secondary cum Calculation'!N16+'Secondary cum Calculation'!N18+'Secondary cum Calculation'!N20+'Secondary cum Calculation'!N22+'Secondary cum Calculation'!N24+'Secondary cum Calculation'!N26</f>
        <v>1</v>
      </c>
      <c r="E2" t="b">
        <f>'Secondary cum Calculation'!O12='Secondary cum Calculation'!O14+'Secondary cum Calculation'!O16+'Secondary cum Calculation'!O18+'Secondary cum Calculation'!O20+'Secondary cum Calculation'!O22+'Secondary cum Calculation'!O24+'Secondary cum Calculation'!O26</f>
        <v>1</v>
      </c>
      <c r="F2" t="b">
        <f>'Secondary cum Calculation'!P12='Secondary cum Calculation'!P14+'Secondary cum Calculation'!P16+'Secondary cum Calculation'!P18+'Secondary cum Calculation'!P20+'Secondary cum Calculation'!P22+'Secondary cum Calculation'!P24+'Secondary cum Calculation'!P26</f>
        <v>1</v>
      </c>
      <c r="G2" t="b">
        <f>'Secondary cum Calculation'!Q12='Secondary cum Calculation'!Q14+'Secondary cum Calculation'!Q16+'Secondary cum Calculation'!Q18+'Secondary cum Calculation'!Q20+'Secondary cum Calculation'!Q22+'Secondary cum Calculation'!Q24+'Secondary cum Calculation'!Q26</f>
        <v>1</v>
      </c>
      <c r="H2" t="b">
        <f>'Secondary cum Calculation'!R12='Secondary cum Calculation'!R14+'Secondary cum Calculation'!R16+'Secondary cum Calculation'!R18+'Secondary cum Calculation'!R20+'Secondary cum Calculation'!R22+'Secondary cum Calculation'!R24+'Secondary cum Calculation'!R26</f>
        <v>1</v>
      </c>
      <c r="I2" t="b">
        <f>'Secondary cum Calculation'!S12='Secondary cum Calculation'!S14+'Secondary cum Calculation'!S16+'Secondary cum Calculation'!S18+'Secondary cum Calculation'!S20+'Secondary cum Calculation'!S22+'Secondary cum Calculation'!S24+'Secondary cum Calculation'!S26</f>
        <v>1</v>
      </c>
      <c r="J2" t="b">
        <f>'Secondary cum Calculation'!T12='Secondary cum Calculation'!T14+'Secondary cum Calculation'!T16+'Secondary cum Calculation'!T18+'Secondary cum Calculation'!T20+'Secondary cum Calculation'!T22+'Secondary cum Calculation'!T24+'Secondary cum Calculation'!T26</f>
        <v>1</v>
      </c>
      <c r="K2" t="b">
        <f>'Secondary cum Calculation'!U12='Secondary cum Calculation'!U14+'Secondary cum Calculation'!U16+'Secondary cum Calculation'!U18+'Secondary cum Calculation'!U20+'Secondary cum Calculation'!U22+'Secondary cum Calculation'!U24+'Secondary cum Calculation'!U26</f>
        <v>1</v>
      </c>
      <c r="L2" t="b">
        <f>'Secondary cum Calculation'!V12='Secondary cum Calculation'!V14+'Secondary cum Calculation'!V16+'Secondary cum Calculation'!V18+'Secondary cum Calculation'!V20+'Secondary cum Calculation'!V22+'Secondary cum Calculation'!V24+'Secondary cum Calculation'!V26</f>
        <v>1</v>
      </c>
    </row>
    <row r="3" spans="1:12">
      <c r="A3" s="6" t="s">
        <v>35</v>
      </c>
      <c r="B3" t="b">
        <f>'Secondary cum Calculation'!L41='Secondary cum Calculation'!L43+'Secondary cum Calculation'!L45+'Secondary cum Calculation'!L47+'Secondary cum Calculation'!L49+'Secondary cum Calculation'!L51+'Secondary cum Calculation'!L53+'Secondary cum Calculation'!L55</f>
        <v>1</v>
      </c>
      <c r="C3" t="b">
        <f>'Secondary cum Calculation'!M41='Secondary cum Calculation'!M43+'Secondary cum Calculation'!M45+'Secondary cum Calculation'!M47+'Secondary cum Calculation'!M49+'Secondary cum Calculation'!M51+'Secondary cum Calculation'!M53+'Secondary cum Calculation'!M55</f>
        <v>1</v>
      </c>
      <c r="D3" t="b">
        <f>'Secondary cum Calculation'!N41='Secondary cum Calculation'!N43+'Secondary cum Calculation'!N45+'Secondary cum Calculation'!N47+'Secondary cum Calculation'!N49+'Secondary cum Calculation'!N51+'Secondary cum Calculation'!N53+'Secondary cum Calculation'!N55</f>
        <v>1</v>
      </c>
      <c r="E3" t="b">
        <f>'Secondary cum Calculation'!O41='Secondary cum Calculation'!O43+'Secondary cum Calculation'!O45+'Secondary cum Calculation'!O47+'Secondary cum Calculation'!O49+'Secondary cum Calculation'!O51+'Secondary cum Calculation'!O53+'Secondary cum Calculation'!O55</f>
        <v>1</v>
      </c>
      <c r="F3" t="b">
        <f>'Secondary cum Calculation'!P41='Secondary cum Calculation'!P43+'Secondary cum Calculation'!P45+'Secondary cum Calculation'!P47+'Secondary cum Calculation'!P49+'Secondary cum Calculation'!P51+'Secondary cum Calculation'!P53+'Secondary cum Calculation'!P55</f>
        <v>1</v>
      </c>
      <c r="G3" t="b">
        <f>'Secondary cum Calculation'!Q41='Secondary cum Calculation'!Q43+'Secondary cum Calculation'!Q45+'Secondary cum Calculation'!Q47+'Secondary cum Calculation'!Q49+'Secondary cum Calculation'!Q51+'Secondary cum Calculation'!Q53+'Secondary cum Calculation'!Q55</f>
        <v>1</v>
      </c>
      <c r="H3" t="b">
        <f>'Secondary cum Calculation'!R41='Secondary cum Calculation'!R43+'Secondary cum Calculation'!R45+'Secondary cum Calculation'!R47+'Secondary cum Calculation'!R49+'Secondary cum Calculation'!R51+'Secondary cum Calculation'!R53+'Secondary cum Calculation'!R55</f>
        <v>1</v>
      </c>
      <c r="I3" t="b">
        <f>'Secondary cum Calculation'!S41='Secondary cum Calculation'!S43+'Secondary cum Calculation'!S45+'Secondary cum Calculation'!S47+'Secondary cum Calculation'!S49+'Secondary cum Calculation'!S51+'Secondary cum Calculation'!S53+'Secondary cum Calculation'!S55</f>
        <v>1</v>
      </c>
      <c r="J3" t="b">
        <f>'Secondary cum Calculation'!T41='Secondary cum Calculation'!T43+'Secondary cum Calculation'!T45+'Secondary cum Calculation'!T47+'Secondary cum Calculation'!T49+'Secondary cum Calculation'!T51+'Secondary cum Calculation'!T53+'Secondary cum Calculation'!T55</f>
        <v>1</v>
      </c>
      <c r="K3" t="b">
        <f>'Secondary cum Calculation'!U41='Secondary cum Calculation'!U43+'Secondary cum Calculation'!U45+'Secondary cum Calculation'!U47+'Secondary cum Calculation'!U49+'Secondary cum Calculation'!U51+'Secondary cum Calculation'!U53+'Secondary cum Calculation'!U55</f>
        <v>1</v>
      </c>
      <c r="L3" t="b">
        <f>'Secondary cum Calculation'!V41='Secondary cum Calculation'!V43+'Secondary cum Calculation'!V45+'Secondary cum Calculation'!V47+'Secondary cum Calculation'!V49+'Secondary cum Calculation'!V51+'Secondary cum Calculation'!V53+'Secondary cum Calculation'!V55</f>
        <v>1</v>
      </c>
    </row>
    <row r="4" spans="1:12">
      <c r="A4" s="6" t="s">
        <v>36</v>
      </c>
      <c r="B4" t="b">
        <f>'Secondary cum Calculation'!L70='Secondary cum Calculation'!L72+'Secondary cum Calculation'!L74+'Secondary cum Calculation'!L76+'Secondary cum Calculation'!L78+'Secondary cum Calculation'!L80+'Secondary cum Calculation'!L82+'Secondary cum Calculation'!L84</f>
        <v>1</v>
      </c>
      <c r="C4" t="b">
        <f>'Secondary cum Calculation'!M70='Secondary cum Calculation'!M72+'Secondary cum Calculation'!M74+'Secondary cum Calculation'!M76+'Secondary cum Calculation'!M78+'Secondary cum Calculation'!M80+'Secondary cum Calculation'!M82+'Secondary cum Calculation'!M84</f>
        <v>1</v>
      </c>
      <c r="D4" t="b">
        <f>'Secondary cum Calculation'!N70='Secondary cum Calculation'!N72+'Secondary cum Calculation'!N74+'Secondary cum Calculation'!N76+'Secondary cum Calculation'!N78+'Secondary cum Calculation'!N80+'Secondary cum Calculation'!N82+'Secondary cum Calculation'!N84</f>
        <v>1</v>
      </c>
      <c r="E4" t="b">
        <f>'Secondary cum Calculation'!O70='Secondary cum Calculation'!O72+'Secondary cum Calculation'!O74+'Secondary cum Calculation'!O76+'Secondary cum Calculation'!O78+'Secondary cum Calculation'!O80+'Secondary cum Calculation'!O82+'Secondary cum Calculation'!O84</f>
        <v>1</v>
      </c>
      <c r="F4" t="b">
        <f>'Secondary cum Calculation'!P70='Secondary cum Calculation'!P72+'Secondary cum Calculation'!P74+'Secondary cum Calculation'!P76+'Secondary cum Calculation'!P78+'Secondary cum Calculation'!P80+'Secondary cum Calculation'!P82+'Secondary cum Calculation'!P84</f>
        <v>1</v>
      </c>
      <c r="G4" t="b">
        <f>'Secondary cum Calculation'!Q70='Secondary cum Calculation'!Q72+'Secondary cum Calculation'!Q74+'Secondary cum Calculation'!Q76+'Secondary cum Calculation'!Q78+'Secondary cum Calculation'!Q80+'Secondary cum Calculation'!Q82+'Secondary cum Calculation'!Q84</f>
        <v>1</v>
      </c>
      <c r="H4" t="b">
        <f>'Secondary cum Calculation'!R70='Secondary cum Calculation'!R72+'Secondary cum Calculation'!R74+'Secondary cum Calculation'!R76+'Secondary cum Calculation'!R78+'Secondary cum Calculation'!R80+'Secondary cum Calculation'!R82+'Secondary cum Calculation'!R84</f>
        <v>1</v>
      </c>
      <c r="I4" t="b">
        <f>'Secondary cum Calculation'!S70='Secondary cum Calculation'!S72+'Secondary cum Calculation'!S74+'Secondary cum Calculation'!S76+'Secondary cum Calculation'!S78+'Secondary cum Calculation'!S80+'Secondary cum Calculation'!S82+'Secondary cum Calculation'!S84</f>
        <v>1</v>
      </c>
      <c r="J4" t="b">
        <f>'Secondary cum Calculation'!T70='Secondary cum Calculation'!T72+'Secondary cum Calculation'!T74+'Secondary cum Calculation'!T76+'Secondary cum Calculation'!T78+'Secondary cum Calculation'!T80+'Secondary cum Calculation'!T82+'Secondary cum Calculation'!T84</f>
        <v>1</v>
      </c>
      <c r="K4" t="b">
        <f>'Secondary cum Calculation'!U70='Secondary cum Calculation'!U72+'Secondary cum Calculation'!U74+'Secondary cum Calculation'!U76+'Secondary cum Calculation'!U78+'Secondary cum Calculation'!U80+'Secondary cum Calculation'!U82+'Secondary cum Calculation'!U84</f>
        <v>1</v>
      </c>
      <c r="L4" t="b">
        <f>'Secondary cum Calculation'!V70='Secondary cum Calculation'!V72+'Secondary cum Calculation'!V74+'Secondary cum Calculation'!V76+'Secondary cum Calculation'!V78+'Secondary cum Calculation'!V80+'Secondary cum Calculation'!V82+'Secondary cum Calculation'!V84</f>
        <v>1</v>
      </c>
    </row>
    <row r="5" spans="1:12">
      <c r="A5" s="46" t="s">
        <v>45</v>
      </c>
      <c r="B5" t="b">
        <f>'Secondary cum Calculation'!L90='Secondary cum Calculation'!L92+'Secondary cum Calculation'!L94+'Secondary cum Calculation'!L96+'Secondary cum Calculation'!L98</f>
        <v>1</v>
      </c>
      <c r="C5" t="b">
        <f>'Secondary cum Calculation'!M90='Secondary cum Calculation'!M92+'Secondary cum Calculation'!M94+'Secondary cum Calculation'!M96+'Secondary cum Calculation'!M98</f>
        <v>1</v>
      </c>
      <c r="D5" t="b">
        <f>'Secondary cum Calculation'!N90='Secondary cum Calculation'!N92+'Secondary cum Calculation'!N94+'Secondary cum Calculation'!N96+'Secondary cum Calculation'!N98</f>
        <v>1</v>
      </c>
      <c r="E5" t="b">
        <f>'Secondary cum Calculation'!O90='Secondary cum Calculation'!O92+'Secondary cum Calculation'!O94+'Secondary cum Calculation'!O96+'Secondary cum Calculation'!O98</f>
        <v>1</v>
      </c>
      <c r="F5" t="b">
        <f>'Secondary cum Calculation'!P90='Secondary cum Calculation'!P92+'Secondary cum Calculation'!P94+'Secondary cum Calculation'!P96+'Secondary cum Calculation'!P98</f>
        <v>1</v>
      </c>
      <c r="G5" t="b">
        <f>'Secondary cum Calculation'!Q90='Secondary cum Calculation'!Q92+'Secondary cum Calculation'!Q94+'Secondary cum Calculation'!Q96+'Secondary cum Calculation'!Q98</f>
        <v>1</v>
      </c>
      <c r="H5" t="b">
        <f>'Secondary cum Calculation'!R90='Secondary cum Calculation'!R92+'Secondary cum Calculation'!R94+'Secondary cum Calculation'!R96+'Secondary cum Calculation'!R98</f>
        <v>1</v>
      </c>
      <c r="I5" t="b">
        <f>'Secondary cum Calculation'!S90='Secondary cum Calculation'!S92+'Secondary cum Calculation'!S94+'Secondary cum Calculation'!S96+'Secondary cum Calculation'!S98</f>
        <v>1</v>
      </c>
      <c r="J5" t="b">
        <f>'Secondary cum Calculation'!T90='Secondary cum Calculation'!T92+'Secondary cum Calculation'!T94+'Secondary cum Calculation'!T96+'Secondary cum Calculation'!T98</f>
        <v>1</v>
      </c>
      <c r="K5" t="b">
        <f>'Secondary cum Calculation'!U90='Secondary cum Calculation'!U92+'Secondary cum Calculation'!U94+'Secondary cum Calculation'!U96+'Secondary cum Calculation'!U98</f>
        <v>1</v>
      </c>
      <c r="L5" t="b">
        <f>'Secondary cum Calculation'!V90='Secondary cum Calculation'!V92+'Secondary cum Calculation'!V94+'Secondary cum Calculation'!V96+'Secondary cum Calculation'!V98</f>
        <v>1</v>
      </c>
    </row>
    <row r="6" spans="1:12">
      <c r="A6" s="6" t="s">
        <v>871</v>
      </c>
      <c r="B6" t="b">
        <f>'Secondary cum Calculation'!L107='Secondary cum Calculation'!L109+'Secondary cum Calculation'!L111</f>
        <v>1</v>
      </c>
      <c r="C6" t="b">
        <f>'Secondary cum Calculation'!M107='Secondary cum Calculation'!M109+'Secondary cum Calculation'!M111</f>
        <v>1</v>
      </c>
      <c r="D6" t="b">
        <f>'Secondary cum Calculation'!N107='Secondary cum Calculation'!N109+'Secondary cum Calculation'!N111</f>
        <v>1</v>
      </c>
      <c r="E6" t="b">
        <f>'Secondary cum Calculation'!O107='Secondary cum Calculation'!O109+'Secondary cum Calculation'!O111</f>
        <v>1</v>
      </c>
      <c r="F6" t="b">
        <f>'Secondary cum Calculation'!P107='Secondary cum Calculation'!P109+'Secondary cum Calculation'!P111</f>
        <v>1</v>
      </c>
      <c r="G6" t="b">
        <f>'Secondary cum Calculation'!Q107='Secondary cum Calculation'!Q109+'Secondary cum Calculation'!Q111</f>
        <v>1</v>
      </c>
      <c r="H6" t="b">
        <f>'Secondary cum Calculation'!R107='Secondary cum Calculation'!R109+'Secondary cum Calculation'!R111</f>
        <v>1</v>
      </c>
      <c r="I6" t="b">
        <f>'Secondary cum Calculation'!S107='Secondary cum Calculation'!S109+'Secondary cum Calculation'!S111</f>
        <v>1</v>
      </c>
      <c r="J6" t="b">
        <f>'Secondary cum Calculation'!T107='Secondary cum Calculation'!T109+'Secondary cum Calculation'!T111</f>
        <v>1</v>
      </c>
      <c r="K6" t="b">
        <f>'Secondary cum Calculation'!U107='Secondary cum Calculation'!U109+'Secondary cum Calculation'!U111</f>
        <v>1</v>
      </c>
      <c r="L6" t="b">
        <f>'Secondary cum Calculation'!V107='Secondary cum Calculation'!V109+'Secondary cum Calculation'!V111</f>
        <v>1</v>
      </c>
    </row>
    <row r="7" spans="1:12">
      <c r="A7" s="6" t="s">
        <v>97</v>
      </c>
      <c r="B7" t="b">
        <f>'Secondary cum Calculation'!L119='Secondary cum Calculation'!L121+'Secondary cum Calculation'!L123+'Secondary cum Calculation'!L125+'Secondary cum Calculation'!L127+'Secondary cum Calculation'!L129+'Secondary cum Calculation'!L131+'Secondary cum Calculation'!L133+'Secondary cum Calculation'!L135+'Secondary cum Calculation'!L137+'Secondary cum Calculation'!L139+'Secondary cum Calculation'!L141</f>
        <v>1</v>
      </c>
      <c r="C7" t="b">
        <f>'Secondary cum Calculation'!M119='Secondary cum Calculation'!M121+'Secondary cum Calculation'!M123+'Secondary cum Calculation'!M125+'Secondary cum Calculation'!M127+'Secondary cum Calculation'!M129+'Secondary cum Calculation'!M131+'Secondary cum Calculation'!M133+'Secondary cum Calculation'!M135+'Secondary cum Calculation'!M137+'Secondary cum Calculation'!M139+'Secondary cum Calculation'!M141</f>
        <v>1</v>
      </c>
      <c r="D7" t="b">
        <f>'Secondary cum Calculation'!N119='Secondary cum Calculation'!N121+'Secondary cum Calculation'!N123+'Secondary cum Calculation'!N125+'Secondary cum Calculation'!N127+'Secondary cum Calculation'!N129+'Secondary cum Calculation'!N131+'Secondary cum Calculation'!N133+'Secondary cum Calculation'!N135+'Secondary cum Calculation'!N137+'Secondary cum Calculation'!N139+'Secondary cum Calculation'!N141</f>
        <v>1</v>
      </c>
      <c r="E7" t="b">
        <f>'Secondary cum Calculation'!O119='Secondary cum Calculation'!O121+'Secondary cum Calculation'!O123+'Secondary cum Calculation'!O125+'Secondary cum Calculation'!O127+'Secondary cum Calculation'!O129+'Secondary cum Calculation'!O131+'Secondary cum Calculation'!O133+'Secondary cum Calculation'!O135+'Secondary cum Calculation'!O137+'Secondary cum Calculation'!O139+'Secondary cum Calculation'!O141</f>
        <v>1</v>
      </c>
      <c r="F7" t="b">
        <f>'Secondary cum Calculation'!P119='Secondary cum Calculation'!P121+'Secondary cum Calculation'!P123+'Secondary cum Calculation'!P125+'Secondary cum Calculation'!P127+'Secondary cum Calculation'!P129+'Secondary cum Calculation'!P131+'Secondary cum Calculation'!P133+'Secondary cum Calculation'!P135+'Secondary cum Calculation'!P137+'Secondary cum Calculation'!P139+'Secondary cum Calculation'!P141</f>
        <v>1</v>
      </c>
      <c r="G7" t="b">
        <f>'Secondary cum Calculation'!Q119='Secondary cum Calculation'!Q121+'Secondary cum Calculation'!Q123+'Secondary cum Calculation'!Q125+'Secondary cum Calculation'!Q127+'Secondary cum Calculation'!Q129+'Secondary cum Calculation'!Q131+'Secondary cum Calculation'!Q133+'Secondary cum Calculation'!Q135+'Secondary cum Calculation'!Q137+'Secondary cum Calculation'!Q139+'Secondary cum Calculation'!Q141</f>
        <v>1</v>
      </c>
      <c r="H7" t="b">
        <f>'Secondary cum Calculation'!R119='Secondary cum Calculation'!R121+'Secondary cum Calculation'!R123+'Secondary cum Calculation'!R125+'Secondary cum Calculation'!R127+'Secondary cum Calculation'!R129+'Secondary cum Calculation'!R131+'Secondary cum Calculation'!R133+'Secondary cum Calculation'!R135+'Secondary cum Calculation'!R137+'Secondary cum Calculation'!R139+'Secondary cum Calculation'!R141</f>
        <v>1</v>
      </c>
      <c r="I7" t="b">
        <f>'Secondary cum Calculation'!S119='Secondary cum Calculation'!S121+'Secondary cum Calculation'!S123+'Secondary cum Calculation'!S125+'Secondary cum Calculation'!S127+'Secondary cum Calculation'!S129+'Secondary cum Calculation'!S131+'Secondary cum Calculation'!S133+'Secondary cum Calculation'!S135+'Secondary cum Calculation'!S137+'Secondary cum Calculation'!S139+'Secondary cum Calculation'!S141</f>
        <v>1</v>
      </c>
      <c r="J7" t="b">
        <f>'Secondary cum Calculation'!T119='Secondary cum Calculation'!T121+'Secondary cum Calculation'!T123+'Secondary cum Calculation'!T125+'Secondary cum Calculation'!T127+'Secondary cum Calculation'!T129+'Secondary cum Calculation'!T131+'Secondary cum Calculation'!T133+'Secondary cum Calculation'!T135+'Secondary cum Calculation'!T137+'Secondary cum Calculation'!T139+'Secondary cum Calculation'!T141</f>
        <v>1</v>
      </c>
      <c r="K7" t="b">
        <f>'Secondary cum Calculation'!U119='Secondary cum Calculation'!U121+'Secondary cum Calculation'!U123+'Secondary cum Calculation'!U125+'Secondary cum Calculation'!U127+'Secondary cum Calculation'!U129+'Secondary cum Calculation'!U131+'Secondary cum Calculation'!U133+'Secondary cum Calculation'!U135+'Secondary cum Calculation'!U137+'Secondary cum Calculation'!U139+'Secondary cum Calculation'!U141</f>
        <v>1</v>
      </c>
      <c r="L7" t="b">
        <f>'Secondary cum Calculation'!V119='Secondary cum Calculation'!V121+'Secondary cum Calculation'!V123+'Secondary cum Calculation'!V125+'Secondary cum Calculation'!V127+'Secondary cum Calculation'!V129+'Secondary cum Calculation'!V131+'Secondary cum Calculation'!V133+'Secondary cum Calculation'!V135+'Secondary cum Calculation'!V137+'Secondary cum Calculation'!V139+'Secondary cum Calculation'!V141</f>
        <v>1</v>
      </c>
    </row>
    <row r="8" spans="1:12">
      <c r="A8" s="55" t="s">
        <v>883</v>
      </c>
      <c r="B8" t="b">
        <f>'Secondary cum Calculation'!L164='Secondary cum Calculation'!L166+'Secondary cum Calculation'!L168+'Secondary cum Calculation'!L170</f>
        <v>1</v>
      </c>
      <c r="C8" t="b">
        <f>'Secondary cum Calculation'!M164='Secondary cum Calculation'!M166+'Secondary cum Calculation'!M168+'Secondary cum Calculation'!M170</f>
        <v>1</v>
      </c>
      <c r="D8" t="b">
        <f>'Secondary cum Calculation'!N164='Secondary cum Calculation'!N166+'Secondary cum Calculation'!N168+'Secondary cum Calculation'!N170</f>
        <v>1</v>
      </c>
      <c r="E8" t="b">
        <f>'Secondary cum Calculation'!O164='Secondary cum Calculation'!O166+'Secondary cum Calculation'!O168+'Secondary cum Calculation'!O170</f>
        <v>1</v>
      </c>
      <c r="F8" t="b">
        <f>'Secondary cum Calculation'!P164='Secondary cum Calculation'!P166+'Secondary cum Calculation'!P168+'Secondary cum Calculation'!P170</f>
        <v>1</v>
      </c>
      <c r="G8" t="b">
        <f>'Secondary cum Calculation'!Q164='Secondary cum Calculation'!Q166+'Secondary cum Calculation'!Q168+'Secondary cum Calculation'!Q170</f>
        <v>1</v>
      </c>
      <c r="H8" t="b">
        <f>'Secondary cum Calculation'!R164='Secondary cum Calculation'!R166+'Secondary cum Calculation'!R168+'Secondary cum Calculation'!R170</f>
        <v>1</v>
      </c>
      <c r="I8" t="b">
        <f>'Secondary cum Calculation'!S164='Secondary cum Calculation'!S166+'Secondary cum Calculation'!S168+'Secondary cum Calculation'!S170</f>
        <v>1</v>
      </c>
      <c r="J8" t="b">
        <f>'Secondary cum Calculation'!T164='Secondary cum Calculation'!T166+'Secondary cum Calculation'!T168+'Secondary cum Calculation'!T170</f>
        <v>1</v>
      </c>
      <c r="K8" t="b">
        <f>'Secondary cum Calculation'!U164='Secondary cum Calculation'!U166+'Secondary cum Calculation'!U168+'Secondary cum Calculation'!U170</f>
        <v>1</v>
      </c>
      <c r="L8" t="b">
        <f>'Secondary cum Calculation'!V164='Secondary cum Calculation'!V166+'Secondary cum Calculation'!V168+'Secondary cum Calculation'!V170</f>
        <v>1</v>
      </c>
    </row>
    <row r="9" spans="1:12">
      <c r="A9" s="55" t="s">
        <v>894</v>
      </c>
      <c r="B9" t="b">
        <f>'Secondary cum Calculation'!L119='Secondary cum Calculation'!L164</f>
        <v>1</v>
      </c>
      <c r="C9" t="b">
        <f>'Secondary cum Calculation'!M119='Secondary cum Calculation'!M164</f>
        <v>1</v>
      </c>
      <c r="D9" t="b">
        <f>'Secondary cum Calculation'!N119='Secondary cum Calculation'!N164</f>
        <v>1</v>
      </c>
      <c r="E9" t="b">
        <f>'Secondary cum Calculation'!O119='Secondary cum Calculation'!O164</f>
        <v>1</v>
      </c>
      <c r="F9" t="b">
        <f>'Secondary cum Calculation'!P119='Secondary cum Calculation'!P164</f>
        <v>1</v>
      </c>
      <c r="G9" t="b">
        <f>'Secondary cum Calculation'!Q119='Secondary cum Calculation'!Q164</f>
        <v>1</v>
      </c>
      <c r="H9" t="b">
        <f>'Secondary cum Calculation'!R119='Secondary cum Calculation'!R164</f>
        <v>1</v>
      </c>
      <c r="I9" t="b">
        <f>'Secondary cum Calculation'!S119='Secondary cum Calculation'!S164</f>
        <v>1</v>
      </c>
      <c r="J9" t="b">
        <f>'Secondary cum Calculation'!T119='Secondary cum Calculation'!T164</f>
        <v>1</v>
      </c>
      <c r="K9" t="b">
        <f>'Secondary cum Calculation'!U119='Secondary cum Calculation'!U164</f>
        <v>1</v>
      </c>
      <c r="L9" t="b">
        <f>'Secondary cum Calculation'!V119='Secondary cum Calculation'!V164</f>
        <v>1</v>
      </c>
    </row>
    <row r="10" spans="1:12">
      <c r="A10" s="6" t="s">
        <v>130</v>
      </c>
      <c r="B10" t="b">
        <f>'Secondary cum Calculation'!L177=('Secondary cum Calculation'!L179+'Secondary cum Calculation'!L291+'Secondary cum Calculation'!L383+'Secondary cum Calculation'!L475+'Secondary cum Calculation'!L507+'Secondary cum Calculation'!L515)</f>
        <v>1</v>
      </c>
      <c r="C10" t="b">
        <f>'Secondary cum Calculation'!M177=('Secondary cum Calculation'!M179+'Secondary cum Calculation'!M291+'Secondary cum Calculation'!M383+'Secondary cum Calculation'!M475+'Secondary cum Calculation'!M507+'Secondary cum Calculation'!M515)</f>
        <v>1</v>
      </c>
      <c r="D10" t="b">
        <f>'Secondary cum Calculation'!N177=('Secondary cum Calculation'!N179+'Secondary cum Calculation'!N291+'Secondary cum Calculation'!N383+'Secondary cum Calculation'!N475+'Secondary cum Calculation'!N507+'Secondary cum Calculation'!N515)</f>
        <v>1</v>
      </c>
      <c r="E10" t="b">
        <f>'Secondary cum Calculation'!O177=('Secondary cum Calculation'!O179+'Secondary cum Calculation'!O291+'Secondary cum Calculation'!O383+'Secondary cum Calculation'!O475+'Secondary cum Calculation'!O507+'Secondary cum Calculation'!O515)</f>
        <v>1</v>
      </c>
      <c r="F10" t="b">
        <f>'Secondary cum Calculation'!P177=('Secondary cum Calculation'!P179+'Secondary cum Calculation'!P291+'Secondary cum Calculation'!P383+'Secondary cum Calculation'!P475+'Secondary cum Calculation'!P507+'Secondary cum Calculation'!P515)</f>
        <v>1</v>
      </c>
      <c r="G10" t="b">
        <f>'Secondary cum Calculation'!Q177=('Secondary cum Calculation'!Q179+'Secondary cum Calculation'!Q291+'Secondary cum Calculation'!Q383+'Secondary cum Calculation'!Q475+'Secondary cum Calculation'!Q507+'Secondary cum Calculation'!Q515)</f>
        <v>1</v>
      </c>
      <c r="H10" t="b">
        <f>'Secondary cum Calculation'!R177=('Secondary cum Calculation'!R179+'Secondary cum Calculation'!R291+'Secondary cum Calculation'!R383+'Secondary cum Calculation'!R475+'Secondary cum Calculation'!R507+'Secondary cum Calculation'!R515)</f>
        <v>1</v>
      </c>
      <c r="I10" t="b">
        <f>'Secondary cum Calculation'!S177=('Secondary cum Calculation'!S179+'Secondary cum Calculation'!S291+'Secondary cum Calculation'!S383+'Secondary cum Calculation'!S475+'Secondary cum Calculation'!S507+'Secondary cum Calculation'!S515)</f>
        <v>1</v>
      </c>
      <c r="J10" t="b">
        <f>'Secondary cum Calculation'!T177=('Secondary cum Calculation'!T179+'Secondary cum Calculation'!T291+'Secondary cum Calculation'!T383+'Secondary cum Calculation'!T475+'Secondary cum Calculation'!T507+'Secondary cum Calculation'!T515)</f>
        <v>1</v>
      </c>
      <c r="K10" t="b">
        <f>'Secondary cum Calculation'!U177=('Secondary cum Calculation'!U179+'Secondary cum Calculation'!U291+'Secondary cum Calculation'!U383+'Secondary cum Calculation'!U475+'Secondary cum Calculation'!U507+'Secondary cum Calculation'!U515)</f>
        <v>1</v>
      </c>
      <c r="L10" t="b">
        <f>'Secondary cum Calculation'!V177=('Secondary cum Calculation'!V179+'Secondary cum Calculation'!V291+'Secondary cum Calculation'!V383+'Secondary cum Calculation'!V475+'Secondary cum Calculation'!V507+'Secondary cum Calculation'!V515)</f>
        <v>1</v>
      </c>
    </row>
    <row r="11" spans="1:12">
      <c r="A11" t="s">
        <v>895</v>
      </c>
      <c r="B11" t="b">
        <f>'Final Data-US$'!L62=SUM('Final Data-US$'!L63:L117)</f>
        <v>1</v>
      </c>
      <c r="C11" t="b">
        <f>'Final Data-US$'!M62=SUM('Final Data-US$'!M63:M117)</f>
        <v>1</v>
      </c>
      <c r="D11" t="b">
        <f>'Final Data-US$'!N62=SUM('Final Data-US$'!N63:N117)</f>
        <v>1</v>
      </c>
      <c r="E11" t="b">
        <f>'Final Data-US$'!O62=SUM('Final Data-US$'!O63:O117)</f>
        <v>1</v>
      </c>
      <c r="F11" t="b">
        <f>'Final Data-US$'!P62=SUM('Final Data-US$'!P63:P117)</f>
        <v>1</v>
      </c>
    </row>
    <row r="12" spans="1:12">
      <c r="A12" t="s">
        <v>896</v>
      </c>
      <c r="B12" t="b">
        <f>'Final Data-US$'!L118=SUM('Final Data-US$'!L119:L163)</f>
        <v>1</v>
      </c>
      <c r="C12" t="b">
        <f>'Final Data-US$'!M118=SUM('Final Data-US$'!M119:M163)</f>
        <v>1</v>
      </c>
      <c r="D12" t="b">
        <f>'Final Data-US$'!N118=SUM('Final Data-US$'!N119:N163)</f>
        <v>1</v>
      </c>
      <c r="E12" t="b">
        <f>'Final Data-US$'!O118=SUM('Final Data-US$'!O119:O163)</f>
        <v>1</v>
      </c>
      <c r="F12" t="b">
        <f>'Final Data-US$'!P118=SUM('Final Data-US$'!P119:P163)</f>
        <v>1</v>
      </c>
    </row>
    <row r="13" spans="1:12">
      <c r="A13" t="s">
        <v>897</v>
      </c>
      <c r="B13" t="b">
        <f>'Final Data-US$'!L164=SUM('Final Data-US$'!L165:L209)</f>
        <v>1</v>
      </c>
      <c r="C13" t="b">
        <f>'Final Data-US$'!M164=SUM('Final Data-US$'!M165:M209)</f>
        <v>1</v>
      </c>
      <c r="D13" t="b">
        <f>'Final Data-US$'!N164=SUM('Final Data-US$'!N165:N209)</f>
        <v>1</v>
      </c>
      <c r="E13" t="b">
        <f>'Final Data-US$'!O164=SUM('Final Data-US$'!O165:O209)</f>
        <v>1</v>
      </c>
      <c r="F13" t="b">
        <f>'Final Data-US$'!P164=SUM('Final Data-US$'!P165:P209)</f>
        <v>1</v>
      </c>
    </row>
    <row r="14" spans="1:12">
      <c r="A14" t="s">
        <v>898</v>
      </c>
      <c r="B14" t="b">
        <f>'Final Data-US$'!L210=SUM('Final Data-US$'!L211:L225)</f>
        <v>1</v>
      </c>
      <c r="C14" t="b">
        <f>'Final Data-US$'!M210=SUM('Final Data-US$'!M211:M225)</f>
        <v>1</v>
      </c>
      <c r="D14" t="b">
        <f>'Final Data-US$'!N210=SUM('Final Data-US$'!N211:N225)</f>
        <v>1</v>
      </c>
      <c r="E14" t="b">
        <f>'Final Data-US$'!O210=SUM('Final Data-US$'!O211:O225)</f>
        <v>1</v>
      </c>
      <c r="F14" t="b">
        <f>'Final Data-US$'!P210=SUM('Final Data-US$'!P211:P225)</f>
        <v>1</v>
      </c>
    </row>
    <row r="15" spans="1:12">
      <c r="A15" t="s">
        <v>899</v>
      </c>
      <c r="B15" t="b">
        <f>'Final Data-US$'!L226=SUM('Final Data-US$'!L227:L229)</f>
        <v>1</v>
      </c>
      <c r="C15" t="b">
        <f>'Final Data-US$'!M226=SUM('Final Data-US$'!M227:M229)</f>
        <v>1</v>
      </c>
      <c r="D15" t="b">
        <f>'Final Data-US$'!N226=SUM('Final Data-US$'!N227:N229)</f>
        <v>1</v>
      </c>
      <c r="E15" t="b">
        <f>'Final Data-US$'!O226=SUM('Final Data-US$'!O227:O229)</f>
        <v>1</v>
      </c>
      <c r="F15" t="b">
        <f>'Final Data-US$'!P226=SUM('Final Data-US$'!P227:P229)</f>
        <v>1</v>
      </c>
    </row>
    <row r="16" spans="1:12">
      <c r="A16" t="s">
        <v>900</v>
      </c>
      <c r="B16" t="b">
        <f>'Final Data-US$'!L230=SUM('Final Data-US$'!L231:L268)</f>
        <v>1</v>
      </c>
      <c r="C16" t="b">
        <f>'Final Data-US$'!M230=SUM('Final Data-US$'!M231:M268)</f>
        <v>1</v>
      </c>
      <c r="D16" t="b">
        <f>'Final Data-US$'!N230=SUM('Final Data-US$'!N231:N268)</f>
        <v>1</v>
      </c>
      <c r="E16" t="b">
        <f>'Final Data-US$'!O230=SUM('Final Data-US$'!O231:O268)</f>
        <v>1</v>
      </c>
      <c r="F16" t="b">
        <f>'Final Data-US$'!P230=SUM('Final Data-US$'!P231:P268)</f>
        <v>1</v>
      </c>
    </row>
    <row r="17" spans="1:12">
      <c r="A17" t="s">
        <v>885</v>
      </c>
      <c r="B17" t="b">
        <f>'Final Data-US$'!L269=SUM('Final Data-US$'!L270:L272)</f>
        <v>1</v>
      </c>
      <c r="C17" t="b">
        <f>'Final Data-US$'!M269=SUM('Final Data-US$'!M270:M272)</f>
        <v>1</v>
      </c>
      <c r="D17" t="b">
        <f>'Final Data-US$'!N269=SUM('Final Data-US$'!N270:N272)</f>
        <v>1</v>
      </c>
      <c r="E17" t="b">
        <f>'Final Data-US$'!O269=SUM('Final Data-US$'!O270:O272)</f>
        <v>1</v>
      </c>
      <c r="F17" t="b">
        <f>'Final Data-US$'!P269=SUM('Final Data-US$'!P270:P272)</f>
        <v>1</v>
      </c>
      <c r="G17" t="b">
        <f>'Final Data-US$'!Q269=SUM('Final Data-US$'!Q270:Q272)</f>
        <v>1</v>
      </c>
      <c r="H17" t="b">
        <f>'Final Data-US$'!R269=SUM('Final Data-US$'!R270:R272)</f>
        <v>1</v>
      </c>
      <c r="I17" t="b">
        <f>'Final Data-US$'!S269=SUM('Final Data-US$'!S270:S272)</f>
        <v>1</v>
      </c>
      <c r="J17" t="b">
        <f>'Final Data-US$'!T269=SUM('Final Data-US$'!T270:T272)</f>
        <v>1</v>
      </c>
      <c r="K17" t="b">
        <f>'Final Data-US$'!U269=SUM('Final Data-US$'!U270:U272)</f>
        <v>1</v>
      </c>
      <c r="L17" t="b">
        <f>'Final Data-US$'!V269=SUM('Final Data-US$'!V270:V272)</f>
        <v>1</v>
      </c>
    </row>
    <row r="18" spans="1:12">
      <c r="A18" t="s">
        <v>901</v>
      </c>
      <c r="B18" s="357" t="b">
        <f>'Final Data-US$'!L269='Final Data-US$'!L61</f>
        <v>1</v>
      </c>
      <c r="C18" t="b">
        <f>'Final Data-US$'!M269='Final Data-US$'!M61</f>
        <v>1</v>
      </c>
      <c r="D18" t="b">
        <f>'Final Data-US$'!N269='Final Data-US$'!N61</f>
        <v>1</v>
      </c>
      <c r="E18" t="b">
        <f>'Final Data-US$'!O269='Final Data-US$'!O61</f>
        <v>1</v>
      </c>
      <c r="F18" t="b">
        <f>'Final Data-US$'!P269='Final Data-US$'!P61</f>
        <v>1</v>
      </c>
      <c r="G18" t="b">
        <f>'Final Data-US$'!Q269='Final Data-US$'!Q61</f>
        <v>1</v>
      </c>
      <c r="H18" t="b">
        <f>'Final Data-US$'!R269='Final Data-US$'!R61</f>
        <v>1</v>
      </c>
      <c r="I18" t="b">
        <f>'Final Data-US$'!S269='Final Data-US$'!S61</f>
        <v>1</v>
      </c>
      <c r="J18" t="b">
        <f>'Final Data-US$'!T269='Final Data-US$'!T61</f>
        <v>1</v>
      </c>
      <c r="K18" t="b">
        <f>'Final Data-US$'!U269='Final Data-US$'!U61</f>
        <v>1</v>
      </c>
      <c r="L18" t="b">
        <f>'Final Data-US$'!V269='Final Data-US$'!V61</f>
        <v>1</v>
      </c>
    </row>
    <row r="19" spans="1:12">
      <c r="A19" t="s">
        <v>902</v>
      </c>
      <c r="B19" t="b">
        <f>'Final Data-US$'!L273='Final Data-US$'!L274+'Final Data-US$'!L330+'Final Data-US$'!L376+'Final Data-US$'!L422+'Final Data-US$'!L438+'Final Data-US$'!L442</f>
        <v>1</v>
      </c>
      <c r="C19" t="b">
        <f>'Final Data-US$'!M273='Final Data-US$'!M274+'Final Data-US$'!M330+'Final Data-US$'!M376+'Final Data-US$'!M422+'Final Data-US$'!M438+'Final Data-US$'!M442</f>
        <v>1</v>
      </c>
      <c r="D19" t="b">
        <f>'Final Data-US$'!N273='Final Data-US$'!N274+'Final Data-US$'!N330+'Final Data-US$'!N376+'Final Data-US$'!N422+'Final Data-US$'!N438+'Final Data-US$'!N442</f>
        <v>1</v>
      </c>
      <c r="E19" t="b">
        <f>'Final Data-US$'!O273='Final Data-US$'!O274+'Final Data-US$'!O330+'Final Data-US$'!O376+'Final Data-US$'!O422+'Final Data-US$'!O438+'Final Data-US$'!O442</f>
        <v>1</v>
      </c>
      <c r="F19" t="b">
        <f>'Final Data-US$'!P273='Final Data-US$'!P274+'Final Data-US$'!P330+'Final Data-US$'!P376+'Final Data-US$'!P422+'Final Data-US$'!P438+'Final Data-US$'!P442</f>
        <v>1</v>
      </c>
      <c r="G19" t="b">
        <f>'Final Data-US$'!Q273='Final Data-US$'!Q274+'Final Data-US$'!Q330+'Final Data-US$'!Q376+'Final Data-US$'!Q422+'Final Data-US$'!Q438+'Final Data-US$'!Q442</f>
        <v>1</v>
      </c>
      <c r="H19" t="b">
        <f>'Final Data-US$'!R273='Final Data-US$'!R274+'Final Data-US$'!R330+'Final Data-US$'!R376+'Final Data-US$'!R422+'Final Data-US$'!R438+'Final Data-US$'!R442</f>
        <v>1</v>
      </c>
      <c r="I19" t="b">
        <f>'Final Data-US$'!S273='Final Data-US$'!S274+'Final Data-US$'!S330+'Final Data-US$'!S376+'Final Data-US$'!S422+'Final Data-US$'!S438+'Final Data-US$'!S442</f>
        <v>1</v>
      </c>
      <c r="J19" t="b">
        <f>'Final Data-US$'!T273='Final Data-US$'!T274+'Final Data-US$'!T330+'Final Data-US$'!T376+'Final Data-US$'!T422+'Final Data-US$'!T438+'Final Data-US$'!T442</f>
        <v>1</v>
      </c>
      <c r="K19" t="b">
        <f>'Final Data-US$'!U273='Final Data-US$'!U274+'Final Data-US$'!U330+'Final Data-US$'!U376+'Final Data-US$'!U422+'Final Data-US$'!U438+'Final Data-US$'!U442</f>
        <v>1</v>
      </c>
      <c r="L19" t="b">
        <f>'Final Data-US$'!V273='Final Data-US$'!V274+'Final Data-US$'!V330+'Final Data-US$'!V376+'Final Data-US$'!V422+'Final Data-US$'!V438+'Final Data-US$'!V442</f>
        <v>1</v>
      </c>
    </row>
    <row r="20" spans="1:12">
      <c r="A20" t="s">
        <v>903</v>
      </c>
      <c r="B20" t="b">
        <f>'Final Data-US$'!L274=SUM('Final Data-US$'!L275:L329)</f>
        <v>1</v>
      </c>
      <c r="C20" t="b">
        <f>'Final Data-US$'!M274=SUM('Final Data-US$'!M275:M329)</f>
        <v>1</v>
      </c>
      <c r="D20" t="b">
        <f>'Final Data-US$'!N274=SUM('Final Data-US$'!N275:N329)</f>
        <v>1</v>
      </c>
      <c r="E20" t="b">
        <f>'Final Data-US$'!O274=SUM('Final Data-US$'!O275:O329)</f>
        <v>1</v>
      </c>
      <c r="F20" t="b">
        <f>'Final Data-US$'!P274=SUM('Final Data-US$'!P275:P329)</f>
        <v>1</v>
      </c>
    </row>
    <row r="21" spans="1:12">
      <c r="A21" t="s">
        <v>904</v>
      </c>
      <c r="B21" t="b">
        <f>'Final Data-US$'!L330=SUM('Final Data-US$'!L331:L375)</f>
        <v>1</v>
      </c>
      <c r="C21" t="b">
        <f>'Final Data-US$'!M330=SUM('Final Data-US$'!M331:M375)</f>
        <v>1</v>
      </c>
      <c r="D21" t="b">
        <f>'Final Data-US$'!N330=SUM('Final Data-US$'!N331:N375)</f>
        <v>1</v>
      </c>
      <c r="E21" t="b">
        <f>'Final Data-US$'!O330=SUM('Final Data-US$'!O331:O375)</f>
        <v>1</v>
      </c>
      <c r="F21" t="b">
        <f>'Final Data-US$'!P330=SUM('Final Data-US$'!P331:P375)</f>
        <v>1</v>
      </c>
    </row>
    <row r="22" spans="1:12">
      <c r="A22" t="s">
        <v>905</v>
      </c>
      <c r="B22" t="b">
        <f>'Final Data-US$'!L376=SUM('Final Data-US$'!L377:L421)</f>
        <v>1</v>
      </c>
      <c r="C22" t="b">
        <f>'Final Data-US$'!M376=SUM('Final Data-US$'!M377:M421)</f>
        <v>1</v>
      </c>
      <c r="D22" t="b">
        <f>'Final Data-US$'!N376=SUM('Final Data-US$'!N377:N421)</f>
        <v>1</v>
      </c>
      <c r="E22" t="b">
        <f>'Final Data-US$'!O376=SUM('Final Data-US$'!O377:O421)</f>
        <v>1</v>
      </c>
      <c r="F22" t="b">
        <f>'Final Data-US$'!P376=SUM('Final Data-US$'!P377:P421)</f>
        <v>1</v>
      </c>
    </row>
    <row r="23" spans="1:12">
      <c r="A23" t="s">
        <v>906</v>
      </c>
      <c r="B23" t="b">
        <f>'Final Data-US$'!L422=SUM('Final Data-US$'!L423:L437)</f>
        <v>1</v>
      </c>
      <c r="C23" t="b">
        <f>'Final Data-US$'!M422=SUM('Final Data-US$'!M423:M437)</f>
        <v>1</v>
      </c>
      <c r="D23" t="b">
        <f>'Final Data-US$'!N422=SUM('Final Data-US$'!N423:N437)</f>
        <v>1</v>
      </c>
      <c r="E23" t="b">
        <f>'Final Data-US$'!O422=SUM('Final Data-US$'!O423:O437)</f>
        <v>1</v>
      </c>
      <c r="F23" t="b">
        <f>'Final Data-US$'!P422=SUM('Final Data-US$'!P423:P437)</f>
        <v>1</v>
      </c>
    </row>
    <row r="24" spans="1:12">
      <c r="A24" t="s">
        <v>907</v>
      </c>
      <c r="B24" t="b">
        <f>'Final Data-US$'!L438=SUM('Final Data-US$'!L439:L441)</f>
        <v>1</v>
      </c>
      <c r="C24" t="b">
        <f>'Final Data-US$'!M438=SUM('Final Data-US$'!M439:M441)</f>
        <v>1</v>
      </c>
      <c r="D24" t="b">
        <f>'Final Data-US$'!N438=SUM('Final Data-US$'!N439:N441)</f>
        <v>1</v>
      </c>
      <c r="E24" t="b">
        <f>'Final Data-US$'!O438=SUM('Final Data-US$'!O439:O441)</f>
        <v>1</v>
      </c>
      <c r="F24" t="b">
        <f>'Final Data-US$'!P438=SUM('Final Data-US$'!P439:P441)</f>
        <v>1</v>
      </c>
    </row>
    <row r="25" spans="1:12">
      <c r="A25" t="s">
        <v>908</v>
      </c>
      <c r="B25" t="b">
        <f>'Final Data-US$'!L442=SUM('Final Data-US$'!L443:L480)</f>
        <v>1</v>
      </c>
      <c r="C25" t="b">
        <f>'Final Data-US$'!M442=SUM('Final Data-US$'!M443:M480)</f>
        <v>1</v>
      </c>
      <c r="D25" t="b">
        <f>'Final Data-US$'!N442=SUM('Final Data-US$'!N443:N480)</f>
        <v>1</v>
      </c>
      <c r="E25" t="b">
        <f>'Final Data-US$'!O442=SUM('Final Data-US$'!O443:O480)</f>
        <v>1</v>
      </c>
      <c r="F25" t="b">
        <f>'Final Data-US$'!P442=SUM('Final Data-US$'!P443:P480)</f>
        <v>1</v>
      </c>
    </row>
    <row r="26" spans="1:12">
      <c r="A26" t="s">
        <v>886</v>
      </c>
      <c r="B26" t="b">
        <f>'Final Data-US$'!L481=SUM('Final Data-US$'!L482:L484)</f>
        <v>1</v>
      </c>
      <c r="C26" t="b">
        <f>'Final Data-US$'!M481=SUM('Final Data-US$'!M482:M484)</f>
        <v>1</v>
      </c>
      <c r="D26" t="b">
        <f>'Final Data-US$'!N481=SUM('Final Data-US$'!N482:N484)</f>
        <v>1</v>
      </c>
      <c r="E26" t="b">
        <f>'Final Data-US$'!O481=SUM('Final Data-US$'!O482:O484)</f>
        <v>1</v>
      </c>
      <c r="F26" t="b">
        <f>'Final Data-US$'!P481=SUM('Final Data-US$'!P482:P484)</f>
        <v>1</v>
      </c>
      <c r="G26" t="b">
        <f>'Final Data-US$'!Q481=SUM('Final Data-US$'!Q482:Q484)</f>
        <v>1</v>
      </c>
      <c r="H26" t="b">
        <f>'Final Data-US$'!R481=SUM('Final Data-US$'!R482:R484)</f>
        <v>1</v>
      </c>
      <c r="I26" t="b">
        <f>'Final Data-US$'!S481=SUM('Final Data-US$'!S482:S484)</f>
        <v>1</v>
      </c>
      <c r="J26" t="b">
        <f>'Final Data-US$'!T481=SUM('Final Data-US$'!T482:T484)</f>
        <v>1</v>
      </c>
      <c r="K26" t="b">
        <f>'Final Data-US$'!U481=SUM('Final Data-US$'!U482:U484)</f>
        <v>1</v>
      </c>
      <c r="L26" t="b">
        <f>'Final Data-US$'!V481=SUM('Final Data-US$'!V482:V484)</f>
        <v>1</v>
      </c>
    </row>
    <row r="27" spans="1:12">
      <c r="A27" t="s">
        <v>909</v>
      </c>
      <c r="B27" t="b">
        <f>'Final Data-US$'!L481='Final Data-US$'!L273</f>
        <v>1</v>
      </c>
      <c r="C27" t="b">
        <f>'Final Data-US$'!M481='Final Data-US$'!M273</f>
        <v>1</v>
      </c>
      <c r="D27" t="b">
        <f>'Final Data-US$'!N481='Final Data-US$'!N273</f>
        <v>1</v>
      </c>
      <c r="E27" t="b">
        <f>'Final Data-US$'!O481='Final Data-US$'!O273</f>
        <v>1</v>
      </c>
      <c r="F27" t="b">
        <f>'Final Data-US$'!P481='Final Data-US$'!P273</f>
        <v>1</v>
      </c>
      <c r="G27" t="b">
        <f>'Final Data-US$'!Q481='Final Data-US$'!Q273</f>
        <v>1</v>
      </c>
      <c r="H27" t="b">
        <f>'Final Data-US$'!R481='Final Data-US$'!R273</f>
        <v>1</v>
      </c>
      <c r="I27" t="b">
        <f>'Final Data-US$'!S481='Final Data-US$'!S273</f>
        <v>1</v>
      </c>
      <c r="J27" t="b">
        <f>'Final Data-US$'!T481='Final Data-US$'!T273</f>
        <v>1</v>
      </c>
      <c r="K27" t="b">
        <f>'Final Data-US$'!U481='Final Data-US$'!U273</f>
        <v>1</v>
      </c>
      <c r="L27" t="b">
        <f>'Final Data-US$'!V481='Final Data-US$'!V273</f>
        <v>1</v>
      </c>
    </row>
  </sheetData>
  <conditionalFormatting sqref="B2:L27">
    <cfRule type="containsText" dxfId="0" priority="1" operator="containsText" text="false">
      <formula>NOT(ISERROR(SEARCH("false",B2)))</formula>
    </cfRule>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AA62"/>
  <sheetViews>
    <sheetView workbookViewId="0">
      <selection activeCell="B67" sqref="B67"/>
    </sheetView>
  </sheetViews>
  <sheetFormatPr defaultRowHeight="11.25"/>
  <cols>
    <col min="1" max="1" width="34.42578125" style="15" customWidth="1"/>
    <col min="2" max="10" width="9.140625" style="15"/>
    <col min="11" max="11" width="21.5703125" style="15" customWidth="1"/>
    <col min="12" max="19" width="9.140625" style="15"/>
    <col min="20" max="20" width="16.85546875" style="15" customWidth="1"/>
    <col min="21" max="16384" width="9.140625" style="15"/>
  </cols>
  <sheetData>
    <row r="1" spans="1:27" ht="15" customHeight="1">
      <c r="B1" s="419">
        <v>2007</v>
      </c>
      <c r="C1" s="419"/>
      <c r="D1" s="419">
        <v>2008</v>
      </c>
      <c r="E1" s="419"/>
      <c r="F1" s="419">
        <v>2009</v>
      </c>
      <c r="G1" s="419"/>
      <c r="H1" s="419">
        <v>2010</v>
      </c>
      <c r="I1" s="419"/>
      <c r="L1" s="419">
        <v>2008</v>
      </c>
      <c r="M1" s="419"/>
      <c r="U1" s="419">
        <v>2007</v>
      </c>
      <c r="V1" s="419"/>
    </row>
    <row r="2" spans="1:27" ht="15" customHeight="1">
      <c r="A2" s="415"/>
      <c r="B2" s="420" t="s">
        <v>870</v>
      </c>
      <c r="C2" s="421"/>
      <c r="D2" s="420" t="s">
        <v>870</v>
      </c>
      <c r="E2" s="421"/>
      <c r="F2" s="420" t="s">
        <v>870</v>
      </c>
      <c r="G2" s="421"/>
      <c r="H2" s="417" t="s">
        <v>870</v>
      </c>
      <c r="I2" s="418"/>
      <c r="K2" s="413"/>
      <c r="L2" s="427" t="s">
        <v>870</v>
      </c>
      <c r="M2" s="428"/>
      <c r="T2" s="422"/>
      <c r="U2" s="424" t="s">
        <v>870</v>
      </c>
      <c r="V2" s="425"/>
    </row>
    <row r="3" spans="1:27" ht="30">
      <c r="A3" s="416"/>
      <c r="B3" s="39" t="s">
        <v>869</v>
      </c>
      <c r="C3" s="39" t="s">
        <v>868</v>
      </c>
      <c r="D3" s="39" t="s">
        <v>869</v>
      </c>
      <c r="E3" s="39" t="s">
        <v>868</v>
      </c>
      <c r="F3" s="39" t="s">
        <v>869</v>
      </c>
      <c r="G3" s="39" t="s">
        <v>868</v>
      </c>
      <c r="H3" s="27" t="s">
        <v>869</v>
      </c>
      <c r="I3" s="27" t="s">
        <v>868</v>
      </c>
      <c r="K3" s="414"/>
      <c r="L3" s="38" t="s">
        <v>869</v>
      </c>
      <c r="M3" s="38" t="s">
        <v>868</v>
      </c>
      <c r="T3" s="423"/>
      <c r="U3" s="21" t="s">
        <v>869</v>
      </c>
      <c r="V3" s="21" t="s">
        <v>868</v>
      </c>
    </row>
    <row r="4" spans="1:27" ht="15" customHeight="1">
      <c r="A4" s="37" t="s">
        <v>867</v>
      </c>
      <c r="F4" s="36"/>
      <c r="G4" s="36"/>
      <c r="H4" s="35"/>
      <c r="I4" s="35"/>
      <c r="K4" s="34" t="s">
        <v>867</v>
      </c>
      <c r="L4" s="33"/>
      <c r="M4" s="33"/>
      <c r="T4" s="424" t="s">
        <v>867</v>
      </c>
      <c r="U4" s="426"/>
      <c r="V4" s="426"/>
    </row>
    <row r="5" spans="1:27" ht="15" customHeight="1">
      <c r="A5" s="27" t="s">
        <v>866</v>
      </c>
      <c r="B5" s="26">
        <v>116783</v>
      </c>
      <c r="C5" s="26">
        <v>67609</v>
      </c>
      <c r="D5" s="25">
        <v>117181</v>
      </c>
      <c r="E5" s="25">
        <v>68424</v>
      </c>
      <c r="F5" s="26">
        <v>117538</v>
      </c>
      <c r="G5" s="26">
        <v>67976</v>
      </c>
      <c r="H5" s="25">
        <v>118682</v>
      </c>
      <c r="I5" s="25">
        <v>67530</v>
      </c>
      <c r="K5" s="23" t="s">
        <v>866</v>
      </c>
      <c r="L5" s="22">
        <v>117181</v>
      </c>
      <c r="M5" s="22">
        <v>68424</v>
      </c>
      <c r="T5" s="21" t="s">
        <v>866</v>
      </c>
      <c r="U5" s="20">
        <v>116783</v>
      </c>
      <c r="V5" s="20">
        <v>67609</v>
      </c>
    </row>
    <row r="6" spans="1:27" ht="15" customHeight="1">
      <c r="A6" s="27" t="s">
        <v>865</v>
      </c>
      <c r="B6" s="26">
        <v>3413</v>
      </c>
      <c r="C6" s="26">
        <v>1350.3662467037798</v>
      </c>
      <c r="D6" s="25">
        <v>3559</v>
      </c>
      <c r="E6" s="25">
        <v>1251</v>
      </c>
      <c r="F6" s="26">
        <v>3747</v>
      </c>
      <c r="G6" s="26">
        <v>1173</v>
      </c>
      <c r="H6" s="25">
        <v>4176</v>
      </c>
      <c r="I6" s="25">
        <v>1249</v>
      </c>
      <c r="K6" s="23" t="s">
        <v>864</v>
      </c>
      <c r="L6" s="22">
        <v>2588</v>
      </c>
      <c r="M6" s="29">
        <v>298</v>
      </c>
      <c r="N6" s="19">
        <f>L6*M6</f>
        <v>771224</v>
      </c>
      <c r="O6" s="19">
        <f>L7*M7</f>
        <v>3682032</v>
      </c>
      <c r="P6" s="19">
        <f>N6+O6</f>
        <v>4453256</v>
      </c>
      <c r="Q6" s="19">
        <f>L6+L7</f>
        <v>3559</v>
      </c>
      <c r="R6" s="15">
        <f>P6/Q6</f>
        <v>1251.2660859792077</v>
      </c>
      <c r="T6" s="21" t="s">
        <v>864</v>
      </c>
      <c r="U6" s="20">
        <v>2420</v>
      </c>
      <c r="V6" s="28">
        <v>337</v>
      </c>
      <c r="W6" s="19">
        <f>U6*V6</f>
        <v>815540</v>
      </c>
      <c r="X6" s="19">
        <f>U7*V7</f>
        <v>3793260</v>
      </c>
      <c r="Y6" s="19">
        <f>W6+X6</f>
        <v>4608800</v>
      </c>
      <c r="Z6" s="19">
        <f>U6+U7</f>
        <v>3413</v>
      </c>
      <c r="AA6" s="15">
        <f>Y6/Z6</f>
        <v>1350.3662467037798</v>
      </c>
    </row>
    <row r="7" spans="1:27" ht="15" customHeight="1">
      <c r="A7" s="27" t="s">
        <v>863</v>
      </c>
      <c r="B7" s="26">
        <v>5042</v>
      </c>
      <c r="C7" s="26">
        <v>7807.1400238000797</v>
      </c>
      <c r="D7" s="25">
        <v>4818</v>
      </c>
      <c r="E7" s="25">
        <v>7854.3175591531754</v>
      </c>
      <c r="F7" s="26">
        <v>4823</v>
      </c>
      <c r="G7" s="26">
        <v>7911</v>
      </c>
      <c r="H7" s="25">
        <v>5055</v>
      </c>
      <c r="I7" s="25">
        <v>7927</v>
      </c>
      <c r="K7" s="23" t="s">
        <v>862</v>
      </c>
      <c r="L7" s="29">
        <v>971</v>
      </c>
      <c r="M7" s="22">
        <v>3792</v>
      </c>
      <c r="T7" s="21" t="s">
        <v>862</v>
      </c>
      <c r="U7" s="28">
        <v>993</v>
      </c>
      <c r="V7" s="20">
        <v>3820</v>
      </c>
    </row>
    <row r="8" spans="1:27" ht="15" customHeight="1">
      <c r="A8" s="27" t="s">
        <v>861</v>
      </c>
      <c r="B8" s="26">
        <v>7051</v>
      </c>
      <c r="C8" s="26">
        <v>12432.814210750248</v>
      </c>
      <c r="D8" s="25">
        <v>6847</v>
      </c>
      <c r="E8" s="25">
        <v>12361.255002190741</v>
      </c>
      <c r="F8" s="26">
        <v>6759</v>
      </c>
      <c r="G8" s="26">
        <v>12384</v>
      </c>
      <c r="H8" s="25">
        <v>7061</v>
      </c>
      <c r="I8" s="25">
        <v>12388</v>
      </c>
      <c r="K8" s="23" t="s">
        <v>860</v>
      </c>
      <c r="L8" s="22">
        <v>1677</v>
      </c>
      <c r="M8" s="22">
        <v>6261</v>
      </c>
      <c r="N8" s="19">
        <f>L8*M8</f>
        <v>10499697</v>
      </c>
      <c r="O8" s="19">
        <f>L9*M9</f>
        <v>27342405</v>
      </c>
      <c r="P8" s="19">
        <f>N8+O8</f>
        <v>37842102</v>
      </c>
      <c r="Q8" s="19">
        <f>L8+L9</f>
        <v>4818</v>
      </c>
      <c r="R8" s="15">
        <f>P8/Q8</f>
        <v>7854.3175591531754</v>
      </c>
      <c r="T8" s="21" t="s">
        <v>860</v>
      </c>
      <c r="U8" s="20">
        <v>1868</v>
      </c>
      <c r="V8" s="20">
        <v>6375</v>
      </c>
      <c r="W8" s="19">
        <f>U8*V8</f>
        <v>11908500</v>
      </c>
      <c r="X8" s="19">
        <f>U9*V9</f>
        <v>27455100</v>
      </c>
      <c r="Y8" s="19">
        <f>W8+X8</f>
        <v>39363600</v>
      </c>
      <c r="Z8" s="19">
        <f>U8+U9</f>
        <v>5042</v>
      </c>
      <c r="AA8" s="15">
        <f>Y8/Z8</f>
        <v>7807.1400238000797</v>
      </c>
    </row>
    <row r="9" spans="1:27" ht="15" customHeight="1">
      <c r="A9" s="27" t="s">
        <v>859</v>
      </c>
      <c r="B9" s="26">
        <v>6727</v>
      </c>
      <c r="C9" s="26">
        <v>17191.868143303105</v>
      </c>
      <c r="D9" s="25">
        <v>6716</v>
      </c>
      <c r="E9" s="25">
        <v>17274.745681953544</v>
      </c>
      <c r="F9" s="26">
        <v>6924</v>
      </c>
      <c r="G9" s="26">
        <v>17340</v>
      </c>
      <c r="H9" s="25">
        <v>7260</v>
      </c>
      <c r="I9" s="25">
        <v>17278</v>
      </c>
      <c r="K9" s="23" t="s">
        <v>858</v>
      </c>
      <c r="L9" s="22">
        <v>3141</v>
      </c>
      <c r="M9" s="22">
        <v>8705</v>
      </c>
      <c r="T9" s="21" t="s">
        <v>858</v>
      </c>
      <c r="U9" s="20">
        <v>3174</v>
      </c>
      <c r="V9" s="20">
        <v>8650</v>
      </c>
    </row>
    <row r="10" spans="1:27" ht="15" customHeight="1">
      <c r="A10" s="27" t="s">
        <v>857</v>
      </c>
      <c r="B10" s="26">
        <v>6801</v>
      </c>
      <c r="C10" s="26">
        <v>22199.145566828407</v>
      </c>
      <c r="D10" s="25">
        <v>7084</v>
      </c>
      <c r="E10" s="25">
        <v>22222.974872953135</v>
      </c>
      <c r="F10" s="26">
        <v>7099</v>
      </c>
      <c r="G10" s="26">
        <v>22242</v>
      </c>
      <c r="H10" s="25">
        <v>6937</v>
      </c>
      <c r="I10" s="25">
        <v>22165</v>
      </c>
      <c r="K10" s="23" t="s">
        <v>856</v>
      </c>
      <c r="L10" s="22">
        <v>3684</v>
      </c>
      <c r="M10" s="22">
        <v>11223</v>
      </c>
      <c r="N10" s="19">
        <f>L10*M10</f>
        <v>41345532</v>
      </c>
      <c r="O10" s="19">
        <f>L11*M11</f>
        <v>43291981</v>
      </c>
      <c r="P10" s="19">
        <f>N10+O10</f>
        <v>84637513</v>
      </c>
      <c r="Q10" s="19">
        <f>L10+L11</f>
        <v>6847</v>
      </c>
      <c r="R10" s="15">
        <f>P10/Q10</f>
        <v>12361.255002190741</v>
      </c>
      <c r="T10" s="21" t="s">
        <v>856</v>
      </c>
      <c r="U10" s="20">
        <v>3565</v>
      </c>
      <c r="V10" s="20">
        <v>11225</v>
      </c>
      <c r="W10" s="19">
        <f>U10*V10</f>
        <v>40017125</v>
      </c>
      <c r="X10" s="19">
        <f>U11*V11</f>
        <v>47646648</v>
      </c>
      <c r="Y10" s="19">
        <f>W10+X10</f>
        <v>87663773</v>
      </c>
      <c r="Z10" s="19">
        <f>U10+U11</f>
        <v>7051</v>
      </c>
      <c r="AA10" s="15">
        <f>Y10/Z10</f>
        <v>12432.814210750248</v>
      </c>
    </row>
    <row r="11" spans="1:27" ht="15" customHeight="1">
      <c r="A11" s="27" t="s">
        <v>855</v>
      </c>
      <c r="B11" s="26">
        <v>6314</v>
      </c>
      <c r="C11" s="26">
        <v>27082.063034526451</v>
      </c>
      <c r="D11" s="25">
        <v>6428</v>
      </c>
      <c r="E11" s="25">
        <v>27153.633478531425</v>
      </c>
      <c r="F11" s="26">
        <v>6633</v>
      </c>
      <c r="G11" s="26">
        <v>27151</v>
      </c>
      <c r="H11" s="25">
        <v>6730</v>
      </c>
      <c r="I11" s="25">
        <v>27186</v>
      </c>
      <c r="K11" s="23" t="s">
        <v>854</v>
      </c>
      <c r="L11" s="22">
        <v>3163</v>
      </c>
      <c r="M11" s="22">
        <v>13687</v>
      </c>
      <c r="T11" s="21" t="s">
        <v>854</v>
      </c>
      <c r="U11" s="20">
        <v>3486</v>
      </c>
      <c r="V11" s="20">
        <v>13668</v>
      </c>
    </row>
    <row r="12" spans="1:27" ht="15" customHeight="1">
      <c r="A12" s="27" t="s">
        <v>853</v>
      </c>
      <c r="B12" s="26">
        <v>6218</v>
      </c>
      <c r="C12" s="26">
        <v>31971.554036667738</v>
      </c>
      <c r="D12" s="25">
        <v>6305</v>
      </c>
      <c r="E12" s="25">
        <v>32091.905789056305</v>
      </c>
      <c r="F12" s="26">
        <v>6370</v>
      </c>
      <c r="G12" s="26">
        <v>32105</v>
      </c>
      <c r="H12" s="25">
        <v>6148</v>
      </c>
      <c r="I12" s="25">
        <v>32085</v>
      </c>
      <c r="K12" s="23" t="s">
        <v>852</v>
      </c>
      <c r="L12" s="22">
        <v>3600</v>
      </c>
      <c r="M12" s="22">
        <v>16074</v>
      </c>
      <c r="N12" s="19">
        <f>L12*M12</f>
        <v>57866400</v>
      </c>
      <c r="O12" s="19">
        <f>L13*M13</f>
        <v>58150792</v>
      </c>
      <c r="P12" s="19">
        <f>N12+O12</f>
        <v>116017192</v>
      </c>
      <c r="Q12" s="19">
        <f>L12+L13</f>
        <v>6716</v>
      </c>
      <c r="R12" s="15">
        <f>P12/Q12</f>
        <v>17274.745681953544</v>
      </c>
      <c r="T12" s="21" t="s">
        <v>852</v>
      </c>
      <c r="U12" s="20">
        <v>3753</v>
      </c>
      <c r="V12" s="20">
        <v>16057</v>
      </c>
      <c r="W12" s="19">
        <f>U12*V12</f>
        <v>60261921</v>
      </c>
      <c r="X12" s="19">
        <f>U13*V13</f>
        <v>55387776</v>
      </c>
      <c r="Y12" s="19">
        <f>W12+X12</f>
        <v>115649697</v>
      </c>
      <c r="Z12" s="19">
        <f>U12+U13</f>
        <v>6727</v>
      </c>
      <c r="AA12" s="15">
        <f>Y12/Z12</f>
        <v>17191.868143303105</v>
      </c>
    </row>
    <row r="13" spans="1:27" ht="15" customHeight="1">
      <c r="A13" s="27" t="s">
        <v>851</v>
      </c>
      <c r="B13" s="26">
        <v>5788</v>
      </c>
      <c r="C13" s="26">
        <v>37104.317899101588</v>
      </c>
      <c r="D13" s="25">
        <v>6000</v>
      </c>
      <c r="E13" s="25">
        <v>37082.522333333334</v>
      </c>
      <c r="F13" s="26">
        <v>6033</v>
      </c>
      <c r="G13" s="26">
        <v>37184</v>
      </c>
      <c r="H13" s="25">
        <v>5907</v>
      </c>
      <c r="I13" s="25">
        <v>37183</v>
      </c>
      <c r="K13" s="23" t="s">
        <v>850</v>
      </c>
      <c r="L13" s="22">
        <v>3116</v>
      </c>
      <c r="M13" s="22">
        <v>18662</v>
      </c>
      <c r="T13" s="21" t="s">
        <v>850</v>
      </c>
      <c r="U13" s="20">
        <v>2974</v>
      </c>
      <c r="V13" s="20">
        <v>18624</v>
      </c>
    </row>
    <row r="14" spans="1:27" ht="15" customHeight="1">
      <c r="A14" s="27" t="s">
        <v>849</v>
      </c>
      <c r="B14" s="26">
        <v>5750</v>
      </c>
      <c r="C14" s="26">
        <v>41972.663304347829</v>
      </c>
      <c r="D14" s="25">
        <v>5593</v>
      </c>
      <c r="E14" s="25">
        <v>42042.099052386911</v>
      </c>
      <c r="F14" s="26">
        <v>5680</v>
      </c>
      <c r="G14" s="26">
        <v>42051</v>
      </c>
      <c r="H14" s="25">
        <v>5624</v>
      </c>
      <c r="I14" s="25">
        <v>42013</v>
      </c>
      <c r="K14" s="23" t="s">
        <v>848</v>
      </c>
      <c r="L14" s="22">
        <v>3967</v>
      </c>
      <c r="M14" s="22">
        <v>21064</v>
      </c>
      <c r="N14" s="19">
        <f>L14*M14</f>
        <v>83560888</v>
      </c>
      <c r="O14" s="19">
        <f>L15*M15</f>
        <v>73866666</v>
      </c>
      <c r="P14" s="19">
        <f>N14+O14</f>
        <v>157427554</v>
      </c>
      <c r="Q14" s="19">
        <f>L14+L15</f>
        <v>7084</v>
      </c>
      <c r="R14" s="15">
        <f>P14/Q14</f>
        <v>22222.974872953135</v>
      </c>
      <c r="T14" s="21" t="s">
        <v>848</v>
      </c>
      <c r="U14" s="20">
        <v>3731</v>
      </c>
      <c r="V14" s="20">
        <v>20979</v>
      </c>
      <c r="W14" s="19">
        <f>U14*V14</f>
        <v>78272649</v>
      </c>
      <c r="X14" s="19">
        <f>U15*V15</f>
        <v>72703740</v>
      </c>
      <c r="Y14" s="19">
        <f>W14+X14</f>
        <v>150976389</v>
      </c>
      <c r="Z14" s="19">
        <f>U14+U15</f>
        <v>6801</v>
      </c>
      <c r="AA14" s="15">
        <f>Y14/Z14</f>
        <v>22199.145566828407</v>
      </c>
    </row>
    <row r="15" spans="1:27" ht="15" customHeight="1">
      <c r="A15" s="27" t="s">
        <v>847</v>
      </c>
      <c r="B15" s="26">
        <v>4983</v>
      </c>
      <c r="C15" s="26">
        <v>47078.400963275133</v>
      </c>
      <c r="D15" s="25">
        <v>4839</v>
      </c>
      <c r="E15" s="25">
        <v>47147.545153957428</v>
      </c>
      <c r="F15" s="26">
        <v>4894</v>
      </c>
      <c r="G15" s="26">
        <v>47152</v>
      </c>
      <c r="H15" s="25">
        <v>4933</v>
      </c>
      <c r="I15" s="25">
        <v>47198</v>
      </c>
      <c r="K15" s="23" t="s">
        <v>846</v>
      </c>
      <c r="L15" s="22">
        <v>3117</v>
      </c>
      <c r="M15" s="22">
        <v>23698</v>
      </c>
      <c r="T15" s="21" t="s">
        <v>846</v>
      </c>
      <c r="U15" s="20">
        <v>3070</v>
      </c>
      <c r="V15" s="20">
        <v>23682</v>
      </c>
    </row>
    <row r="16" spans="1:27" ht="15" customHeight="1">
      <c r="A16" s="27" t="s">
        <v>845</v>
      </c>
      <c r="B16" s="26">
        <v>5183</v>
      </c>
      <c r="C16" s="26">
        <v>51906.24966235771</v>
      </c>
      <c r="D16" s="25">
        <v>5147</v>
      </c>
      <c r="E16" s="25">
        <v>51908.939770740239</v>
      </c>
      <c r="F16" s="26">
        <v>5147</v>
      </c>
      <c r="G16" s="26">
        <v>51913</v>
      </c>
      <c r="H16" s="25">
        <v>5088</v>
      </c>
      <c r="I16" s="25">
        <v>51984</v>
      </c>
      <c r="K16" s="23" t="s">
        <v>844</v>
      </c>
      <c r="L16" s="22">
        <v>3620</v>
      </c>
      <c r="M16" s="22">
        <v>26003</v>
      </c>
      <c r="N16" s="19">
        <f>L16*M16</f>
        <v>94130860</v>
      </c>
      <c r="O16" s="19">
        <f>L17*M17</f>
        <v>80412696</v>
      </c>
      <c r="P16" s="19">
        <f>N16+O16</f>
        <v>174543556</v>
      </c>
      <c r="Q16" s="19">
        <f>L16+L17</f>
        <v>6428</v>
      </c>
      <c r="R16" s="15">
        <f>P16/Q16</f>
        <v>27153.633478531425</v>
      </c>
      <c r="T16" s="21" t="s">
        <v>844</v>
      </c>
      <c r="U16" s="20">
        <v>3728</v>
      </c>
      <c r="V16" s="20">
        <v>26009</v>
      </c>
      <c r="W16" s="19">
        <f>U16*V16</f>
        <v>96961552</v>
      </c>
      <c r="X16" s="19">
        <f>U17*V17</f>
        <v>74034594</v>
      </c>
      <c r="Y16" s="19">
        <f>W16+X16</f>
        <v>170996146</v>
      </c>
      <c r="Z16" s="19">
        <f>U16+U17</f>
        <v>6314</v>
      </c>
      <c r="AA16" s="15">
        <f>Y16/Z16</f>
        <v>27082.063034526451</v>
      </c>
    </row>
    <row r="17" spans="1:27" ht="15" customHeight="1">
      <c r="A17" s="27" t="s">
        <v>843</v>
      </c>
      <c r="B17" s="26">
        <v>4382</v>
      </c>
      <c r="C17" s="26">
        <v>57064.845276129621</v>
      </c>
      <c r="D17" s="25">
        <v>4087</v>
      </c>
      <c r="E17" s="25">
        <v>57148.166381208714</v>
      </c>
      <c r="F17" s="26">
        <v>4297</v>
      </c>
      <c r="G17" s="26">
        <v>57143</v>
      </c>
      <c r="H17" s="25">
        <v>4203</v>
      </c>
      <c r="I17" s="25">
        <v>57154</v>
      </c>
      <c r="K17" s="23" t="s">
        <v>842</v>
      </c>
      <c r="L17" s="22">
        <v>2808</v>
      </c>
      <c r="M17" s="22">
        <v>28637</v>
      </c>
      <c r="T17" s="21" t="s">
        <v>842</v>
      </c>
      <c r="U17" s="20">
        <v>2586</v>
      </c>
      <c r="V17" s="20">
        <v>28629</v>
      </c>
    </row>
    <row r="18" spans="1:27" ht="15" customHeight="1">
      <c r="A18" s="27" t="s">
        <v>841</v>
      </c>
      <c r="B18" s="26">
        <v>4448</v>
      </c>
      <c r="C18" s="26">
        <v>61923.431654676257</v>
      </c>
      <c r="D18" s="25">
        <v>4450</v>
      </c>
      <c r="E18" s="25">
        <v>61956.668764044945</v>
      </c>
      <c r="F18" s="26">
        <v>4542</v>
      </c>
      <c r="G18" s="26">
        <v>61955</v>
      </c>
      <c r="H18" s="25">
        <v>4412</v>
      </c>
      <c r="I18" s="25">
        <v>61941</v>
      </c>
      <c r="K18" s="23" t="s">
        <v>840</v>
      </c>
      <c r="L18" s="22">
        <v>3736</v>
      </c>
      <c r="M18" s="22">
        <v>30982</v>
      </c>
      <c r="N18" s="19">
        <f>L18*M18</f>
        <v>115748752</v>
      </c>
      <c r="O18" s="19">
        <f>L19*M19</f>
        <v>86590714</v>
      </c>
      <c r="P18" s="19">
        <f>N18+O18</f>
        <v>202339466</v>
      </c>
      <c r="Q18" s="19">
        <f>L18+L19</f>
        <v>6305</v>
      </c>
      <c r="R18" s="15">
        <f>P18/Q18</f>
        <v>32091.905789056305</v>
      </c>
      <c r="T18" s="21" t="s">
        <v>840</v>
      </c>
      <c r="U18" s="20">
        <v>3797</v>
      </c>
      <c r="V18" s="20">
        <v>30902</v>
      </c>
      <c r="W18" s="19">
        <f>U18*V18</f>
        <v>117334894</v>
      </c>
      <c r="X18" s="19">
        <f>U19*V19</f>
        <v>81464229</v>
      </c>
      <c r="Y18" s="19">
        <f>W18+X18</f>
        <v>198799123</v>
      </c>
      <c r="Z18" s="19">
        <f>U18+U19</f>
        <v>6218</v>
      </c>
      <c r="AA18" s="15">
        <f>Y18/Z18</f>
        <v>31971.554036667738</v>
      </c>
    </row>
    <row r="19" spans="1:27" ht="15" customHeight="1">
      <c r="A19" s="27" t="s">
        <v>839</v>
      </c>
      <c r="B19" s="26">
        <v>3561</v>
      </c>
      <c r="C19" s="26">
        <v>67034.73462510531</v>
      </c>
      <c r="D19" s="25">
        <v>3598</v>
      </c>
      <c r="E19" s="25">
        <v>67054.166203446366</v>
      </c>
      <c r="F19" s="26">
        <v>3598</v>
      </c>
      <c r="G19" s="26">
        <v>67068</v>
      </c>
      <c r="H19" s="25">
        <v>3579</v>
      </c>
      <c r="I19" s="25">
        <v>67095</v>
      </c>
      <c r="K19" s="23" t="s">
        <v>838</v>
      </c>
      <c r="L19" s="22">
        <v>2569</v>
      </c>
      <c r="M19" s="22">
        <v>33706</v>
      </c>
      <c r="T19" s="21" t="s">
        <v>838</v>
      </c>
      <c r="U19" s="20">
        <v>2421</v>
      </c>
      <c r="V19" s="20">
        <v>33649</v>
      </c>
    </row>
    <row r="20" spans="1:27" ht="15" customHeight="1">
      <c r="A20" s="27" t="s">
        <v>837</v>
      </c>
      <c r="B20" s="26">
        <v>3694</v>
      </c>
      <c r="C20" s="26">
        <v>72083.248781808332</v>
      </c>
      <c r="D20" s="25">
        <v>3695</v>
      </c>
      <c r="E20" s="25">
        <v>72081.712584573746</v>
      </c>
      <c r="F20" s="26">
        <v>3696</v>
      </c>
      <c r="G20" s="26">
        <v>72053</v>
      </c>
      <c r="H20" s="25">
        <v>3769</v>
      </c>
      <c r="I20" s="25">
        <v>72042</v>
      </c>
      <c r="K20" s="23" t="s">
        <v>836</v>
      </c>
      <c r="L20" s="22">
        <v>3517</v>
      </c>
      <c r="M20" s="22">
        <v>35966</v>
      </c>
      <c r="N20" s="19">
        <f>L20*M20</f>
        <v>126492422</v>
      </c>
      <c r="O20" s="19">
        <f>L21*M21</f>
        <v>96002712</v>
      </c>
      <c r="P20" s="19">
        <f>N20+O20</f>
        <v>222495134</v>
      </c>
      <c r="Q20" s="19">
        <f>L20+L21</f>
        <v>6000</v>
      </c>
      <c r="R20" s="15">
        <f>P20/Q20</f>
        <v>37082.522333333334</v>
      </c>
      <c r="T20" s="21" t="s">
        <v>836</v>
      </c>
      <c r="U20" s="20">
        <v>3384</v>
      </c>
      <c r="V20" s="20">
        <v>36002</v>
      </c>
      <c r="W20" s="19">
        <f>U20*V20</f>
        <v>121830768</v>
      </c>
      <c r="X20" s="19">
        <f>U21*V21</f>
        <v>92929024</v>
      </c>
      <c r="Y20" s="19">
        <f>W20+X20</f>
        <v>214759792</v>
      </c>
      <c r="Z20" s="19">
        <f>U20+U21</f>
        <v>5788</v>
      </c>
      <c r="AA20" s="15">
        <f>Y20/Z20</f>
        <v>37104.317899101588</v>
      </c>
    </row>
    <row r="21" spans="1:27" ht="15" customHeight="1">
      <c r="A21" s="27" t="s">
        <v>835</v>
      </c>
      <c r="B21" s="26">
        <v>3312</v>
      </c>
      <c r="C21" s="26">
        <v>77014.565217391311</v>
      </c>
      <c r="D21" s="25">
        <v>3388</v>
      </c>
      <c r="E21" s="25">
        <v>76987.706611570247</v>
      </c>
      <c r="F21" s="26">
        <v>3324</v>
      </c>
      <c r="G21" s="26">
        <v>77046</v>
      </c>
      <c r="H21" s="25">
        <v>3118</v>
      </c>
      <c r="I21" s="25">
        <v>77007</v>
      </c>
      <c r="K21" s="23" t="s">
        <v>834</v>
      </c>
      <c r="L21" s="22">
        <v>2483</v>
      </c>
      <c r="M21" s="22">
        <v>38664</v>
      </c>
      <c r="T21" s="21" t="s">
        <v>834</v>
      </c>
      <c r="U21" s="20">
        <v>2404</v>
      </c>
      <c r="V21" s="20">
        <v>38656</v>
      </c>
    </row>
    <row r="22" spans="1:27" ht="15" customHeight="1">
      <c r="A22" s="27" t="s">
        <v>833</v>
      </c>
      <c r="B22" s="26">
        <v>3092</v>
      </c>
      <c r="C22" s="26">
        <v>82038.391979301421</v>
      </c>
      <c r="D22" s="25">
        <v>3077</v>
      </c>
      <c r="E22" s="25">
        <v>82006.143646408833</v>
      </c>
      <c r="F22" s="26">
        <v>3023</v>
      </c>
      <c r="G22" s="26">
        <v>81984</v>
      </c>
      <c r="H22" s="25">
        <v>3143</v>
      </c>
      <c r="I22" s="25">
        <v>81979</v>
      </c>
      <c r="K22" s="23" t="s">
        <v>832</v>
      </c>
      <c r="L22" s="22">
        <v>3343</v>
      </c>
      <c r="M22" s="22">
        <v>40970</v>
      </c>
      <c r="N22" s="19">
        <f>L22*M22</f>
        <v>136962710</v>
      </c>
      <c r="O22" s="19">
        <f>L23*M23</f>
        <v>98178750</v>
      </c>
      <c r="P22" s="19">
        <f>N22+O22</f>
        <v>235141460</v>
      </c>
      <c r="Q22" s="19">
        <f>L22+L23</f>
        <v>5593</v>
      </c>
      <c r="R22" s="15">
        <f>P22/Q22</f>
        <v>42042.099052386911</v>
      </c>
      <c r="T22" s="21" t="s">
        <v>832</v>
      </c>
      <c r="U22" s="20">
        <v>3548</v>
      </c>
      <c r="V22" s="20">
        <v>40936</v>
      </c>
      <c r="W22" s="19">
        <f>U22*V22</f>
        <v>145240928</v>
      </c>
      <c r="X22" s="19">
        <f>U23*V23</f>
        <v>96101886</v>
      </c>
      <c r="Y22" s="19">
        <f>W22+X22</f>
        <v>241342814</v>
      </c>
      <c r="Z22" s="19">
        <f>U22+U23</f>
        <v>5750</v>
      </c>
      <c r="AA22" s="15">
        <f>Y22/Z22</f>
        <v>41972.663304347829</v>
      </c>
    </row>
    <row r="23" spans="1:27" ht="15" customHeight="1">
      <c r="A23" s="27" t="s">
        <v>831</v>
      </c>
      <c r="B23" s="26">
        <v>2696</v>
      </c>
      <c r="C23" s="26">
        <v>87089.255563798215</v>
      </c>
      <c r="D23" s="25">
        <v>2775</v>
      </c>
      <c r="E23" s="25">
        <v>87135.976576576577</v>
      </c>
      <c r="F23" s="26">
        <v>2562</v>
      </c>
      <c r="G23" s="26">
        <v>87165</v>
      </c>
      <c r="H23" s="25">
        <v>2680</v>
      </c>
      <c r="I23" s="25">
        <v>87142</v>
      </c>
      <c r="K23" s="23" t="s">
        <v>830</v>
      </c>
      <c r="L23" s="22">
        <v>2250</v>
      </c>
      <c r="M23" s="22">
        <v>43635</v>
      </c>
      <c r="T23" s="21" t="s">
        <v>830</v>
      </c>
      <c r="U23" s="20">
        <v>2202</v>
      </c>
      <c r="V23" s="20">
        <v>43643</v>
      </c>
    </row>
    <row r="24" spans="1:27" ht="15" customHeight="1">
      <c r="A24" s="27" t="s">
        <v>829</v>
      </c>
      <c r="B24" s="26">
        <v>2553</v>
      </c>
      <c r="C24" s="26">
        <v>91993.273795534667</v>
      </c>
      <c r="D24" s="25">
        <v>2585</v>
      </c>
      <c r="E24" s="25">
        <v>91999.382978723399</v>
      </c>
      <c r="F24" s="26">
        <v>2511</v>
      </c>
      <c r="G24" s="26">
        <v>91983</v>
      </c>
      <c r="H24" s="25">
        <v>2516</v>
      </c>
      <c r="I24" s="25">
        <v>92009</v>
      </c>
      <c r="K24" s="23" t="s">
        <v>828</v>
      </c>
      <c r="L24" s="22">
        <v>2698</v>
      </c>
      <c r="M24" s="22">
        <v>45964</v>
      </c>
      <c r="N24" s="19">
        <f>L24*M24</f>
        <v>124010872</v>
      </c>
      <c r="O24" s="19">
        <f>L25*M25</f>
        <v>104136099</v>
      </c>
      <c r="P24" s="19">
        <f>N24+O24</f>
        <v>228146971</v>
      </c>
      <c r="Q24" s="19">
        <f>L24+L25</f>
        <v>4839</v>
      </c>
      <c r="R24" s="15">
        <f>P24/Q24</f>
        <v>47147.545153957428</v>
      </c>
      <c r="T24" s="21" t="s">
        <v>828</v>
      </c>
      <c r="U24" s="20">
        <v>2906</v>
      </c>
      <c r="V24" s="20">
        <v>45968</v>
      </c>
      <c r="W24" s="19">
        <f>U24*V24</f>
        <v>133583008</v>
      </c>
      <c r="X24" s="19">
        <f>U25*V25</f>
        <v>101008664</v>
      </c>
      <c r="Y24" s="19">
        <f>W24+X24</f>
        <v>234591672</v>
      </c>
      <c r="Z24" s="19">
        <f>U24+U25</f>
        <v>4983</v>
      </c>
      <c r="AA24" s="15">
        <f>Y24/Z24</f>
        <v>47078.400963275133</v>
      </c>
    </row>
    <row r="25" spans="1:27" ht="15" customHeight="1">
      <c r="A25" s="27" t="s">
        <v>827</v>
      </c>
      <c r="B25" s="26">
        <v>2188</v>
      </c>
      <c r="C25" s="26">
        <v>97197.138939670927</v>
      </c>
      <c r="D25" s="25">
        <v>2179</v>
      </c>
      <c r="E25" s="25">
        <v>97109.169802661767</v>
      </c>
      <c r="F25" s="26">
        <v>2129</v>
      </c>
      <c r="G25" s="26">
        <v>97145</v>
      </c>
      <c r="H25" s="25">
        <v>2110</v>
      </c>
      <c r="I25" s="25">
        <v>97155</v>
      </c>
      <c r="K25" s="23" t="s">
        <v>826</v>
      </c>
      <c r="L25" s="22">
        <v>2141</v>
      </c>
      <c r="M25" s="22">
        <v>48639</v>
      </c>
      <c r="T25" s="21" t="s">
        <v>826</v>
      </c>
      <c r="U25" s="20">
        <v>2077</v>
      </c>
      <c r="V25" s="20">
        <v>48632</v>
      </c>
    </row>
    <row r="26" spans="1:27" ht="15" customHeight="1">
      <c r="A26" s="27" t="s">
        <v>825</v>
      </c>
      <c r="B26" s="26"/>
      <c r="C26" s="32"/>
      <c r="D26" s="25">
        <v>2489.9213339033772</v>
      </c>
      <c r="E26" s="25"/>
      <c r="F26" s="26">
        <v>2446</v>
      </c>
      <c r="G26" s="26">
        <v>101864</v>
      </c>
      <c r="H26" s="25">
        <v>2498</v>
      </c>
      <c r="I26" s="25">
        <v>101830</v>
      </c>
      <c r="K26" s="23" t="s">
        <v>824</v>
      </c>
      <c r="L26" s="22">
        <v>3325</v>
      </c>
      <c r="M26" s="22">
        <v>50939</v>
      </c>
      <c r="N26" s="19">
        <f>L26*M26</f>
        <v>169372175</v>
      </c>
      <c r="O26" s="19">
        <f>L27*M27</f>
        <v>97803138</v>
      </c>
      <c r="P26" s="19">
        <f>N26+O26</f>
        <v>267175313</v>
      </c>
      <c r="Q26" s="19">
        <f>L26+L27</f>
        <v>5147</v>
      </c>
      <c r="R26" s="15">
        <f>P26/Q26</f>
        <v>51908.939770740239</v>
      </c>
      <c r="T26" s="21" t="s">
        <v>824</v>
      </c>
      <c r="U26" s="20">
        <v>3256</v>
      </c>
      <c r="V26" s="20">
        <v>50892</v>
      </c>
      <c r="W26" s="19">
        <f>U26*V26</f>
        <v>165704352</v>
      </c>
      <c r="X26" s="19">
        <f>U27*V27</f>
        <v>103325740</v>
      </c>
      <c r="Y26" s="19">
        <f>W26+X26</f>
        <v>269030092</v>
      </c>
      <c r="Z26" s="19">
        <f>U26+U27</f>
        <v>5183</v>
      </c>
      <c r="AA26" s="15">
        <f>Y26/Z26</f>
        <v>51906.24966235771</v>
      </c>
    </row>
    <row r="27" spans="1:27" ht="15" customHeight="1">
      <c r="A27" s="27" t="s">
        <v>823</v>
      </c>
      <c r="B27" s="26"/>
      <c r="C27" s="32"/>
      <c r="D27" s="25">
        <v>1946.3326207781101</v>
      </c>
      <c r="E27" s="25"/>
      <c r="F27" s="26">
        <v>1912</v>
      </c>
      <c r="G27" s="26">
        <v>107132</v>
      </c>
      <c r="H27" s="25">
        <v>1778</v>
      </c>
      <c r="I27" s="25">
        <v>107162</v>
      </c>
      <c r="K27" s="23" t="s">
        <v>822</v>
      </c>
      <c r="L27" s="22">
        <v>1822</v>
      </c>
      <c r="M27" s="22">
        <v>53679</v>
      </c>
      <c r="T27" s="21" t="s">
        <v>822</v>
      </c>
      <c r="U27" s="20">
        <v>1927</v>
      </c>
      <c r="V27" s="20">
        <v>53620</v>
      </c>
    </row>
    <row r="28" spans="1:27" ht="15" customHeight="1">
      <c r="A28" s="27" t="s">
        <v>821</v>
      </c>
      <c r="B28" s="26"/>
      <c r="C28" s="32"/>
      <c r="D28" s="25">
        <v>1729.5079093629756</v>
      </c>
      <c r="E28" s="25"/>
      <c r="F28" s="26">
        <v>1699</v>
      </c>
      <c r="G28" s="26">
        <v>112112</v>
      </c>
      <c r="H28" s="25">
        <v>1782</v>
      </c>
      <c r="I28" s="25">
        <v>111973</v>
      </c>
      <c r="K28" s="23" t="s">
        <v>820</v>
      </c>
      <c r="L28" s="22">
        <v>2311</v>
      </c>
      <c r="M28" s="22">
        <v>56004</v>
      </c>
      <c r="N28" s="19">
        <f>L28*M28</f>
        <v>129425244</v>
      </c>
      <c r="O28" s="19">
        <f>L29*M29</f>
        <v>104139312</v>
      </c>
      <c r="P28" s="19">
        <f>N28+O28</f>
        <v>233564556</v>
      </c>
      <c r="Q28" s="19">
        <f>L28+L29</f>
        <v>4087</v>
      </c>
      <c r="R28" s="15">
        <f>P28/Q28</f>
        <v>57148.166381208714</v>
      </c>
      <c r="T28" s="21" t="s">
        <v>820</v>
      </c>
      <c r="U28" s="20">
        <v>2595</v>
      </c>
      <c r="V28" s="20">
        <v>56007</v>
      </c>
      <c r="W28" s="19">
        <f>U28*V28</f>
        <v>145338165</v>
      </c>
      <c r="X28" s="19">
        <f>U29*V29</f>
        <v>104719987</v>
      </c>
      <c r="Y28" s="19">
        <f>W28+X28</f>
        <v>250058152</v>
      </c>
      <c r="Z28" s="19">
        <f>U28+U29</f>
        <v>4382</v>
      </c>
      <c r="AA28" s="15">
        <f>Y28/Z28</f>
        <v>57064.845276129621</v>
      </c>
    </row>
    <row r="29" spans="1:27" ht="15" customHeight="1">
      <c r="A29" s="27" t="s">
        <v>819</v>
      </c>
      <c r="B29" s="26"/>
      <c r="C29" s="32"/>
      <c r="D29" s="25">
        <v>1508.6113723813596</v>
      </c>
      <c r="E29" s="25"/>
      <c r="F29" s="26">
        <v>1482</v>
      </c>
      <c r="G29" s="26">
        <v>117156</v>
      </c>
      <c r="H29" s="25">
        <v>1480</v>
      </c>
      <c r="I29" s="25">
        <v>117204</v>
      </c>
      <c r="K29" s="23" t="s">
        <v>818</v>
      </c>
      <c r="L29" s="22">
        <v>1776</v>
      </c>
      <c r="M29" s="22">
        <v>58637</v>
      </c>
      <c r="T29" s="21" t="s">
        <v>818</v>
      </c>
      <c r="U29" s="20">
        <v>1787</v>
      </c>
      <c r="V29" s="20">
        <v>58601</v>
      </c>
    </row>
    <row r="30" spans="1:27" ht="15" customHeight="1">
      <c r="A30" s="27" t="s">
        <v>817</v>
      </c>
      <c r="B30" s="26"/>
      <c r="C30" s="32"/>
      <c r="D30" s="25">
        <v>1453.6417272338606</v>
      </c>
      <c r="E30" s="25"/>
      <c r="F30" s="26">
        <v>1428</v>
      </c>
      <c r="G30" s="26">
        <v>121875</v>
      </c>
      <c r="H30" s="25">
        <v>1470</v>
      </c>
      <c r="I30" s="25">
        <v>121842</v>
      </c>
      <c r="K30" s="23" t="s">
        <v>816</v>
      </c>
      <c r="L30" s="22">
        <v>2784</v>
      </c>
      <c r="M30" s="22">
        <v>60923</v>
      </c>
      <c r="N30" s="19">
        <f>L30*M30</f>
        <v>169609632</v>
      </c>
      <c r="O30" s="19">
        <f>L31*M31</f>
        <v>106097544</v>
      </c>
      <c r="P30" s="19">
        <f>N30+O30</f>
        <v>275707176</v>
      </c>
      <c r="Q30" s="19">
        <f>L30+L31</f>
        <v>4450</v>
      </c>
      <c r="R30" s="15">
        <f>P30/Q30</f>
        <v>61956.668764044945</v>
      </c>
      <c r="T30" s="21" t="s">
        <v>816</v>
      </c>
      <c r="U30" s="20">
        <v>2789</v>
      </c>
      <c r="V30" s="20">
        <v>60897</v>
      </c>
      <c r="W30" s="19">
        <f>U30*V30</f>
        <v>169841733</v>
      </c>
      <c r="X30" s="19">
        <f>U31*V31</f>
        <v>105593691</v>
      </c>
      <c r="Y30" s="19">
        <f>W30+X30</f>
        <v>275435424</v>
      </c>
      <c r="Z30" s="19">
        <f>U30+U31</f>
        <v>4448</v>
      </c>
      <c r="AA30" s="15">
        <f>Y30/Z30</f>
        <v>61923.431654676257</v>
      </c>
    </row>
    <row r="31" spans="1:27" ht="15" customHeight="1">
      <c r="A31" s="27" t="s">
        <v>815</v>
      </c>
      <c r="B31" s="26"/>
      <c r="C31" s="32"/>
      <c r="D31" s="25">
        <v>1315.199657973493</v>
      </c>
      <c r="E31" s="25"/>
      <c r="F31" s="26">
        <v>1292</v>
      </c>
      <c r="G31" s="26">
        <v>127138</v>
      </c>
      <c r="H31" s="25">
        <v>1243</v>
      </c>
      <c r="I31" s="25">
        <v>127026</v>
      </c>
      <c r="K31" s="23" t="s">
        <v>814</v>
      </c>
      <c r="L31" s="22">
        <v>1666</v>
      </c>
      <c r="M31" s="22">
        <v>63684</v>
      </c>
      <c r="T31" s="21" t="s">
        <v>814</v>
      </c>
      <c r="U31" s="20">
        <v>1659</v>
      </c>
      <c r="V31" s="20">
        <v>63649</v>
      </c>
    </row>
    <row r="32" spans="1:27" ht="15" customHeight="1">
      <c r="A32" s="27" t="s">
        <v>813</v>
      </c>
      <c r="B32" s="26"/>
      <c r="C32" s="32"/>
      <c r="D32" s="25">
        <v>1211.3681060282172</v>
      </c>
      <c r="E32" s="25"/>
      <c r="F32" s="26">
        <v>1190</v>
      </c>
      <c r="G32" s="26">
        <v>132045</v>
      </c>
      <c r="H32" s="25">
        <v>1236</v>
      </c>
      <c r="I32" s="25">
        <v>132066</v>
      </c>
      <c r="K32" s="23" t="s">
        <v>812</v>
      </c>
      <c r="L32" s="22">
        <v>2096</v>
      </c>
      <c r="M32" s="22">
        <v>65950</v>
      </c>
      <c r="N32" s="19">
        <f>L32*M32</f>
        <v>138231200</v>
      </c>
      <c r="O32" s="19">
        <f>L33*M33</f>
        <v>103029690</v>
      </c>
      <c r="P32" s="19">
        <f>N32+O32</f>
        <v>241260890</v>
      </c>
      <c r="Q32" s="19">
        <f>L32+L33</f>
        <v>3598</v>
      </c>
      <c r="R32" s="15">
        <f>P32/Q32</f>
        <v>67054.166203446366</v>
      </c>
      <c r="T32" s="21" t="s">
        <v>812</v>
      </c>
      <c r="U32" s="20">
        <v>2112</v>
      </c>
      <c r="V32" s="20">
        <v>65943</v>
      </c>
      <c r="W32" s="19">
        <f>U32*V32</f>
        <v>139271616</v>
      </c>
      <c r="X32" s="19">
        <f>U33*V33</f>
        <v>99439074</v>
      </c>
      <c r="Y32" s="19">
        <f>W32+X32</f>
        <v>238710690</v>
      </c>
      <c r="Z32" s="19">
        <f>U32+U33</f>
        <v>3561</v>
      </c>
      <c r="AA32" s="15">
        <f>Y32/Z32</f>
        <v>67034.73462510531</v>
      </c>
    </row>
    <row r="33" spans="1:27" ht="15" customHeight="1">
      <c r="A33" s="27" t="s">
        <v>811</v>
      </c>
      <c r="B33" s="31"/>
      <c r="C33" s="32"/>
      <c r="D33" s="25">
        <v>911.07097050021378</v>
      </c>
      <c r="E33" s="25"/>
      <c r="F33" s="31">
        <v>895</v>
      </c>
      <c r="G33" s="26">
        <v>137162</v>
      </c>
      <c r="H33" s="25">
        <v>1058</v>
      </c>
      <c r="I33" s="25">
        <v>137202</v>
      </c>
      <c r="K33" s="23" t="s">
        <v>810</v>
      </c>
      <c r="L33" s="22">
        <v>1502</v>
      </c>
      <c r="M33" s="22">
        <v>68595</v>
      </c>
      <c r="T33" s="21" t="s">
        <v>810</v>
      </c>
      <c r="U33" s="20">
        <v>1449</v>
      </c>
      <c r="V33" s="20">
        <v>68626</v>
      </c>
    </row>
    <row r="34" spans="1:27" ht="15" customHeight="1">
      <c r="A34" s="27" t="s">
        <v>809</v>
      </c>
      <c r="B34" s="31"/>
      <c r="C34" s="32"/>
      <c r="D34" s="25">
        <v>910.05301410859352</v>
      </c>
      <c r="E34" s="25"/>
      <c r="F34" s="31">
        <v>894</v>
      </c>
      <c r="G34" s="26">
        <v>142052</v>
      </c>
      <c r="H34" s="30">
        <v>974</v>
      </c>
      <c r="I34" s="25">
        <v>141989</v>
      </c>
      <c r="K34" s="23" t="s">
        <v>808</v>
      </c>
      <c r="L34" s="22">
        <v>2203</v>
      </c>
      <c r="M34" s="22">
        <v>71004</v>
      </c>
      <c r="N34" s="19">
        <f>L34*M34</f>
        <v>156421812</v>
      </c>
      <c r="O34" s="19">
        <f>L35*M35</f>
        <v>109920116</v>
      </c>
      <c r="P34" s="19">
        <f>N34+O34</f>
        <v>266341928</v>
      </c>
      <c r="Q34" s="19">
        <f>L34+L35</f>
        <v>3695</v>
      </c>
      <c r="R34" s="15">
        <f>P34/Q34</f>
        <v>72081.712584573746</v>
      </c>
      <c r="T34" s="21" t="s">
        <v>808</v>
      </c>
      <c r="U34" s="20">
        <v>2189</v>
      </c>
      <c r="V34" s="20">
        <v>71004</v>
      </c>
      <c r="W34" s="19">
        <f>U34*V34</f>
        <v>155427756</v>
      </c>
      <c r="X34" s="19">
        <f>U35*V35</f>
        <v>110847765</v>
      </c>
      <c r="Y34" s="19">
        <f>W34+X34</f>
        <v>266275521</v>
      </c>
      <c r="Z34" s="19">
        <f>U34+U35</f>
        <v>3694</v>
      </c>
      <c r="AA34" s="15">
        <f>Y34/Z34</f>
        <v>72083.248781808332</v>
      </c>
    </row>
    <row r="35" spans="1:27" ht="15" customHeight="1">
      <c r="A35" s="27" t="s">
        <v>807</v>
      </c>
      <c r="B35" s="31"/>
      <c r="C35" s="32"/>
      <c r="D35" s="25">
        <v>810.29328772979909</v>
      </c>
      <c r="E35" s="25"/>
      <c r="F35" s="31">
        <v>796</v>
      </c>
      <c r="G35" s="26">
        <v>147319</v>
      </c>
      <c r="H35" s="30">
        <v>783</v>
      </c>
      <c r="I35" s="25">
        <v>146959</v>
      </c>
      <c r="K35" s="23" t="s">
        <v>806</v>
      </c>
      <c r="L35" s="22">
        <v>1492</v>
      </c>
      <c r="M35" s="22">
        <v>73673</v>
      </c>
      <c r="T35" s="21" t="s">
        <v>806</v>
      </c>
      <c r="U35" s="20">
        <v>1505</v>
      </c>
      <c r="V35" s="20">
        <v>73653</v>
      </c>
    </row>
    <row r="36" spans="1:27" ht="15" customHeight="1">
      <c r="A36" s="27" t="s">
        <v>805</v>
      </c>
      <c r="B36" s="26"/>
      <c r="C36" s="26"/>
      <c r="D36" s="30"/>
      <c r="E36" s="25"/>
      <c r="F36" s="26">
        <v>1005</v>
      </c>
      <c r="G36" s="26">
        <v>151880</v>
      </c>
      <c r="H36" s="30">
        <v>983</v>
      </c>
      <c r="I36" s="25">
        <v>151788</v>
      </c>
      <c r="K36" s="23" t="s">
        <v>804</v>
      </c>
      <c r="L36" s="22">
        <v>2051</v>
      </c>
      <c r="M36" s="22">
        <v>75923</v>
      </c>
      <c r="N36" s="19">
        <f>L36*M36</f>
        <v>155718073</v>
      </c>
      <c r="O36" s="19">
        <f>L37*M37</f>
        <v>105116277</v>
      </c>
      <c r="P36" s="19">
        <f>N36+O36</f>
        <v>260834350</v>
      </c>
      <c r="Q36" s="19">
        <f>L36+L37</f>
        <v>3388</v>
      </c>
      <c r="R36" s="15">
        <f>P36/Q36</f>
        <v>76987.706611570247</v>
      </c>
      <c r="T36" s="21" t="s">
        <v>804</v>
      </c>
      <c r="U36" s="20">
        <v>1998</v>
      </c>
      <c r="V36" s="20">
        <v>75964</v>
      </c>
      <c r="W36" s="19">
        <f>U36*V36</f>
        <v>151776072</v>
      </c>
      <c r="X36" s="19">
        <f>U37*V37</f>
        <v>103296168</v>
      </c>
      <c r="Y36" s="19">
        <f>W36+X36</f>
        <v>255072240</v>
      </c>
      <c r="Z36" s="19">
        <f>U36+U37</f>
        <v>3312</v>
      </c>
      <c r="AA36" s="15">
        <f>Y36/Z36</f>
        <v>77014.565217391311</v>
      </c>
    </row>
    <row r="37" spans="1:27" ht="15" customHeight="1">
      <c r="A37" s="27" t="s">
        <v>803</v>
      </c>
      <c r="B37" s="31"/>
      <c r="C37" s="26"/>
      <c r="D37" s="30"/>
      <c r="E37" s="25"/>
      <c r="F37" s="31">
        <v>660</v>
      </c>
      <c r="G37" s="26">
        <v>157287</v>
      </c>
      <c r="H37" s="30">
        <v>671</v>
      </c>
      <c r="I37" s="25">
        <v>157072</v>
      </c>
      <c r="K37" s="23" t="s">
        <v>802</v>
      </c>
      <c r="L37" s="22">
        <v>1337</v>
      </c>
      <c r="M37" s="22">
        <v>78621</v>
      </c>
      <c r="T37" s="21" t="s">
        <v>802</v>
      </c>
      <c r="U37" s="20">
        <v>1314</v>
      </c>
      <c r="V37" s="20">
        <v>78612</v>
      </c>
    </row>
    <row r="38" spans="1:27" ht="15" customHeight="1">
      <c r="A38" s="27" t="s">
        <v>801</v>
      </c>
      <c r="B38" s="31"/>
      <c r="C38" s="26"/>
      <c r="D38" s="30"/>
      <c r="E38" s="25"/>
      <c r="F38" s="31">
        <v>674</v>
      </c>
      <c r="G38" s="26">
        <v>161968</v>
      </c>
      <c r="H38" s="30">
        <v>636</v>
      </c>
      <c r="I38" s="25">
        <v>162151</v>
      </c>
      <c r="K38" s="23" t="s">
        <v>800</v>
      </c>
      <c r="L38" s="22">
        <v>1870</v>
      </c>
      <c r="M38" s="22">
        <v>80918</v>
      </c>
      <c r="N38" s="19">
        <f>L38*M38</f>
        <v>151316660</v>
      </c>
      <c r="O38" s="19">
        <f>L39*M39</f>
        <v>101016244</v>
      </c>
      <c r="P38" s="19">
        <f>N38+O38</f>
        <v>252332904</v>
      </c>
      <c r="Q38" s="19">
        <f>L38+L39</f>
        <v>3077</v>
      </c>
      <c r="R38" s="15">
        <f>P38/Q38</f>
        <v>82006.143646408833</v>
      </c>
      <c r="T38" s="21" t="s">
        <v>800</v>
      </c>
      <c r="U38" s="20">
        <v>1872</v>
      </c>
      <c r="V38" s="20">
        <v>80934</v>
      </c>
      <c r="W38" s="19">
        <f>U38*V38</f>
        <v>151508448</v>
      </c>
      <c r="X38" s="19">
        <f>U39*V39</f>
        <v>102154260</v>
      </c>
      <c r="Y38" s="19">
        <f>W38+X38</f>
        <v>253662708</v>
      </c>
      <c r="Z38" s="19">
        <f>U38+U39</f>
        <v>3092</v>
      </c>
      <c r="AA38" s="15">
        <f>Y38/Z38</f>
        <v>82038.391979301421</v>
      </c>
    </row>
    <row r="39" spans="1:27" ht="15" customHeight="1">
      <c r="A39" s="27" t="s">
        <v>799</v>
      </c>
      <c r="B39" s="31"/>
      <c r="C39" s="26"/>
      <c r="D39" s="30"/>
      <c r="E39" s="25"/>
      <c r="F39" s="31">
        <v>497</v>
      </c>
      <c r="G39" s="26">
        <v>167191</v>
      </c>
      <c r="H39" s="30">
        <v>541</v>
      </c>
      <c r="I39" s="25">
        <v>167076</v>
      </c>
      <c r="K39" s="23" t="s">
        <v>798</v>
      </c>
      <c r="L39" s="22">
        <v>1207</v>
      </c>
      <c r="M39" s="22">
        <v>83692</v>
      </c>
      <c r="T39" s="21" t="s">
        <v>798</v>
      </c>
      <c r="U39" s="20">
        <v>1220</v>
      </c>
      <c r="V39" s="20">
        <v>83733</v>
      </c>
    </row>
    <row r="40" spans="1:27" ht="15" customHeight="1">
      <c r="A40" s="27" t="s">
        <v>797</v>
      </c>
      <c r="B40" s="31"/>
      <c r="C40" s="26"/>
      <c r="D40" s="30"/>
      <c r="E40" s="25"/>
      <c r="F40" s="31">
        <v>518</v>
      </c>
      <c r="G40" s="26">
        <v>172218</v>
      </c>
      <c r="H40" s="30">
        <v>555</v>
      </c>
      <c r="I40" s="25">
        <v>171948</v>
      </c>
      <c r="K40" s="23" t="s">
        <v>796</v>
      </c>
      <c r="L40" s="22">
        <v>1555</v>
      </c>
      <c r="M40" s="22">
        <v>85985</v>
      </c>
      <c r="N40" s="19">
        <f>L40*M40</f>
        <v>133706675</v>
      </c>
      <c r="O40" s="19">
        <f>L41*M41</f>
        <v>108095660</v>
      </c>
      <c r="P40" s="19">
        <f>N40+O40</f>
        <v>241802335</v>
      </c>
      <c r="Q40" s="19">
        <f>L40+L41</f>
        <v>2775</v>
      </c>
      <c r="R40" s="15">
        <f>P40/Q40</f>
        <v>87135.976576576577</v>
      </c>
      <c r="T40" s="21" t="s">
        <v>796</v>
      </c>
      <c r="U40" s="20">
        <v>1573</v>
      </c>
      <c r="V40" s="20">
        <v>85985</v>
      </c>
      <c r="W40" s="19">
        <f>U40*V40</f>
        <v>135254405</v>
      </c>
      <c r="X40" s="19">
        <f>U41*V41</f>
        <v>99538228</v>
      </c>
      <c r="Y40" s="19">
        <f>W40+X40</f>
        <v>234792633</v>
      </c>
      <c r="Z40" s="19">
        <f>U40+U41</f>
        <v>2696</v>
      </c>
      <c r="AA40" s="15">
        <f>Y40/Z40</f>
        <v>87089.255563798215</v>
      </c>
    </row>
    <row r="41" spans="1:27" ht="15" customHeight="1">
      <c r="A41" s="27" t="s">
        <v>795</v>
      </c>
      <c r="B41" s="31"/>
      <c r="C41" s="26"/>
      <c r="D41" s="30"/>
      <c r="E41" s="25"/>
      <c r="F41" s="31">
        <v>445</v>
      </c>
      <c r="G41" s="26">
        <v>177100</v>
      </c>
      <c r="H41" s="30">
        <v>472</v>
      </c>
      <c r="I41" s="25">
        <v>177161</v>
      </c>
      <c r="K41" s="23" t="s">
        <v>794</v>
      </c>
      <c r="L41" s="22">
        <v>1220</v>
      </c>
      <c r="M41" s="22">
        <v>88603</v>
      </c>
      <c r="T41" s="21" t="s">
        <v>794</v>
      </c>
      <c r="U41" s="20">
        <v>1123</v>
      </c>
      <c r="V41" s="20">
        <v>88636</v>
      </c>
    </row>
    <row r="42" spans="1:27" ht="15" customHeight="1">
      <c r="A42" s="27" t="s">
        <v>793</v>
      </c>
      <c r="B42" s="31"/>
      <c r="C42" s="26"/>
      <c r="D42" s="30"/>
      <c r="E42" s="25"/>
      <c r="F42" s="31">
        <v>472</v>
      </c>
      <c r="G42" s="26">
        <v>182076</v>
      </c>
      <c r="H42" s="30">
        <v>464</v>
      </c>
      <c r="I42" s="25">
        <v>181956</v>
      </c>
      <c r="K42" s="23" t="s">
        <v>792</v>
      </c>
      <c r="L42" s="22">
        <v>1575</v>
      </c>
      <c r="M42" s="22">
        <v>90955</v>
      </c>
      <c r="N42" s="19">
        <f>L42*M42</f>
        <v>143254125</v>
      </c>
      <c r="O42" s="19">
        <f>L43*M43</f>
        <v>94564280</v>
      </c>
      <c r="P42" s="19">
        <f>N42+O42</f>
        <v>237818405</v>
      </c>
      <c r="Q42" s="19">
        <f>L42+L43</f>
        <v>2585</v>
      </c>
      <c r="R42" s="15">
        <f>P42/Q42</f>
        <v>91999.382978723399</v>
      </c>
      <c r="T42" s="21" t="s">
        <v>792</v>
      </c>
      <c r="U42" s="20">
        <v>1566</v>
      </c>
      <c r="V42" s="20">
        <v>90968</v>
      </c>
      <c r="W42" s="19">
        <f>U42*V42</f>
        <v>142455888</v>
      </c>
      <c r="X42" s="19">
        <f>U43*V43</f>
        <v>92402940</v>
      </c>
      <c r="Y42" s="19">
        <f>W42+X42</f>
        <v>234858828</v>
      </c>
      <c r="Z42" s="19">
        <f>U42+U43</f>
        <v>2553</v>
      </c>
      <c r="AA42" s="15">
        <f>Y42/Z42</f>
        <v>91993.273795534667</v>
      </c>
    </row>
    <row r="43" spans="1:27" ht="15" customHeight="1">
      <c r="A43" s="27" t="s">
        <v>791</v>
      </c>
      <c r="B43" s="31"/>
      <c r="C43" s="26"/>
      <c r="D43" s="30"/>
      <c r="E43" s="25"/>
      <c r="F43" s="31">
        <v>351</v>
      </c>
      <c r="G43" s="26">
        <v>186991</v>
      </c>
      <c r="H43" s="30">
        <v>335</v>
      </c>
      <c r="I43" s="25">
        <v>187307</v>
      </c>
      <c r="K43" s="23" t="s">
        <v>790</v>
      </c>
      <c r="L43" s="22">
        <v>1010</v>
      </c>
      <c r="M43" s="22">
        <v>93628</v>
      </c>
      <c r="T43" s="21" t="s">
        <v>790</v>
      </c>
      <c r="U43" s="28">
        <v>987</v>
      </c>
      <c r="V43" s="20">
        <v>93620</v>
      </c>
    </row>
    <row r="44" spans="1:27" ht="15" customHeight="1">
      <c r="A44" s="27" t="s">
        <v>789</v>
      </c>
      <c r="B44" s="31"/>
      <c r="C44" s="26"/>
      <c r="D44" s="30"/>
      <c r="E44" s="25"/>
      <c r="F44" s="31">
        <v>318</v>
      </c>
      <c r="G44" s="26">
        <v>192037</v>
      </c>
      <c r="H44" s="30">
        <v>358</v>
      </c>
      <c r="I44" s="25">
        <v>192029</v>
      </c>
      <c r="K44" s="23" t="s">
        <v>788</v>
      </c>
      <c r="L44" s="22">
        <v>1290</v>
      </c>
      <c r="M44" s="22">
        <v>96048</v>
      </c>
      <c r="N44" s="19">
        <f>L44*M44</f>
        <v>123901920</v>
      </c>
      <c r="O44" s="19">
        <f>L45*M45</f>
        <v>87698961</v>
      </c>
      <c r="P44" s="19">
        <f>N44+O44</f>
        <v>211600881</v>
      </c>
      <c r="Q44" s="19">
        <f>L44+L45</f>
        <v>2179</v>
      </c>
      <c r="R44" s="15">
        <f>P44/Q44</f>
        <v>97109.169802661767</v>
      </c>
      <c r="T44" s="21" t="s">
        <v>788</v>
      </c>
      <c r="U44" s="20">
        <v>1216</v>
      </c>
      <c r="V44" s="20">
        <v>96043</v>
      </c>
      <c r="W44" s="19">
        <f>U44*V44</f>
        <v>116788288</v>
      </c>
      <c r="X44" s="19">
        <f>U45*V45</f>
        <v>95879052</v>
      </c>
      <c r="Y44" s="19">
        <f>W44+X44</f>
        <v>212667340</v>
      </c>
      <c r="Z44" s="19">
        <f>U44+U45</f>
        <v>2188</v>
      </c>
      <c r="AA44" s="15">
        <f>Y44/Z44</f>
        <v>97197.138939670927</v>
      </c>
    </row>
    <row r="45" spans="1:27" ht="15" customHeight="1">
      <c r="A45" s="27" t="s">
        <v>787</v>
      </c>
      <c r="B45" s="31"/>
      <c r="C45" s="26"/>
      <c r="D45" s="30"/>
      <c r="E45" s="25"/>
      <c r="F45" s="31">
        <v>269</v>
      </c>
      <c r="G45" s="26">
        <v>197148</v>
      </c>
      <c r="H45" s="30">
        <v>290</v>
      </c>
      <c r="I45" s="25">
        <v>197119</v>
      </c>
      <c r="K45" s="23" t="s">
        <v>786</v>
      </c>
      <c r="L45" s="29">
        <v>889</v>
      </c>
      <c r="M45" s="22">
        <v>98649</v>
      </c>
      <c r="T45" s="21" t="s">
        <v>786</v>
      </c>
      <c r="U45" s="28">
        <v>972</v>
      </c>
      <c r="V45" s="20">
        <v>98641</v>
      </c>
    </row>
    <row r="46" spans="1:27" ht="15" customHeight="1">
      <c r="A46" s="27" t="s">
        <v>785</v>
      </c>
      <c r="B46" s="26">
        <v>2012</v>
      </c>
      <c r="C46" s="26">
        <v>219617</v>
      </c>
      <c r="D46" s="25">
        <v>2001</v>
      </c>
      <c r="E46" s="25">
        <v>218319</v>
      </c>
      <c r="F46" s="26">
        <v>2135</v>
      </c>
      <c r="G46" s="26">
        <v>219666</v>
      </c>
      <c r="H46" s="25">
        <v>2143</v>
      </c>
      <c r="I46" s="25">
        <v>219377</v>
      </c>
      <c r="K46" s="23" t="s">
        <v>784</v>
      </c>
      <c r="L46" s="22">
        <v>14286</v>
      </c>
      <c r="M46" s="22">
        <v>119762</v>
      </c>
      <c r="T46" s="21" t="s">
        <v>784</v>
      </c>
      <c r="U46" s="20">
        <v>14214</v>
      </c>
      <c r="V46" s="20">
        <v>119534</v>
      </c>
    </row>
    <row r="47" spans="1:27" ht="15" customHeight="1">
      <c r="A47" s="27" t="s">
        <v>783</v>
      </c>
      <c r="B47" s="26">
        <v>2245</v>
      </c>
      <c r="C47" s="26">
        <v>418063</v>
      </c>
      <c r="D47" s="25">
        <v>2476</v>
      </c>
      <c r="E47" s="25">
        <v>415517</v>
      </c>
      <c r="F47" s="26">
        <v>2372</v>
      </c>
      <c r="G47" s="26">
        <v>425226</v>
      </c>
      <c r="H47" s="25">
        <v>2484</v>
      </c>
      <c r="I47" s="25">
        <v>398194</v>
      </c>
      <c r="K47" s="23" t="s">
        <v>782</v>
      </c>
      <c r="L47" s="22">
        <v>5250</v>
      </c>
      <c r="M47" s="22">
        <v>169550</v>
      </c>
      <c r="T47" s="21" t="s">
        <v>782</v>
      </c>
      <c r="U47" s="20">
        <v>5115</v>
      </c>
      <c r="V47" s="20">
        <v>169466</v>
      </c>
    </row>
    <row r="48" spans="1:27" ht="30">
      <c r="K48" s="23" t="s">
        <v>781</v>
      </c>
      <c r="L48" s="22">
        <v>2001</v>
      </c>
      <c r="M48" s="22">
        <v>218319</v>
      </c>
      <c r="T48" s="21" t="s">
        <v>781</v>
      </c>
      <c r="U48" s="20">
        <v>2012</v>
      </c>
      <c r="V48" s="20">
        <v>219617</v>
      </c>
    </row>
    <row r="49" spans="1:22" ht="30">
      <c r="A49" s="6" t="s">
        <v>771</v>
      </c>
      <c r="B49" s="24">
        <v>2007</v>
      </c>
      <c r="C49" s="24">
        <v>2008</v>
      </c>
      <c r="D49" s="24">
        <v>2009</v>
      </c>
      <c r="E49" s="24">
        <v>2010</v>
      </c>
      <c r="K49" s="23" t="s">
        <v>780</v>
      </c>
      <c r="L49" s="22">
        <v>2476</v>
      </c>
      <c r="M49" s="22">
        <v>415517</v>
      </c>
      <c r="T49" s="21" t="s">
        <v>780</v>
      </c>
      <c r="U49" s="20">
        <v>2245</v>
      </c>
      <c r="V49" s="20">
        <v>418063</v>
      </c>
    </row>
    <row r="50" spans="1:22">
      <c r="A50" s="6" t="s">
        <v>37</v>
      </c>
      <c r="B50" s="17">
        <f>SUM(B6:B8)</f>
        <v>15506</v>
      </c>
      <c r="C50" s="17">
        <f>D6+D7+D8</f>
        <v>15224</v>
      </c>
      <c r="D50" s="17">
        <f>F6+F7+F8</f>
        <v>15329</v>
      </c>
      <c r="E50" s="17">
        <f>H6+H7+H8</f>
        <v>16292</v>
      </c>
    </row>
    <row r="51" spans="1:22">
      <c r="A51" s="6" t="s">
        <v>38</v>
      </c>
      <c r="B51" s="17">
        <f>B9+B10</f>
        <v>13528</v>
      </c>
      <c r="C51" s="17">
        <f>D9+D10</f>
        <v>13800</v>
      </c>
      <c r="D51" s="17">
        <f>F9+F10</f>
        <v>14023</v>
      </c>
      <c r="E51" s="17">
        <f>H9+H10</f>
        <v>14197</v>
      </c>
    </row>
    <row r="52" spans="1:22">
      <c r="A52" s="6" t="s">
        <v>39</v>
      </c>
      <c r="B52" s="17">
        <f>B11+B12</f>
        <v>12532</v>
      </c>
      <c r="C52" s="17">
        <f>D11+D12</f>
        <v>12733</v>
      </c>
      <c r="D52" s="17">
        <f>F11+F12</f>
        <v>13003</v>
      </c>
      <c r="E52" s="17">
        <f>H11+H12</f>
        <v>12878</v>
      </c>
      <c r="F52" s="19"/>
    </row>
    <row r="53" spans="1:22">
      <c r="A53" s="6" t="s">
        <v>40</v>
      </c>
      <c r="B53" s="17">
        <f>B13+B14</f>
        <v>11538</v>
      </c>
      <c r="C53" s="17">
        <f>D13+D14</f>
        <v>11593</v>
      </c>
      <c r="D53" s="17">
        <f>F13+F14</f>
        <v>11713</v>
      </c>
      <c r="E53" s="17">
        <f>H13+H14</f>
        <v>11531</v>
      </c>
      <c r="M53" s="18"/>
    </row>
    <row r="54" spans="1:22">
      <c r="A54" s="6" t="s">
        <v>41</v>
      </c>
      <c r="B54" s="17">
        <f>B15+B16</f>
        <v>10166</v>
      </c>
      <c r="C54" s="17">
        <f>D15+D16</f>
        <v>9986</v>
      </c>
      <c r="D54" s="17">
        <f>F15+F16</f>
        <v>10041</v>
      </c>
      <c r="E54" s="17">
        <f>H15+H16</f>
        <v>10021</v>
      </c>
    </row>
    <row r="55" spans="1:22">
      <c r="A55" s="6" t="s">
        <v>42</v>
      </c>
      <c r="B55" s="17">
        <f>B17+B18</f>
        <v>8830</v>
      </c>
      <c r="C55" s="17">
        <f>D17+D18</f>
        <v>8537</v>
      </c>
      <c r="D55" s="17">
        <f>F17+F18</f>
        <v>8839</v>
      </c>
      <c r="E55" s="17">
        <f>H17+H18</f>
        <v>8615</v>
      </c>
    </row>
    <row r="56" spans="1:22">
      <c r="A56" s="6" t="s">
        <v>43</v>
      </c>
      <c r="B56" s="17">
        <f>B19+B20</f>
        <v>7255</v>
      </c>
      <c r="C56" s="17">
        <f>D19+D20</f>
        <v>7293</v>
      </c>
      <c r="D56" s="17">
        <f>F19+F20</f>
        <v>7294</v>
      </c>
      <c r="E56" s="17">
        <f>H19+H20</f>
        <v>7348</v>
      </c>
    </row>
    <row r="57" spans="1:22">
      <c r="A57" s="6" t="s">
        <v>44</v>
      </c>
      <c r="B57" s="17">
        <f>B21+B22+B23+B24+B25</f>
        <v>13841</v>
      </c>
      <c r="C57" s="17">
        <f>D21+D22</f>
        <v>6465</v>
      </c>
      <c r="D57" s="17">
        <f>F21+F22+F23+F24+F25</f>
        <v>13549</v>
      </c>
      <c r="E57" s="17">
        <f>H21+H22+H23+H24+H25</f>
        <v>13567</v>
      </c>
    </row>
    <row r="58" spans="1:22">
      <c r="A58" s="6" t="s">
        <v>767</v>
      </c>
      <c r="B58" s="17">
        <f>U46</f>
        <v>14214</v>
      </c>
      <c r="C58" s="17">
        <f>L46</f>
        <v>14286</v>
      </c>
      <c r="D58" s="17">
        <f>F26+F27+F28+F29+F30+F31+F32+F33+F34+F35</f>
        <v>14034</v>
      </c>
      <c r="E58" s="17">
        <f>SUM(H26:H35)</f>
        <v>14302</v>
      </c>
    </row>
    <row r="59" spans="1:22">
      <c r="A59" s="6" t="s">
        <v>768</v>
      </c>
      <c r="B59" s="17">
        <f>U47</f>
        <v>5115</v>
      </c>
      <c r="C59" s="17">
        <f>L47</f>
        <v>5250</v>
      </c>
      <c r="D59" s="17">
        <f>F36+F37+F38+F39+F40+F41+F42+F43+F44+F45</f>
        <v>5209</v>
      </c>
      <c r="E59" s="17">
        <f>SUM(H36:H45)</f>
        <v>5305</v>
      </c>
    </row>
    <row r="60" spans="1:22">
      <c r="A60" s="6" t="s">
        <v>769</v>
      </c>
      <c r="B60" s="17">
        <f>U48</f>
        <v>2012</v>
      </c>
      <c r="C60" s="17">
        <f>L48</f>
        <v>2001</v>
      </c>
      <c r="D60" s="17">
        <f>F46</f>
        <v>2135</v>
      </c>
      <c r="E60" s="17">
        <f>H46</f>
        <v>2143</v>
      </c>
    </row>
    <row r="61" spans="1:22">
      <c r="A61" s="6" t="s">
        <v>770</v>
      </c>
      <c r="B61" s="17">
        <f>U49</f>
        <v>2245</v>
      </c>
      <c r="C61" s="17">
        <f>L49</f>
        <v>2476</v>
      </c>
      <c r="D61" s="17">
        <f>F47</f>
        <v>2372</v>
      </c>
      <c r="E61" s="17">
        <f>H47</f>
        <v>2484</v>
      </c>
    </row>
    <row r="62" spans="1:22">
      <c r="A62" s="6" t="s">
        <v>779</v>
      </c>
      <c r="B62" s="15" t="s">
        <v>776</v>
      </c>
      <c r="C62" s="15" t="s">
        <v>775</v>
      </c>
      <c r="D62" s="15" t="s">
        <v>777</v>
      </c>
      <c r="E62" s="15" t="s">
        <v>778</v>
      </c>
    </row>
  </sheetData>
  <mergeCells count="16">
    <mergeCell ref="T2:T3"/>
    <mergeCell ref="U2:V2"/>
    <mergeCell ref="T4:V4"/>
    <mergeCell ref="U1:V1"/>
    <mergeCell ref="L2:M2"/>
    <mergeCell ref="L1:M1"/>
    <mergeCell ref="K2:K3"/>
    <mergeCell ref="A2:A3"/>
    <mergeCell ref="H2:I2"/>
    <mergeCell ref="D1:E1"/>
    <mergeCell ref="F1:G1"/>
    <mergeCell ref="H1:I1"/>
    <mergeCell ref="D2:E2"/>
    <mergeCell ref="B1:C1"/>
    <mergeCell ref="B2:C2"/>
    <mergeCell ref="F2:G2"/>
  </mergeCells>
  <pageMargins left="0.7" right="0.7" top="0.75" bottom="0.75" header="0.3" footer="0.3"/>
</worksheet>
</file>

<file path=xl/worksheets/sheet10.xml><?xml version="1.0" encoding="utf-8"?>
<worksheet xmlns="http://schemas.openxmlformats.org/spreadsheetml/2006/main" xmlns:r="http://schemas.openxmlformats.org/officeDocument/2006/relationships">
  <sheetPr>
    <outlinePr summaryBelow="0"/>
  </sheetPr>
  <dimension ref="A1:K16"/>
  <sheetViews>
    <sheetView workbookViewId="0">
      <selection activeCell="C14" sqref="C14"/>
    </sheetView>
  </sheetViews>
  <sheetFormatPr defaultRowHeight="12.75"/>
  <cols>
    <col min="1" max="1" width="40.7109375" style="148" customWidth="1"/>
    <col min="2" max="16384" width="9.140625" style="148"/>
  </cols>
  <sheetData>
    <row r="1" spans="1:11" ht="25.5" customHeight="1">
      <c r="A1" s="153" t="s">
        <v>1004</v>
      </c>
    </row>
    <row r="2" spans="1:11" ht="25.5" customHeight="1">
      <c r="A2" s="153" t="s">
        <v>1008</v>
      </c>
      <c r="B2" s="153"/>
      <c r="C2" s="153"/>
      <c r="D2" s="153"/>
      <c r="E2" s="153"/>
      <c r="F2" s="153"/>
      <c r="G2" s="153"/>
      <c r="H2" s="153"/>
      <c r="I2" s="153"/>
      <c r="J2" s="153"/>
      <c r="K2" s="153"/>
    </row>
    <row r="3" spans="1:11" ht="25.5" customHeight="1">
      <c r="A3" s="153" t="s">
        <v>1007</v>
      </c>
      <c r="B3" s="153"/>
      <c r="C3" s="153"/>
      <c r="D3" s="153"/>
      <c r="E3" s="153"/>
      <c r="F3" s="153"/>
      <c r="G3" s="153"/>
      <c r="H3" s="153"/>
      <c r="I3" s="153"/>
      <c r="J3" s="153"/>
      <c r="K3" s="153"/>
    </row>
    <row r="4" spans="1:11" ht="25.5" customHeight="1">
      <c r="A4" s="153" t="s">
        <v>1002</v>
      </c>
      <c r="B4" s="153"/>
      <c r="C4" s="153"/>
      <c r="D4" s="153"/>
      <c r="E4" s="153"/>
      <c r="F4" s="153"/>
      <c r="G4" s="153"/>
      <c r="H4" s="153"/>
      <c r="I4" s="153"/>
      <c r="J4" s="153"/>
      <c r="K4" s="153"/>
    </row>
    <row r="5" spans="1:11" ht="25.5" customHeight="1">
      <c r="A5" s="153" t="s">
        <v>1001</v>
      </c>
      <c r="B5" s="153"/>
      <c r="C5" s="153"/>
      <c r="D5" s="153"/>
      <c r="E5" s="153"/>
      <c r="F5" s="153"/>
      <c r="G5" s="153"/>
      <c r="H5" s="153"/>
      <c r="I5" s="153"/>
      <c r="J5" s="153"/>
      <c r="K5" s="153"/>
    </row>
    <row r="6" spans="1:11" ht="14.25">
      <c r="A6" s="153"/>
      <c r="B6" s="153"/>
      <c r="C6" s="153"/>
      <c r="D6" s="153"/>
      <c r="E6" s="153"/>
      <c r="F6" s="153"/>
      <c r="G6" s="153"/>
      <c r="H6" s="153"/>
      <c r="I6" s="153"/>
      <c r="J6" s="153"/>
      <c r="K6" s="153"/>
    </row>
    <row r="7" spans="1:11" ht="14.25">
      <c r="A7" s="153"/>
      <c r="B7" s="153"/>
      <c r="C7" s="153"/>
      <c r="D7" s="153"/>
      <c r="E7" s="153"/>
      <c r="F7" s="153"/>
      <c r="G7" s="153"/>
      <c r="H7" s="153"/>
      <c r="I7" s="153"/>
      <c r="J7" s="153"/>
    </row>
    <row r="8" spans="1:11" ht="25.5" customHeight="1">
      <c r="A8" s="152" t="s">
        <v>1006</v>
      </c>
      <c r="B8" s="151">
        <v>2007</v>
      </c>
      <c r="C8" s="151">
        <v>2008</v>
      </c>
      <c r="D8" s="151">
        <v>2009</v>
      </c>
      <c r="E8" s="151">
        <v>2010</v>
      </c>
      <c r="F8" s="151">
        <v>2011</v>
      </c>
      <c r="G8" s="151">
        <v>2012</v>
      </c>
      <c r="H8" s="151">
        <v>2013</v>
      </c>
      <c r="I8" s="151">
        <v>2014</v>
      </c>
      <c r="J8" s="151">
        <v>2015</v>
      </c>
      <c r="K8" s="151">
        <v>2016</v>
      </c>
    </row>
    <row r="9" spans="1:11" ht="18" customHeight="1">
      <c r="A9" s="150" t="s">
        <v>1000</v>
      </c>
      <c r="B9" s="150"/>
      <c r="C9" s="150"/>
      <c r="D9" s="150"/>
      <c r="E9" s="150"/>
      <c r="F9" s="150"/>
      <c r="G9" s="150"/>
      <c r="H9" s="150"/>
      <c r="I9" s="150"/>
      <c r="J9" s="150"/>
      <c r="K9" s="150"/>
    </row>
    <row r="10" spans="1:11" ht="18" customHeight="1">
      <c r="A10" s="149" t="s">
        <v>997</v>
      </c>
      <c r="B10" s="149">
        <v>64.260000000000005</v>
      </c>
      <c r="C10" s="149">
        <v>74.837999999999994</v>
      </c>
      <c r="D10" s="149">
        <v>73.653000000000006</v>
      </c>
      <c r="E10" s="149">
        <v>77.412000000000006</v>
      </c>
      <c r="F10" s="149">
        <v>77.75</v>
      </c>
      <c r="G10" s="149">
        <v>82.024000000000001</v>
      </c>
      <c r="H10" s="149">
        <v>87.350999999999999</v>
      </c>
      <c r="I10" s="149">
        <v>94.379000000000005</v>
      </c>
      <c r="J10" s="149">
        <v>102.696</v>
      </c>
      <c r="K10" s="149">
        <v>111.598</v>
      </c>
    </row>
    <row r="11" spans="1:11" ht="18" customHeight="1">
      <c r="A11" s="150" t="s">
        <v>1005</v>
      </c>
      <c r="B11" s="150"/>
      <c r="C11" s="150"/>
      <c r="D11" s="150"/>
      <c r="E11" s="150"/>
      <c r="F11" s="150"/>
      <c r="G11" s="150"/>
      <c r="H11" s="150"/>
      <c r="I11" s="150"/>
      <c r="J11" s="150"/>
      <c r="K11" s="150"/>
    </row>
    <row r="12" spans="1:11" ht="18" customHeight="1">
      <c r="A12" s="149" t="s">
        <v>997</v>
      </c>
      <c r="B12" s="149">
        <v>23.539000000000001</v>
      </c>
      <c r="C12" s="149">
        <v>26.902999999999999</v>
      </c>
      <c r="D12" s="149">
        <v>24.872</v>
      </c>
      <c r="E12" s="149">
        <v>26.065000000000001</v>
      </c>
      <c r="F12" s="149">
        <v>25.431000000000001</v>
      </c>
      <c r="G12" s="149">
        <v>26.670999999999999</v>
      </c>
      <c r="H12" s="149">
        <v>28.353000000000002</v>
      </c>
      <c r="I12" s="149">
        <v>30.544</v>
      </c>
      <c r="J12" s="149">
        <v>33.360999999999997</v>
      </c>
      <c r="K12" s="149">
        <v>36.417000000000002</v>
      </c>
    </row>
    <row r="13" spans="1:11" ht="18" customHeight="1">
      <c r="A13" s="150" t="s">
        <v>999</v>
      </c>
      <c r="B13" s="150"/>
      <c r="C13" s="150"/>
      <c r="D13" s="150"/>
      <c r="E13" s="150"/>
      <c r="F13" s="150"/>
      <c r="G13" s="150"/>
      <c r="H13" s="150"/>
      <c r="I13" s="150"/>
      <c r="J13" s="150"/>
      <c r="K13" s="150"/>
    </row>
    <row r="14" spans="1:11" ht="18" customHeight="1">
      <c r="A14" s="149" t="s">
        <v>997</v>
      </c>
      <c r="B14" s="149">
        <v>0.29499999999999998</v>
      </c>
      <c r="C14" s="149">
        <v>0.35299999999999998</v>
      </c>
      <c r="D14" s="149">
        <v>0.38900000000000001</v>
      </c>
      <c r="E14" s="149">
        <v>0.42699999999999999</v>
      </c>
      <c r="F14" s="149">
        <v>0.45300000000000001</v>
      </c>
      <c r="G14" s="149">
        <v>0.48199999999999998</v>
      </c>
      <c r="H14" s="149">
        <v>0.50900000000000001</v>
      </c>
      <c r="I14" s="149">
        <v>0.54700000000000004</v>
      </c>
      <c r="J14" s="149">
        <v>0.59</v>
      </c>
      <c r="K14" s="149">
        <v>0.63600000000000001</v>
      </c>
    </row>
    <row r="15" spans="1:11" ht="18" customHeight="1">
      <c r="A15" s="150" t="s">
        <v>998</v>
      </c>
      <c r="B15" s="150"/>
      <c r="C15" s="150"/>
      <c r="D15" s="150"/>
      <c r="E15" s="150"/>
      <c r="F15" s="150"/>
      <c r="G15" s="150"/>
      <c r="H15" s="150"/>
      <c r="I15" s="150"/>
      <c r="J15" s="150"/>
      <c r="K15" s="150"/>
    </row>
    <row r="16" spans="1:11" ht="18" customHeight="1">
      <c r="A16" s="149" t="s">
        <v>997</v>
      </c>
      <c r="B16" s="149">
        <v>10.311999999999999</v>
      </c>
      <c r="C16" s="149">
        <v>12.093999999999999</v>
      </c>
      <c r="D16" s="149">
        <v>10.928000000000001</v>
      </c>
      <c r="E16" s="149">
        <v>10.923</v>
      </c>
      <c r="F16" s="149">
        <v>10.894</v>
      </c>
      <c r="G16" s="149">
        <v>11.885999999999999</v>
      </c>
      <c r="H16" s="149">
        <v>13.013999999999999</v>
      </c>
      <c r="I16" s="149">
        <v>14.301</v>
      </c>
      <c r="J16" s="149">
        <v>15.637</v>
      </c>
      <c r="K16" s="149">
        <v>16.975000000000001</v>
      </c>
    </row>
  </sheetData>
  <pageMargins left="0.75" right="0.75" top="1" bottom="1" header="0.5" footer="0.5"/>
  <pageSetup paperSize="0" fitToWidth="0" fitToHeight="0" orientation="portrait"/>
  <headerFooter alignWithMargins="0"/>
</worksheet>
</file>

<file path=xl/worksheets/sheet11.xml><?xml version="1.0" encoding="utf-8"?>
<worksheet xmlns="http://schemas.openxmlformats.org/spreadsheetml/2006/main" xmlns:r="http://schemas.openxmlformats.org/officeDocument/2006/relationships">
  <sheetPr>
    <outlinePr summaryBelow="0"/>
  </sheetPr>
  <dimension ref="A1:K15"/>
  <sheetViews>
    <sheetView workbookViewId="0"/>
  </sheetViews>
  <sheetFormatPr defaultRowHeight="12.75"/>
  <cols>
    <col min="1" max="1" width="40.7109375" style="148" customWidth="1"/>
    <col min="2" max="16384" width="9.140625" style="148"/>
  </cols>
  <sheetData>
    <row r="1" spans="1:11" ht="25.5" customHeight="1">
      <c r="A1" s="153" t="s">
        <v>1004</v>
      </c>
    </row>
    <row r="2" spans="1:11" ht="25.5" customHeight="1">
      <c r="A2" s="153" t="s">
        <v>1012</v>
      </c>
      <c r="B2" s="153"/>
      <c r="C2" s="153"/>
      <c r="D2" s="153"/>
      <c r="E2" s="153"/>
      <c r="F2" s="153"/>
      <c r="G2" s="153"/>
      <c r="H2" s="153"/>
      <c r="I2" s="153"/>
      <c r="J2" s="153"/>
      <c r="K2" s="153"/>
    </row>
    <row r="3" spans="1:11" ht="25.5" customHeight="1">
      <c r="A3" s="153" t="s">
        <v>1011</v>
      </c>
      <c r="B3" s="153"/>
      <c r="C3" s="153"/>
      <c r="D3" s="153"/>
      <c r="E3" s="153"/>
      <c r="F3" s="153"/>
      <c r="G3" s="153"/>
      <c r="H3" s="153"/>
      <c r="I3" s="153"/>
      <c r="J3" s="153"/>
      <c r="K3" s="153"/>
    </row>
    <row r="4" spans="1:11" ht="25.5" customHeight="1">
      <c r="A4" s="153" t="s">
        <v>1002</v>
      </c>
      <c r="B4" s="153"/>
      <c r="C4" s="153"/>
      <c r="D4" s="153"/>
      <c r="E4" s="153"/>
      <c r="F4" s="153"/>
      <c r="G4" s="153"/>
      <c r="H4" s="153"/>
      <c r="I4" s="153"/>
      <c r="J4" s="153"/>
      <c r="K4" s="153"/>
    </row>
    <row r="5" spans="1:11" ht="25.5" customHeight="1">
      <c r="A5" s="153" t="s">
        <v>1001</v>
      </c>
      <c r="B5" s="153"/>
      <c r="C5" s="153"/>
      <c r="D5" s="153"/>
      <c r="E5" s="153"/>
      <c r="F5" s="153"/>
      <c r="G5" s="153"/>
      <c r="H5" s="153"/>
      <c r="I5" s="153"/>
      <c r="J5" s="153"/>
      <c r="K5" s="153"/>
    </row>
    <row r="6" spans="1:11" ht="14.25">
      <c r="A6" s="153"/>
      <c r="B6" s="153"/>
      <c r="C6" s="153"/>
      <c r="D6" s="153"/>
      <c r="E6" s="153"/>
      <c r="F6" s="153"/>
      <c r="G6" s="153"/>
      <c r="H6" s="153"/>
      <c r="I6" s="153"/>
      <c r="J6" s="153"/>
      <c r="K6" s="153"/>
    </row>
    <row r="7" spans="1:11" ht="14.25">
      <c r="A7" s="153"/>
      <c r="B7" s="153"/>
      <c r="C7" s="153"/>
      <c r="D7" s="153"/>
      <c r="E7" s="153"/>
      <c r="F7" s="153"/>
      <c r="G7" s="153"/>
      <c r="H7" s="153"/>
      <c r="I7" s="153"/>
      <c r="J7" s="153"/>
    </row>
    <row r="8" spans="1:11" ht="25.5" customHeight="1">
      <c r="A8" s="152" t="s">
        <v>1010</v>
      </c>
      <c r="B8" s="151">
        <v>2007</v>
      </c>
      <c r="C8" s="151">
        <v>2008</v>
      </c>
      <c r="D8" s="151">
        <v>2009</v>
      </c>
      <c r="E8" s="151">
        <v>2010</v>
      </c>
      <c r="F8" s="151">
        <v>2011</v>
      </c>
      <c r="G8" s="151">
        <v>2012</v>
      </c>
      <c r="H8" s="151">
        <v>2013</v>
      </c>
      <c r="I8" s="151">
        <v>2014</v>
      </c>
      <c r="J8" s="151">
        <v>2015</v>
      </c>
      <c r="K8" s="151">
        <v>2016</v>
      </c>
    </row>
    <row r="9" spans="1:11" ht="18" customHeight="1">
      <c r="A9" s="150" t="s">
        <v>1009</v>
      </c>
      <c r="B9" s="150"/>
      <c r="C9" s="150"/>
      <c r="D9" s="150"/>
      <c r="E9" s="150"/>
      <c r="F9" s="150"/>
      <c r="G9" s="150"/>
      <c r="H9" s="150"/>
      <c r="I9" s="150"/>
      <c r="J9" s="150"/>
      <c r="K9" s="150"/>
    </row>
    <row r="10" spans="1:11" ht="18" customHeight="1">
      <c r="A10" s="150" t="s">
        <v>1005</v>
      </c>
      <c r="B10" s="150"/>
      <c r="C10" s="150"/>
      <c r="D10" s="150"/>
      <c r="E10" s="150"/>
      <c r="F10" s="150"/>
      <c r="G10" s="150"/>
      <c r="H10" s="150"/>
      <c r="I10" s="150"/>
      <c r="J10" s="150"/>
      <c r="K10" s="150"/>
    </row>
    <row r="11" spans="1:11" ht="18" customHeight="1">
      <c r="A11" s="149" t="s">
        <v>997</v>
      </c>
      <c r="B11" s="149">
        <v>101.30500000000001</v>
      </c>
      <c r="C11" s="149">
        <v>116.438</v>
      </c>
      <c r="D11" s="149">
        <v>115.34699999999999</v>
      </c>
      <c r="E11" s="149">
        <v>126.679</v>
      </c>
      <c r="F11" s="149">
        <v>142.62200000000001</v>
      </c>
      <c r="G11" s="149">
        <v>157.61099999999999</v>
      </c>
      <c r="H11" s="149">
        <v>173.69</v>
      </c>
      <c r="I11" s="149">
        <v>189.37299999999999</v>
      </c>
      <c r="J11" s="149">
        <v>206.46299999999999</v>
      </c>
      <c r="K11" s="149">
        <v>225.43299999999999</v>
      </c>
    </row>
    <row r="12" spans="1:11" ht="18" customHeight="1">
      <c r="A12" s="150" t="s">
        <v>999</v>
      </c>
      <c r="B12" s="150"/>
      <c r="C12" s="150"/>
      <c r="D12" s="150"/>
      <c r="E12" s="150"/>
      <c r="F12" s="150"/>
      <c r="G12" s="150"/>
      <c r="H12" s="150"/>
      <c r="I12" s="150"/>
      <c r="J12" s="150"/>
      <c r="K12" s="150"/>
    </row>
    <row r="13" spans="1:11" ht="18" customHeight="1">
      <c r="A13" s="149" t="s">
        <v>997</v>
      </c>
      <c r="B13" s="149">
        <v>7.1269999999999998</v>
      </c>
      <c r="C13" s="149">
        <v>8.4009999999999998</v>
      </c>
      <c r="D13" s="149">
        <v>9.2219999999999995</v>
      </c>
      <c r="E13" s="149">
        <v>10.276999999999999</v>
      </c>
      <c r="F13" s="149">
        <v>11.22</v>
      </c>
      <c r="G13" s="149">
        <v>11.561999999999999</v>
      </c>
      <c r="H13" s="149">
        <v>12.515000000000001</v>
      </c>
      <c r="I13" s="149">
        <v>13.757999999999999</v>
      </c>
      <c r="J13" s="149">
        <v>15.117000000000001</v>
      </c>
      <c r="K13" s="149">
        <v>16.620999999999999</v>
      </c>
    </row>
    <row r="14" spans="1:11" ht="18" customHeight="1">
      <c r="A14" s="150" t="s">
        <v>998</v>
      </c>
      <c r="B14" s="150"/>
      <c r="C14" s="150"/>
      <c r="D14" s="150"/>
      <c r="E14" s="150"/>
      <c r="F14" s="150"/>
      <c r="G14" s="150"/>
      <c r="H14" s="150"/>
      <c r="I14" s="150"/>
      <c r="J14" s="150"/>
      <c r="K14" s="150"/>
    </row>
    <row r="15" spans="1:11" ht="18" customHeight="1">
      <c r="A15" s="149" t="s">
        <v>997</v>
      </c>
      <c r="B15" s="149">
        <v>132.80099999999999</v>
      </c>
      <c r="C15" s="149">
        <v>142.96199999999999</v>
      </c>
      <c r="D15" s="149">
        <v>140.684</v>
      </c>
      <c r="E15" s="149">
        <v>132.44900000000001</v>
      </c>
      <c r="F15" s="149">
        <v>149.751</v>
      </c>
      <c r="G15" s="149">
        <v>162.655</v>
      </c>
      <c r="H15" s="149">
        <v>183.536</v>
      </c>
      <c r="I15" s="149">
        <v>207.78800000000001</v>
      </c>
      <c r="J15" s="149">
        <v>233.256</v>
      </c>
      <c r="K15" s="149">
        <v>261.50700000000001</v>
      </c>
    </row>
  </sheetData>
  <pageMargins left="0.75" right="0.75" top="1" bottom="1" header="0.5" footer="0.5"/>
  <pageSetup paperSize="0" fitToWidth="0" fitToHeight="0" orientation="portrait"/>
  <headerFooter alignWithMargins="0"/>
</worksheet>
</file>

<file path=xl/worksheets/sheet12.xml><?xml version="1.0" encoding="utf-8"?>
<worksheet xmlns="http://schemas.openxmlformats.org/spreadsheetml/2006/main" xmlns:r="http://schemas.openxmlformats.org/officeDocument/2006/relationships">
  <sheetPr>
    <outlinePr summaryBelow="0"/>
  </sheetPr>
  <dimension ref="A1:K16"/>
  <sheetViews>
    <sheetView topLeftCell="A10" workbookViewId="0">
      <selection activeCell="B16" sqref="B16"/>
    </sheetView>
  </sheetViews>
  <sheetFormatPr defaultRowHeight="12.75"/>
  <cols>
    <col min="1" max="1" width="40.7109375" style="148" customWidth="1"/>
    <col min="2" max="16384" width="9.140625" style="148"/>
  </cols>
  <sheetData>
    <row r="1" spans="1:11" ht="25.5" customHeight="1">
      <c r="A1" s="153" t="s">
        <v>1004</v>
      </c>
    </row>
    <row r="2" spans="1:11" ht="25.5" customHeight="1">
      <c r="A2" s="153" t="s">
        <v>1071</v>
      </c>
      <c r="B2" s="153"/>
      <c r="C2" s="153"/>
      <c r="D2" s="153"/>
      <c r="E2" s="153"/>
      <c r="F2" s="153"/>
      <c r="G2" s="153"/>
      <c r="H2" s="153"/>
      <c r="I2" s="153"/>
      <c r="J2" s="153"/>
      <c r="K2" s="153"/>
    </row>
    <row r="3" spans="1:11" ht="25.5" customHeight="1">
      <c r="A3" s="153" t="s">
        <v>1003</v>
      </c>
      <c r="B3" s="153"/>
      <c r="C3" s="153"/>
      <c r="D3" s="153"/>
      <c r="E3" s="153"/>
      <c r="F3" s="153"/>
      <c r="G3" s="153"/>
      <c r="H3" s="153"/>
      <c r="I3" s="153"/>
      <c r="J3" s="153"/>
      <c r="K3" s="153"/>
    </row>
    <row r="4" spans="1:11" ht="25.5" customHeight="1">
      <c r="A4" s="153" t="s">
        <v>1002</v>
      </c>
      <c r="B4" s="153"/>
      <c r="C4" s="153"/>
      <c r="D4" s="153"/>
      <c r="E4" s="153"/>
      <c r="F4" s="153"/>
      <c r="G4" s="153"/>
      <c r="H4" s="153"/>
      <c r="I4" s="153"/>
      <c r="J4" s="153"/>
      <c r="K4" s="153"/>
    </row>
    <row r="5" spans="1:11" ht="25.5" customHeight="1">
      <c r="A5" s="153" t="s">
        <v>1001</v>
      </c>
      <c r="B5" s="153"/>
      <c r="C5" s="153"/>
      <c r="D5" s="153"/>
      <c r="E5" s="153"/>
      <c r="F5" s="153"/>
      <c r="G5" s="153"/>
      <c r="H5" s="153"/>
      <c r="I5" s="153"/>
      <c r="J5" s="153"/>
      <c r="K5" s="153"/>
    </row>
    <row r="6" spans="1:11" ht="14.25">
      <c r="A6" s="153"/>
      <c r="B6" s="153"/>
      <c r="C6" s="153"/>
      <c r="D6" s="153"/>
      <c r="E6" s="153"/>
      <c r="F6" s="153"/>
      <c r="G6" s="153"/>
      <c r="H6" s="153"/>
      <c r="I6" s="153"/>
      <c r="J6" s="153"/>
      <c r="K6" s="153"/>
    </row>
    <row r="7" spans="1:11" ht="14.25">
      <c r="A7" s="153"/>
      <c r="B7" s="153"/>
      <c r="C7" s="153"/>
      <c r="D7" s="153"/>
      <c r="E7" s="153"/>
      <c r="F7" s="153"/>
      <c r="G7" s="153"/>
      <c r="H7" s="153"/>
      <c r="I7" s="153"/>
      <c r="J7" s="153"/>
    </row>
    <row r="8" spans="1:11" ht="25.5" customHeight="1">
      <c r="A8" s="152" t="s">
        <v>365</v>
      </c>
      <c r="B8" s="151">
        <v>2007</v>
      </c>
      <c r="C8" s="151">
        <v>2008</v>
      </c>
      <c r="D8" s="151">
        <v>2009</v>
      </c>
      <c r="E8" s="151">
        <v>2010</v>
      </c>
      <c r="F8" s="151">
        <v>2011</v>
      </c>
      <c r="G8" s="151">
        <v>2012</v>
      </c>
      <c r="H8" s="151">
        <v>2013</v>
      </c>
      <c r="I8" s="151">
        <v>2014</v>
      </c>
      <c r="J8" s="151">
        <v>2015</v>
      </c>
      <c r="K8" s="151">
        <v>2016</v>
      </c>
    </row>
    <row r="9" spans="1:11" ht="18" customHeight="1">
      <c r="A9" s="150" t="s">
        <v>1000</v>
      </c>
      <c r="B9" s="150"/>
      <c r="C9" s="150"/>
      <c r="D9" s="150"/>
      <c r="E9" s="150"/>
      <c r="F9" s="150"/>
      <c r="G9" s="150"/>
      <c r="H9" s="150"/>
      <c r="I9" s="150"/>
      <c r="J9" s="150"/>
      <c r="K9" s="150"/>
    </row>
    <row r="10" spans="1:11" ht="18" customHeight="1">
      <c r="A10" s="149" t="s">
        <v>997</v>
      </c>
      <c r="B10" s="149">
        <v>160.96</v>
      </c>
      <c r="C10" s="149">
        <v>171.916</v>
      </c>
      <c r="D10" s="149">
        <v>159.97200000000001</v>
      </c>
      <c r="E10" s="149">
        <v>152.98599999999999</v>
      </c>
      <c r="F10" s="149">
        <v>145.65299999999999</v>
      </c>
      <c r="G10" s="149">
        <v>141.292</v>
      </c>
      <c r="H10" s="149">
        <v>141.81200000000001</v>
      </c>
      <c r="I10" s="149">
        <v>146.26599999999999</v>
      </c>
      <c r="J10" s="149">
        <v>151.53299999999999</v>
      </c>
      <c r="K10" s="149">
        <v>157.13200000000001</v>
      </c>
    </row>
    <row r="11" spans="1:11" ht="18" customHeight="1">
      <c r="A11" s="150" t="s">
        <v>999</v>
      </c>
      <c r="B11" s="150"/>
      <c r="C11" s="150"/>
      <c r="D11" s="150"/>
      <c r="E11" s="150"/>
      <c r="F11" s="150"/>
      <c r="G11" s="150"/>
      <c r="H11" s="150"/>
      <c r="I11" s="150"/>
      <c r="J11" s="150"/>
      <c r="K11" s="150"/>
    </row>
    <row r="12" spans="1:11" ht="18" customHeight="1">
      <c r="A12" s="149" t="s">
        <v>997</v>
      </c>
      <c r="B12" s="149">
        <v>1.577</v>
      </c>
      <c r="C12" s="149">
        <v>1.736</v>
      </c>
      <c r="D12" s="149">
        <v>1.74</v>
      </c>
      <c r="E12" s="149">
        <v>1.6910000000000001</v>
      </c>
      <c r="F12" s="149">
        <v>1.6080000000000001</v>
      </c>
      <c r="G12" s="149">
        <v>1.556</v>
      </c>
      <c r="H12" s="149">
        <v>1.5549999999999999</v>
      </c>
      <c r="I12" s="149">
        <v>1.609</v>
      </c>
      <c r="J12" s="149">
        <v>1.6679999999999999</v>
      </c>
      <c r="K12" s="149">
        <v>1.724</v>
      </c>
    </row>
    <row r="13" spans="1:11" ht="18" customHeight="1">
      <c r="A13" s="150" t="s">
        <v>998</v>
      </c>
      <c r="B13" s="150"/>
      <c r="C13" s="150"/>
      <c r="D13" s="150"/>
      <c r="E13" s="150"/>
      <c r="F13" s="150"/>
      <c r="G13" s="150"/>
      <c r="H13" s="150"/>
      <c r="I13" s="150"/>
      <c r="J13" s="150"/>
      <c r="K13" s="150"/>
    </row>
    <row r="14" spans="1:11" ht="18" customHeight="1">
      <c r="A14" s="149" t="s">
        <v>997</v>
      </c>
      <c r="B14" s="149">
        <v>15.598000000000001</v>
      </c>
      <c r="C14" s="149">
        <v>24.943999999999999</v>
      </c>
      <c r="D14" s="149">
        <v>19.041</v>
      </c>
      <c r="E14" s="149">
        <v>18.664000000000001</v>
      </c>
      <c r="F14" s="149">
        <v>18.236000000000001</v>
      </c>
      <c r="G14" s="149">
        <v>18.062000000000001</v>
      </c>
      <c r="H14" s="149">
        <v>18.404</v>
      </c>
      <c r="I14" s="149">
        <v>19.614999999999998</v>
      </c>
      <c r="J14" s="149">
        <v>21.113</v>
      </c>
      <c r="K14" s="149">
        <v>22.498999999999999</v>
      </c>
    </row>
    <row r="16" spans="1:11">
      <c r="B16" s="148">
        <v>105911</v>
      </c>
      <c r="C16" s="148">
        <v>107942</v>
      </c>
      <c r="D16" s="148">
        <v>103397</v>
      </c>
    </row>
  </sheetData>
  <pageMargins left="0.75" right="0.75" top="1" bottom="1" header="0.5" footer="0.5"/>
  <pageSetup paperSize="0" fitToWidth="0" fitToHeight="0" orientation="portrait"/>
  <headerFooter alignWithMargins="0"/>
</worksheet>
</file>

<file path=xl/worksheets/sheet13.xml><?xml version="1.0" encoding="utf-8"?>
<worksheet xmlns="http://schemas.openxmlformats.org/spreadsheetml/2006/main" xmlns:r="http://schemas.openxmlformats.org/officeDocument/2006/relationships">
  <dimension ref="A1:L22"/>
  <sheetViews>
    <sheetView workbookViewId="0">
      <selection activeCell="E12" sqref="E12"/>
    </sheetView>
  </sheetViews>
  <sheetFormatPr defaultRowHeight="15"/>
  <cols>
    <col min="1" max="1" width="47.5703125" bestFit="1" customWidth="1"/>
    <col min="2" max="2" width="10.7109375" bestFit="1" customWidth="1"/>
    <col min="3" max="11" width="10.5703125" bestFit="1" customWidth="1"/>
    <col min="12" max="12" width="10.7109375" bestFit="1" customWidth="1"/>
  </cols>
  <sheetData>
    <row r="1" spans="1:12">
      <c r="A1" s="44" t="s">
        <v>1377</v>
      </c>
      <c r="B1" s="388">
        <v>2007</v>
      </c>
      <c r="C1" s="388">
        <v>2008</v>
      </c>
      <c r="D1" s="388">
        <v>2009</v>
      </c>
      <c r="E1" s="388">
        <v>2010</v>
      </c>
      <c r="F1" s="388">
        <v>2011</v>
      </c>
      <c r="G1" s="388">
        <v>2012</v>
      </c>
      <c r="H1" s="388">
        <v>2013</v>
      </c>
      <c r="I1" s="388">
        <v>2014</v>
      </c>
      <c r="J1" s="388">
        <v>2015</v>
      </c>
      <c r="K1" s="388">
        <v>2016</v>
      </c>
      <c r="L1" s="388">
        <v>2017</v>
      </c>
    </row>
    <row r="2" spans="1:12">
      <c r="A2" t="s">
        <v>369</v>
      </c>
      <c r="B2" s="389">
        <v>13520.725</v>
      </c>
      <c r="C2" s="389">
        <v>15354.334999999999</v>
      </c>
      <c r="D2" s="389">
        <v>12623.927</v>
      </c>
      <c r="E2" s="389">
        <v>12845.409</v>
      </c>
      <c r="F2" s="389">
        <v>14050.009</v>
      </c>
      <c r="G2" s="389">
        <v>12933.585999999999</v>
      </c>
      <c r="H2" s="389">
        <v>13517.205</v>
      </c>
      <c r="I2" s="389">
        <v>14071.281999999999</v>
      </c>
      <c r="J2" s="389">
        <v>14681.031999999999</v>
      </c>
      <c r="K2" s="389">
        <v>15338.302</v>
      </c>
      <c r="L2" s="389">
        <v>16065.545</v>
      </c>
    </row>
    <row r="3" spans="1:12">
      <c r="A3" t="s">
        <v>391</v>
      </c>
      <c r="B3" s="137">
        <v>11155.831</v>
      </c>
      <c r="C3" s="137">
        <v>13889.331</v>
      </c>
      <c r="D3" s="137">
        <v>11297.689</v>
      </c>
      <c r="E3" s="137">
        <v>12307.735000000001</v>
      </c>
      <c r="F3" s="137">
        <v>13468.655000000001</v>
      </c>
      <c r="G3" s="137">
        <v>12302.374</v>
      </c>
      <c r="H3" s="137">
        <v>12965.856</v>
      </c>
      <c r="I3" s="137">
        <v>13654.337</v>
      </c>
      <c r="J3" s="137">
        <v>14447.364</v>
      </c>
      <c r="K3" s="137">
        <v>15365.993</v>
      </c>
      <c r="L3" s="389">
        <v>16235.873</v>
      </c>
    </row>
    <row r="4" spans="1:12">
      <c r="B4" s="390"/>
      <c r="C4" s="161">
        <f t="shared" ref="C4:L4" si="0">C3/B3-1</f>
        <v>0.24502881049381253</v>
      </c>
      <c r="D4" s="161">
        <f t="shared" si="0"/>
        <v>-0.18659228439440312</v>
      </c>
      <c r="E4" s="161">
        <f t="shared" si="0"/>
        <v>8.9402885846831204E-2</v>
      </c>
      <c r="F4" s="161">
        <f t="shared" si="0"/>
        <v>9.432442281215847E-2</v>
      </c>
      <c r="G4" s="161">
        <f t="shared" si="0"/>
        <v>-8.6592239536909976E-2</v>
      </c>
      <c r="H4" s="161">
        <f t="shared" si="0"/>
        <v>5.3931216852942443E-2</v>
      </c>
      <c r="I4" s="161">
        <f t="shared" si="0"/>
        <v>5.3099540824763203E-2</v>
      </c>
      <c r="J4" s="161">
        <f t="shared" si="0"/>
        <v>5.8078762813602802E-2</v>
      </c>
      <c r="K4" s="161">
        <f t="shared" si="0"/>
        <v>6.3584540404741041E-2</v>
      </c>
      <c r="L4" s="161">
        <f t="shared" si="0"/>
        <v>5.6610724734808882E-2</v>
      </c>
    </row>
    <row r="5" spans="1:12">
      <c r="B5" s="390"/>
      <c r="C5" s="390"/>
      <c r="D5" s="390"/>
      <c r="E5" s="390"/>
      <c r="F5" s="390"/>
      <c r="G5" s="390"/>
      <c r="H5" s="390"/>
      <c r="I5" s="390"/>
      <c r="J5" s="390"/>
      <c r="K5" s="390"/>
    </row>
    <row r="6" spans="1:12">
      <c r="A6" s="44" t="s">
        <v>1380</v>
      </c>
      <c r="B6" s="166">
        <f t="shared" ref="B6:L6" si="1">B2/B3</f>
        <v>1.2119872558126776</v>
      </c>
      <c r="C6" s="166">
        <f t="shared" si="1"/>
        <v>1.1054769304583496</v>
      </c>
      <c r="D6" s="166">
        <f t="shared" si="1"/>
        <v>1.1173902025449629</v>
      </c>
      <c r="E6" s="166">
        <f t="shared" si="1"/>
        <v>1.0436858609646698</v>
      </c>
      <c r="F6" s="166">
        <f t="shared" si="1"/>
        <v>1.0431634784616577</v>
      </c>
      <c r="G6" s="166">
        <f t="shared" si="1"/>
        <v>1.0513081458911915</v>
      </c>
      <c r="H6" s="166">
        <f t="shared" si="1"/>
        <v>1.042523146948416</v>
      </c>
      <c r="I6" s="166">
        <f t="shared" si="1"/>
        <v>1.0305357191638085</v>
      </c>
      <c r="J6" s="166">
        <f t="shared" si="1"/>
        <v>1.0161737462972484</v>
      </c>
      <c r="K6" s="166">
        <f t="shared" si="1"/>
        <v>0.99819790364345473</v>
      </c>
      <c r="L6" s="166">
        <f t="shared" si="1"/>
        <v>0.98950915666807693</v>
      </c>
    </row>
    <row r="7" spans="1:12">
      <c r="A7" s="44"/>
      <c r="B7" s="391"/>
      <c r="C7" s="391"/>
      <c r="D7" s="391"/>
      <c r="E7" s="391"/>
      <c r="F7" s="391"/>
      <c r="G7" s="391"/>
      <c r="H7" s="391"/>
      <c r="I7" s="391"/>
      <c r="J7" s="391"/>
      <c r="K7" s="391"/>
    </row>
    <row r="10" spans="1:12">
      <c r="A10" s="44" t="s">
        <v>1378</v>
      </c>
      <c r="B10" s="388">
        <v>2007</v>
      </c>
      <c r="C10" s="388">
        <v>2008</v>
      </c>
      <c r="D10" s="388">
        <v>2009</v>
      </c>
      <c r="E10" s="388">
        <v>2010</v>
      </c>
      <c r="F10" s="388">
        <v>2011</v>
      </c>
      <c r="G10" s="388">
        <v>2012</v>
      </c>
      <c r="H10" s="388">
        <v>2013</v>
      </c>
      <c r="I10" s="388">
        <v>2014</v>
      </c>
      <c r="J10" s="388">
        <v>2015</v>
      </c>
      <c r="K10" s="388">
        <v>2016</v>
      </c>
    </row>
    <row r="11" spans="1:12">
      <c r="A11" t="s">
        <v>369</v>
      </c>
      <c r="B11" s="137">
        <v>19456.249676483345</v>
      </c>
      <c r="C11" s="137">
        <v>21455.969910629985</v>
      </c>
      <c r="D11" s="137">
        <v>17520.727239121312</v>
      </c>
      <c r="E11" s="137">
        <v>18118.36581457128</v>
      </c>
      <c r="F11" s="137">
        <v>18370.309139406112</v>
      </c>
      <c r="G11" s="137">
        <v>18637.185585630152</v>
      </c>
      <c r="H11" s="137">
        <v>19012.206835132885</v>
      </c>
      <c r="I11" s="137">
        <v>19209.391199690828</v>
      </c>
      <c r="J11" s="137">
        <v>19530.931608183593</v>
      </c>
      <c r="K11" s="137">
        <v>19756.351846359998</v>
      </c>
    </row>
    <row r="12" spans="1:12">
      <c r="A12" t="s">
        <v>391</v>
      </c>
      <c r="B12" s="137">
        <f>'Secondary cum Calculation'!L88</f>
        <v>7147.9685289320005</v>
      </c>
      <c r="C12" s="137">
        <f>'Secondary cum Calculation'!M88</f>
        <v>8731.0537553401646</v>
      </c>
      <c r="D12" s="137">
        <f>'Secondary cum Calculation'!N88</f>
        <v>7009.3362544589836</v>
      </c>
      <c r="E12" s="137">
        <f>'Secondary cum Calculation'!O88</f>
        <v>7737.2371999999996</v>
      </c>
      <c r="F12" s="137">
        <f>'Secondary cum Calculation'!P88</f>
        <v>7980.076500378329</v>
      </c>
      <c r="G12" s="137">
        <f>'Secondary cum Calculation'!Q88</f>
        <v>8587.3667114973159</v>
      </c>
      <c r="H12" s="137">
        <f>'Secondary cum Calculation'!R88</f>
        <v>9044.4806148251246</v>
      </c>
      <c r="I12" s="137">
        <f>'Secondary cum Calculation'!S88</f>
        <v>9482.4046219403772</v>
      </c>
      <c r="J12" s="137">
        <f>'Secondary cum Calculation'!T88</f>
        <v>9798.7124751620759</v>
      </c>
      <c r="K12" s="137">
        <f>'Secondary cum Calculation'!U88</f>
        <v>10314.768948592275</v>
      </c>
      <c r="L12" s="137"/>
    </row>
    <row r="13" spans="1:12">
      <c r="B13" s="137"/>
      <c r="C13" s="137"/>
      <c r="D13" s="137"/>
      <c r="E13" s="137"/>
      <c r="F13" s="137"/>
      <c r="G13" s="137"/>
      <c r="H13" s="137"/>
      <c r="I13" s="137"/>
      <c r="J13" s="137"/>
      <c r="K13" s="137"/>
    </row>
    <row r="15" spans="1:12">
      <c r="A15" s="44" t="s">
        <v>1379</v>
      </c>
      <c r="B15" s="392">
        <f>B11/B12</f>
        <v>2.7219271598262567</v>
      </c>
      <c r="C15" s="392">
        <f t="shared" ref="C15:K15" si="2">C11/C12</f>
        <v>2.457431887589387</v>
      </c>
      <c r="D15" s="392">
        <f t="shared" si="2"/>
        <v>2.4996271548501494</v>
      </c>
      <c r="E15" s="392">
        <f t="shared" si="2"/>
        <v>2.3417100117560414</v>
      </c>
      <c r="F15" s="392">
        <f>F11/F12</f>
        <v>2.3020216834431588</v>
      </c>
      <c r="G15" s="392">
        <f t="shared" si="2"/>
        <v>2.1703027495818357</v>
      </c>
      <c r="H15" s="392">
        <f t="shared" si="2"/>
        <v>2.1020783442190489</v>
      </c>
      <c r="I15" s="392">
        <f t="shared" si="2"/>
        <v>2.0257932418580999</v>
      </c>
      <c r="J15" s="392">
        <f t="shared" si="2"/>
        <v>1.9932140735521011</v>
      </c>
      <c r="K15" s="392">
        <f t="shared" si="2"/>
        <v>1.9153460387550687</v>
      </c>
    </row>
    <row r="22" spans="2:12">
      <c r="B22" s="390"/>
      <c r="C22" s="390"/>
      <c r="D22" s="390"/>
      <c r="E22" s="390"/>
      <c r="F22" s="390"/>
      <c r="G22" s="390"/>
      <c r="H22" s="390"/>
      <c r="I22" s="390"/>
      <c r="J22" s="390"/>
      <c r="K22" s="390"/>
      <c r="L22" s="39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V165"/>
  <sheetViews>
    <sheetView topLeftCell="A50" workbookViewId="0">
      <selection activeCell="X540" sqref="X540"/>
    </sheetView>
  </sheetViews>
  <sheetFormatPr defaultRowHeight="15"/>
  <cols>
    <col min="1" max="1" width="19.85546875" customWidth="1"/>
    <col min="2" max="4" width="10.140625" bestFit="1" customWidth="1"/>
  </cols>
  <sheetData>
    <row r="1" spans="1:7">
      <c r="A1" s="176" t="s">
        <v>1126</v>
      </c>
    </row>
    <row r="2" spans="1:7">
      <c r="A2" s="176" t="s">
        <v>1127</v>
      </c>
    </row>
    <row r="3" spans="1:7">
      <c r="A3" s="176" t="s">
        <v>1128</v>
      </c>
    </row>
    <row r="4" spans="1:7">
      <c r="A4" s="176" t="s">
        <v>1129</v>
      </c>
    </row>
    <row r="5" spans="1:7">
      <c r="G5">
        <v>1000</v>
      </c>
    </row>
    <row r="6" spans="1:7">
      <c r="A6" t="s">
        <v>365</v>
      </c>
      <c r="B6" t="s">
        <v>1130</v>
      </c>
      <c r="C6" t="s">
        <v>1131</v>
      </c>
      <c r="D6" t="s">
        <v>1132</v>
      </c>
      <c r="E6" t="s">
        <v>1133</v>
      </c>
      <c r="F6" t="s">
        <v>1134</v>
      </c>
      <c r="G6" t="s">
        <v>1135</v>
      </c>
    </row>
    <row r="7" spans="1:7">
      <c r="A7" t="s">
        <v>1136</v>
      </c>
      <c r="B7" t="s">
        <v>1137</v>
      </c>
      <c r="C7" t="s">
        <v>1138</v>
      </c>
      <c r="D7" t="s">
        <v>1139</v>
      </c>
      <c r="E7" t="s">
        <v>1140</v>
      </c>
      <c r="F7" t="s">
        <v>1141</v>
      </c>
      <c r="G7" t="s">
        <v>1138</v>
      </c>
    </row>
    <row r="8" spans="1:7">
      <c r="A8" t="s">
        <v>353</v>
      </c>
      <c r="B8" t="s">
        <v>1141</v>
      </c>
      <c r="C8" t="s">
        <v>1142</v>
      </c>
      <c r="D8" t="s">
        <v>1143</v>
      </c>
      <c r="E8" t="s">
        <v>1144</v>
      </c>
      <c r="F8" t="s">
        <v>1145</v>
      </c>
      <c r="G8" t="s">
        <v>1143</v>
      </c>
    </row>
    <row r="9" spans="1:7">
      <c r="A9" t="s">
        <v>387</v>
      </c>
      <c r="B9" t="s">
        <v>1146</v>
      </c>
      <c r="C9" t="s">
        <v>1142</v>
      </c>
      <c r="D9" t="s">
        <v>1137</v>
      </c>
      <c r="E9" t="s">
        <v>1145</v>
      </c>
      <c r="F9" t="s">
        <v>1145</v>
      </c>
      <c r="G9" t="s">
        <v>1147</v>
      </c>
    </row>
    <row r="10" spans="1:7">
      <c r="A10" t="s">
        <v>375</v>
      </c>
      <c r="B10" t="s">
        <v>1142</v>
      </c>
      <c r="C10" t="s">
        <v>1140</v>
      </c>
      <c r="D10" t="s">
        <v>1145</v>
      </c>
      <c r="E10" t="s">
        <v>1140</v>
      </c>
      <c r="F10" t="s">
        <v>1144</v>
      </c>
      <c r="G10" t="s">
        <v>1142</v>
      </c>
    </row>
    <row r="11" spans="1:7">
      <c r="A11" t="s">
        <v>403</v>
      </c>
      <c r="B11" t="s">
        <v>1141</v>
      </c>
      <c r="C11" t="s">
        <v>1145</v>
      </c>
      <c r="D11" t="s">
        <v>1140</v>
      </c>
      <c r="E11" t="s">
        <v>1140</v>
      </c>
      <c r="F11" t="s">
        <v>1148</v>
      </c>
      <c r="G11" t="s">
        <v>1148</v>
      </c>
    </row>
    <row r="12" spans="1:7">
      <c r="A12" t="s">
        <v>337</v>
      </c>
      <c r="B12" t="s">
        <v>1145</v>
      </c>
      <c r="C12" t="s">
        <v>1137</v>
      </c>
      <c r="D12" t="s">
        <v>1145</v>
      </c>
      <c r="E12" t="s">
        <v>1137</v>
      </c>
      <c r="F12" t="s">
        <v>1145</v>
      </c>
      <c r="G12" t="s">
        <v>1148</v>
      </c>
    </row>
    <row r="13" spans="1:7">
      <c r="A13" t="s">
        <v>349</v>
      </c>
      <c r="B13" t="s">
        <v>1146</v>
      </c>
      <c r="C13" t="s">
        <v>1146</v>
      </c>
      <c r="D13" t="s">
        <v>1146</v>
      </c>
      <c r="E13" t="s">
        <v>1137</v>
      </c>
      <c r="F13" t="s">
        <v>1137</v>
      </c>
      <c r="G13" t="s">
        <v>1137</v>
      </c>
    </row>
    <row r="14" spans="1:7">
      <c r="A14" t="s">
        <v>361</v>
      </c>
      <c r="B14" t="s">
        <v>1137</v>
      </c>
      <c r="C14" t="s">
        <v>1148</v>
      </c>
      <c r="D14" t="s">
        <v>1140</v>
      </c>
      <c r="E14" t="s">
        <v>1145</v>
      </c>
      <c r="F14" t="s">
        <v>1148</v>
      </c>
      <c r="G14" t="s">
        <v>1140</v>
      </c>
    </row>
    <row r="15" spans="1:7">
      <c r="A15" t="s">
        <v>369</v>
      </c>
      <c r="B15" t="s">
        <v>1147</v>
      </c>
      <c r="C15" t="s">
        <v>1148</v>
      </c>
      <c r="D15" t="s">
        <v>1147</v>
      </c>
      <c r="E15" t="s">
        <v>1148</v>
      </c>
      <c r="F15" t="s">
        <v>1149</v>
      </c>
      <c r="G15" t="s">
        <v>1149</v>
      </c>
    </row>
    <row r="16" spans="1:7">
      <c r="A16" t="s">
        <v>417</v>
      </c>
      <c r="B16" t="s">
        <v>1146</v>
      </c>
      <c r="C16" t="s">
        <v>1147</v>
      </c>
      <c r="D16" t="s">
        <v>1146</v>
      </c>
      <c r="E16" t="s">
        <v>1147</v>
      </c>
      <c r="F16" t="s">
        <v>1149</v>
      </c>
      <c r="G16" t="s">
        <v>1147</v>
      </c>
    </row>
    <row r="17" spans="1:7">
      <c r="A17" t="s">
        <v>339</v>
      </c>
      <c r="B17" t="s">
        <v>1150</v>
      </c>
      <c r="C17" t="s">
        <v>1151</v>
      </c>
      <c r="D17" t="s">
        <v>1151</v>
      </c>
      <c r="E17" t="s">
        <v>1147</v>
      </c>
      <c r="F17" t="s">
        <v>1151</v>
      </c>
      <c r="G17" t="s">
        <v>1151</v>
      </c>
    </row>
    <row r="18" spans="1:7">
      <c r="A18" t="s">
        <v>379</v>
      </c>
      <c r="B18" t="s">
        <v>1149</v>
      </c>
      <c r="C18" t="s">
        <v>1147</v>
      </c>
      <c r="D18" t="s">
        <v>1147</v>
      </c>
      <c r="E18" t="s">
        <v>1137</v>
      </c>
      <c r="F18" t="s">
        <v>1149</v>
      </c>
      <c r="G18" t="s">
        <v>1145</v>
      </c>
    </row>
    <row r="19" spans="1:7">
      <c r="A19" t="s">
        <v>409</v>
      </c>
      <c r="B19" t="s">
        <v>1149</v>
      </c>
      <c r="C19" t="s">
        <v>1147</v>
      </c>
      <c r="D19" t="s">
        <v>1147</v>
      </c>
      <c r="E19" t="s">
        <v>1149</v>
      </c>
      <c r="F19" t="s">
        <v>1148</v>
      </c>
      <c r="G19" t="s">
        <v>1147</v>
      </c>
    </row>
    <row r="20" spans="1:7">
      <c r="A20" t="s">
        <v>163</v>
      </c>
      <c r="B20" t="s">
        <v>1149</v>
      </c>
      <c r="C20" t="s">
        <v>1147</v>
      </c>
      <c r="D20" t="s">
        <v>1147</v>
      </c>
      <c r="E20" t="s">
        <v>1146</v>
      </c>
      <c r="F20" t="s">
        <v>1146</v>
      </c>
      <c r="G20" t="s">
        <v>1137</v>
      </c>
    </row>
    <row r="21" spans="1:7">
      <c r="A21" t="s">
        <v>230</v>
      </c>
      <c r="B21" t="s">
        <v>1150</v>
      </c>
      <c r="C21" t="s">
        <v>1147</v>
      </c>
      <c r="D21" t="s">
        <v>1151</v>
      </c>
      <c r="E21" t="s">
        <v>1151</v>
      </c>
      <c r="F21" t="s">
        <v>1149</v>
      </c>
      <c r="G21" t="s">
        <v>1147</v>
      </c>
    </row>
    <row r="22" spans="1:7">
      <c r="A22" t="s">
        <v>341</v>
      </c>
      <c r="B22" t="s">
        <v>1147</v>
      </c>
      <c r="C22" t="s">
        <v>1149</v>
      </c>
      <c r="D22" t="s">
        <v>1137</v>
      </c>
      <c r="E22" t="s">
        <v>1147</v>
      </c>
      <c r="F22" t="s">
        <v>1145</v>
      </c>
      <c r="G22" t="s">
        <v>1149</v>
      </c>
    </row>
    <row r="23" spans="1:7">
      <c r="A23" t="s">
        <v>367</v>
      </c>
      <c r="B23" t="s">
        <v>1147</v>
      </c>
      <c r="C23" t="s">
        <v>1149</v>
      </c>
      <c r="D23" t="s">
        <v>1147</v>
      </c>
      <c r="E23" t="s">
        <v>1137</v>
      </c>
      <c r="F23" t="s">
        <v>1147</v>
      </c>
      <c r="G23" t="s">
        <v>1137</v>
      </c>
    </row>
    <row r="24" spans="1:7">
      <c r="A24" t="s">
        <v>407</v>
      </c>
      <c r="B24" t="s">
        <v>1147</v>
      </c>
      <c r="C24" t="s">
        <v>1149</v>
      </c>
      <c r="D24" t="s">
        <v>1137</v>
      </c>
      <c r="E24" t="s">
        <v>1137</v>
      </c>
      <c r="F24" t="s">
        <v>1146</v>
      </c>
      <c r="G24" t="s">
        <v>1143</v>
      </c>
    </row>
    <row r="25" spans="1:7">
      <c r="A25" t="s">
        <v>1038</v>
      </c>
      <c r="B25" t="s">
        <v>1149</v>
      </c>
      <c r="C25" t="s">
        <v>1149</v>
      </c>
      <c r="D25" t="s">
        <v>1151</v>
      </c>
      <c r="E25" t="s">
        <v>1151</v>
      </c>
      <c r="F25" t="s">
        <v>1151</v>
      </c>
      <c r="G25" t="s">
        <v>1151</v>
      </c>
    </row>
    <row r="26" spans="1:7">
      <c r="A26" t="s">
        <v>415</v>
      </c>
      <c r="B26" t="s">
        <v>1149</v>
      </c>
      <c r="C26" t="s">
        <v>1149</v>
      </c>
      <c r="D26" t="s">
        <v>1149</v>
      </c>
      <c r="E26" t="s">
        <v>1147</v>
      </c>
      <c r="F26" t="s">
        <v>1147</v>
      </c>
      <c r="G26" t="s">
        <v>1146</v>
      </c>
    </row>
    <row r="27" spans="1:7">
      <c r="A27" t="s">
        <v>373</v>
      </c>
      <c r="B27" t="s">
        <v>1150</v>
      </c>
      <c r="C27" t="s">
        <v>1149</v>
      </c>
      <c r="D27" t="s">
        <v>1147</v>
      </c>
      <c r="E27" t="s">
        <v>1146</v>
      </c>
      <c r="F27" t="s">
        <v>1148</v>
      </c>
      <c r="G27" t="s">
        <v>1149</v>
      </c>
    </row>
    <row r="28" spans="1:7">
      <c r="A28" t="s">
        <v>345</v>
      </c>
      <c r="B28" t="s">
        <v>1149</v>
      </c>
      <c r="C28" t="s">
        <v>1151</v>
      </c>
      <c r="D28" t="s">
        <v>1147</v>
      </c>
      <c r="E28" t="s">
        <v>1149</v>
      </c>
      <c r="F28" t="s">
        <v>1151</v>
      </c>
      <c r="G28" t="s">
        <v>1147</v>
      </c>
    </row>
    <row r="29" spans="1:7">
      <c r="A29" t="s">
        <v>1152</v>
      </c>
      <c r="B29" t="s">
        <v>1151</v>
      </c>
      <c r="C29" t="s">
        <v>1151</v>
      </c>
      <c r="D29" t="s">
        <v>1151</v>
      </c>
      <c r="E29" t="s">
        <v>1148</v>
      </c>
      <c r="F29" t="s">
        <v>1151</v>
      </c>
      <c r="G29" t="s">
        <v>1149</v>
      </c>
    </row>
    <row r="30" spans="1:7">
      <c r="A30" t="s">
        <v>355</v>
      </c>
      <c r="B30" t="s">
        <v>1150</v>
      </c>
      <c r="C30" t="s">
        <v>1151</v>
      </c>
      <c r="D30" t="s">
        <v>1146</v>
      </c>
      <c r="E30" t="s">
        <v>1149</v>
      </c>
      <c r="F30" t="s">
        <v>1149</v>
      </c>
      <c r="G30" t="s">
        <v>1149</v>
      </c>
    </row>
    <row r="31" spans="1:7">
      <c r="A31" t="s">
        <v>389</v>
      </c>
      <c r="B31" t="s">
        <v>1150</v>
      </c>
      <c r="C31" t="s">
        <v>1151</v>
      </c>
      <c r="D31" t="s">
        <v>1147</v>
      </c>
      <c r="E31" t="s">
        <v>1149</v>
      </c>
      <c r="F31" t="s">
        <v>1151</v>
      </c>
      <c r="G31" t="s">
        <v>1149</v>
      </c>
    </row>
    <row r="32" spans="1:7">
      <c r="A32" t="s">
        <v>411</v>
      </c>
      <c r="B32" t="s">
        <v>1151</v>
      </c>
      <c r="C32" t="s">
        <v>1151</v>
      </c>
      <c r="D32" t="s">
        <v>1151</v>
      </c>
      <c r="E32" t="s">
        <v>1151</v>
      </c>
      <c r="F32" t="s">
        <v>1151</v>
      </c>
      <c r="G32" t="s">
        <v>1147</v>
      </c>
    </row>
    <row r="34" spans="1:7">
      <c r="A34" t="s">
        <v>1153</v>
      </c>
      <c r="B34">
        <v>15.8</v>
      </c>
      <c r="C34">
        <v>14.3</v>
      </c>
      <c r="D34">
        <v>13.3</v>
      </c>
      <c r="E34">
        <v>13.7</v>
      </c>
      <c r="F34">
        <v>12.5</v>
      </c>
    </row>
    <row r="35" spans="1:7">
      <c r="A35" t="s">
        <v>1154</v>
      </c>
      <c r="B35">
        <v>19.100000000000001</v>
      </c>
      <c r="C35">
        <v>20.6</v>
      </c>
      <c r="D35">
        <v>17.5</v>
      </c>
      <c r="E35">
        <v>20.2</v>
      </c>
      <c r="F35">
        <v>17.100000000000001</v>
      </c>
    </row>
    <row r="36" spans="1:7">
      <c r="B36" s="143">
        <f>SUM(B34:B35)</f>
        <v>34.900000000000006</v>
      </c>
      <c r="C36" s="143">
        <f>SUM(C34:C35)</f>
        <v>34.900000000000006</v>
      </c>
      <c r="D36">
        <f t="shared" ref="D36:F36" si="0">SUM(D34:D35)</f>
        <v>30.8</v>
      </c>
      <c r="E36">
        <f t="shared" si="0"/>
        <v>33.9</v>
      </c>
      <c r="F36">
        <f t="shared" si="0"/>
        <v>29.6</v>
      </c>
    </row>
    <row r="37" spans="1:7">
      <c r="A37" s="177" t="s">
        <v>1155</v>
      </c>
      <c r="G37">
        <v>100</v>
      </c>
    </row>
    <row r="38" spans="1:7">
      <c r="A38" t="s">
        <v>1156</v>
      </c>
      <c r="B38" s="130">
        <v>0.48</v>
      </c>
      <c r="C38" s="130">
        <v>0.51</v>
      </c>
      <c r="D38" s="130">
        <v>0.56000000000000005</v>
      </c>
      <c r="E38" s="130">
        <v>0.54</v>
      </c>
    </row>
    <row r="39" spans="1:7">
      <c r="A39" t="s">
        <v>1157</v>
      </c>
      <c r="B39" s="130">
        <v>0.32</v>
      </c>
      <c r="C39" s="130">
        <v>0.32</v>
      </c>
      <c r="D39" s="130">
        <v>0.3</v>
      </c>
      <c r="E39" s="130">
        <v>0.28000000000000003</v>
      </c>
    </row>
    <row r="40" spans="1:7">
      <c r="A40" t="s">
        <v>112</v>
      </c>
      <c r="B40" s="130">
        <v>0.11</v>
      </c>
      <c r="C40" s="130">
        <v>0.09</v>
      </c>
      <c r="D40" s="130">
        <v>7.0000000000000007E-2</v>
      </c>
      <c r="E40" s="130">
        <v>0.1</v>
      </c>
    </row>
    <row r="41" spans="1:7">
      <c r="A41" t="s">
        <v>1063</v>
      </c>
      <c r="B41" s="130">
        <v>0.09</v>
      </c>
      <c r="C41" s="130">
        <v>0.08</v>
      </c>
      <c r="D41" s="130">
        <v>7.0000000000000007E-2</v>
      </c>
      <c r="E41" s="130">
        <v>0.08</v>
      </c>
    </row>
    <row r="42" spans="1:7">
      <c r="B42" s="130"/>
      <c r="C42" s="130"/>
      <c r="D42" s="130"/>
      <c r="E42" s="130"/>
    </row>
    <row r="43" spans="1:7">
      <c r="A43" s="178" t="s">
        <v>1158</v>
      </c>
      <c r="B43" s="179">
        <f>B40*B34</f>
        <v>1.738</v>
      </c>
      <c r="C43" s="179">
        <f t="shared" ref="C43:E43" si="1">C40*C34</f>
        <v>1.2869999999999999</v>
      </c>
      <c r="D43" s="179">
        <f t="shared" si="1"/>
        <v>0.93100000000000016</v>
      </c>
      <c r="E43" s="179">
        <f t="shared" si="1"/>
        <v>1.37</v>
      </c>
    </row>
    <row r="44" spans="1:7">
      <c r="A44" s="178" t="s">
        <v>1159</v>
      </c>
      <c r="B44" s="179">
        <f>SUM(B39,B38)*B34</f>
        <v>12.64</v>
      </c>
      <c r="C44" s="179">
        <f t="shared" ref="C44:E44" si="2">SUM(C39,C38)*C34</f>
        <v>11.869000000000002</v>
      </c>
      <c r="D44" s="179">
        <f t="shared" si="2"/>
        <v>11.438000000000002</v>
      </c>
      <c r="E44" s="179">
        <f t="shared" si="2"/>
        <v>11.234</v>
      </c>
    </row>
    <row r="45" spans="1:7">
      <c r="A45" s="178" t="s">
        <v>1160</v>
      </c>
      <c r="B45" s="179">
        <f>B41*B34</f>
        <v>1.4219999999999999</v>
      </c>
      <c r="C45" s="179">
        <f t="shared" ref="C45:E45" si="3">C41*C34</f>
        <v>1.1440000000000001</v>
      </c>
      <c r="D45" s="179">
        <f t="shared" si="3"/>
        <v>0.93100000000000016</v>
      </c>
      <c r="E45" s="179">
        <f t="shared" si="3"/>
        <v>1.0959999999999999</v>
      </c>
    </row>
    <row r="46" spans="1:7">
      <c r="A46" s="178"/>
      <c r="B46" s="180"/>
      <c r="C46" s="180"/>
      <c r="D46" s="180"/>
      <c r="E46" s="180"/>
    </row>
    <row r="47" spans="1:7">
      <c r="A47" s="178"/>
      <c r="B47" s="180"/>
      <c r="C47" s="180"/>
      <c r="D47" s="180"/>
      <c r="E47" s="180"/>
    </row>
    <row r="48" spans="1:7">
      <c r="A48" s="178"/>
      <c r="B48" s="178"/>
      <c r="C48" s="178"/>
      <c r="D48" s="178"/>
      <c r="E48" s="178"/>
    </row>
    <row r="49" spans="1:21">
      <c r="A49" s="177" t="s">
        <v>1161</v>
      </c>
    </row>
    <row r="50" spans="1:21">
      <c r="A50" t="s">
        <v>1156</v>
      </c>
      <c r="B50" s="130">
        <v>0.27</v>
      </c>
      <c r="C50" s="130">
        <v>0.28999999999999998</v>
      </c>
      <c r="D50" s="130">
        <v>0.3</v>
      </c>
      <c r="E50" s="130">
        <v>0.31</v>
      </c>
    </row>
    <row r="51" spans="1:21">
      <c r="A51" t="s">
        <v>1157</v>
      </c>
      <c r="B51" s="130">
        <v>0.53</v>
      </c>
      <c r="C51" s="130">
        <v>0.52</v>
      </c>
      <c r="D51" s="130">
        <v>0.5</v>
      </c>
      <c r="E51" s="130">
        <v>0.52</v>
      </c>
    </row>
    <row r="52" spans="1:21">
      <c r="A52" t="s">
        <v>112</v>
      </c>
      <c r="B52" s="130">
        <v>0.11</v>
      </c>
      <c r="C52" s="130">
        <v>0.13</v>
      </c>
      <c r="D52" s="130">
        <v>0.15</v>
      </c>
      <c r="E52" s="130">
        <v>0.12</v>
      </c>
    </row>
    <row r="53" spans="1:21">
      <c r="A53" t="s">
        <v>1063</v>
      </c>
      <c r="B53" s="130">
        <v>0.09</v>
      </c>
      <c r="C53" s="130">
        <v>0.06</v>
      </c>
      <c r="D53" s="130">
        <v>0.05</v>
      </c>
      <c r="E53" s="130">
        <v>0.05</v>
      </c>
    </row>
    <row r="55" spans="1:21">
      <c r="A55" s="178" t="s">
        <v>1158</v>
      </c>
      <c r="B55" s="181">
        <f>B52*B35</f>
        <v>2.101</v>
      </c>
      <c r="C55" s="181">
        <f t="shared" ref="C55:E55" si="4">C52*C35</f>
        <v>2.6780000000000004</v>
      </c>
      <c r="D55" s="181">
        <f t="shared" si="4"/>
        <v>2.625</v>
      </c>
      <c r="E55" s="181">
        <f t="shared" si="4"/>
        <v>2.4239999999999999</v>
      </c>
    </row>
    <row r="56" spans="1:21">
      <c r="A56" s="178" t="s">
        <v>1159</v>
      </c>
      <c r="B56" s="181">
        <f>SUM(B50:B51)*B35</f>
        <v>15.280000000000001</v>
      </c>
      <c r="C56" s="181">
        <f t="shared" ref="C56:E56" si="5">SUM(C50:C51)*C35</f>
        <v>16.686000000000003</v>
      </c>
      <c r="D56" s="181">
        <f t="shared" si="5"/>
        <v>14</v>
      </c>
      <c r="E56" s="181">
        <f t="shared" si="5"/>
        <v>16.766000000000002</v>
      </c>
    </row>
    <row r="57" spans="1:21">
      <c r="A57" s="178" t="s">
        <v>1160</v>
      </c>
      <c r="B57" s="181">
        <f>B53*B35</f>
        <v>1.7190000000000001</v>
      </c>
      <c r="C57" s="181">
        <f t="shared" ref="C57:E57" si="6">C53*C35</f>
        <v>1.236</v>
      </c>
      <c r="D57" s="181">
        <f t="shared" si="6"/>
        <v>0.875</v>
      </c>
      <c r="E57" s="181">
        <f t="shared" si="6"/>
        <v>1.01</v>
      </c>
    </row>
    <row r="59" spans="1:21">
      <c r="A59" s="178" t="s">
        <v>1158</v>
      </c>
      <c r="B59" s="181">
        <f>(SUM(B55,B43))*1000</f>
        <v>3839</v>
      </c>
      <c r="C59" s="181">
        <f t="shared" ref="B59:E61" si="7">(SUM(C55,C43))*1000</f>
        <v>3965.0000000000005</v>
      </c>
      <c r="D59" s="181">
        <f t="shared" si="7"/>
        <v>3556</v>
      </c>
      <c r="E59" s="181">
        <f t="shared" si="7"/>
        <v>3794</v>
      </c>
      <c r="F59">
        <v>1000</v>
      </c>
    </row>
    <row r="60" spans="1:21">
      <c r="A60" s="178" t="s">
        <v>1159</v>
      </c>
      <c r="B60" s="181">
        <f t="shared" si="7"/>
        <v>27920</v>
      </c>
      <c r="C60" s="181">
        <f t="shared" si="7"/>
        <v>28555.000000000007</v>
      </c>
      <c r="D60" s="181">
        <f t="shared" si="7"/>
        <v>25438.000000000004</v>
      </c>
      <c r="E60" s="181">
        <f t="shared" si="7"/>
        <v>28000</v>
      </c>
    </row>
    <row r="61" spans="1:21">
      <c r="A61" s="178" t="s">
        <v>1160</v>
      </c>
      <c r="B61" s="181">
        <f t="shared" si="7"/>
        <v>3141</v>
      </c>
      <c r="C61" s="181">
        <f t="shared" si="7"/>
        <v>2380</v>
      </c>
      <c r="D61" s="181">
        <f t="shared" si="7"/>
        <v>1806</v>
      </c>
      <c r="E61" s="181">
        <f t="shared" si="7"/>
        <v>2106</v>
      </c>
      <c r="L61">
        <v>0.75</v>
      </c>
      <c r="M61">
        <v>0.75</v>
      </c>
      <c r="N61">
        <v>12.55</v>
      </c>
      <c r="O61">
        <v>0.75</v>
      </c>
      <c r="P61">
        <v>1</v>
      </c>
      <c r="Q61">
        <v>0.8</v>
      </c>
      <c r="R61">
        <v>0.9</v>
      </c>
      <c r="S61">
        <v>0.7</v>
      </c>
      <c r="T61">
        <v>0.7</v>
      </c>
      <c r="U61">
        <v>0.75</v>
      </c>
    </row>
    <row r="62" spans="1:21">
      <c r="G62">
        <v>100</v>
      </c>
      <c r="K62" t="s">
        <v>1258</v>
      </c>
      <c r="L62">
        <v>1.05</v>
      </c>
      <c r="M62">
        <v>1</v>
      </c>
      <c r="N62">
        <v>0.9</v>
      </c>
      <c r="O62">
        <v>0.7</v>
      </c>
      <c r="P62">
        <v>0.75</v>
      </c>
      <c r="Q62">
        <v>0.8</v>
      </c>
      <c r="R62">
        <v>0.95</v>
      </c>
      <c r="S62">
        <v>12.55</v>
      </c>
      <c r="T62">
        <v>0.85</v>
      </c>
      <c r="U62">
        <v>0.65</v>
      </c>
    </row>
    <row r="63" spans="1:21">
      <c r="B63" s="130">
        <f>B59/SUM(B$59:B$61)</f>
        <v>0.11</v>
      </c>
      <c r="C63" s="130">
        <f>C59/SUM(C$59:C$61)</f>
        <v>0.11361031518624641</v>
      </c>
      <c r="D63" s="130">
        <f>D59/SUM(D$59:D$61)</f>
        <v>0.11545454545454543</v>
      </c>
      <c r="E63" s="130">
        <f t="shared" ref="E63" si="8">E59/SUM(E$59:E$61)</f>
        <v>0.11191740412979351</v>
      </c>
      <c r="K63" t="s">
        <v>1259</v>
      </c>
      <c r="L63">
        <v>0.6</v>
      </c>
      <c r="M63">
        <v>0.7</v>
      </c>
      <c r="N63">
        <v>0.65</v>
      </c>
      <c r="O63">
        <v>12.55</v>
      </c>
      <c r="P63">
        <v>12.55</v>
      </c>
      <c r="Q63">
        <v>0.75</v>
      </c>
      <c r="R63">
        <v>0.7</v>
      </c>
      <c r="S63">
        <v>12.55</v>
      </c>
      <c r="T63">
        <v>0.5</v>
      </c>
      <c r="U63">
        <v>0.4</v>
      </c>
    </row>
    <row r="64" spans="1:21">
      <c r="B64" s="130">
        <f>B60/SUM(B$59:B$61)</f>
        <v>0.8</v>
      </c>
      <c r="C64" s="130">
        <f>C60/SUM(C$59:C$61)</f>
        <v>0.81819484240687679</v>
      </c>
      <c r="D64" s="130">
        <f t="shared" ref="D64:E65" si="9">D60/SUM(D$59:D$61)</f>
        <v>0.82590909090909093</v>
      </c>
      <c r="E64" s="130">
        <f t="shared" si="9"/>
        <v>0.82595870206489674</v>
      </c>
      <c r="K64" t="s">
        <v>1260</v>
      </c>
      <c r="L64">
        <v>12.55</v>
      </c>
      <c r="M64">
        <v>0.75</v>
      </c>
      <c r="N64">
        <v>0.9</v>
      </c>
      <c r="O64">
        <v>0.5</v>
      </c>
      <c r="P64">
        <v>0.6</v>
      </c>
      <c r="Q64">
        <v>0.9</v>
      </c>
      <c r="R64">
        <v>0.5</v>
      </c>
      <c r="S64">
        <v>12.55</v>
      </c>
      <c r="T64">
        <v>0.75</v>
      </c>
      <c r="U64">
        <v>0.4</v>
      </c>
    </row>
    <row r="65" spans="1:22">
      <c r="B65" s="130">
        <f>B61/SUM(B$59:B$61)</f>
        <v>0.09</v>
      </c>
      <c r="C65" s="130">
        <f>C61/SUM(C$59:C$61)</f>
        <v>6.8194842406876774E-2</v>
      </c>
      <c r="D65" s="130">
        <f t="shared" si="9"/>
        <v>5.8636363636363632E-2</v>
      </c>
      <c r="E65" s="130">
        <f t="shared" si="9"/>
        <v>6.2123893805309735E-2</v>
      </c>
      <c r="K65" t="s">
        <v>1261</v>
      </c>
      <c r="L65">
        <v>1.3</v>
      </c>
      <c r="M65">
        <v>0.85</v>
      </c>
      <c r="N65">
        <v>0.75</v>
      </c>
      <c r="O65">
        <v>0.95</v>
      </c>
      <c r="P65">
        <v>1</v>
      </c>
      <c r="Q65">
        <v>1.1000000000000001</v>
      </c>
      <c r="R65">
        <v>0.95</v>
      </c>
      <c r="S65">
        <v>0.7</v>
      </c>
      <c r="T65">
        <v>0.6</v>
      </c>
      <c r="U65">
        <v>0.8</v>
      </c>
    </row>
    <row r="66" spans="1:22">
      <c r="K66" t="s">
        <v>1262</v>
      </c>
      <c r="L66">
        <v>1.4</v>
      </c>
      <c r="M66">
        <v>1.4</v>
      </c>
      <c r="N66">
        <v>1</v>
      </c>
      <c r="O66">
        <v>0.85</v>
      </c>
      <c r="P66">
        <v>1.2</v>
      </c>
      <c r="Q66">
        <v>1.1000000000000001</v>
      </c>
      <c r="R66">
        <v>0.95</v>
      </c>
      <c r="S66">
        <v>1.05</v>
      </c>
      <c r="T66">
        <v>0.85</v>
      </c>
      <c r="U66">
        <v>0.95</v>
      </c>
    </row>
    <row r="67" spans="1:22">
      <c r="B67" s="130">
        <v>0.10999999999999999</v>
      </c>
      <c r="C67" s="130">
        <v>0.10639751552795</v>
      </c>
      <c r="D67" s="130">
        <v>0.10317073170731707</v>
      </c>
      <c r="E67" s="130">
        <v>0.10917197452229298</v>
      </c>
      <c r="F67" s="130">
        <v>0.105757340375952</v>
      </c>
      <c r="K67" t="s">
        <v>1263</v>
      </c>
      <c r="L67">
        <v>4.25</v>
      </c>
      <c r="M67">
        <v>4.05</v>
      </c>
      <c r="N67">
        <v>3.05</v>
      </c>
      <c r="O67">
        <v>3.05</v>
      </c>
      <c r="P67">
        <v>4.0999999999999996</v>
      </c>
      <c r="Q67">
        <v>3.4</v>
      </c>
      <c r="R67">
        <v>3.25</v>
      </c>
      <c r="S67">
        <v>2.85</v>
      </c>
      <c r="T67">
        <v>3.35</v>
      </c>
      <c r="U67">
        <v>2.95</v>
      </c>
    </row>
    <row r="68" spans="1:22">
      <c r="B68" s="130">
        <v>0.8</v>
      </c>
      <c r="C68" s="130">
        <v>0.82180124223602491</v>
      </c>
      <c r="D68" s="130">
        <v>0.83512195121951216</v>
      </c>
      <c r="E68" s="130">
        <v>0.8245859872611464</v>
      </c>
      <c r="F68" s="130">
        <v>0.83099999999999996</v>
      </c>
      <c r="K68" t="s">
        <v>1264</v>
      </c>
      <c r="L68">
        <v>5</v>
      </c>
      <c r="M68">
        <v>4.3499999999999996</v>
      </c>
      <c r="N68">
        <v>3.45</v>
      </c>
      <c r="O68">
        <v>3.45</v>
      </c>
      <c r="P68">
        <v>4</v>
      </c>
      <c r="Q68">
        <v>3.75</v>
      </c>
      <c r="R68">
        <v>3.15</v>
      </c>
      <c r="S68">
        <v>3.55</v>
      </c>
      <c r="T68">
        <v>3.6</v>
      </c>
      <c r="U68">
        <v>2.9</v>
      </c>
    </row>
    <row r="69" spans="1:22">
      <c r="B69" s="130">
        <v>8.9999999999999983E-2</v>
      </c>
      <c r="C69" s="130">
        <v>7.180124223602484E-2</v>
      </c>
      <c r="D69" s="130">
        <v>6.1707317073170724E-2</v>
      </c>
      <c r="E69" s="130">
        <v>6.6242038216560495E-2</v>
      </c>
      <c r="F69" s="130">
        <f>1-SUM(F67:F68)</f>
        <v>6.324265962404807E-2</v>
      </c>
      <c r="K69" t="s">
        <v>1265</v>
      </c>
      <c r="L69">
        <v>1.1000000000000001</v>
      </c>
      <c r="M69">
        <v>1.05</v>
      </c>
      <c r="N69">
        <v>1.2</v>
      </c>
      <c r="O69">
        <v>1</v>
      </c>
      <c r="P69">
        <v>1.1000000000000001</v>
      </c>
      <c r="Q69">
        <v>1.1000000000000001</v>
      </c>
      <c r="R69">
        <v>0.9</v>
      </c>
      <c r="S69">
        <v>0.75</v>
      </c>
      <c r="T69">
        <v>0.85</v>
      </c>
      <c r="U69">
        <v>1</v>
      </c>
    </row>
    <row r="70" spans="1:22">
      <c r="K70" t="s">
        <v>1266</v>
      </c>
      <c r="L70">
        <v>0.75</v>
      </c>
      <c r="M70">
        <v>0.75</v>
      </c>
      <c r="N70">
        <v>0.65</v>
      </c>
      <c r="O70">
        <v>0.7</v>
      </c>
      <c r="P70">
        <v>0.8</v>
      </c>
      <c r="Q70">
        <v>0.6</v>
      </c>
      <c r="R70">
        <v>0.5</v>
      </c>
      <c r="S70">
        <v>0.45</v>
      </c>
      <c r="T70">
        <v>0.4</v>
      </c>
      <c r="U70">
        <v>0.45</v>
      </c>
    </row>
    <row r="71" spans="1:22">
      <c r="K71" t="s">
        <v>1267</v>
      </c>
      <c r="L71">
        <v>0.65</v>
      </c>
      <c r="M71">
        <v>0.6</v>
      </c>
      <c r="N71">
        <v>0.65</v>
      </c>
      <c r="O71">
        <v>0.9</v>
      </c>
      <c r="P71">
        <v>0.75</v>
      </c>
      <c r="Q71">
        <v>0.5</v>
      </c>
      <c r="R71">
        <v>0.4</v>
      </c>
      <c r="S71">
        <v>0.5</v>
      </c>
      <c r="T71">
        <v>0.45</v>
      </c>
      <c r="U71">
        <v>0.5</v>
      </c>
    </row>
    <row r="72" spans="1:22">
      <c r="K72" t="s">
        <v>1268</v>
      </c>
      <c r="L72">
        <v>1.1000000000000001</v>
      </c>
      <c r="M72">
        <v>0.95</v>
      </c>
      <c r="N72">
        <v>0.85</v>
      </c>
      <c r="O72">
        <v>1.3</v>
      </c>
      <c r="P72">
        <v>1.05</v>
      </c>
      <c r="Q72">
        <v>1</v>
      </c>
      <c r="R72">
        <v>1.1499999999999999</v>
      </c>
      <c r="S72">
        <v>1.1000000000000001</v>
      </c>
      <c r="T72">
        <v>0.8</v>
      </c>
      <c r="U72">
        <v>0.75</v>
      </c>
    </row>
    <row r="73" spans="1:22">
      <c r="Q73">
        <f>SUM(Q61:Q72)</f>
        <v>15.799999999999999</v>
      </c>
      <c r="R73">
        <f t="shared" ref="R73:U73" si="10">SUM(R61:R72)</f>
        <v>14.3</v>
      </c>
      <c r="S73">
        <f t="shared" si="10"/>
        <v>49.300000000000004</v>
      </c>
      <c r="T73">
        <f t="shared" si="10"/>
        <v>13.7</v>
      </c>
      <c r="U73">
        <f t="shared" si="10"/>
        <v>12.5</v>
      </c>
    </row>
    <row r="75" spans="1:22">
      <c r="A75" t="s">
        <v>1067</v>
      </c>
      <c r="B75">
        <f t="shared" ref="B75:E79" si="11">B116*B$34+B122*B$35</f>
        <v>9.6000000000000014</v>
      </c>
      <c r="C75">
        <f t="shared" si="11"/>
        <v>9.0619999999999994</v>
      </c>
      <c r="D75">
        <f t="shared" si="11"/>
        <v>8.9460000000000015</v>
      </c>
      <c r="E75">
        <f t="shared" si="11"/>
        <v>9.109</v>
      </c>
    </row>
    <row r="76" spans="1:22">
      <c r="A76" t="s">
        <v>1066</v>
      </c>
      <c r="B76">
        <f t="shared" si="11"/>
        <v>7.0060000000000002</v>
      </c>
      <c r="C76">
        <f t="shared" si="11"/>
        <v>6.6650000000000009</v>
      </c>
      <c r="D76">
        <f t="shared" si="11"/>
        <v>5.7330000000000005</v>
      </c>
      <c r="E76">
        <f t="shared" si="11"/>
        <v>6.3249999999999993</v>
      </c>
      <c r="M76">
        <v>1.75</v>
      </c>
      <c r="N76">
        <v>2.0499999999999998</v>
      </c>
      <c r="O76">
        <v>1.55</v>
      </c>
      <c r="P76">
        <v>1.6</v>
      </c>
      <c r="Q76">
        <v>1.5</v>
      </c>
      <c r="R76">
        <v>1.6</v>
      </c>
      <c r="S76">
        <v>1.05</v>
      </c>
      <c r="T76">
        <v>1.5</v>
      </c>
      <c r="U76">
        <v>1.05</v>
      </c>
      <c r="V76">
        <v>1.55</v>
      </c>
    </row>
    <row r="77" spans="1:22">
      <c r="A77" t="s">
        <v>1065</v>
      </c>
      <c r="B77">
        <f t="shared" si="11"/>
        <v>4.7539999999999996</v>
      </c>
      <c r="C77">
        <f t="shared" si="11"/>
        <v>4.6340000000000003</v>
      </c>
      <c r="D77">
        <f t="shared" si="11"/>
        <v>3.7450000000000001</v>
      </c>
      <c r="E77">
        <f t="shared" si="11"/>
        <v>4.01</v>
      </c>
      <c r="L77" t="s">
        <v>1258</v>
      </c>
      <c r="M77">
        <v>1.9</v>
      </c>
      <c r="N77">
        <v>1.9</v>
      </c>
      <c r="O77">
        <v>1.5</v>
      </c>
      <c r="P77">
        <v>1.25</v>
      </c>
      <c r="Q77">
        <v>1.3</v>
      </c>
      <c r="R77">
        <v>1.45</v>
      </c>
      <c r="S77">
        <v>1.35</v>
      </c>
      <c r="T77">
        <v>1.1499999999999999</v>
      </c>
      <c r="U77">
        <v>1.1499999999999999</v>
      </c>
      <c r="V77">
        <v>1.25</v>
      </c>
    </row>
    <row r="78" spans="1:22">
      <c r="A78" t="s">
        <v>1064</v>
      </c>
      <c r="B78">
        <f t="shared" si="11"/>
        <v>10.451000000000001</v>
      </c>
      <c r="C78">
        <f t="shared" si="11"/>
        <v>9.7839999999999989</v>
      </c>
      <c r="D78">
        <f t="shared" si="11"/>
        <v>9.31</v>
      </c>
      <c r="E78">
        <f t="shared" si="11"/>
        <v>11.361000000000001</v>
      </c>
      <c r="L78" t="s">
        <v>1259</v>
      </c>
      <c r="M78">
        <v>2.2000000000000002</v>
      </c>
      <c r="N78">
        <v>1.9</v>
      </c>
      <c r="O78">
        <v>1.8</v>
      </c>
      <c r="P78">
        <v>1.5</v>
      </c>
      <c r="Q78">
        <v>1.1499999999999999</v>
      </c>
      <c r="R78">
        <v>1.1000000000000001</v>
      </c>
      <c r="S78">
        <v>1.9</v>
      </c>
      <c r="T78">
        <v>1.2</v>
      </c>
      <c r="U78">
        <v>1.4</v>
      </c>
      <c r="V78">
        <v>1.55</v>
      </c>
    </row>
    <row r="79" spans="1:22">
      <c r="A79" t="s">
        <v>1063</v>
      </c>
      <c r="B79">
        <f t="shared" si="11"/>
        <v>8.0340000000000007</v>
      </c>
      <c r="C79">
        <f t="shared" si="11"/>
        <v>8.9600000000000009</v>
      </c>
      <c r="D79">
        <f t="shared" si="11"/>
        <v>6.0200000000000005</v>
      </c>
      <c r="E79">
        <f t="shared" si="11"/>
        <v>7.0979999999999999</v>
      </c>
      <c r="L79" t="s">
        <v>1260</v>
      </c>
      <c r="M79">
        <v>1.9</v>
      </c>
      <c r="N79">
        <v>2.75</v>
      </c>
      <c r="O79">
        <v>2.0499999999999998</v>
      </c>
      <c r="P79">
        <v>1.6</v>
      </c>
      <c r="Q79">
        <v>1.55</v>
      </c>
      <c r="R79">
        <v>1.3</v>
      </c>
      <c r="S79">
        <v>1.55</v>
      </c>
      <c r="T79">
        <v>1.35</v>
      </c>
      <c r="U79">
        <v>1.45</v>
      </c>
      <c r="V79">
        <v>1.55</v>
      </c>
    </row>
    <row r="80" spans="1:22">
      <c r="A80" t="s">
        <v>1162</v>
      </c>
      <c r="L80" t="s">
        <v>1261</v>
      </c>
      <c r="M80">
        <v>3.15</v>
      </c>
      <c r="N80">
        <v>3.05</v>
      </c>
      <c r="O80">
        <v>2.7</v>
      </c>
      <c r="P80">
        <v>2</v>
      </c>
      <c r="Q80">
        <v>1.9</v>
      </c>
      <c r="R80">
        <v>1.6</v>
      </c>
      <c r="S80">
        <v>2.2999999999999998</v>
      </c>
      <c r="T80">
        <v>1.8</v>
      </c>
      <c r="U80">
        <v>1.5</v>
      </c>
      <c r="V80">
        <v>1.45</v>
      </c>
    </row>
    <row r="81" spans="1:22">
      <c r="A81" t="s">
        <v>1163</v>
      </c>
      <c r="B81">
        <v>682</v>
      </c>
      <c r="C81">
        <v>941</v>
      </c>
      <c r="D81">
        <v>901</v>
      </c>
      <c r="E81">
        <v>906</v>
      </c>
      <c r="L81" t="s">
        <v>1262</v>
      </c>
      <c r="M81">
        <v>2.5499999999999998</v>
      </c>
      <c r="N81">
        <v>2.8</v>
      </c>
      <c r="O81">
        <v>2.4</v>
      </c>
      <c r="P81">
        <v>1.55</v>
      </c>
      <c r="Q81">
        <v>1.75</v>
      </c>
      <c r="R81">
        <v>1.55</v>
      </c>
      <c r="S81">
        <v>1.55</v>
      </c>
      <c r="T81">
        <v>1.55</v>
      </c>
      <c r="U81">
        <v>1.8</v>
      </c>
      <c r="V81">
        <v>1.55</v>
      </c>
    </row>
    <row r="82" spans="1:22">
      <c r="B82">
        <f>(B34)*100000</f>
        <v>1580000</v>
      </c>
      <c r="C82">
        <f>(C34)*100000</f>
        <v>1430000</v>
      </c>
      <c r="D82">
        <f>(D34)*100000</f>
        <v>1330000</v>
      </c>
      <c r="E82">
        <f>(E34)*100000</f>
        <v>1370000</v>
      </c>
      <c r="L82" t="s">
        <v>1263</v>
      </c>
      <c r="M82">
        <v>5</v>
      </c>
      <c r="N82">
        <v>2.75</v>
      </c>
      <c r="O82">
        <v>2.4</v>
      </c>
      <c r="P82">
        <v>2.5</v>
      </c>
      <c r="Q82">
        <v>2.4500000000000002</v>
      </c>
      <c r="R82">
        <v>1.95</v>
      </c>
      <c r="S82">
        <v>2.25</v>
      </c>
      <c r="T82">
        <v>2.2000000000000002</v>
      </c>
      <c r="U82">
        <v>2.35</v>
      </c>
      <c r="V82">
        <v>1.8</v>
      </c>
    </row>
    <row r="83" spans="1:22">
      <c r="A83" t="s">
        <v>1163</v>
      </c>
      <c r="B83">
        <v>253</v>
      </c>
      <c r="C83">
        <v>344</v>
      </c>
      <c r="D83">
        <v>331</v>
      </c>
      <c r="E83">
        <v>320</v>
      </c>
      <c r="L83" t="s">
        <v>1264</v>
      </c>
      <c r="M83">
        <v>5.9</v>
      </c>
      <c r="N83">
        <v>3.3</v>
      </c>
      <c r="O83">
        <v>2.4</v>
      </c>
      <c r="P83">
        <v>2.1</v>
      </c>
      <c r="Q83">
        <v>2.5</v>
      </c>
      <c r="R83">
        <v>2.35</v>
      </c>
      <c r="S83">
        <v>2.75</v>
      </c>
      <c r="T83">
        <v>1.85</v>
      </c>
      <c r="U83">
        <v>2.75</v>
      </c>
      <c r="V83">
        <v>1.8</v>
      </c>
    </row>
    <row r="84" spans="1:22">
      <c r="B84">
        <f>(B35)*100000</f>
        <v>1910000.0000000002</v>
      </c>
      <c r="C84">
        <f>(C35)*100000</f>
        <v>2060000.0000000002</v>
      </c>
      <c r="D84">
        <f>(D35)*100000</f>
        <v>1750000</v>
      </c>
      <c r="E84">
        <f>(E35)*100000</f>
        <v>2020000</v>
      </c>
      <c r="L84" t="s">
        <v>1265</v>
      </c>
      <c r="M84">
        <v>3.35</v>
      </c>
      <c r="N84">
        <v>2.65</v>
      </c>
      <c r="O84">
        <v>2.0499999999999998</v>
      </c>
      <c r="P84">
        <v>1.5</v>
      </c>
      <c r="Q84">
        <v>1.5</v>
      </c>
      <c r="R84">
        <v>1.65</v>
      </c>
      <c r="S84">
        <v>1.7</v>
      </c>
      <c r="T84">
        <v>1.25</v>
      </c>
      <c r="U84">
        <v>1.2</v>
      </c>
      <c r="V84">
        <v>1.05</v>
      </c>
    </row>
    <row r="85" spans="1:22">
      <c r="A85" t="s">
        <v>1164</v>
      </c>
      <c r="B85">
        <f>(B81*B82+B84*B83)/1000000</f>
        <v>1560.79</v>
      </c>
      <c r="C85">
        <f t="shared" ref="C85:E85" si="12">(C81*C82+C84*C83)/1000000</f>
        <v>2054.27</v>
      </c>
      <c r="D85">
        <f t="shared" si="12"/>
        <v>1777.58</v>
      </c>
      <c r="E85">
        <f t="shared" si="12"/>
        <v>1887.62</v>
      </c>
      <c r="L85" t="s">
        <v>1266</v>
      </c>
      <c r="M85">
        <v>2.7</v>
      </c>
      <c r="N85">
        <v>2.35</v>
      </c>
      <c r="O85">
        <v>2.15</v>
      </c>
      <c r="P85">
        <v>1.7</v>
      </c>
      <c r="Q85">
        <v>1.75</v>
      </c>
      <c r="R85">
        <v>1.7</v>
      </c>
      <c r="S85">
        <v>1.4</v>
      </c>
      <c r="T85">
        <v>1.1499999999999999</v>
      </c>
      <c r="U85">
        <v>1.55</v>
      </c>
      <c r="V85">
        <v>0.85</v>
      </c>
    </row>
    <row r="86" spans="1:22">
      <c r="L86" t="s">
        <v>1267</v>
      </c>
      <c r="M86">
        <v>2.4500000000000002</v>
      </c>
      <c r="N86">
        <v>2.6</v>
      </c>
      <c r="O86">
        <v>2</v>
      </c>
      <c r="P86">
        <v>1.7</v>
      </c>
      <c r="Q86">
        <v>1.9</v>
      </c>
      <c r="R86">
        <v>1.3</v>
      </c>
      <c r="S86">
        <v>1.35</v>
      </c>
      <c r="T86">
        <v>1.3</v>
      </c>
      <c r="U86">
        <v>1.85</v>
      </c>
      <c r="V86">
        <v>0.95</v>
      </c>
    </row>
    <row r="87" spans="1:22">
      <c r="A87" t="s">
        <v>1165</v>
      </c>
      <c r="L87" t="s">
        <v>1268</v>
      </c>
      <c r="M87">
        <v>1.9</v>
      </c>
      <c r="N87">
        <v>3.15</v>
      </c>
      <c r="O87">
        <v>2</v>
      </c>
      <c r="P87">
        <v>2.2000000000000002</v>
      </c>
      <c r="Q87">
        <v>2.35</v>
      </c>
      <c r="R87">
        <v>1.55</v>
      </c>
      <c r="S87">
        <v>1.45</v>
      </c>
      <c r="T87">
        <v>1.2</v>
      </c>
      <c r="U87">
        <v>2.15</v>
      </c>
      <c r="V87">
        <v>1.75</v>
      </c>
    </row>
    <row r="88" spans="1:22">
      <c r="A88" t="s">
        <v>1163</v>
      </c>
      <c r="B88">
        <v>1806</v>
      </c>
      <c r="C88">
        <v>2387</v>
      </c>
      <c r="D88">
        <v>2106</v>
      </c>
      <c r="E88">
        <v>2581</v>
      </c>
      <c r="R88">
        <f>SUM(R76:R87)</f>
        <v>19.100000000000001</v>
      </c>
      <c r="S88">
        <f t="shared" ref="S88:V88" si="13">SUM(S76:S87)</f>
        <v>20.6</v>
      </c>
      <c r="T88">
        <f t="shared" si="13"/>
        <v>17.5</v>
      </c>
      <c r="U88">
        <f t="shared" si="13"/>
        <v>20.2</v>
      </c>
      <c r="V88">
        <f t="shared" si="13"/>
        <v>17.100000000000001</v>
      </c>
    </row>
    <row r="89" spans="1:22">
      <c r="B89">
        <v>690000</v>
      </c>
      <c r="C89">
        <v>760000</v>
      </c>
      <c r="D89">
        <v>630000</v>
      </c>
      <c r="E89">
        <v>710000</v>
      </c>
      <c r="R89">
        <f>R88+Q73</f>
        <v>34.9</v>
      </c>
      <c r="S89">
        <f t="shared" ref="S89:V89" si="14">S88+R73</f>
        <v>34.900000000000006</v>
      </c>
      <c r="T89">
        <f t="shared" si="14"/>
        <v>66.800000000000011</v>
      </c>
      <c r="U89">
        <f t="shared" si="14"/>
        <v>33.9</v>
      </c>
      <c r="V89">
        <f t="shared" si="14"/>
        <v>29.6</v>
      </c>
    </row>
    <row r="90" spans="1:22">
      <c r="B90">
        <f>(B89*B88)/1000000</f>
        <v>1246.1400000000001</v>
      </c>
      <c r="C90">
        <f t="shared" ref="C90:E90" si="15">(C89*C88)/1000000</f>
        <v>1814.12</v>
      </c>
      <c r="D90">
        <f t="shared" si="15"/>
        <v>1326.78</v>
      </c>
      <c r="E90">
        <f t="shared" si="15"/>
        <v>1832.51</v>
      </c>
    </row>
    <row r="93" spans="1:22">
      <c r="A93" t="s">
        <v>1166</v>
      </c>
      <c r="B93">
        <v>15.3</v>
      </c>
      <c r="C93">
        <v>15.5</v>
      </c>
      <c r="D93">
        <v>15.7</v>
      </c>
      <c r="E93">
        <v>14.7</v>
      </c>
    </row>
    <row r="94" spans="1:22">
      <c r="A94" s="178" t="s">
        <v>1167</v>
      </c>
      <c r="B94" s="181">
        <v>13.280000000000001</v>
      </c>
      <c r="C94" s="181">
        <v>13.231000000000002</v>
      </c>
      <c r="D94" s="181">
        <v>13.696000000000002</v>
      </c>
      <c r="E94" s="181">
        <v>12.946000000000002</v>
      </c>
    </row>
    <row r="95" spans="1:22">
      <c r="A95" s="178" t="s">
        <v>1160</v>
      </c>
      <c r="B95" s="181">
        <v>1.4939999999999998</v>
      </c>
      <c r="C95" s="181">
        <v>1.1559999999999999</v>
      </c>
      <c r="D95" s="181">
        <v>1.012</v>
      </c>
      <c r="E95" s="181">
        <v>1.04</v>
      </c>
    </row>
    <row r="96" spans="1:22">
      <c r="A96" t="s">
        <v>1168</v>
      </c>
      <c r="B96">
        <v>4.9000000000000004</v>
      </c>
      <c r="C96">
        <v>5.5</v>
      </c>
      <c r="D96">
        <v>5.3</v>
      </c>
      <c r="E96">
        <v>4.5999999999999996</v>
      </c>
    </row>
    <row r="97" spans="1:5">
      <c r="A97" t="s">
        <v>1169</v>
      </c>
      <c r="B97" s="130">
        <v>0.66999999999999993</v>
      </c>
      <c r="C97" s="130">
        <v>0.77</v>
      </c>
      <c r="D97" s="130">
        <v>0.74</v>
      </c>
      <c r="E97" s="130">
        <v>0.76</v>
      </c>
    </row>
    <row r="98" spans="1:5">
      <c r="A98" t="s">
        <v>1160</v>
      </c>
      <c r="B98" s="130">
        <v>7.0000000000000007E-2</v>
      </c>
      <c r="C98" s="130">
        <v>0.05</v>
      </c>
      <c r="D98" s="130">
        <v>0.09</v>
      </c>
      <c r="E98" s="130">
        <v>0.05</v>
      </c>
    </row>
    <row r="99" spans="1:5">
      <c r="B99">
        <f>B97*B96</f>
        <v>3.2829999999999999</v>
      </c>
      <c r="C99">
        <f t="shared" ref="C99:E99" si="16">C97*C96</f>
        <v>4.2350000000000003</v>
      </c>
      <c r="D99">
        <f t="shared" si="16"/>
        <v>3.9219999999999997</v>
      </c>
      <c r="E99">
        <f t="shared" si="16"/>
        <v>3.4959999999999996</v>
      </c>
    </row>
    <row r="100" spans="1:5">
      <c r="B100">
        <f>B96*B98</f>
        <v>0.34300000000000008</v>
      </c>
      <c r="C100">
        <f t="shared" ref="C100:E100" si="17">C96*C98</f>
        <v>0.27500000000000002</v>
      </c>
      <c r="D100">
        <f t="shared" si="17"/>
        <v>0.47699999999999998</v>
      </c>
      <c r="E100">
        <f t="shared" si="17"/>
        <v>0.22999999999999998</v>
      </c>
    </row>
    <row r="101" spans="1:5">
      <c r="B101" s="181">
        <f>SUM(B99:B100,B94:B95)</f>
        <v>18.400000000000002</v>
      </c>
      <c r="C101" s="181">
        <f t="shared" ref="C101:E101" si="18">SUM(C99:C100,C94:C95)</f>
        <v>18.897000000000002</v>
      </c>
      <c r="D101" s="181">
        <f t="shared" si="18"/>
        <v>19.107000000000003</v>
      </c>
      <c r="E101" s="181">
        <f t="shared" si="18"/>
        <v>17.712</v>
      </c>
    </row>
    <row r="103" spans="1:5">
      <c r="A103" s="130">
        <v>0.16277985074626866</v>
      </c>
      <c r="B103" s="130">
        <v>0.18116520351157223</v>
      </c>
      <c r="C103" s="130">
        <v>0.16273996509598604</v>
      </c>
      <c r="D103" s="130">
        <v>0.1452213487794787</v>
      </c>
    </row>
    <row r="104" spans="1:5">
      <c r="A104" s="130">
        <v>0.1730410447761194</v>
      </c>
      <c r="B104" s="130">
        <v>0.20550678371907422</v>
      </c>
      <c r="C104" s="130">
        <v>0.22862129144851659</v>
      </c>
      <c r="D104" s="130">
        <v>0.22052130740587506</v>
      </c>
    </row>
    <row r="105" spans="1:5">
      <c r="A105" s="130">
        <v>0.44962686567164178</v>
      </c>
      <c r="B105" s="130">
        <v>0.42657621707901039</v>
      </c>
      <c r="C105" s="130">
        <v>0.42670157068062825</v>
      </c>
      <c r="D105" s="130">
        <v>0.43773272652047995</v>
      </c>
    </row>
    <row r="106" spans="1:5">
      <c r="A106" s="130">
        <v>0.21455223880597016</v>
      </c>
      <c r="B106" s="130">
        <v>0.18675179569034317</v>
      </c>
      <c r="C106" s="130">
        <v>0.18193717277486912</v>
      </c>
      <c r="D106" s="130">
        <v>0.19652461729416631</v>
      </c>
    </row>
    <row r="109" spans="1:5">
      <c r="A109" t="s">
        <v>1153</v>
      </c>
      <c r="B109">
        <v>15.8</v>
      </c>
      <c r="C109">
        <v>14.3</v>
      </c>
      <c r="D109">
        <v>13.3</v>
      </c>
      <c r="E109">
        <v>13.7</v>
      </c>
    </row>
    <row r="110" spans="1:5">
      <c r="A110" t="s">
        <v>1154</v>
      </c>
      <c r="B110">
        <v>19.100000000000001</v>
      </c>
      <c r="C110">
        <v>20.6</v>
      </c>
      <c r="D110">
        <v>17.5</v>
      </c>
      <c r="E110">
        <v>20.2</v>
      </c>
    </row>
    <row r="111" spans="1:5">
      <c r="A111" t="s">
        <v>1067</v>
      </c>
      <c r="B111">
        <f>B109*B117+B110*B122</f>
        <v>7.3879999999999999</v>
      </c>
      <c r="C111">
        <f t="shared" ref="C111:E111" si="19">C109*C117+C110*C122</f>
        <v>7.4890000000000008</v>
      </c>
      <c r="D111">
        <f t="shared" si="19"/>
        <v>7.4830000000000005</v>
      </c>
      <c r="E111">
        <f t="shared" si="19"/>
        <v>7.7389999999999999</v>
      </c>
    </row>
    <row r="112" spans="1:5">
      <c r="A112" t="s">
        <v>1066</v>
      </c>
      <c r="B112">
        <f>B109*B118+B110*B123</f>
        <v>5.9</v>
      </c>
      <c r="C112">
        <f t="shared" ref="C112:E112" si="20">C109*C118+C110*C123</f>
        <v>5.6639999999999997</v>
      </c>
      <c r="D112">
        <f t="shared" si="20"/>
        <v>4.2699999999999996</v>
      </c>
      <c r="E112">
        <f t="shared" si="20"/>
        <v>4.8179999999999996</v>
      </c>
    </row>
    <row r="113" spans="1:5">
      <c r="A113" t="s">
        <v>1065</v>
      </c>
      <c r="B113">
        <f>B109*B116+B110*B124</f>
        <v>8.072000000000001</v>
      </c>
      <c r="C113">
        <f t="shared" ref="C113:E113" si="21">C109*C116+C110*C124</f>
        <v>7.2080000000000002</v>
      </c>
      <c r="D113">
        <f t="shared" si="21"/>
        <v>6.6710000000000003</v>
      </c>
      <c r="E113">
        <f t="shared" si="21"/>
        <v>6.8869999999999996</v>
      </c>
    </row>
    <row r="114" spans="1:5">
      <c r="A114" t="s">
        <v>1064</v>
      </c>
      <c r="B114">
        <f>B109*B119+B110*B125</f>
        <v>10.451000000000001</v>
      </c>
      <c r="C114">
        <f t="shared" ref="C114:E114" si="22">C109*C119+C110*C125</f>
        <v>9.7839999999999989</v>
      </c>
      <c r="D114">
        <f t="shared" si="22"/>
        <v>9.31</v>
      </c>
      <c r="E114">
        <f t="shared" si="22"/>
        <v>11.361000000000001</v>
      </c>
    </row>
    <row r="115" spans="1:5">
      <c r="A115" t="s">
        <v>1063</v>
      </c>
      <c r="B115">
        <f>B109*B120+B110*B126</f>
        <v>8.0340000000000007</v>
      </c>
      <c r="C115">
        <f t="shared" ref="C115:E115" si="23">C109*C120+C110*C126</f>
        <v>8.9600000000000009</v>
      </c>
      <c r="D115">
        <f t="shared" si="23"/>
        <v>6.0200000000000005</v>
      </c>
      <c r="E115">
        <f t="shared" si="23"/>
        <v>7.0979999999999999</v>
      </c>
    </row>
    <row r="116" spans="1:5">
      <c r="A116" t="s">
        <v>1065</v>
      </c>
      <c r="B116" s="130">
        <v>0.39</v>
      </c>
      <c r="C116" s="130">
        <v>0.36</v>
      </c>
      <c r="D116" s="130">
        <v>0.37</v>
      </c>
      <c r="E116" s="130">
        <v>0.37</v>
      </c>
    </row>
    <row r="117" spans="1:5">
      <c r="A117" t="s">
        <v>1067</v>
      </c>
      <c r="B117" s="130">
        <v>0.25</v>
      </c>
      <c r="C117" s="130">
        <v>0.25</v>
      </c>
      <c r="D117" s="130">
        <v>0.26</v>
      </c>
      <c r="E117" s="130">
        <v>0.27</v>
      </c>
    </row>
    <row r="118" spans="1:5">
      <c r="A118" t="s">
        <v>1066</v>
      </c>
      <c r="B118" s="130">
        <v>0.18</v>
      </c>
      <c r="C118" s="130">
        <v>0.18</v>
      </c>
      <c r="D118" s="130">
        <v>0.15</v>
      </c>
      <c r="E118" s="130">
        <v>0.16</v>
      </c>
    </row>
    <row r="119" spans="1:5">
      <c r="A119" t="s">
        <v>1064</v>
      </c>
      <c r="B119" s="130">
        <v>0.19</v>
      </c>
      <c r="C119" s="130">
        <v>0.18</v>
      </c>
      <c r="D119" s="130">
        <v>0.2</v>
      </c>
      <c r="E119" s="130">
        <v>0.21</v>
      </c>
    </row>
    <row r="120" spans="1:5">
      <c r="A120" t="s">
        <v>1063</v>
      </c>
      <c r="B120" s="130">
        <v>0.17</v>
      </c>
      <c r="C120" s="130">
        <v>0.18</v>
      </c>
      <c r="D120" s="130">
        <v>0.15</v>
      </c>
      <c r="E120" s="130">
        <v>0.12</v>
      </c>
    </row>
    <row r="121" spans="1:5">
      <c r="B121" s="130"/>
      <c r="C121" s="130"/>
      <c r="D121" s="130"/>
      <c r="E121" s="130"/>
    </row>
    <row r="122" spans="1:5">
      <c r="A122" t="s">
        <v>1067</v>
      </c>
      <c r="B122" s="130">
        <v>0.18</v>
      </c>
      <c r="C122" s="130">
        <v>0.19</v>
      </c>
      <c r="D122" s="130">
        <v>0.23</v>
      </c>
      <c r="E122" s="130">
        <v>0.2</v>
      </c>
    </row>
    <row r="123" spans="1:5">
      <c r="A123" t="s">
        <v>1066</v>
      </c>
      <c r="B123" s="130">
        <v>0.16</v>
      </c>
      <c r="C123" s="130">
        <v>0.15</v>
      </c>
      <c r="D123" s="130">
        <v>0.13</v>
      </c>
      <c r="E123" s="130">
        <v>0.13</v>
      </c>
    </row>
    <row r="124" spans="1:5">
      <c r="A124" t="s">
        <v>1065</v>
      </c>
      <c r="B124" s="130">
        <v>0.1</v>
      </c>
      <c r="C124" s="130">
        <v>0.1</v>
      </c>
      <c r="D124" s="130">
        <v>0.1</v>
      </c>
      <c r="E124" s="130">
        <v>0.09</v>
      </c>
    </row>
    <row r="125" spans="1:5">
      <c r="A125" t="s">
        <v>1064</v>
      </c>
      <c r="B125" s="130">
        <v>0.39</v>
      </c>
      <c r="C125" s="130">
        <v>0.35</v>
      </c>
      <c r="D125" s="130">
        <v>0.38</v>
      </c>
      <c r="E125" s="130">
        <v>0.42</v>
      </c>
    </row>
    <row r="126" spans="1:5">
      <c r="A126" t="s">
        <v>1063</v>
      </c>
      <c r="B126" s="130">
        <v>0.28000000000000003</v>
      </c>
      <c r="C126" s="130">
        <v>0.31</v>
      </c>
      <c r="D126" s="130">
        <v>0.23</v>
      </c>
      <c r="E126" s="130">
        <v>0.27</v>
      </c>
    </row>
    <row r="128" spans="1:5">
      <c r="A128" s="6" t="s">
        <v>365</v>
      </c>
      <c r="B128">
        <v>25860</v>
      </c>
      <c r="C128" s="179">
        <v>1000</v>
      </c>
    </row>
    <row r="129" spans="1:2">
      <c r="A129" s="6" t="s">
        <v>1136</v>
      </c>
      <c r="B129">
        <v>540</v>
      </c>
    </row>
    <row r="130" spans="1:2">
      <c r="A130" s="6" t="s">
        <v>387</v>
      </c>
      <c r="B130">
        <v>370</v>
      </c>
    </row>
    <row r="131" spans="1:2">
      <c r="A131" s="6" t="s">
        <v>337</v>
      </c>
      <c r="B131">
        <v>345</v>
      </c>
    </row>
    <row r="132" spans="1:2">
      <c r="A132" s="6" t="s">
        <v>375</v>
      </c>
      <c r="B132">
        <v>285</v>
      </c>
    </row>
    <row r="133" spans="1:2">
      <c r="A133" s="6" t="s">
        <v>361</v>
      </c>
      <c r="B133">
        <v>260</v>
      </c>
    </row>
    <row r="134" spans="1:2">
      <c r="A134" s="6" t="s">
        <v>409</v>
      </c>
      <c r="B134">
        <v>195</v>
      </c>
    </row>
    <row r="135" spans="1:2">
      <c r="A135" s="6" t="s">
        <v>1194</v>
      </c>
      <c r="B135">
        <v>685</v>
      </c>
    </row>
    <row r="136" spans="1:2">
      <c r="A136" s="6" t="s">
        <v>353</v>
      </c>
      <c r="B136">
        <v>9240</v>
      </c>
    </row>
    <row r="137" spans="1:2">
      <c r="A137" s="6" t="s">
        <v>403</v>
      </c>
      <c r="B137">
        <v>6010</v>
      </c>
    </row>
    <row r="138" spans="1:2">
      <c r="A138" s="6" t="s">
        <v>379</v>
      </c>
      <c r="B138">
        <v>2690</v>
      </c>
    </row>
    <row r="139" spans="1:2">
      <c r="A139" s="6" t="s">
        <v>377</v>
      </c>
      <c r="B139">
        <v>350</v>
      </c>
    </row>
    <row r="140" spans="1:2">
      <c r="A140" s="6" t="s">
        <v>369</v>
      </c>
      <c r="B140">
        <v>220</v>
      </c>
    </row>
    <row r="141" spans="1:2">
      <c r="A141" s="6" t="s">
        <v>417</v>
      </c>
      <c r="B141">
        <v>5030</v>
      </c>
    </row>
    <row r="142" spans="1:2">
      <c r="A142" s="6" t="s">
        <v>339</v>
      </c>
      <c r="B142">
        <v>3090</v>
      </c>
    </row>
    <row r="143" spans="1:2">
      <c r="A143" s="6" t="s">
        <v>1152</v>
      </c>
      <c r="B143">
        <v>1530</v>
      </c>
    </row>
    <row r="144" spans="1:2">
      <c r="A144" s="6" t="s">
        <v>455</v>
      </c>
      <c r="B144">
        <v>265</v>
      </c>
    </row>
    <row r="146" spans="1:6">
      <c r="B146">
        <v>12083.691839492785</v>
      </c>
      <c r="C146">
        <v>10938.800000000001</v>
      </c>
      <c r="D146">
        <v>11890</v>
      </c>
      <c r="E146">
        <v>12470</v>
      </c>
    </row>
    <row r="147" spans="1:6">
      <c r="A147" s="6" t="s">
        <v>65</v>
      </c>
      <c r="B147">
        <v>0</v>
      </c>
      <c r="C147">
        <v>0</v>
      </c>
      <c r="D147">
        <v>0</v>
      </c>
      <c r="E147">
        <v>0</v>
      </c>
    </row>
    <row r="148" spans="1:6">
      <c r="A148" s="6" t="s">
        <v>67</v>
      </c>
      <c r="B148">
        <v>0</v>
      </c>
      <c r="C148">
        <v>0</v>
      </c>
      <c r="D148">
        <v>0</v>
      </c>
      <c r="E148">
        <v>0</v>
      </c>
    </row>
    <row r="149" spans="1:6">
      <c r="A149" s="6" t="s">
        <v>1197</v>
      </c>
      <c r="B149">
        <v>63174</v>
      </c>
      <c r="C149">
        <v>57055</v>
      </c>
      <c r="D149">
        <v>9545</v>
      </c>
      <c r="E149">
        <v>9880</v>
      </c>
    </row>
    <row r="150" spans="1:6">
      <c r="A150" s="6" t="s">
        <v>70</v>
      </c>
      <c r="B150">
        <v>78</v>
      </c>
      <c r="C150">
        <v>65</v>
      </c>
      <c r="D150">
        <v>75</v>
      </c>
      <c r="E150">
        <v>77.026666666666671</v>
      </c>
    </row>
    <row r="151" spans="1:6">
      <c r="A151" s="6" t="s">
        <v>72</v>
      </c>
      <c r="B151">
        <v>409</v>
      </c>
      <c r="C151">
        <v>350</v>
      </c>
      <c r="D151">
        <v>298</v>
      </c>
      <c r="E151">
        <v>299.48333333333329</v>
      </c>
    </row>
    <row r="152" spans="1:6">
      <c r="A152" s="6" t="s">
        <v>74</v>
      </c>
      <c r="B152">
        <v>0</v>
      </c>
      <c r="C152">
        <v>0</v>
      </c>
      <c r="D152">
        <v>0</v>
      </c>
    </row>
    <row r="153" spans="1:6">
      <c r="A153" s="6" t="s">
        <v>65</v>
      </c>
      <c r="B153" s="130">
        <f>B147/SUM(B$147:B$152)</f>
        <v>0</v>
      </c>
      <c r="C153" s="130">
        <f t="shared" ref="C153:E153" si="24">C147/SUM(C$147:C$152)</f>
        <v>0</v>
      </c>
      <c r="D153" s="130">
        <f t="shared" si="24"/>
        <v>0</v>
      </c>
      <c r="E153" s="130">
        <f t="shared" si="24"/>
        <v>0</v>
      </c>
      <c r="F153" s="130"/>
    </row>
    <row r="154" spans="1:6">
      <c r="A154" s="6" t="s">
        <v>67</v>
      </c>
      <c r="B154" s="130">
        <f t="shared" ref="B154:E158" si="25">B148/SUM(B$147:B$152)</f>
        <v>0</v>
      </c>
      <c r="C154" s="130">
        <f t="shared" si="25"/>
        <v>0</v>
      </c>
      <c r="D154" s="130">
        <f t="shared" si="25"/>
        <v>0</v>
      </c>
      <c r="E154" s="130">
        <f t="shared" si="25"/>
        <v>0</v>
      </c>
      <c r="F154" s="130"/>
    </row>
    <row r="155" spans="1:6">
      <c r="A155" s="6" t="s">
        <v>1197</v>
      </c>
      <c r="B155" s="130">
        <f t="shared" si="25"/>
        <v>0.99235010445955918</v>
      </c>
      <c r="C155" s="130">
        <f t="shared" si="25"/>
        <v>0.99277884113450499</v>
      </c>
      <c r="D155" s="130">
        <f t="shared" si="25"/>
        <v>0.96239161121193784</v>
      </c>
      <c r="E155" s="130">
        <f t="shared" si="25"/>
        <v>0.96329063199860376</v>
      </c>
      <c r="F155" s="130"/>
    </row>
    <row r="156" spans="1:6">
      <c r="A156" s="6" t="s">
        <v>70</v>
      </c>
      <c r="B156" s="130">
        <f t="shared" si="25"/>
        <v>1.225239942822136E-3</v>
      </c>
      <c r="C156" s="130">
        <f t="shared" si="25"/>
        <v>1.131024882547416E-3</v>
      </c>
      <c r="D156" s="130">
        <f t="shared" si="25"/>
        <v>7.5620084694494856E-3</v>
      </c>
      <c r="E156" s="130">
        <f t="shared" si="25"/>
        <v>7.5100269649877654E-3</v>
      </c>
      <c r="F156" s="130"/>
    </row>
    <row r="157" spans="1:6">
      <c r="A157" s="6" t="s">
        <v>72</v>
      </c>
      <c r="B157" s="130">
        <f t="shared" si="25"/>
        <v>6.4246555976186365E-3</v>
      </c>
      <c r="C157" s="130">
        <f t="shared" si="25"/>
        <v>6.0901339829476245E-3</v>
      </c>
      <c r="D157" s="130">
        <f t="shared" si="25"/>
        <v>3.0046380318612623E-2</v>
      </c>
      <c r="E157" s="130">
        <f t="shared" si="25"/>
        <v>2.9199341036408415E-2</v>
      </c>
      <c r="F157" s="130"/>
    </row>
    <row r="158" spans="1:6">
      <c r="A158" s="6" t="s">
        <v>74</v>
      </c>
      <c r="B158" s="130">
        <f t="shared" si="25"/>
        <v>0</v>
      </c>
      <c r="C158" s="130">
        <f t="shared" si="25"/>
        <v>0</v>
      </c>
      <c r="D158" s="130">
        <f t="shared" si="25"/>
        <v>0</v>
      </c>
      <c r="E158" s="130">
        <f t="shared" si="25"/>
        <v>0</v>
      </c>
      <c r="F158" s="130"/>
    </row>
    <row r="159" spans="1:6">
      <c r="B159">
        <v>1013</v>
      </c>
      <c r="C159">
        <v>1010</v>
      </c>
      <c r="D159">
        <v>870</v>
      </c>
      <c r="E159">
        <v>1218.0033333333486</v>
      </c>
    </row>
    <row r="160" spans="1:6">
      <c r="A160" s="6" t="s">
        <v>65</v>
      </c>
      <c r="B160" s="190">
        <f>9%*B159</f>
        <v>91.17</v>
      </c>
      <c r="C160" s="190">
        <f>9.1%*C159</f>
        <v>91.91</v>
      </c>
      <c r="D160" s="190">
        <f>9.2%*D159</f>
        <v>80.039999999999992</v>
      </c>
      <c r="E160" s="190">
        <f>9.3%*E159</f>
        <v>113.27431000000144</v>
      </c>
      <c r="F160" s="190"/>
    </row>
    <row r="161" spans="1:6">
      <c r="A161" s="6" t="s">
        <v>67</v>
      </c>
      <c r="B161" s="181">
        <f>B154*B159</f>
        <v>0</v>
      </c>
      <c r="C161" s="181">
        <f t="shared" ref="C161:E161" si="26">C154*C159</f>
        <v>0</v>
      </c>
      <c r="D161" s="181">
        <f t="shared" si="26"/>
        <v>0</v>
      </c>
      <c r="E161" s="181">
        <f t="shared" si="26"/>
        <v>0</v>
      </c>
      <c r="F161" s="181"/>
    </row>
    <row r="162" spans="1:6">
      <c r="A162" s="6" t="s">
        <v>1197</v>
      </c>
      <c r="B162" s="181"/>
      <c r="C162" s="181"/>
      <c r="D162" s="181"/>
      <c r="E162" s="181"/>
      <c r="F162" s="181"/>
    </row>
    <row r="163" spans="1:6">
      <c r="A163" s="6" t="s">
        <v>70</v>
      </c>
      <c r="B163" s="181">
        <f>B156*B159</f>
        <v>1.2411680620788239</v>
      </c>
      <c r="C163" s="181">
        <f t="shared" ref="C163:E163" si="27">C156*C159</f>
        <v>1.1423351313728902</v>
      </c>
      <c r="D163" s="181">
        <f t="shared" si="27"/>
        <v>6.5789473684210522</v>
      </c>
      <c r="E163" s="181">
        <f t="shared" si="27"/>
        <v>9.1472378767784299</v>
      </c>
      <c r="F163" s="181"/>
    </row>
    <row r="164" spans="1:6">
      <c r="A164" s="6" t="s">
        <v>72</v>
      </c>
      <c r="B164" s="181">
        <f>B157*B159</f>
        <v>6.5081761203876791</v>
      </c>
      <c r="C164" s="181">
        <f t="shared" ref="C164:E164" si="28">C157*C159</f>
        <v>6.1510353227771004</v>
      </c>
      <c r="D164" s="181">
        <f t="shared" si="28"/>
        <v>26.140350877192983</v>
      </c>
      <c r="E164" s="181">
        <f t="shared" si="28"/>
        <v>35.56489471348268</v>
      </c>
      <c r="F164" s="181"/>
    </row>
    <row r="165" spans="1:6">
      <c r="A165" s="6" t="s">
        <v>74</v>
      </c>
      <c r="B165" s="181">
        <f>B159-SUM(B160:B164)</f>
        <v>914.08065581753351</v>
      </c>
      <c r="C165" s="181">
        <f t="shared" ref="C165:E165" si="29">C159-SUM(C160:C164)</f>
        <v>910.79662954585001</v>
      </c>
      <c r="D165" s="181">
        <f t="shared" si="29"/>
        <v>757.24070175438601</v>
      </c>
      <c r="E165" s="181">
        <f t="shared" si="29"/>
        <v>1060.0168907430859</v>
      </c>
      <c r="F165" s="181"/>
    </row>
  </sheetData>
  <hyperlinks>
    <hyperlink ref="A1" r:id="rId1"/>
    <hyperlink ref="A2" r:id="rId2"/>
    <hyperlink ref="A3" r:id="rId3"/>
    <hyperlink ref="A4" r:id="rId4"/>
  </hyperlinks>
  <pageMargins left="0.7" right="0.7" top="0.75" bottom="0.75" header="0.3" footer="0.3"/>
  <pageSetup orientation="portrait" r:id="rId5"/>
</worksheet>
</file>

<file path=xl/worksheets/sheet15.xml><?xml version="1.0" encoding="utf-8"?>
<worksheet xmlns="http://schemas.openxmlformats.org/spreadsheetml/2006/main" xmlns:r="http://schemas.openxmlformats.org/officeDocument/2006/relationships">
  <dimension ref="A1:AG492"/>
  <sheetViews>
    <sheetView topLeftCell="A204" workbookViewId="0">
      <selection activeCell="X540" sqref="X540"/>
    </sheetView>
  </sheetViews>
  <sheetFormatPr defaultRowHeight="14.25"/>
  <cols>
    <col min="1" max="1" width="15.140625" style="169" customWidth="1"/>
    <col min="2" max="4" width="14.7109375" style="169" bestFit="1" customWidth="1"/>
    <col min="5" max="5" width="13.140625" style="169" customWidth="1"/>
    <col min="6" max="6" width="12.7109375" style="169" bestFit="1" customWidth="1"/>
    <col min="7" max="8" width="11.28515625" style="169" customWidth="1"/>
    <col min="9" max="9" width="12.28515625" style="169" customWidth="1"/>
    <col min="10" max="10" width="11.42578125" style="169" customWidth="1"/>
    <col min="11" max="11" width="10" style="169" customWidth="1"/>
    <col min="12" max="12" width="10.42578125" style="169" customWidth="1"/>
    <col min="13" max="13" width="12.7109375" style="169" customWidth="1"/>
    <col min="14" max="14" width="10.42578125" style="169" customWidth="1"/>
    <col min="15" max="15" width="10" style="169" customWidth="1"/>
    <col min="16" max="16" width="10.28515625" style="169" customWidth="1"/>
    <col min="17" max="17" width="13" style="169" customWidth="1"/>
    <col min="18" max="18" width="10.28515625" style="169" customWidth="1"/>
    <col min="19" max="19" width="9.85546875" style="169" customWidth="1"/>
    <col min="20" max="20" width="10.85546875" style="169" customWidth="1"/>
    <col min="21" max="21" width="12.5703125" style="169" customWidth="1"/>
    <col min="22" max="22" width="10.42578125" style="169" customWidth="1"/>
    <col min="23" max="257" width="9.140625" style="169"/>
    <col min="258" max="262" width="11.28515625" style="169" bestFit="1" customWidth="1"/>
    <col min="263" max="264" width="9.140625" style="169"/>
    <col min="265" max="265" width="11.28515625" style="169" bestFit="1" customWidth="1"/>
    <col min="266" max="268" width="9.140625" style="169"/>
    <col min="269" max="269" width="12.140625" style="169" customWidth="1"/>
    <col min="270" max="272" width="9.140625" style="169"/>
    <col min="273" max="273" width="11.42578125" style="169" customWidth="1"/>
    <col min="274" max="276" width="9.140625" style="169"/>
    <col min="277" max="277" width="11.5703125" style="169" customWidth="1"/>
    <col min="278" max="513" width="9.140625" style="169"/>
    <col min="514" max="518" width="11.28515625" style="169" bestFit="1" customWidth="1"/>
    <col min="519" max="520" width="9.140625" style="169"/>
    <col min="521" max="521" width="11.28515625" style="169" bestFit="1" customWidth="1"/>
    <col min="522" max="524" width="9.140625" style="169"/>
    <col min="525" max="525" width="12.140625" style="169" customWidth="1"/>
    <col min="526" max="528" width="9.140625" style="169"/>
    <col min="529" max="529" width="11.42578125" style="169" customWidth="1"/>
    <col min="530" max="532" width="9.140625" style="169"/>
    <col min="533" max="533" width="11.5703125" style="169" customWidth="1"/>
    <col min="534" max="769" width="9.140625" style="169"/>
    <col min="770" max="774" width="11.28515625" style="169" bestFit="1" customWidth="1"/>
    <col min="775" max="776" width="9.140625" style="169"/>
    <col min="777" max="777" width="11.28515625" style="169" bestFit="1" customWidth="1"/>
    <col min="778" max="780" width="9.140625" style="169"/>
    <col min="781" max="781" width="12.140625" style="169" customWidth="1"/>
    <col min="782" max="784" width="9.140625" style="169"/>
    <col min="785" max="785" width="11.42578125" style="169" customWidth="1"/>
    <col min="786" max="788" width="9.140625" style="169"/>
    <col min="789" max="789" width="11.5703125" style="169" customWidth="1"/>
    <col min="790" max="1025" width="9.140625" style="169"/>
    <col min="1026" max="1030" width="11.28515625" style="169" bestFit="1" customWidth="1"/>
    <col min="1031" max="1032" width="9.140625" style="169"/>
    <col min="1033" max="1033" width="11.28515625" style="169" bestFit="1" customWidth="1"/>
    <col min="1034" max="1036" width="9.140625" style="169"/>
    <col min="1037" max="1037" width="12.140625" style="169" customWidth="1"/>
    <col min="1038" max="1040" width="9.140625" style="169"/>
    <col min="1041" max="1041" width="11.42578125" style="169" customWidth="1"/>
    <col min="1042" max="1044" width="9.140625" style="169"/>
    <col min="1045" max="1045" width="11.5703125" style="169" customWidth="1"/>
    <col min="1046" max="1281" width="9.140625" style="169"/>
    <col min="1282" max="1286" width="11.28515625" style="169" bestFit="1" customWidth="1"/>
    <col min="1287" max="1288" width="9.140625" style="169"/>
    <col min="1289" max="1289" width="11.28515625" style="169" bestFit="1" customWidth="1"/>
    <col min="1290" max="1292" width="9.140625" style="169"/>
    <col min="1293" max="1293" width="12.140625" style="169" customWidth="1"/>
    <col min="1294" max="1296" width="9.140625" style="169"/>
    <col min="1297" max="1297" width="11.42578125" style="169" customWidth="1"/>
    <col min="1298" max="1300" width="9.140625" style="169"/>
    <col min="1301" max="1301" width="11.5703125" style="169" customWidth="1"/>
    <col min="1302" max="1537" width="9.140625" style="169"/>
    <col min="1538" max="1542" width="11.28515625" style="169" bestFit="1" customWidth="1"/>
    <col min="1543" max="1544" width="9.140625" style="169"/>
    <col min="1545" max="1545" width="11.28515625" style="169" bestFit="1" customWidth="1"/>
    <col min="1546" max="1548" width="9.140625" style="169"/>
    <col min="1549" max="1549" width="12.140625" style="169" customWidth="1"/>
    <col min="1550" max="1552" width="9.140625" style="169"/>
    <col min="1553" max="1553" width="11.42578125" style="169" customWidth="1"/>
    <col min="1554" max="1556" width="9.140625" style="169"/>
    <col min="1557" max="1557" width="11.5703125" style="169" customWidth="1"/>
    <col min="1558" max="1793" width="9.140625" style="169"/>
    <col min="1794" max="1798" width="11.28515625" style="169" bestFit="1" customWidth="1"/>
    <col min="1799" max="1800" width="9.140625" style="169"/>
    <col min="1801" max="1801" width="11.28515625" style="169" bestFit="1" customWidth="1"/>
    <col min="1802" max="1804" width="9.140625" style="169"/>
    <col min="1805" max="1805" width="12.140625" style="169" customWidth="1"/>
    <col min="1806" max="1808" width="9.140625" style="169"/>
    <col min="1809" max="1809" width="11.42578125" style="169" customWidth="1"/>
    <col min="1810" max="1812" width="9.140625" style="169"/>
    <col min="1813" max="1813" width="11.5703125" style="169" customWidth="1"/>
    <col min="1814" max="2049" width="9.140625" style="169"/>
    <col min="2050" max="2054" width="11.28515625" style="169" bestFit="1" customWidth="1"/>
    <col min="2055" max="2056" width="9.140625" style="169"/>
    <col min="2057" max="2057" width="11.28515625" style="169" bestFit="1" customWidth="1"/>
    <col min="2058" max="2060" width="9.140625" style="169"/>
    <col min="2061" max="2061" width="12.140625" style="169" customWidth="1"/>
    <col min="2062" max="2064" width="9.140625" style="169"/>
    <col min="2065" max="2065" width="11.42578125" style="169" customWidth="1"/>
    <col min="2066" max="2068" width="9.140625" style="169"/>
    <col min="2069" max="2069" width="11.5703125" style="169" customWidth="1"/>
    <col min="2070" max="2305" width="9.140625" style="169"/>
    <col min="2306" max="2310" width="11.28515625" style="169" bestFit="1" customWidth="1"/>
    <col min="2311" max="2312" width="9.140625" style="169"/>
    <col min="2313" max="2313" width="11.28515625" style="169" bestFit="1" customWidth="1"/>
    <col min="2314" max="2316" width="9.140625" style="169"/>
    <col min="2317" max="2317" width="12.140625" style="169" customWidth="1"/>
    <col min="2318" max="2320" width="9.140625" style="169"/>
    <col min="2321" max="2321" width="11.42578125" style="169" customWidth="1"/>
    <col min="2322" max="2324" width="9.140625" style="169"/>
    <col min="2325" max="2325" width="11.5703125" style="169" customWidth="1"/>
    <col min="2326" max="2561" width="9.140625" style="169"/>
    <col min="2562" max="2566" width="11.28515625" style="169" bestFit="1" customWidth="1"/>
    <col min="2567" max="2568" width="9.140625" style="169"/>
    <col min="2569" max="2569" width="11.28515625" style="169" bestFit="1" customWidth="1"/>
    <col min="2570" max="2572" width="9.140625" style="169"/>
    <col min="2573" max="2573" width="12.140625" style="169" customWidth="1"/>
    <col min="2574" max="2576" width="9.140625" style="169"/>
    <col min="2577" max="2577" width="11.42578125" style="169" customWidth="1"/>
    <col min="2578" max="2580" width="9.140625" style="169"/>
    <col min="2581" max="2581" width="11.5703125" style="169" customWidth="1"/>
    <col min="2582" max="2817" width="9.140625" style="169"/>
    <col min="2818" max="2822" width="11.28515625" style="169" bestFit="1" customWidth="1"/>
    <col min="2823" max="2824" width="9.140625" style="169"/>
    <col min="2825" max="2825" width="11.28515625" style="169" bestFit="1" customWidth="1"/>
    <col min="2826" max="2828" width="9.140625" style="169"/>
    <col min="2829" max="2829" width="12.140625" style="169" customWidth="1"/>
    <col min="2830" max="2832" width="9.140625" style="169"/>
    <col min="2833" max="2833" width="11.42578125" style="169" customWidth="1"/>
    <col min="2834" max="2836" width="9.140625" style="169"/>
    <col min="2837" max="2837" width="11.5703125" style="169" customWidth="1"/>
    <col min="2838" max="3073" width="9.140625" style="169"/>
    <col min="3074" max="3078" width="11.28515625" style="169" bestFit="1" customWidth="1"/>
    <col min="3079" max="3080" width="9.140625" style="169"/>
    <col min="3081" max="3081" width="11.28515625" style="169" bestFit="1" customWidth="1"/>
    <col min="3082" max="3084" width="9.140625" style="169"/>
    <col min="3085" max="3085" width="12.140625" style="169" customWidth="1"/>
    <col min="3086" max="3088" width="9.140625" style="169"/>
    <col min="3089" max="3089" width="11.42578125" style="169" customWidth="1"/>
    <col min="3090" max="3092" width="9.140625" style="169"/>
    <col min="3093" max="3093" width="11.5703125" style="169" customWidth="1"/>
    <col min="3094" max="3329" width="9.140625" style="169"/>
    <col min="3330" max="3334" width="11.28515625" style="169" bestFit="1" customWidth="1"/>
    <col min="3335" max="3336" width="9.140625" style="169"/>
    <col min="3337" max="3337" width="11.28515625" style="169" bestFit="1" customWidth="1"/>
    <col min="3338" max="3340" width="9.140625" style="169"/>
    <col min="3341" max="3341" width="12.140625" style="169" customWidth="1"/>
    <col min="3342" max="3344" width="9.140625" style="169"/>
    <col min="3345" max="3345" width="11.42578125" style="169" customWidth="1"/>
    <col min="3346" max="3348" width="9.140625" style="169"/>
    <col min="3349" max="3349" width="11.5703125" style="169" customWidth="1"/>
    <col min="3350" max="3585" width="9.140625" style="169"/>
    <col min="3586" max="3590" width="11.28515625" style="169" bestFit="1" customWidth="1"/>
    <col min="3591" max="3592" width="9.140625" style="169"/>
    <col min="3593" max="3593" width="11.28515625" style="169" bestFit="1" customWidth="1"/>
    <col min="3594" max="3596" width="9.140625" style="169"/>
    <col min="3597" max="3597" width="12.140625" style="169" customWidth="1"/>
    <col min="3598" max="3600" width="9.140625" style="169"/>
    <col min="3601" max="3601" width="11.42578125" style="169" customWidth="1"/>
    <col min="3602" max="3604" width="9.140625" style="169"/>
    <col min="3605" max="3605" width="11.5703125" style="169" customWidth="1"/>
    <col min="3606" max="3841" width="9.140625" style="169"/>
    <col min="3842" max="3846" width="11.28515625" style="169" bestFit="1" customWidth="1"/>
    <col min="3847" max="3848" width="9.140625" style="169"/>
    <col min="3849" max="3849" width="11.28515625" style="169" bestFit="1" customWidth="1"/>
    <col min="3850" max="3852" width="9.140625" style="169"/>
    <col min="3853" max="3853" width="12.140625" style="169" customWidth="1"/>
    <col min="3854" max="3856" width="9.140625" style="169"/>
    <col min="3857" max="3857" width="11.42578125" style="169" customWidth="1"/>
    <col min="3858" max="3860" width="9.140625" style="169"/>
    <col min="3861" max="3861" width="11.5703125" style="169" customWidth="1"/>
    <col min="3862" max="4097" width="9.140625" style="169"/>
    <col min="4098" max="4102" width="11.28515625" style="169" bestFit="1" customWidth="1"/>
    <col min="4103" max="4104" width="9.140625" style="169"/>
    <col min="4105" max="4105" width="11.28515625" style="169" bestFit="1" customWidth="1"/>
    <col min="4106" max="4108" width="9.140625" style="169"/>
    <col min="4109" max="4109" width="12.140625" style="169" customWidth="1"/>
    <col min="4110" max="4112" width="9.140625" style="169"/>
    <col min="4113" max="4113" width="11.42578125" style="169" customWidth="1"/>
    <col min="4114" max="4116" width="9.140625" style="169"/>
    <col min="4117" max="4117" width="11.5703125" style="169" customWidth="1"/>
    <col min="4118" max="4353" width="9.140625" style="169"/>
    <col min="4354" max="4358" width="11.28515625" style="169" bestFit="1" customWidth="1"/>
    <col min="4359" max="4360" width="9.140625" style="169"/>
    <col min="4361" max="4361" width="11.28515625" style="169" bestFit="1" customWidth="1"/>
    <col min="4362" max="4364" width="9.140625" style="169"/>
    <col min="4365" max="4365" width="12.140625" style="169" customWidth="1"/>
    <col min="4366" max="4368" width="9.140625" style="169"/>
    <col min="4369" max="4369" width="11.42578125" style="169" customWidth="1"/>
    <col min="4370" max="4372" width="9.140625" style="169"/>
    <col min="4373" max="4373" width="11.5703125" style="169" customWidth="1"/>
    <col min="4374" max="4609" width="9.140625" style="169"/>
    <col min="4610" max="4614" width="11.28515625" style="169" bestFit="1" customWidth="1"/>
    <col min="4615" max="4616" width="9.140625" style="169"/>
    <col min="4617" max="4617" width="11.28515625" style="169" bestFit="1" customWidth="1"/>
    <col min="4618" max="4620" width="9.140625" style="169"/>
    <col min="4621" max="4621" width="12.140625" style="169" customWidth="1"/>
    <col min="4622" max="4624" width="9.140625" style="169"/>
    <col min="4625" max="4625" width="11.42578125" style="169" customWidth="1"/>
    <col min="4626" max="4628" width="9.140625" style="169"/>
    <col min="4629" max="4629" width="11.5703125" style="169" customWidth="1"/>
    <col min="4630" max="4865" width="9.140625" style="169"/>
    <col min="4866" max="4870" width="11.28515625" style="169" bestFit="1" customWidth="1"/>
    <col min="4871" max="4872" width="9.140625" style="169"/>
    <col min="4873" max="4873" width="11.28515625" style="169" bestFit="1" customWidth="1"/>
    <col min="4874" max="4876" width="9.140625" style="169"/>
    <col min="4877" max="4877" width="12.140625" style="169" customWidth="1"/>
    <col min="4878" max="4880" width="9.140625" style="169"/>
    <col min="4881" max="4881" width="11.42578125" style="169" customWidth="1"/>
    <col min="4882" max="4884" width="9.140625" style="169"/>
    <col min="4885" max="4885" width="11.5703125" style="169" customWidth="1"/>
    <col min="4886" max="5121" width="9.140625" style="169"/>
    <col min="5122" max="5126" width="11.28515625" style="169" bestFit="1" customWidth="1"/>
    <col min="5127" max="5128" width="9.140625" style="169"/>
    <col min="5129" max="5129" width="11.28515625" style="169" bestFit="1" customWidth="1"/>
    <col min="5130" max="5132" width="9.140625" style="169"/>
    <col min="5133" max="5133" width="12.140625" style="169" customWidth="1"/>
    <col min="5134" max="5136" width="9.140625" style="169"/>
    <col min="5137" max="5137" width="11.42578125" style="169" customWidth="1"/>
    <col min="5138" max="5140" width="9.140625" style="169"/>
    <col min="5141" max="5141" width="11.5703125" style="169" customWidth="1"/>
    <col min="5142" max="5377" width="9.140625" style="169"/>
    <col min="5378" max="5382" width="11.28515625" style="169" bestFit="1" customWidth="1"/>
    <col min="5383" max="5384" width="9.140625" style="169"/>
    <col min="5385" max="5385" width="11.28515625" style="169" bestFit="1" customWidth="1"/>
    <col min="5386" max="5388" width="9.140625" style="169"/>
    <col min="5389" max="5389" width="12.140625" style="169" customWidth="1"/>
    <col min="5390" max="5392" width="9.140625" style="169"/>
    <col min="5393" max="5393" width="11.42578125" style="169" customWidth="1"/>
    <col min="5394" max="5396" width="9.140625" style="169"/>
    <col min="5397" max="5397" width="11.5703125" style="169" customWidth="1"/>
    <col min="5398" max="5633" width="9.140625" style="169"/>
    <col min="5634" max="5638" width="11.28515625" style="169" bestFit="1" customWidth="1"/>
    <col min="5639" max="5640" width="9.140625" style="169"/>
    <col min="5641" max="5641" width="11.28515625" style="169" bestFit="1" customWidth="1"/>
    <col min="5642" max="5644" width="9.140625" style="169"/>
    <col min="5645" max="5645" width="12.140625" style="169" customWidth="1"/>
    <col min="5646" max="5648" width="9.140625" style="169"/>
    <col min="5649" max="5649" width="11.42578125" style="169" customWidth="1"/>
    <col min="5650" max="5652" width="9.140625" style="169"/>
    <col min="5653" max="5653" width="11.5703125" style="169" customWidth="1"/>
    <col min="5654" max="5889" width="9.140625" style="169"/>
    <col min="5890" max="5894" width="11.28515625" style="169" bestFit="1" customWidth="1"/>
    <col min="5895" max="5896" width="9.140625" style="169"/>
    <col min="5897" max="5897" width="11.28515625" style="169" bestFit="1" customWidth="1"/>
    <col min="5898" max="5900" width="9.140625" style="169"/>
    <col min="5901" max="5901" width="12.140625" style="169" customWidth="1"/>
    <col min="5902" max="5904" width="9.140625" style="169"/>
    <col min="5905" max="5905" width="11.42578125" style="169" customWidth="1"/>
    <col min="5906" max="5908" width="9.140625" style="169"/>
    <col min="5909" max="5909" width="11.5703125" style="169" customWidth="1"/>
    <col min="5910" max="6145" width="9.140625" style="169"/>
    <col min="6146" max="6150" width="11.28515625" style="169" bestFit="1" customWidth="1"/>
    <col min="6151" max="6152" width="9.140625" style="169"/>
    <col min="6153" max="6153" width="11.28515625" style="169" bestFit="1" customWidth="1"/>
    <col min="6154" max="6156" width="9.140625" style="169"/>
    <col min="6157" max="6157" width="12.140625" style="169" customWidth="1"/>
    <col min="6158" max="6160" width="9.140625" style="169"/>
    <col min="6161" max="6161" width="11.42578125" style="169" customWidth="1"/>
    <col min="6162" max="6164" width="9.140625" style="169"/>
    <col min="6165" max="6165" width="11.5703125" style="169" customWidth="1"/>
    <col min="6166" max="6401" width="9.140625" style="169"/>
    <col min="6402" max="6406" width="11.28515625" style="169" bestFit="1" customWidth="1"/>
    <col min="6407" max="6408" width="9.140625" style="169"/>
    <col min="6409" max="6409" width="11.28515625" style="169" bestFit="1" customWidth="1"/>
    <col min="6410" max="6412" width="9.140625" style="169"/>
    <col min="6413" max="6413" width="12.140625" style="169" customWidth="1"/>
    <col min="6414" max="6416" width="9.140625" style="169"/>
    <col min="6417" max="6417" width="11.42578125" style="169" customWidth="1"/>
    <col min="6418" max="6420" width="9.140625" style="169"/>
    <col min="6421" max="6421" width="11.5703125" style="169" customWidth="1"/>
    <col min="6422" max="6657" width="9.140625" style="169"/>
    <col min="6658" max="6662" width="11.28515625" style="169" bestFit="1" customWidth="1"/>
    <col min="6663" max="6664" width="9.140625" style="169"/>
    <col min="6665" max="6665" width="11.28515625" style="169" bestFit="1" customWidth="1"/>
    <col min="6666" max="6668" width="9.140625" style="169"/>
    <col min="6669" max="6669" width="12.140625" style="169" customWidth="1"/>
    <col min="6670" max="6672" width="9.140625" style="169"/>
    <col min="6673" max="6673" width="11.42578125" style="169" customWidth="1"/>
    <col min="6674" max="6676" width="9.140625" style="169"/>
    <col min="6677" max="6677" width="11.5703125" style="169" customWidth="1"/>
    <col min="6678" max="6913" width="9.140625" style="169"/>
    <col min="6914" max="6918" width="11.28515625" style="169" bestFit="1" customWidth="1"/>
    <col min="6919" max="6920" width="9.140625" style="169"/>
    <col min="6921" max="6921" width="11.28515625" style="169" bestFit="1" customWidth="1"/>
    <col min="6922" max="6924" width="9.140625" style="169"/>
    <col min="6925" max="6925" width="12.140625" style="169" customWidth="1"/>
    <col min="6926" max="6928" width="9.140625" style="169"/>
    <col min="6929" max="6929" width="11.42578125" style="169" customWidth="1"/>
    <col min="6930" max="6932" width="9.140625" style="169"/>
    <col min="6933" max="6933" width="11.5703125" style="169" customWidth="1"/>
    <col min="6934" max="7169" width="9.140625" style="169"/>
    <col min="7170" max="7174" width="11.28515625" style="169" bestFit="1" customWidth="1"/>
    <col min="7175" max="7176" width="9.140625" style="169"/>
    <col min="7177" max="7177" width="11.28515625" style="169" bestFit="1" customWidth="1"/>
    <col min="7178" max="7180" width="9.140625" style="169"/>
    <col min="7181" max="7181" width="12.140625" style="169" customWidth="1"/>
    <col min="7182" max="7184" width="9.140625" style="169"/>
    <col min="7185" max="7185" width="11.42578125" style="169" customWidth="1"/>
    <col min="7186" max="7188" width="9.140625" style="169"/>
    <col min="7189" max="7189" width="11.5703125" style="169" customWidth="1"/>
    <col min="7190" max="7425" width="9.140625" style="169"/>
    <col min="7426" max="7430" width="11.28515625" style="169" bestFit="1" customWidth="1"/>
    <col min="7431" max="7432" width="9.140625" style="169"/>
    <col min="7433" max="7433" width="11.28515625" style="169" bestFit="1" customWidth="1"/>
    <col min="7434" max="7436" width="9.140625" style="169"/>
    <col min="7437" max="7437" width="12.140625" style="169" customWidth="1"/>
    <col min="7438" max="7440" width="9.140625" style="169"/>
    <col min="7441" max="7441" width="11.42578125" style="169" customWidth="1"/>
    <col min="7442" max="7444" width="9.140625" style="169"/>
    <col min="7445" max="7445" width="11.5703125" style="169" customWidth="1"/>
    <col min="7446" max="7681" width="9.140625" style="169"/>
    <col min="7682" max="7686" width="11.28515625" style="169" bestFit="1" customWidth="1"/>
    <col min="7687" max="7688" width="9.140625" style="169"/>
    <col min="7689" max="7689" width="11.28515625" style="169" bestFit="1" customWidth="1"/>
    <col min="7690" max="7692" width="9.140625" style="169"/>
    <col min="7693" max="7693" width="12.140625" style="169" customWidth="1"/>
    <col min="7694" max="7696" width="9.140625" style="169"/>
    <col min="7697" max="7697" width="11.42578125" style="169" customWidth="1"/>
    <col min="7698" max="7700" width="9.140625" style="169"/>
    <col min="7701" max="7701" width="11.5703125" style="169" customWidth="1"/>
    <col min="7702" max="7937" width="9.140625" style="169"/>
    <col min="7938" max="7942" width="11.28515625" style="169" bestFit="1" customWidth="1"/>
    <col min="7943" max="7944" width="9.140625" style="169"/>
    <col min="7945" max="7945" width="11.28515625" style="169" bestFit="1" customWidth="1"/>
    <col min="7946" max="7948" width="9.140625" style="169"/>
    <col min="7949" max="7949" width="12.140625" style="169" customWidth="1"/>
    <col min="7950" max="7952" width="9.140625" style="169"/>
    <col min="7953" max="7953" width="11.42578125" style="169" customWidth="1"/>
    <col min="7954" max="7956" width="9.140625" style="169"/>
    <col min="7957" max="7957" width="11.5703125" style="169" customWidth="1"/>
    <col min="7958" max="8193" width="9.140625" style="169"/>
    <col min="8194" max="8198" width="11.28515625" style="169" bestFit="1" customWidth="1"/>
    <col min="8199" max="8200" width="9.140625" style="169"/>
    <col min="8201" max="8201" width="11.28515625" style="169" bestFit="1" customWidth="1"/>
    <col min="8202" max="8204" width="9.140625" style="169"/>
    <col min="8205" max="8205" width="12.140625" style="169" customWidth="1"/>
    <col min="8206" max="8208" width="9.140625" style="169"/>
    <col min="8209" max="8209" width="11.42578125" style="169" customWidth="1"/>
    <col min="8210" max="8212" width="9.140625" style="169"/>
    <col min="8213" max="8213" width="11.5703125" style="169" customWidth="1"/>
    <col min="8214" max="8449" width="9.140625" style="169"/>
    <col min="8450" max="8454" width="11.28515625" style="169" bestFit="1" customWidth="1"/>
    <col min="8455" max="8456" width="9.140625" style="169"/>
    <col min="8457" max="8457" width="11.28515625" style="169" bestFit="1" customWidth="1"/>
    <col min="8458" max="8460" width="9.140625" style="169"/>
    <col min="8461" max="8461" width="12.140625" style="169" customWidth="1"/>
    <col min="8462" max="8464" width="9.140625" style="169"/>
    <col min="8465" max="8465" width="11.42578125" style="169" customWidth="1"/>
    <col min="8466" max="8468" width="9.140625" style="169"/>
    <col min="8469" max="8469" width="11.5703125" style="169" customWidth="1"/>
    <col min="8470" max="8705" width="9.140625" style="169"/>
    <col min="8706" max="8710" width="11.28515625" style="169" bestFit="1" customWidth="1"/>
    <col min="8711" max="8712" width="9.140625" style="169"/>
    <col min="8713" max="8713" width="11.28515625" style="169" bestFit="1" customWidth="1"/>
    <col min="8714" max="8716" width="9.140625" style="169"/>
    <col min="8717" max="8717" width="12.140625" style="169" customWidth="1"/>
    <col min="8718" max="8720" width="9.140625" style="169"/>
    <col min="8721" max="8721" width="11.42578125" style="169" customWidth="1"/>
    <col min="8722" max="8724" width="9.140625" style="169"/>
    <col min="8725" max="8725" width="11.5703125" style="169" customWidth="1"/>
    <col min="8726" max="8961" width="9.140625" style="169"/>
    <col min="8962" max="8966" width="11.28515625" style="169" bestFit="1" customWidth="1"/>
    <col min="8967" max="8968" width="9.140625" style="169"/>
    <col min="8969" max="8969" width="11.28515625" style="169" bestFit="1" customWidth="1"/>
    <col min="8970" max="8972" width="9.140625" style="169"/>
    <col min="8973" max="8973" width="12.140625" style="169" customWidth="1"/>
    <col min="8974" max="8976" width="9.140625" style="169"/>
    <col min="8977" max="8977" width="11.42578125" style="169" customWidth="1"/>
    <col min="8978" max="8980" width="9.140625" style="169"/>
    <col min="8981" max="8981" width="11.5703125" style="169" customWidth="1"/>
    <col min="8982" max="9217" width="9.140625" style="169"/>
    <col min="9218" max="9222" width="11.28515625" style="169" bestFit="1" customWidth="1"/>
    <col min="9223" max="9224" width="9.140625" style="169"/>
    <col min="9225" max="9225" width="11.28515625" style="169" bestFit="1" customWidth="1"/>
    <col min="9226" max="9228" width="9.140625" style="169"/>
    <col min="9229" max="9229" width="12.140625" style="169" customWidth="1"/>
    <col min="9230" max="9232" width="9.140625" style="169"/>
    <col min="9233" max="9233" width="11.42578125" style="169" customWidth="1"/>
    <col min="9234" max="9236" width="9.140625" style="169"/>
    <col min="9237" max="9237" width="11.5703125" style="169" customWidth="1"/>
    <col min="9238" max="9473" width="9.140625" style="169"/>
    <col min="9474" max="9478" width="11.28515625" style="169" bestFit="1" customWidth="1"/>
    <col min="9479" max="9480" width="9.140625" style="169"/>
    <col min="9481" max="9481" width="11.28515625" style="169" bestFit="1" customWidth="1"/>
    <col min="9482" max="9484" width="9.140625" style="169"/>
    <col min="9485" max="9485" width="12.140625" style="169" customWidth="1"/>
    <col min="9486" max="9488" width="9.140625" style="169"/>
    <col min="9489" max="9489" width="11.42578125" style="169" customWidth="1"/>
    <col min="9490" max="9492" width="9.140625" style="169"/>
    <col min="9493" max="9493" width="11.5703125" style="169" customWidth="1"/>
    <col min="9494" max="9729" width="9.140625" style="169"/>
    <col min="9730" max="9734" width="11.28515625" style="169" bestFit="1" customWidth="1"/>
    <col min="9735" max="9736" width="9.140625" style="169"/>
    <col min="9737" max="9737" width="11.28515625" style="169" bestFit="1" customWidth="1"/>
    <col min="9738" max="9740" width="9.140625" style="169"/>
    <col min="9741" max="9741" width="12.140625" style="169" customWidth="1"/>
    <col min="9742" max="9744" width="9.140625" style="169"/>
    <col min="9745" max="9745" width="11.42578125" style="169" customWidth="1"/>
    <col min="9746" max="9748" width="9.140625" style="169"/>
    <col min="9749" max="9749" width="11.5703125" style="169" customWidth="1"/>
    <col min="9750" max="9985" width="9.140625" style="169"/>
    <col min="9986" max="9990" width="11.28515625" style="169" bestFit="1" customWidth="1"/>
    <col min="9991" max="9992" width="9.140625" style="169"/>
    <col min="9993" max="9993" width="11.28515625" style="169" bestFit="1" customWidth="1"/>
    <col min="9994" max="9996" width="9.140625" style="169"/>
    <col min="9997" max="9997" width="12.140625" style="169" customWidth="1"/>
    <col min="9998" max="10000" width="9.140625" style="169"/>
    <col min="10001" max="10001" width="11.42578125" style="169" customWidth="1"/>
    <col min="10002" max="10004" width="9.140625" style="169"/>
    <col min="10005" max="10005" width="11.5703125" style="169" customWidth="1"/>
    <col min="10006" max="10241" width="9.140625" style="169"/>
    <col min="10242" max="10246" width="11.28515625" style="169" bestFit="1" customWidth="1"/>
    <col min="10247" max="10248" width="9.140625" style="169"/>
    <col min="10249" max="10249" width="11.28515625" style="169" bestFit="1" customWidth="1"/>
    <col min="10250" max="10252" width="9.140625" style="169"/>
    <col min="10253" max="10253" width="12.140625" style="169" customWidth="1"/>
    <col min="10254" max="10256" width="9.140625" style="169"/>
    <col min="10257" max="10257" width="11.42578125" style="169" customWidth="1"/>
    <col min="10258" max="10260" width="9.140625" style="169"/>
    <col min="10261" max="10261" width="11.5703125" style="169" customWidth="1"/>
    <col min="10262" max="10497" width="9.140625" style="169"/>
    <col min="10498" max="10502" width="11.28515625" style="169" bestFit="1" customWidth="1"/>
    <col min="10503" max="10504" width="9.140625" style="169"/>
    <col min="10505" max="10505" width="11.28515625" style="169" bestFit="1" customWidth="1"/>
    <col min="10506" max="10508" width="9.140625" style="169"/>
    <col min="10509" max="10509" width="12.140625" style="169" customWidth="1"/>
    <col min="10510" max="10512" width="9.140625" style="169"/>
    <col min="10513" max="10513" width="11.42578125" style="169" customWidth="1"/>
    <col min="10514" max="10516" width="9.140625" style="169"/>
    <col min="10517" max="10517" width="11.5703125" style="169" customWidth="1"/>
    <col min="10518" max="10753" width="9.140625" style="169"/>
    <col min="10754" max="10758" width="11.28515625" style="169" bestFit="1" customWidth="1"/>
    <col min="10759" max="10760" width="9.140625" style="169"/>
    <col min="10761" max="10761" width="11.28515625" style="169" bestFit="1" customWidth="1"/>
    <col min="10762" max="10764" width="9.140625" style="169"/>
    <col min="10765" max="10765" width="12.140625" style="169" customWidth="1"/>
    <col min="10766" max="10768" width="9.140625" style="169"/>
    <col min="10769" max="10769" width="11.42578125" style="169" customWidth="1"/>
    <col min="10770" max="10772" width="9.140625" style="169"/>
    <col min="10773" max="10773" width="11.5703125" style="169" customWidth="1"/>
    <col min="10774" max="11009" width="9.140625" style="169"/>
    <col min="11010" max="11014" width="11.28515625" style="169" bestFit="1" customWidth="1"/>
    <col min="11015" max="11016" width="9.140625" style="169"/>
    <col min="11017" max="11017" width="11.28515625" style="169" bestFit="1" customWidth="1"/>
    <col min="11018" max="11020" width="9.140625" style="169"/>
    <col min="11021" max="11021" width="12.140625" style="169" customWidth="1"/>
    <col min="11022" max="11024" width="9.140625" style="169"/>
    <col min="11025" max="11025" width="11.42578125" style="169" customWidth="1"/>
    <col min="11026" max="11028" width="9.140625" style="169"/>
    <col min="11029" max="11029" width="11.5703125" style="169" customWidth="1"/>
    <col min="11030" max="11265" width="9.140625" style="169"/>
    <col min="11266" max="11270" width="11.28515625" style="169" bestFit="1" customWidth="1"/>
    <col min="11271" max="11272" width="9.140625" style="169"/>
    <col min="11273" max="11273" width="11.28515625" style="169" bestFit="1" customWidth="1"/>
    <col min="11274" max="11276" width="9.140625" style="169"/>
    <col min="11277" max="11277" width="12.140625" style="169" customWidth="1"/>
    <col min="11278" max="11280" width="9.140625" style="169"/>
    <col min="11281" max="11281" width="11.42578125" style="169" customWidth="1"/>
    <col min="11282" max="11284" width="9.140625" style="169"/>
    <col min="11285" max="11285" width="11.5703125" style="169" customWidth="1"/>
    <col min="11286" max="11521" width="9.140625" style="169"/>
    <col min="11522" max="11526" width="11.28515625" style="169" bestFit="1" customWidth="1"/>
    <col min="11527" max="11528" width="9.140625" style="169"/>
    <col min="11529" max="11529" width="11.28515625" style="169" bestFit="1" customWidth="1"/>
    <col min="11530" max="11532" width="9.140625" style="169"/>
    <col min="11533" max="11533" width="12.140625" style="169" customWidth="1"/>
    <col min="11534" max="11536" width="9.140625" style="169"/>
    <col min="11537" max="11537" width="11.42578125" style="169" customWidth="1"/>
    <col min="11538" max="11540" width="9.140625" style="169"/>
    <col min="11541" max="11541" width="11.5703125" style="169" customWidth="1"/>
    <col min="11542" max="11777" width="9.140625" style="169"/>
    <col min="11778" max="11782" width="11.28515625" style="169" bestFit="1" customWidth="1"/>
    <col min="11783" max="11784" width="9.140625" style="169"/>
    <col min="11785" max="11785" width="11.28515625" style="169" bestFit="1" customWidth="1"/>
    <col min="11786" max="11788" width="9.140625" style="169"/>
    <col min="11789" max="11789" width="12.140625" style="169" customWidth="1"/>
    <col min="11790" max="11792" width="9.140625" style="169"/>
    <col min="11793" max="11793" width="11.42578125" style="169" customWidth="1"/>
    <col min="11794" max="11796" width="9.140625" style="169"/>
    <col min="11797" max="11797" width="11.5703125" style="169" customWidth="1"/>
    <col min="11798" max="12033" width="9.140625" style="169"/>
    <col min="12034" max="12038" width="11.28515625" style="169" bestFit="1" customWidth="1"/>
    <col min="12039" max="12040" width="9.140625" style="169"/>
    <col min="12041" max="12041" width="11.28515625" style="169" bestFit="1" customWidth="1"/>
    <col min="12042" max="12044" width="9.140625" style="169"/>
    <col min="12045" max="12045" width="12.140625" style="169" customWidth="1"/>
    <col min="12046" max="12048" width="9.140625" style="169"/>
    <col min="12049" max="12049" width="11.42578125" style="169" customWidth="1"/>
    <col min="12050" max="12052" width="9.140625" style="169"/>
    <col min="12053" max="12053" width="11.5703125" style="169" customWidth="1"/>
    <col min="12054" max="12289" width="9.140625" style="169"/>
    <col min="12290" max="12294" width="11.28515625" style="169" bestFit="1" customWidth="1"/>
    <col min="12295" max="12296" width="9.140625" style="169"/>
    <col min="12297" max="12297" width="11.28515625" style="169" bestFit="1" customWidth="1"/>
    <col min="12298" max="12300" width="9.140625" style="169"/>
    <col min="12301" max="12301" width="12.140625" style="169" customWidth="1"/>
    <col min="12302" max="12304" width="9.140625" style="169"/>
    <col min="12305" max="12305" width="11.42578125" style="169" customWidth="1"/>
    <col min="12306" max="12308" width="9.140625" style="169"/>
    <col min="12309" max="12309" width="11.5703125" style="169" customWidth="1"/>
    <col min="12310" max="12545" width="9.140625" style="169"/>
    <col min="12546" max="12550" width="11.28515625" style="169" bestFit="1" customWidth="1"/>
    <col min="12551" max="12552" width="9.140625" style="169"/>
    <col min="12553" max="12553" width="11.28515625" style="169" bestFit="1" customWidth="1"/>
    <col min="12554" max="12556" width="9.140625" style="169"/>
    <col min="12557" max="12557" width="12.140625" style="169" customWidth="1"/>
    <col min="12558" max="12560" width="9.140625" style="169"/>
    <col min="12561" max="12561" width="11.42578125" style="169" customWidth="1"/>
    <col min="12562" max="12564" width="9.140625" style="169"/>
    <col min="12565" max="12565" width="11.5703125" style="169" customWidth="1"/>
    <col min="12566" max="12801" width="9.140625" style="169"/>
    <col min="12802" max="12806" width="11.28515625" style="169" bestFit="1" customWidth="1"/>
    <col min="12807" max="12808" width="9.140625" style="169"/>
    <col min="12809" max="12809" width="11.28515625" style="169" bestFit="1" customWidth="1"/>
    <col min="12810" max="12812" width="9.140625" style="169"/>
    <col min="12813" max="12813" width="12.140625" style="169" customWidth="1"/>
    <col min="12814" max="12816" width="9.140625" style="169"/>
    <col min="12817" max="12817" width="11.42578125" style="169" customWidth="1"/>
    <col min="12818" max="12820" width="9.140625" style="169"/>
    <col min="12821" max="12821" width="11.5703125" style="169" customWidth="1"/>
    <col min="12822" max="13057" width="9.140625" style="169"/>
    <col min="13058" max="13062" width="11.28515625" style="169" bestFit="1" customWidth="1"/>
    <col min="13063" max="13064" width="9.140625" style="169"/>
    <col min="13065" max="13065" width="11.28515625" style="169" bestFit="1" customWidth="1"/>
    <col min="13066" max="13068" width="9.140625" style="169"/>
    <col min="13069" max="13069" width="12.140625" style="169" customWidth="1"/>
    <col min="13070" max="13072" width="9.140625" style="169"/>
    <col min="13073" max="13073" width="11.42578125" style="169" customWidth="1"/>
    <col min="13074" max="13076" width="9.140625" style="169"/>
    <col min="13077" max="13077" width="11.5703125" style="169" customWidth="1"/>
    <col min="13078" max="13313" width="9.140625" style="169"/>
    <col min="13314" max="13318" width="11.28515625" style="169" bestFit="1" customWidth="1"/>
    <col min="13319" max="13320" width="9.140625" style="169"/>
    <col min="13321" max="13321" width="11.28515625" style="169" bestFit="1" customWidth="1"/>
    <col min="13322" max="13324" width="9.140625" style="169"/>
    <col min="13325" max="13325" width="12.140625" style="169" customWidth="1"/>
    <col min="13326" max="13328" width="9.140625" style="169"/>
    <col min="13329" max="13329" width="11.42578125" style="169" customWidth="1"/>
    <col min="13330" max="13332" width="9.140625" style="169"/>
    <col min="13333" max="13333" width="11.5703125" style="169" customWidth="1"/>
    <col min="13334" max="13569" width="9.140625" style="169"/>
    <col min="13570" max="13574" width="11.28515625" style="169" bestFit="1" customWidth="1"/>
    <col min="13575" max="13576" width="9.140625" style="169"/>
    <col min="13577" max="13577" width="11.28515625" style="169" bestFit="1" customWidth="1"/>
    <col min="13578" max="13580" width="9.140625" style="169"/>
    <col min="13581" max="13581" width="12.140625" style="169" customWidth="1"/>
    <col min="13582" max="13584" width="9.140625" style="169"/>
    <col min="13585" max="13585" width="11.42578125" style="169" customWidth="1"/>
    <col min="13586" max="13588" width="9.140625" style="169"/>
    <col min="13589" max="13589" width="11.5703125" style="169" customWidth="1"/>
    <col min="13590" max="13825" width="9.140625" style="169"/>
    <col min="13826" max="13830" width="11.28515625" style="169" bestFit="1" customWidth="1"/>
    <col min="13831" max="13832" width="9.140625" style="169"/>
    <col min="13833" max="13833" width="11.28515625" style="169" bestFit="1" customWidth="1"/>
    <col min="13834" max="13836" width="9.140625" style="169"/>
    <col min="13837" max="13837" width="12.140625" style="169" customWidth="1"/>
    <col min="13838" max="13840" width="9.140625" style="169"/>
    <col min="13841" max="13841" width="11.42578125" style="169" customWidth="1"/>
    <col min="13842" max="13844" width="9.140625" style="169"/>
    <col min="13845" max="13845" width="11.5703125" style="169" customWidth="1"/>
    <col min="13846" max="14081" width="9.140625" style="169"/>
    <col min="14082" max="14086" width="11.28515625" style="169" bestFit="1" customWidth="1"/>
    <col min="14087" max="14088" width="9.140625" style="169"/>
    <col min="14089" max="14089" width="11.28515625" style="169" bestFit="1" customWidth="1"/>
    <col min="14090" max="14092" width="9.140625" style="169"/>
    <col min="14093" max="14093" width="12.140625" style="169" customWidth="1"/>
    <col min="14094" max="14096" width="9.140625" style="169"/>
    <col min="14097" max="14097" width="11.42578125" style="169" customWidth="1"/>
    <col min="14098" max="14100" width="9.140625" style="169"/>
    <col min="14101" max="14101" width="11.5703125" style="169" customWidth="1"/>
    <col min="14102" max="14337" width="9.140625" style="169"/>
    <col min="14338" max="14342" width="11.28515625" style="169" bestFit="1" customWidth="1"/>
    <col min="14343" max="14344" width="9.140625" style="169"/>
    <col min="14345" max="14345" width="11.28515625" style="169" bestFit="1" customWidth="1"/>
    <col min="14346" max="14348" width="9.140625" style="169"/>
    <col min="14349" max="14349" width="12.140625" style="169" customWidth="1"/>
    <col min="14350" max="14352" width="9.140625" style="169"/>
    <col min="14353" max="14353" width="11.42578125" style="169" customWidth="1"/>
    <col min="14354" max="14356" width="9.140625" style="169"/>
    <col min="14357" max="14357" width="11.5703125" style="169" customWidth="1"/>
    <col min="14358" max="14593" width="9.140625" style="169"/>
    <col min="14594" max="14598" width="11.28515625" style="169" bestFit="1" customWidth="1"/>
    <col min="14599" max="14600" width="9.140625" style="169"/>
    <col min="14601" max="14601" width="11.28515625" style="169" bestFit="1" customWidth="1"/>
    <col min="14602" max="14604" width="9.140625" style="169"/>
    <col min="14605" max="14605" width="12.140625" style="169" customWidth="1"/>
    <col min="14606" max="14608" width="9.140625" style="169"/>
    <col min="14609" max="14609" width="11.42578125" style="169" customWidth="1"/>
    <col min="14610" max="14612" width="9.140625" style="169"/>
    <col min="14613" max="14613" width="11.5703125" style="169" customWidth="1"/>
    <col min="14614" max="14849" width="9.140625" style="169"/>
    <col min="14850" max="14854" width="11.28515625" style="169" bestFit="1" customWidth="1"/>
    <col min="14855" max="14856" width="9.140625" style="169"/>
    <col min="14857" max="14857" width="11.28515625" style="169" bestFit="1" customWidth="1"/>
    <col min="14858" max="14860" width="9.140625" style="169"/>
    <col min="14861" max="14861" width="12.140625" style="169" customWidth="1"/>
    <col min="14862" max="14864" width="9.140625" style="169"/>
    <col min="14865" max="14865" width="11.42578125" style="169" customWidth="1"/>
    <col min="14866" max="14868" width="9.140625" style="169"/>
    <col min="14869" max="14869" width="11.5703125" style="169" customWidth="1"/>
    <col min="14870" max="15105" width="9.140625" style="169"/>
    <col min="15106" max="15110" width="11.28515625" style="169" bestFit="1" customWidth="1"/>
    <col min="15111" max="15112" width="9.140625" style="169"/>
    <col min="15113" max="15113" width="11.28515625" style="169" bestFit="1" customWidth="1"/>
    <col min="15114" max="15116" width="9.140625" style="169"/>
    <col min="15117" max="15117" width="12.140625" style="169" customWidth="1"/>
    <col min="15118" max="15120" width="9.140625" style="169"/>
    <col min="15121" max="15121" width="11.42578125" style="169" customWidth="1"/>
    <col min="15122" max="15124" width="9.140625" style="169"/>
    <col min="15125" max="15125" width="11.5703125" style="169" customWidth="1"/>
    <col min="15126" max="15361" width="9.140625" style="169"/>
    <col min="15362" max="15366" width="11.28515625" style="169" bestFit="1" customWidth="1"/>
    <col min="15367" max="15368" width="9.140625" style="169"/>
    <col min="15369" max="15369" width="11.28515625" style="169" bestFit="1" customWidth="1"/>
    <col min="15370" max="15372" width="9.140625" style="169"/>
    <col min="15373" max="15373" width="12.140625" style="169" customWidth="1"/>
    <col min="15374" max="15376" width="9.140625" style="169"/>
    <col min="15377" max="15377" width="11.42578125" style="169" customWidth="1"/>
    <col min="15378" max="15380" width="9.140625" style="169"/>
    <col min="15381" max="15381" width="11.5703125" style="169" customWidth="1"/>
    <col min="15382" max="15617" width="9.140625" style="169"/>
    <col min="15618" max="15622" width="11.28515625" style="169" bestFit="1" customWidth="1"/>
    <col min="15623" max="15624" width="9.140625" style="169"/>
    <col min="15625" max="15625" width="11.28515625" style="169" bestFit="1" customWidth="1"/>
    <col min="15626" max="15628" width="9.140625" style="169"/>
    <col min="15629" max="15629" width="12.140625" style="169" customWidth="1"/>
    <col min="15630" max="15632" width="9.140625" style="169"/>
    <col min="15633" max="15633" width="11.42578125" style="169" customWidth="1"/>
    <col min="15634" max="15636" width="9.140625" style="169"/>
    <col min="15637" max="15637" width="11.5703125" style="169" customWidth="1"/>
    <col min="15638" max="15873" width="9.140625" style="169"/>
    <col min="15874" max="15878" width="11.28515625" style="169" bestFit="1" customWidth="1"/>
    <col min="15879" max="15880" width="9.140625" style="169"/>
    <col min="15881" max="15881" width="11.28515625" style="169" bestFit="1" customWidth="1"/>
    <col min="15882" max="15884" width="9.140625" style="169"/>
    <col min="15885" max="15885" width="12.140625" style="169" customWidth="1"/>
    <col min="15886" max="15888" width="9.140625" style="169"/>
    <col min="15889" max="15889" width="11.42578125" style="169" customWidth="1"/>
    <col min="15890" max="15892" width="9.140625" style="169"/>
    <col min="15893" max="15893" width="11.5703125" style="169" customWidth="1"/>
    <col min="15894" max="16129" width="9.140625" style="169"/>
    <col min="16130" max="16134" width="11.28515625" style="169" bestFit="1" customWidth="1"/>
    <col min="16135" max="16136" width="9.140625" style="169"/>
    <col min="16137" max="16137" width="11.28515625" style="169" bestFit="1" customWidth="1"/>
    <col min="16138" max="16140" width="9.140625" style="169"/>
    <col min="16141" max="16141" width="12.140625" style="169" customWidth="1"/>
    <col min="16142" max="16144" width="9.140625" style="169"/>
    <col min="16145" max="16145" width="11.42578125" style="169" customWidth="1"/>
    <col min="16146" max="16148" width="9.140625" style="169"/>
    <col min="16149" max="16149" width="11.5703125" style="169" customWidth="1"/>
    <col min="16150" max="16384" width="9.140625" style="169"/>
  </cols>
  <sheetData>
    <row r="1" spans="1:21">
      <c r="A1" s="170" t="s">
        <v>1269</v>
      </c>
    </row>
    <row r="3" spans="1:21">
      <c r="A3" s="170" t="s">
        <v>1125</v>
      </c>
      <c r="B3" s="175">
        <v>41326.473252314812</v>
      </c>
    </row>
    <row r="4" spans="1:21">
      <c r="A4" s="170" t="s">
        <v>1124</v>
      </c>
      <c r="B4" s="175">
        <v>41348.283662337963</v>
      </c>
    </row>
    <row r="5" spans="1:21">
      <c r="A5" s="170" t="s">
        <v>1270</v>
      </c>
      <c r="B5" s="170" t="s">
        <v>1122</v>
      </c>
    </row>
    <row r="7" spans="1:21">
      <c r="A7" s="170" t="s">
        <v>1220</v>
      </c>
      <c r="B7" s="170" t="s">
        <v>1271</v>
      </c>
    </row>
    <row r="8" spans="1:21">
      <c r="A8" s="170" t="s">
        <v>1218</v>
      </c>
      <c r="B8" s="170" t="s">
        <v>1015</v>
      </c>
    </row>
    <row r="9" spans="1:21">
      <c r="A9" s="170" t="s">
        <v>1217</v>
      </c>
      <c r="B9" s="170" t="s">
        <v>1015</v>
      </c>
    </row>
    <row r="10" spans="1:21">
      <c r="A10" s="170" t="s">
        <v>1216</v>
      </c>
      <c r="B10" s="170" t="s">
        <v>1215</v>
      </c>
    </row>
    <row r="11" spans="1:21">
      <c r="A11" s="170" t="s">
        <v>1119</v>
      </c>
      <c r="B11" s="170" t="s">
        <v>869</v>
      </c>
    </row>
    <row r="13" spans="1:21">
      <c r="A13" s="172" t="s">
        <v>1116</v>
      </c>
      <c r="B13" s="172" t="s">
        <v>1214</v>
      </c>
      <c r="C13" s="172" t="s">
        <v>1213</v>
      </c>
      <c r="D13" s="172" t="s">
        <v>1212</v>
      </c>
      <c r="E13" s="172" t="s">
        <v>1211</v>
      </c>
      <c r="F13" s="172" t="s">
        <v>1210</v>
      </c>
      <c r="G13" s="172" t="s">
        <v>1209</v>
      </c>
      <c r="H13" s="172" t="s">
        <v>1208</v>
      </c>
      <c r="I13" s="172" t="s">
        <v>1207</v>
      </c>
      <c r="J13" s="172" t="s">
        <v>1206</v>
      </c>
      <c r="K13" s="172" t="s">
        <v>1205</v>
      </c>
      <c r="L13" s="172" t="s">
        <v>1204</v>
      </c>
      <c r="M13" s="172" t="s">
        <v>1203</v>
      </c>
      <c r="N13" s="172" t="s">
        <v>1202</v>
      </c>
      <c r="O13" s="172" t="s">
        <v>1201</v>
      </c>
      <c r="P13" s="172" t="s">
        <v>1200</v>
      </c>
      <c r="Q13" s="172" t="s">
        <v>1199</v>
      </c>
      <c r="R13" s="172" t="s">
        <v>1272</v>
      </c>
      <c r="S13" s="172" t="s">
        <v>1273</v>
      </c>
      <c r="T13" s="172" t="s">
        <v>1274</v>
      </c>
      <c r="U13" s="172" t="s">
        <v>1275</v>
      </c>
    </row>
    <row r="14" spans="1:21">
      <c r="A14" s="172" t="s">
        <v>391</v>
      </c>
      <c r="B14" s="171">
        <v>7120000</v>
      </c>
      <c r="C14" s="171">
        <v>9502000</v>
      </c>
      <c r="D14" s="171">
        <v>15017000</v>
      </c>
      <c r="E14" s="171">
        <v>7765000</v>
      </c>
      <c r="F14" s="171">
        <v>8178000</v>
      </c>
      <c r="G14" s="171">
        <v>9758000</v>
      </c>
      <c r="H14" s="171">
        <v>16035000</v>
      </c>
      <c r="I14" s="171">
        <v>7336000</v>
      </c>
      <c r="J14" s="171">
        <v>6540000</v>
      </c>
      <c r="K14" s="171">
        <v>8837000</v>
      </c>
      <c r="L14" s="171">
        <v>14440000</v>
      </c>
      <c r="M14" s="171">
        <v>6442000</v>
      </c>
      <c r="N14" s="171">
        <v>6378000</v>
      </c>
      <c r="O14" s="171">
        <v>8685000</v>
      </c>
      <c r="P14" s="171">
        <v>16779000</v>
      </c>
      <c r="Q14" s="171">
        <v>7812000</v>
      </c>
      <c r="R14" s="171">
        <v>6862000</v>
      </c>
      <c r="S14" s="171">
        <v>8230000</v>
      </c>
      <c r="T14" s="171">
        <v>13103000</v>
      </c>
      <c r="U14" s="171">
        <v>6915000</v>
      </c>
    </row>
    <row r="16" spans="1:21">
      <c r="A16" s="170" t="s">
        <v>1276</v>
      </c>
    </row>
    <row r="17" spans="1:21">
      <c r="A17" s="170" t="s">
        <v>1084</v>
      </c>
      <c r="B17" s="170" t="s">
        <v>1083</v>
      </c>
    </row>
    <row r="19" spans="1:21">
      <c r="A19" s="170" t="s">
        <v>1220</v>
      </c>
      <c r="B19" s="170" t="s">
        <v>1271</v>
      </c>
    </row>
    <row r="20" spans="1:21">
      <c r="A20" s="170" t="s">
        <v>1218</v>
      </c>
      <c r="B20" s="170" t="s">
        <v>1277</v>
      </c>
    </row>
    <row r="21" spans="1:21">
      <c r="A21" s="170" t="s">
        <v>1217</v>
      </c>
      <c r="B21" s="170" t="s">
        <v>1015</v>
      </c>
    </row>
    <row r="22" spans="1:21">
      <c r="A22" s="170" t="s">
        <v>1216</v>
      </c>
      <c r="B22" s="170" t="s">
        <v>1215</v>
      </c>
    </row>
    <row r="23" spans="1:21">
      <c r="A23" s="170" t="s">
        <v>1119</v>
      </c>
      <c r="B23" s="170" t="s">
        <v>869</v>
      </c>
    </row>
    <row r="25" spans="1:21">
      <c r="A25" s="172" t="s">
        <v>1116</v>
      </c>
      <c r="B25" s="172" t="s">
        <v>1214</v>
      </c>
      <c r="C25" s="172" t="s">
        <v>1213</v>
      </c>
      <c r="D25" s="172" t="s">
        <v>1212</v>
      </c>
      <c r="E25" s="172" t="s">
        <v>1211</v>
      </c>
      <c r="F25" s="172" t="s">
        <v>1210</v>
      </c>
      <c r="G25" s="172" t="s">
        <v>1209</v>
      </c>
      <c r="H25" s="172" t="s">
        <v>1208</v>
      </c>
      <c r="I25" s="172" t="s">
        <v>1207</v>
      </c>
      <c r="J25" s="172" t="s">
        <v>1206</v>
      </c>
      <c r="K25" s="172" t="s">
        <v>1205</v>
      </c>
      <c r="L25" s="172" t="s">
        <v>1204</v>
      </c>
      <c r="M25" s="172" t="s">
        <v>1203</v>
      </c>
      <c r="N25" s="172" t="s">
        <v>1202</v>
      </c>
      <c r="O25" s="172" t="s">
        <v>1201</v>
      </c>
      <c r="P25" s="172" t="s">
        <v>1200</v>
      </c>
      <c r="Q25" s="172" t="s">
        <v>1199</v>
      </c>
      <c r="R25" s="172" t="s">
        <v>1272</v>
      </c>
      <c r="S25" s="172" t="s">
        <v>1273</v>
      </c>
      <c r="T25" s="172" t="s">
        <v>1274</v>
      </c>
      <c r="U25" s="172" t="s">
        <v>1275</v>
      </c>
    </row>
    <row r="26" spans="1:21">
      <c r="A26" s="172" t="s">
        <v>391</v>
      </c>
      <c r="B26" s="171">
        <v>5891000</v>
      </c>
      <c r="C26" s="171">
        <v>8101000</v>
      </c>
      <c r="D26" s="171">
        <v>12666000</v>
      </c>
      <c r="E26" s="171">
        <v>6691000</v>
      </c>
      <c r="F26" s="171">
        <v>6716000</v>
      </c>
      <c r="G26" s="171">
        <v>8173000</v>
      </c>
      <c r="H26" s="171">
        <v>13675000</v>
      </c>
      <c r="I26" s="171">
        <v>6037000</v>
      </c>
      <c r="J26" s="171">
        <v>5459000</v>
      </c>
      <c r="K26" s="171">
        <v>7390000</v>
      </c>
      <c r="L26" s="171">
        <v>12135000</v>
      </c>
      <c r="M26" s="171">
        <v>5525000</v>
      </c>
      <c r="N26" s="171">
        <v>5442000</v>
      </c>
      <c r="O26" s="171">
        <v>7059000</v>
      </c>
      <c r="P26" s="171">
        <v>13920000</v>
      </c>
      <c r="Q26" s="171">
        <v>6834000</v>
      </c>
      <c r="R26" s="171">
        <v>5859000</v>
      </c>
      <c r="S26" s="171">
        <v>6975000</v>
      </c>
      <c r="T26" s="171">
        <v>11182000</v>
      </c>
      <c r="U26" s="171">
        <v>6052300</v>
      </c>
    </row>
    <row r="28" spans="1:21">
      <c r="A28" s="170" t="s">
        <v>1276</v>
      </c>
      <c r="E28" s="174">
        <f>SUM(B26:E26)</f>
        <v>33349000</v>
      </c>
      <c r="I28" s="174">
        <f>SUM(F26:I26)</f>
        <v>34601000</v>
      </c>
      <c r="M28" s="174">
        <f>SUM(J26:M26)</f>
        <v>30509000</v>
      </c>
      <c r="Q28" s="174">
        <f>SUM(N26:Q26)</f>
        <v>33255000</v>
      </c>
      <c r="U28" s="174">
        <f>SUM(R26:U26)</f>
        <v>30068300</v>
      </c>
    </row>
    <row r="29" spans="1:21">
      <c r="A29" s="170" t="s">
        <v>1084</v>
      </c>
      <c r="B29" s="170" t="s">
        <v>1083</v>
      </c>
    </row>
    <row r="30" spans="1:21">
      <c r="E30" s="226" t="e">
        <f>E28/A28-1</f>
        <v>#VALUE!</v>
      </c>
      <c r="I30" s="226">
        <f>I28/E28-1</f>
        <v>3.7542355093106217E-2</v>
      </c>
      <c r="M30" s="226">
        <f>M28/I28-1</f>
        <v>-0.11826247796306466</v>
      </c>
      <c r="Q30" s="226">
        <f>Q28/M28-1</f>
        <v>9.0006227670523353E-2</v>
      </c>
      <c r="U30" s="226">
        <f>U28/Q28-1</f>
        <v>-9.5826191550142825E-2</v>
      </c>
    </row>
    <row r="31" spans="1:21">
      <c r="A31" s="170" t="s">
        <v>1220</v>
      </c>
      <c r="B31" s="170" t="s">
        <v>1271</v>
      </c>
    </row>
    <row r="32" spans="1:21">
      <c r="A32" s="170" t="s">
        <v>1218</v>
      </c>
      <c r="B32" s="170" t="s">
        <v>1278</v>
      </c>
    </row>
    <row r="33" spans="1:21">
      <c r="A33" s="170" t="s">
        <v>1217</v>
      </c>
      <c r="B33" s="170" t="s">
        <v>1015</v>
      </c>
    </row>
    <row r="34" spans="1:21">
      <c r="A34" s="170" t="s">
        <v>1216</v>
      </c>
      <c r="B34" s="170" t="s">
        <v>1215</v>
      </c>
    </row>
    <row r="35" spans="1:21">
      <c r="A35" s="170" t="s">
        <v>1119</v>
      </c>
      <c r="B35" s="170" t="s">
        <v>869</v>
      </c>
    </row>
    <row r="37" spans="1:21">
      <c r="A37" s="172" t="s">
        <v>1116</v>
      </c>
      <c r="B37" s="172" t="s">
        <v>1214</v>
      </c>
      <c r="C37" s="172" t="s">
        <v>1213</v>
      </c>
      <c r="D37" s="172" t="s">
        <v>1212</v>
      </c>
      <c r="E37" s="172" t="s">
        <v>1211</v>
      </c>
      <c r="F37" s="172" t="s">
        <v>1210</v>
      </c>
      <c r="G37" s="172" t="s">
        <v>1209</v>
      </c>
      <c r="H37" s="172" t="s">
        <v>1208</v>
      </c>
      <c r="I37" s="172" t="s">
        <v>1207</v>
      </c>
      <c r="J37" s="172" t="s">
        <v>1206</v>
      </c>
      <c r="K37" s="172" t="s">
        <v>1205</v>
      </c>
      <c r="L37" s="172" t="s">
        <v>1204</v>
      </c>
      <c r="M37" s="172" t="s">
        <v>1203</v>
      </c>
      <c r="N37" s="172" t="s">
        <v>1202</v>
      </c>
      <c r="O37" s="172" t="s">
        <v>1201</v>
      </c>
      <c r="P37" s="172" t="s">
        <v>1200</v>
      </c>
      <c r="Q37" s="172" t="s">
        <v>1199</v>
      </c>
      <c r="R37" s="172" t="s">
        <v>1272</v>
      </c>
      <c r="S37" s="172" t="s">
        <v>1273</v>
      </c>
      <c r="T37" s="172" t="s">
        <v>1274</v>
      </c>
      <c r="U37" s="172" t="s">
        <v>1275</v>
      </c>
    </row>
    <row r="38" spans="1:21">
      <c r="A38" s="172" t="s">
        <v>391</v>
      </c>
      <c r="B38" s="171">
        <v>1229000</v>
      </c>
      <c r="C38" s="171">
        <v>1401000</v>
      </c>
      <c r="D38" s="171">
        <v>2351000</v>
      </c>
      <c r="E38" s="171">
        <v>1074000</v>
      </c>
      <c r="F38" s="171">
        <v>1462000</v>
      </c>
      <c r="G38" s="171">
        <v>1585000</v>
      </c>
      <c r="H38" s="171">
        <v>2360000</v>
      </c>
      <c r="I38" s="171">
        <v>1299000</v>
      </c>
      <c r="J38" s="171">
        <v>1081000</v>
      </c>
      <c r="K38" s="171">
        <v>1447000</v>
      </c>
      <c r="L38" s="171">
        <v>2305000</v>
      </c>
      <c r="M38" s="171">
        <v>917000</v>
      </c>
      <c r="N38" s="171">
        <v>936000</v>
      </c>
      <c r="O38" s="171">
        <v>1626000</v>
      </c>
      <c r="P38" s="171">
        <v>2859000</v>
      </c>
      <c r="Q38" s="171">
        <v>978000</v>
      </c>
      <c r="R38" s="171">
        <v>1003000</v>
      </c>
      <c r="S38" s="171">
        <v>1255000</v>
      </c>
      <c r="T38" s="171">
        <v>1921000</v>
      </c>
      <c r="U38" s="171">
        <v>862700</v>
      </c>
    </row>
    <row r="40" spans="1:21">
      <c r="A40" s="170" t="s">
        <v>1276</v>
      </c>
      <c r="E40" s="174">
        <f>SUM(B38:E38)</f>
        <v>6055000</v>
      </c>
      <c r="I40" s="174">
        <f>SUM(F38:I38)</f>
        <v>6706000</v>
      </c>
      <c r="M40" s="174">
        <f>SUM(J38:M38)</f>
        <v>5750000</v>
      </c>
      <c r="Q40" s="174">
        <f>SUM(N38:Q38)</f>
        <v>6399000</v>
      </c>
      <c r="U40" s="174">
        <f>SUM(R38:U38)</f>
        <v>5041700</v>
      </c>
    </row>
    <row r="41" spans="1:21">
      <c r="A41" s="170" t="s">
        <v>1084</v>
      </c>
      <c r="B41" s="170" t="s">
        <v>1083</v>
      </c>
    </row>
    <row r="43" spans="1:21" ht="15">
      <c r="A43" s="272" t="s">
        <v>1257</v>
      </c>
      <c r="B43" s="273">
        <v>2007</v>
      </c>
      <c r="C43" s="273">
        <v>2008</v>
      </c>
      <c r="D43" s="273">
        <v>2009</v>
      </c>
      <c r="E43" s="273">
        <v>2010</v>
      </c>
      <c r="F43" s="273">
        <v>2011</v>
      </c>
    </row>
    <row r="44" spans="1:21">
      <c r="A44" s="169" t="s">
        <v>1253</v>
      </c>
      <c r="B44" s="174">
        <f>B14</f>
        <v>7120000</v>
      </c>
      <c r="C44" s="174">
        <f>F14</f>
        <v>8178000</v>
      </c>
      <c r="D44" s="174">
        <f>J14</f>
        <v>6540000</v>
      </c>
      <c r="E44" s="174">
        <f>N14</f>
        <v>6378000</v>
      </c>
      <c r="F44" s="174">
        <f>R14</f>
        <v>6862000</v>
      </c>
    </row>
    <row r="45" spans="1:21">
      <c r="A45" s="169" t="s">
        <v>1254</v>
      </c>
      <c r="B45" s="174">
        <f>C14</f>
        <v>9502000</v>
      </c>
      <c r="C45" s="174">
        <f>G14</f>
        <v>9758000</v>
      </c>
      <c r="D45" s="174">
        <f>K14</f>
        <v>8837000</v>
      </c>
      <c r="E45" s="174">
        <f>O14</f>
        <v>8685000</v>
      </c>
      <c r="F45" s="174">
        <f>S14</f>
        <v>8230000</v>
      </c>
    </row>
    <row r="46" spans="1:21">
      <c r="A46" s="169" t="s">
        <v>1255</v>
      </c>
      <c r="B46" s="174">
        <f>D14</f>
        <v>15017000</v>
      </c>
      <c r="C46" s="174">
        <f>H14</f>
        <v>16035000</v>
      </c>
      <c r="D46" s="174">
        <f>L14</f>
        <v>14440000</v>
      </c>
      <c r="E46" s="174">
        <f>P14</f>
        <v>16779000</v>
      </c>
      <c r="F46" s="174">
        <f>T14</f>
        <v>13103000</v>
      </c>
    </row>
    <row r="47" spans="1:21">
      <c r="A47" s="169" t="s">
        <v>1256</v>
      </c>
      <c r="B47" s="174">
        <f>E14</f>
        <v>7765000</v>
      </c>
      <c r="C47" s="174">
        <f>I14</f>
        <v>7336000</v>
      </c>
      <c r="D47" s="174">
        <f>M14</f>
        <v>6442000</v>
      </c>
      <c r="E47" s="174">
        <f>Q14</f>
        <v>7812000</v>
      </c>
      <c r="F47" s="174">
        <f>U14</f>
        <v>6915000</v>
      </c>
    </row>
    <row r="48" spans="1:21">
      <c r="A48" s="169" t="s">
        <v>1015</v>
      </c>
      <c r="B48" s="174">
        <f>SUM(B44:B47)</f>
        <v>39404000</v>
      </c>
      <c r="C48" s="174">
        <f t="shared" ref="C48:F48" si="0">SUM(C44:C47)</f>
        <v>41307000</v>
      </c>
      <c r="D48" s="174">
        <f t="shared" si="0"/>
        <v>36259000</v>
      </c>
      <c r="E48" s="174">
        <f t="shared" si="0"/>
        <v>39654000</v>
      </c>
      <c r="F48" s="174">
        <f t="shared" si="0"/>
        <v>35110000</v>
      </c>
    </row>
    <row r="50" spans="1:33">
      <c r="A50" s="274" t="s">
        <v>1279</v>
      </c>
    </row>
    <row r="52" spans="1:33" ht="15">
      <c r="A52" s="272" t="s">
        <v>1257</v>
      </c>
    </row>
    <row r="53" spans="1:33" ht="15">
      <c r="A53" s="169" t="s">
        <v>1253</v>
      </c>
      <c r="B53" s="173">
        <f>B44/B$48</f>
        <v>0.18069231550096437</v>
      </c>
      <c r="C53" s="173">
        <f t="shared" ref="C53:F53" si="1">C44/C$48</f>
        <v>0.19798097174812987</v>
      </c>
      <c r="D53" s="173">
        <f t="shared" si="1"/>
        <v>0.18036901183154527</v>
      </c>
      <c r="E53" s="173">
        <f t="shared" si="1"/>
        <v>0.16084127704645182</v>
      </c>
      <c r="F53" s="173">
        <f t="shared" si="1"/>
        <v>0.19544289376246085</v>
      </c>
    </row>
    <row r="54" spans="1:33" ht="15">
      <c r="A54" s="169" t="s">
        <v>1254</v>
      </c>
      <c r="B54" s="173">
        <f t="shared" ref="B54:F56" si="2">B45/B$48</f>
        <v>0.24114303116434879</v>
      </c>
      <c r="C54" s="173">
        <f t="shared" si="2"/>
        <v>0.23623114726317573</v>
      </c>
      <c r="D54" s="173">
        <f t="shared" si="2"/>
        <v>0.24371880084944428</v>
      </c>
      <c r="E54" s="173">
        <f t="shared" si="2"/>
        <v>0.21901951883794826</v>
      </c>
      <c r="F54" s="173">
        <f t="shared" si="2"/>
        <v>0.23440615209342067</v>
      </c>
    </row>
    <row r="55" spans="1:33" ht="15">
      <c r="A55" s="169" t="s">
        <v>1255</v>
      </c>
      <c r="B55" s="173">
        <f t="shared" si="2"/>
        <v>0.38110344127499746</v>
      </c>
      <c r="C55" s="173">
        <f t="shared" si="2"/>
        <v>0.38819086353402571</v>
      </c>
      <c r="D55" s="173">
        <f t="shared" si="2"/>
        <v>0.39824595272897761</v>
      </c>
      <c r="E55" s="173">
        <f t="shared" si="2"/>
        <v>0.42313511877742471</v>
      </c>
      <c r="F55" s="173">
        <f t="shared" si="2"/>
        <v>0.37319851894047279</v>
      </c>
    </row>
    <row r="56" spans="1:33" ht="15">
      <c r="A56" s="169" t="s">
        <v>1256</v>
      </c>
      <c r="B56" s="173">
        <f t="shared" si="2"/>
        <v>0.19706121205968938</v>
      </c>
      <c r="C56" s="173">
        <f t="shared" si="2"/>
        <v>0.17759701745466869</v>
      </c>
      <c r="D56" s="173">
        <f t="shared" si="2"/>
        <v>0.17766623459003281</v>
      </c>
      <c r="E56" s="173">
        <f t="shared" si="2"/>
        <v>0.19700408533817521</v>
      </c>
      <c r="F56" s="173">
        <f t="shared" si="2"/>
        <v>0.19695243520364569</v>
      </c>
    </row>
    <row r="57" spans="1:33">
      <c r="A57" s="169" t="s">
        <v>1015</v>
      </c>
      <c r="B57" s="275">
        <f>SUM(B53:B56)</f>
        <v>1</v>
      </c>
      <c r="C57" s="275">
        <f t="shared" ref="C57:F57" si="3">SUM(C53:C56)</f>
        <v>1</v>
      </c>
      <c r="D57" s="275">
        <f t="shared" si="3"/>
        <v>1</v>
      </c>
      <c r="E57" s="275">
        <f t="shared" si="3"/>
        <v>1</v>
      </c>
      <c r="F57" s="275">
        <f t="shared" si="3"/>
        <v>1</v>
      </c>
    </row>
    <row r="60" spans="1:33" ht="15">
      <c r="A60" s="276" t="s">
        <v>1280</v>
      </c>
      <c r="B60"/>
      <c r="C60"/>
      <c r="D60"/>
      <c r="E60"/>
      <c r="F60"/>
      <c r="G60"/>
      <c r="H60"/>
      <c r="I60"/>
      <c r="J60"/>
      <c r="K60"/>
      <c r="L60"/>
      <c r="M60"/>
      <c r="N60"/>
      <c r="O60"/>
      <c r="P60"/>
      <c r="Q60"/>
      <c r="R60"/>
      <c r="S60"/>
      <c r="T60"/>
      <c r="U60"/>
      <c r="V60"/>
      <c r="X60"/>
      <c r="Y60"/>
      <c r="Z60"/>
      <c r="AA60"/>
      <c r="AB60"/>
      <c r="AC60"/>
      <c r="AD60"/>
      <c r="AE60"/>
      <c r="AF60"/>
      <c r="AG60"/>
    </row>
    <row r="61" spans="1:33" ht="15">
      <c r="A61"/>
      <c r="B61"/>
      <c r="C61"/>
      <c r="D61"/>
      <c r="E61"/>
      <c r="F61"/>
      <c r="G61"/>
      <c r="H61"/>
      <c r="I61"/>
      <c r="J61"/>
      <c r="K61"/>
      <c r="L61"/>
      <c r="M61"/>
      <c r="N61"/>
      <c r="O61"/>
      <c r="P61"/>
      <c r="Q61"/>
      <c r="R61"/>
      <c r="S61"/>
      <c r="T61"/>
      <c r="U61"/>
      <c r="V61"/>
      <c r="X61"/>
      <c r="Y61"/>
      <c r="Z61"/>
      <c r="AA61"/>
      <c r="AB61"/>
      <c r="AC61"/>
      <c r="AD61"/>
      <c r="AE61"/>
      <c r="AF61"/>
      <c r="AG61"/>
    </row>
    <row r="62" spans="1:33" ht="15">
      <c r="A62" s="276" t="s">
        <v>1125</v>
      </c>
      <c r="B62" s="277">
        <v>41326.473541666666</v>
      </c>
      <c r="C62"/>
      <c r="D62"/>
      <c r="E62"/>
      <c r="F62"/>
      <c r="G62"/>
      <c r="H62"/>
      <c r="I62"/>
      <c r="J62"/>
      <c r="K62"/>
      <c r="L62"/>
      <c r="M62"/>
      <c r="N62"/>
      <c r="O62"/>
      <c r="P62"/>
      <c r="Q62"/>
      <c r="R62"/>
      <c r="S62"/>
      <c r="T62"/>
      <c r="U62"/>
      <c r="V62"/>
      <c r="X62"/>
      <c r="Y62"/>
      <c r="Z62"/>
      <c r="AA62"/>
      <c r="AB62"/>
      <c r="AC62"/>
      <c r="AD62"/>
      <c r="AE62"/>
      <c r="AF62"/>
      <c r="AG62"/>
    </row>
    <row r="63" spans="1:33" ht="15">
      <c r="A63" s="276" t="s">
        <v>1124</v>
      </c>
      <c r="B63" s="277">
        <v>41348.388758657406</v>
      </c>
      <c r="C63"/>
      <c r="D63"/>
      <c r="E63"/>
      <c r="F63"/>
      <c r="G63"/>
      <c r="H63"/>
      <c r="I63"/>
      <c r="J63"/>
      <c r="K63"/>
      <c r="L63"/>
      <c r="M63"/>
      <c r="N63"/>
      <c r="O63"/>
      <c r="P63"/>
      <c r="Q63"/>
      <c r="R63"/>
      <c r="S63"/>
      <c r="T63"/>
      <c r="U63"/>
      <c r="V63"/>
      <c r="X63"/>
      <c r="Y63"/>
      <c r="Z63"/>
      <c r="AA63"/>
      <c r="AB63"/>
      <c r="AC63"/>
      <c r="AD63"/>
      <c r="AE63"/>
      <c r="AF63"/>
      <c r="AG63"/>
    </row>
    <row r="64" spans="1:33" ht="15">
      <c r="A64" s="276" t="s">
        <v>1270</v>
      </c>
      <c r="B64" s="276" t="s">
        <v>1122</v>
      </c>
      <c r="C64"/>
      <c r="D64"/>
      <c r="E64"/>
      <c r="F64"/>
      <c r="G64"/>
      <c r="H64"/>
      <c r="I64"/>
      <c r="J64"/>
      <c r="K64"/>
      <c r="L64"/>
      <c r="M64"/>
      <c r="N64"/>
      <c r="O64"/>
      <c r="P64"/>
      <c r="Q64"/>
      <c r="R64"/>
      <c r="S64"/>
      <c r="T64"/>
      <c r="U64"/>
      <c r="V64"/>
      <c r="X64"/>
      <c r="Y64"/>
      <c r="Z64"/>
      <c r="AA64"/>
      <c r="AB64"/>
      <c r="AC64"/>
      <c r="AD64"/>
      <c r="AE64"/>
      <c r="AF64"/>
      <c r="AG64"/>
    </row>
    <row r="65" spans="1:33" ht="15">
      <c r="A65"/>
      <c r="B65"/>
      <c r="C65"/>
      <c r="D65"/>
      <c r="E65"/>
      <c r="F65"/>
      <c r="G65"/>
      <c r="H65"/>
      <c r="I65"/>
      <c r="J65"/>
      <c r="K65"/>
      <c r="L65"/>
      <c r="M65"/>
      <c r="N65"/>
      <c r="O65"/>
      <c r="P65"/>
      <c r="Q65"/>
      <c r="R65"/>
      <c r="S65"/>
      <c r="T65"/>
      <c r="U65"/>
      <c r="V65"/>
      <c r="X65"/>
      <c r="Y65"/>
      <c r="Z65"/>
      <c r="AA65"/>
      <c r="AB65"/>
      <c r="AC65"/>
      <c r="AD65"/>
      <c r="AE65"/>
      <c r="AF65"/>
      <c r="AG65"/>
    </row>
    <row r="66" spans="1:33" ht="15">
      <c r="A66" s="276" t="s">
        <v>1220</v>
      </c>
      <c r="B66" s="276" t="s">
        <v>1271</v>
      </c>
      <c r="C66"/>
      <c r="D66"/>
      <c r="E66"/>
      <c r="F66"/>
      <c r="G66"/>
      <c r="H66"/>
      <c r="I66"/>
      <c r="J66"/>
      <c r="K66"/>
      <c r="L66"/>
      <c r="M66"/>
      <c r="N66"/>
      <c r="O66"/>
      <c r="P66"/>
      <c r="Q66"/>
      <c r="R66"/>
      <c r="S66"/>
      <c r="T66"/>
      <c r="U66"/>
      <c r="V66"/>
      <c r="X66"/>
      <c r="Y66"/>
      <c r="Z66"/>
      <c r="AA66"/>
      <c r="AB66"/>
      <c r="AC66"/>
      <c r="AD66"/>
      <c r="AE66"/>
      <c r="AF66"/>
      <c r="AG66"/>
    </row>
    <row r="67" spans="1:33" ht="15">
      <c r="A67" s="276" t="s">
        <v>1218</v>
      </c>
      <c r="B67" s="276" t="s">
        <v>1015</v>
      </c>
      <c r="C67"/>
      <c r="D67"/>
      <c r="E67"/>
      <c r="F67"/>
      <c r="G67"/>
      <c r="H67"/>
      <c r="I67"/>
      <c r="J67"/>
      <c r="K67"/>
      <c r="L67"/>
      <c r="M67"/>
      <c r="N67"/>
      <c r="O67"/>
      <c r="P67"/>
      <c r="Q67"/>
      <c r="R67"/>
      <c r="S67"/>
      <c r="T67"/>
      <c r="U67"/>
      <c r="V67"/>
      <c r="X67"/>
      <c r="Y67"/>
      <c r="Z67"/>
      <c r="AA67"/>
      <c r="AB67"/>
      <c r="AC67"/>
      <c r="AD67"/>
      <c r="AE67"/>
      <c r="AF67"/>
      <c r="AG67"/>
    </row>
    <row r="68" spans="1:33" ht="15">
      <c r="A68" s="276" t="s">
        <v>1217</v>
      </c>
      <c r="B68" s="276" t="s">
        <v>1015</v>
      </c>
      <c r="C68"/>
      <c r="D68"/>
      <c r="E68"/>
      <c r="F68"/>
      <c r="G68"/>
      <c r="H68"/>
      <c r="I68"/>
      <c r="J68"/>
      <c r="K68"/>
      <c r="L68"/>
      <c r="M68"/>
      <c r="N68"/>
      <c r="O68"/>
      <c r="P68"/>
      <c r="Q68"/>
      <c r="R68"/>
      <c r="S68"/>
      <c r="T68"/>
      <c r="U68"/>
      <c r="V68"/>
      <c r="X68"/>
      <c r="Y68"/>
      <c r="Z68"/>
      <c r="AA68"/>
      <c r="AB68"/>
      <c r="AC68"/>
      <c r="AD68"/>
      <c r="AE68"/>
      <c r="AF68"/>
      <c r="AG68"/>
    </row>
    <row r="69" spans="1:33" ht="15">
      <c r="A69" s="276" t="s">
        <v>1216</v>
      </c>
      <c r="B69" s="276" t="s">
        <v>1215</v>
      </c>
      <c r="C69"/>
      <c r="D69"/>
      <c r="E69"/>
      <c r="F69"/>
      <c r="G69"/>
      <c r="H69"/>
      <c r="I69"/>
      <c r="J69"/>
      <c r="K69"/>
      <c r="L69"/>
      <c r="M69"/>
      <c r="N69"/>
      <c r="O69"/>
      <c r="P69"/>
      <c r="Q69"/>
      <c r="R69"/>
      <c r="S69"/>
      <c r="T69"/>
      <c r="U69"/>
      <c r="V69"/>
      <c r="X69"/>
      <c r="Y69"/>
      <c r="Z69"/>
      <c r="AA69"/>
      <c r="AB69"/>
      <c r="AC69"/>
      <c r="AD69"/>
      <c r="AE69"/>
      <c r="AF69"/>
      <c r="AG69"/>
    </row>
    <row r="70" spans="1:33" ht="15">
      <c r="A70" s="276" t="s">
        <v>1119</v>
      </c>
      <c r="B70" s="276" t="s">
        <v>869</v>
      </c>
      <c r="C70"/>
      <c r="D70"/>
      <c r="E70"/>
      <c r="F70"/>
      <c r="G70"/>
      <c r="H70"/>
      <c r="I70"/>
      <c r="J70"/>
      <c r="K70"/>
      <c r="L70"/>
      <c r="M70"/>
      <c r="N70"/>
      <c r="O70"/>
      <c r="P70"/>
      <c r="Q70"/>
      <c r="R70"/>
      <c r="S70"/>
      <c r="T70"/>
      <c r="U70"/>
      <c r="V70"/>
      <c r="X70"/>
      <c r="Y70"/>
      <c r="Z70"/>
      <c r="AA70"/>
      <c r="AB70"/>
      <c r="AC70"/>
      <c r="AD70"/>
      <c r="AE70"/>
      <c r="AF70"/>
      <c r="AG70"/>
    </row>
    <row r="71" spans="1:33" ht="15">
      <c r="A71"/>
      <c r="B71"/>
      <c r="C71"/>
      <c r="D71"/>
      <c r="E71"/>
      <c r="F71"/>
      <c r="G71"/>
      <c r="H71"/>
      <c r="I71"/>
      <c r="J71"/>
      <c r="K71"/>
      <c r="L71"/>
      <c r="M71"/>
      <c r="N71"/>
      <c r="O71"/>
      <c r="P71"/>
      <c r="Q71"/>
      <c r="R71"/>
      <c r="S71"/>
      <c r="T71"/>
      <c r="U71"/>
      <c r="V71"/>
      <c r="X71"/>
      <c r="Y71"/>
      <c r="Z71"/>
      <c r="AA71"/>
      <c r="AB71"/>
      <c r="AC71"/>
      <c r="AD71"/>
      <c r="AE71"/>
      <c r="AF71"/>
      <c r="AG71"/>
    </row>
    <row r="72" spans="1:33" ht="15">
      <c r="A72" s="278" t="s">
        <v>1116</v>
      </c>
      <c r="B72" s="278" t="s">
        <v>1214</v>
      </c>
      <c r="C72" s="278" t="s">
        <v>1213</v>
      </c>
      <c r="D72" s="278" t="s">
        <v>1212</v>
      </c>
      <c r="E72" s="278" t="s">
        <v>1211</v>
      </c>
      <c r="F72" s="278" t="s">
        <v>1210</v>
      </c>
      <c r="G72" s="278" t="s">
        <v>1209</v>
      </c>
      <c r="H72" s="278" t="s">
        <v>1208</v>
      </c>
      <c r="I72" s="278" t="s">
        <v>1207</v>
      </c>
      <c r="J72" s="278" t="s">
        <v>1206</v>
      </c>
      <c r="K72" s="278" t="s">
        <v>1205</v>
      </c>
      <c r="L72" s="278" t="s">
        <v>1204</v>
      </c>
      <c r="M72" s="278" t="s">
        <v>1203</v>
      </c>
      <c r="N72" s="278" t="s">
        <v>1202</v>
      </c>
      <c r="O72" s="278" t="s">
        <v>1201</v>
      </c>
      <c r="P72" s="278" t="s">
        <v>1200</v>
      </c>
      <c r="Q72" s="278" t="s">
        <v>1199</v>
      </c>
      <c r="R72" s="278" t="s">
        <v>1272</v>
      </c>
      <c r="S72" s="278" t="s">
        <v>1273</v>
      </c>
      <c r="T72" s="278" t="s">
        <v>1274</v>
      </c>
      <c r="U72" s="278" t="s">
        <v>1275</v>
      </c>
      <c r="V72"/>
      <c r="X72"/>
      <c r="Y72"/>
      <c r="Z72"/>
      <c r="AA72"/>
      <c r="AB72"/>
      <c r="AC72"/>
      <c r="AD72"/>
      <c r="AE72"/>
      <c r="AF72"/>
      <c r="AG72"/>
    </row>
    <row r="73" spans="1:33" ht="15">
      <c r="A73" s="278" t="s">
        <v>391</v>
      </c>
      <c r="B73" s="279">
        <v>40822000</v>
      </c>
      <c r="C73" s="279">
        <v>55204000</v>
      </c>
      <c r="D73" s="279">
        <v>106792000</v>
      </c>
      <c r="E73" s="279">
        <v>33253000</v>
      </c>
      <c r="F73" s="279">
        <v>47276000</v>
      </c>
      <c r="G73" s="279">
        <v>55909000</v>
      </c>
      <c r="H73" s="279">
        <v>107638000</v>
      </c>
      <c r="I73" s="279">
        <v>35776000</v>
      </c>
      <c r="J73" s="279">
        <v>30146000</v>
      </c>
      <c r="K73" s="279">
        <v>45917000</v>
      </c>
      <c r="L73" s="279">
        <v>99012000</v>
      </c>
      <c r="M73" s="279">
        <v>31396000</v>
      </c>
      <c r="N73" s="279">
        <v>29111000</v>
      </c>
      <c r="O73" s="279">
        <v>49066000</v>
      </c>
      <c r="P73" s="279">
        <v>112558000</v>
      </c>
      <c r="Q73" s="279">
        <v>31594000</v>
      </c>
      <c r="R73" s="279">
        <v>32394000</v>
      </c>
      <c r="S73" s="279">
        <v>41907000</v>
      </c>
      <c r="T73" s="279">
        <v>84993000</v>
      </c>
      <c r="U73" s="279">
        <v>28620000</v>
      </c>
      <c r="V73"/>
      <c r="X73"/>
      <c r="Y73"/>
      <c r="Z73"/>
      <c r="AA73"/>
      <c r="AB73"/>
      <c r="AC73"/>
      <c r="AD73"/>
      <c r="AE73"/>
      <c r="AF73"/>
      <c r="AG73"/>
    </row>
    <row r="74" spans="1:33" ht="15">
      <c r="A74"/>
      <c r="B74"/>
      <c r="C74"/>
      <c r="D74"/>
      <c r="E74"/>
      <c r="F74"/>
      <c r="G74"/>
      <c r="H74"/>
      <c r="I74"/>
      <c r="J74"/>
      <c r="K74"/>
      <c r="L74"/>
      <c r="M74"/>
      <c r="N74"/>
      <c r="O74"/>
      <c r="P74"/>
      <c r="Q74"/>
      <c r="R74"/>
      <c r="S74"/>
      <c r="T74"/>
      <c r="U74"/>
      <c r="V74"/>
      <c r="X74"/>
      <c r="Y74"/>
      <c r="Z74"/>
      <c r="AA74"/>
      <c r="AB74"/>
      <c r="AC74"/>
      <c r="AD74"/>
      <c r="AE74"/>
      <c r="AF74"/>
      <c r="AG74"/>
    </row>
    <row r="75" spans="1:33" ht="15">
      <c r="A75" s="276" t="s">
        <v>1276</v>
      </c>
      <c r="B75"/>
      <c r="C75"/>
      <c r="D75"/>
      <c r="E75"/>
      <c r="F75"/>
      <c r="G75"/>
      <c r="H75"/>
      <c r="I75"/>
      <c r="J75"/>
      <c r="K75"/>
      <c r="L75"/>
      <c r="M75"/>
      <c r="N75"/>
      <c r="O75"/>
      <c r="P75"/>
      <c r="Q75"/>
      <c r="R75"/>
      <c r="S75"/>
      <c r="T75"/>
      <c r="U75"/>
      <c r="V75"/>
      <c r="X75"/>
      <c r="Y75"/>
      <c r="Z75"/>
      <c r="AA75"/>
      <c r="AB75"/>
      <c r="AC75"/>
      <c r="AD75"/>
      <c r="AE75"/>
      <c r="AF75"/>
      <c r="AG75"/>
    </row>
    <row r="76" spans="1:33" ht="15">
      <c r="A76" s="276" t="s">
        <v>1084</v>
      </c>
      <c r="B76" s="276" t="s">
        <v>1083</v>
      </c>
      <c r="C76"/>
      <c r="D76"/>
      <c r="E76"/>
      <c r="F76"/>
      <c r="G76"/>
      <c r="H76"/>
      <c r="I76"/>
      <c r="J76"/>
      <c r="K76"/>
      <c r="L76"/>
      <c r="M76"/>
      <c r="N76"/>
      <c r="O76"/>
      <c r="P76"/>
      <c r="Q76"/>
      <c r="R76"/>
      <c r="S76"/>
      <c r="T76"/>
      <c r="U76"/>
      <c r="V76"/>
      <c r="X76"/>
      <c r="Y76"/>
      <c r="Z76"/>
      <c r="AA76"/>
      <c r="AB76"/>
      <c r="AC76"/>
      <c r="AD76"/>
      <c r="AE76"/>
      <c r="AF76"/>
      <c r="AG76"/>
    </row>
    <row r="77" spans="1:33" ht="15">
      <c r="A77"/>
      <c r="B77"/>
      <c r="C77"/>
      <c r="D77"/>
      <c r="E77"/>
      <c r="F77"/>
      <c r="G77"/>
      <c r="H77"/>
      <c r="I77"/>
      <c r="J77"/>
      <c r="K77"/>
      <c r="L77"/>
      <c r="M77"/>
      <c r="N77"/>
      <c r="O77"/>
      <c r="P77"/>
      <c r="Q77"/>
      <c r="R77"/>
      <c r="S77"/>
      <c r="T77"/>
      <c r="U77"/>
      <c r="V77"/>
      <c r="X77"/>
      <c r="Y77"/>
      <c r="Z77"/>
      <c r="AA77"/>
      <c r="AB77"/>
      <c r="AC77"/>
      <c r="AD77"/>
      <c r="AE77"/>
      <c r="AF77"/>
      <c r="AG77"/>
    </row>
    <row r="78" spans="1:33" ht="15">
      <c r="A78" s="276" t="s">
        <v>1220</v>
      </c>
      <c r="B78" s="276" t="s">
        <v>1271</v>
      </c>
      <c r="C78"/>
      <c r="D78"/>
      <c r="E78"/>
      <c r="F78"/>
      <c r="G78"/>
      <c r="H78"/>
      <c r="I78"/>
      <c r="J78"/>
      <c r="K78"/>
      <c r="L78"/>
      <c r="M78"/>
      <c r="N78"/>
      <c r="O78"/>
      <c r="P78"/>
      <c r="Q78"/>
      <c r="R78"/>
      <c r="S78"/>
      <c r="T78"/>
      <c r="U78"/>
      <c r="V78"/>
      <c r="X78"/>
      <c r="Y78"/>
      <c r="Z78"/>
      <c r="AA78"/>
      <c r="AB78"/>
      <c r="AC78"/>
      <c r="AD78"/>
      <c r="AE78"/>
      <c r="AF78"/>
      <c r="AG78"/>
    </row>
    <row r="79" spans="1:33" ht="15">
      <c r="A79" s="276" t="s">
        <v>1218</v>
      </c>
      <c r="B79" s="276" t="s">
        <v>1277</v>
      </c>
      <c r="C79"/>
      <c r="D79"/>
      <c r="E79"/>
      <c r="F79"/>
      <c r="G79"/>
      <c r="H79"/>
      <c r="I79"/>
      <c r="J79"/>
      <c r="K79"/>
      <c r="L79"/>
      <c r="M79"/>
      <c r="N79"/>
      <c r="O79"/>
      <c r="P79"/>
      <c r="Q79"/>
      <c r="R79"/>
      <c r="S79"/>
      <c r="T79"/>
      <c r="U79"/>
      <c r="V79"/>
      <c r="X79"/>
      <c r="Y79"/>
      <c r="Z79"/>
      <c r="AA79"/>
      <c r="AB79"/>
      <c r="AC79"/>
      <c r="AD79"/>
      <c r="AE79"/>
      <c r="AF79"/>
      <c r="AG79"/>
    </row>
    <row r="80" spans="1:33" ht="15">
      <c r="A80" s="276" t="s">
        <v>1217</v>
      </c>
      <c r="B80" s="276" t="s">
        <v>1015</v>
      </c>
      <c r="C80"/>
      <c r="D80"/>
      <c r="E80"/>
      <c r="F80"/>
      <c r="G80"/>
      <c r="H80"/>
      <c r="I80"/>
      <c r="J80"/>
      <c r="K80"/>
      <c r="L80"/>
      <c r="M80"/>
      <c r="N80"/>
      <c r="O80"/>
      <c r="P80"/>
      <c r="Q80"/>
      <c r="R80"/>
      <c r="S80"/>
      <c r="T80"/>
      <c r="U80"/>
      <c r="V80"/>
      <c r="X80"/>
      <c r="Y80"/>
      <c r="Z80"/>
      <c r="AA80"/>
      <c r="AB80"/>
      <c r="AC80"/>
      <c r="AD80"/>
      <c r="AE80"/>
      <c r="AF80"/>
      <c r="AG80"/>
    </row>
    <row r="81" spans="1:33" ht="15">
      <c r="A81" s="276" t="s">
        <v>1216</v>
      </c>
      <c r="B81" s="276" t="s">
        <v>1215</v>
      </c>
      <c r="C81"/>
      <c r="D81"/>
      <c r="E81"/>
      <c r="F81"/>
      <c r="G81"/>
      <c r="H81"/>
      <c r="I81"/>
      <c r="J81"/>
      <c r="K81"/>
      <c r="L81"/>
      <c r="M81"/>
      <c r="N81"/>
      <c r="O81"/>
      <c r="P81"/>
      <c r="Q81"/>
      <c r="R81"/>
      <c r="S81"/>
      <c r="T81"/>
      <c r="U81"/>
      <c r="V81"/>
      <c r="X81"/>
      <c r="Y81"/>
      <c r="Z81"/>
      <c r="AA81"/>
      <c r="AB81"/>
      <c r="AC81"/>
      <c r="AD81"/>
      <c r="AE81"/>
      <c r="AF81"/>
      <c r="AG81"/>
    </row>
    <row r="82" spans="1:33" ht="15">
      <c r="A82" s="276" t="s">
        <v>1119</v>
      </c>
      <c r="B82" s="276" t="s">
        <v>869</v>
      </c>
      <c r="C82"/>
      <c r="D82"/>
      <c r="E82"/>
      <c r="F82"/>
      <c r="G82"/>
      <c r="H82"/>
      <c r="I82"/>
      <c r="J82"/>
      <c r="K82"/>
      <c r="L82"/>
      <c r="M82"/>
      <c r="N82"/>
      <c r="O82"/>
      <c r="P82"/>
      <c r="Q82"/>
      <c r="R82"/>
      <c r="S82"/>
      <c r="T82"/>
      <c r="U82"/>
      <c r="V82"/>
      <c r="X82"/>
      <c r="Y82"/>
      <c r="Z82"/>
      <c r="AA82"/>
      <c r="AB82"/>
      <c r="AC82"/>
      <c r="AD82"/>
      <c r="AE82"/>
      <c r="AF82"/>
      <c r="AG82"/>
    </row>
    <row r="83" spans="1:33" ht="15">
      <c r="A83"/>
      <c r="B83"/>
      <c r="C83"/>
      <c r="D83"/>
      <c r="E83"/>
      <c r="F83"/>
      <c r="G83"/>
      <c r="H83"/>
      <c r="I83"/>
      <c r="J83"/>
      <c r="K83"/>
      <c r="L83"/>
      <c r="M83"/>
      <c r="N83"/>
      <c r="O83"/>
      <c r="P83"/>
      <c r="Q83"/>
      <c r="R83"/>
      <c r="S83"/>
      <c r="T83"/>
      <c r="U83"/>
      <c r="V83"/>
      <c r="X83"/>
      <c r="Y83"/>
      <c r="Z83"/>
      <c r="AA83"/>
      <c r="AB83"/>
      <c r="AC83"/>
      <c r="AD83"/>
      <c r="AE83"/>
      <c r="AF83"/>
      <c r="AG83"/>
    </row>
    <row r="84" spans="1:33" ht="15">
      <c r="A84" s="278" t="s">
        <v>1116</v>
      </c>
      <c r="B84" s="278" t="s">
        <v>1214</v>
      </c>
      <c r="C84" s="278" t="s">
        <v>1213</v>
      </c>
      <c r="D84" s="278" t="s">
        <v>1212</v>
      </c>
      <c r="E84" s="278" t="s">
        <v>1211</v>
      </c>
      <c r="F84" s="278" t="s">
        <v>1210</v>
      </c>
      <c r="G84" s="278" t="s">
        <v>1209</v>
      </c>
      <c r="H84" s="278" t="s">
        <v>1208</v>
      </c>
      <c r="I84" s="278" t="s">
        <v>1207</v>
      </c>
      <c r="J84" s="278" t="s">
        <v>1206</v>
      </c>
      <c r="K84" s="278" t="s">
        <v>1205</v>
      </c>
      <c r="L84" s="278" t="s">
        <v>1204</v>
      </c>
      <c r="M84" s="278" t="s">
        <v>1203</v>
      </c>
      <c r="N84" s="278" t="s">
        <v>1202</v>
      </c>
      <c r="O84" s="278" t="s">
        <v>1201</v>
      </c>
      <c r="P84" s="278" t="s">
        <v>1200</v>
      </c>
      <c r="Q84" s="278" t="s">
        <v>1199</v>
      </c>
      <c r="R84" s="278" t="s">
        <v>1272</v>
      </c>
      <c r="S84" s="278" t="s">
        <v>1273</v>
      </c>
      <c r="T84" s="278" t="s">
        <v>1274</v>
      </c>
      <c r="U84" s="278" t="s">
        <v>1275</v>
      </c>
      <c r="V84"/>
      <c r="X84"/>
      <c r="Y84"/>
      <c r="Z84"/>
      <c r="AA84"/>
      <c r="AB84"/>
      <c r="AC84"/>
      <c r="AD84"/>
      <c r="AE84"/>
      <c r="AF84"/>
      <c r="AG84"/>
    </row>
    <row r="85" spans="1:33" ht="15">
      <c r="A85" s="278" t="s">
        <v>391</v>
      </c>
      <c r="B85" s="279">
        <v>24011000</v>
      </c>
      <c r="C85" s="279">
        <v>38556000</v>
      </c>
      <c r="D85" s="279">
        <v>80465000</v>
      </c>
      <c r="E85" s="279">
        <v>23846000</v>
      </c>
      <c r="F85" s="279">
        <v>25785000</v>
      </c>
      <c r="G85" s="279">
        <v>36446000</v>
      </c>
      <c r="H85" s="279">
        <v>80815000</v>
      </c>
      <c r="I85" s="279">
        <v>24544000</v>
      </c>
      <c r="J85" s="279">
        <v>21114000</v>
      </c>
      <c r="K85" s="279">
        <v>33604000</v>
      </c>
      <c r="L85" s="279">
        <v>75289000</v>
      </c>
      <c r="M85" s="279">
        <v>23264000</v>
      </c>
      <c r="N85" s="279">
        <v>22161000</v>
      </c>
      <c r="O85" s="279">
        <v>31153000</v>
      </c>
      <c r="P85" s="279">
        <v>84990000</v>
      </c>
      <c r="Q85" s="279">
        <v>23834000</v>
      </c>
      <c r="R85" s="279">
        <v>20139000</v>
      </c>
      <c r="S85" s="279">
        <v>30980000</v>
      </c>
      <c r="T85" s="279">
        <v>68182000</v>
      </c>
      <c r="U85" s="279">
        <v>21860500</v>
      </c>
      <c r="V85"/>
      <c r="X85"/>
      <c r="Y85"/>
      <c r="Z85"/>
      <c r="AA85"/>
      <c r="AB85"/>
      <c r="AC85"/>
      <c r="AD85"/>
      <c r="AE85"/>
      <c r="AF85"/>
      <c r="AG85"/>
    </row>
    <row r="86" spans="1:33" ht="15">
      <c r="A86"/>
      <c r="B86"/>
      <c r="C86"/>
      <c r="D86"/>
      <c r="E86"/>
      <c r="F86"/>
      <c r="G86"/>
      <c r="H86"/>
      <c r="I86"/>
      <c r="J86"/>
      <c r="K86"/>
      <c r="L86"/>
      <c r="M86"/>
      <c r="N86"/>
      <c r="O86"/>
      <c r="P86"/>
      <c r="Q86"/>
      <c r="R86"/>
      <c r="S86"/>
      <c r="T86"/>
      <c r="U86"/>
      <c r="V86"/>
      <c r="X86"/>
      <c r="Y86"/>
      <c r="Z86"/>
      <c r="AA86"/>
      <c r="AB86"/>
      <c r="AC86"/>
      <c r="AD86"/>
      <c r="AE86"/>
      <c r="AF86"/>
      <c r="AG86"/>
    </row>
    <row r="87" spans="1:33" ht="15">
      <c r="A87" s="276" t="s">
        <v>1276</v>
      </c>
      <c r="B87"/>
      <c r="C87"/>
      <c r="D87"/>
      <c r="E87" s="174">
        <f>SUM(B85:E85)</f>
        <v>166878000</v>
      </c>
      <c r="F87"/>
      <c r="G87"/>
      <c r="H87"/>
      <c r="I87" s="174">
        <f>SUM(F85:I85)</f>
        <v>167590000</v>
      </c>
      <c r="J87"/>
      <c r="K87"/>
      <c r="L87"/>
      <c r="M87" s="174">
        <f>SUM(J85:M85)</f>
        <v>153271000</v>
      </c>
      <c r="N87"/>
      <c r="O87"/>
      <c r="P87"/>
      <c r="Q87" s="174">
        <f>SUM(N85:Q85)</f>
        <v>162138000</v>
      </c>
      <c r="R87"/>
      <c r="S87"/>
      <c r="T87"/>
      <c r="U87" s="174">
        <f>SUM(R85:U85)</f>
        <v>141161500</v>
      </c>
      <c r="V87"/>
      <c r="X87"/>
      <c r="Y87"/>
      <c r="Z87"/>
      <c r="AA87"/>
      <c r="AB87"/>
      <c r="AC87"/>
      <c r="AD87"/>
      <c r="AE87"/>
      <c r="AF87"/>
      <c r="AG87"/>
    </row>
    <row r="88" spans="1:33" ht="15">
      <c r="A88" s="276" t="s">
        <v>1084</v>
      </c>
      <c r="B88" s="276" t="s">
        <v>1083</v>
      </c>
      <c r="C88"/>
      <c r="D88"/>
      <c r="E88"/>
      <c r="F88"/>
      <c r="G88"/>
      <c r="H88"/>
      <c r="I88"/>
      <c r="J88"/>
      <c r="K88"/>
      <c r="L88"/>
      <c r="M88"/>
      <c r="N88"/>
      <c r="O88"/>
      <c r="P88"/>
      <c r="Q88"/>
      <c r="R88"/>
      <c r="S88"/>
      <c r="T88"/>
      <c r="U88" s="130"/>
      <c r="V88"/>
      <c r="X88"/>
      <c r="Y88"/>
      <c r="Z88"/>
      <c r="AA88"/>
      <c r="AB88"/>
      <c r="AC88"/>
      <c r="AD88"/>
      <c r="AE88"/>
      <c r="AF88"/>
      <c r="AG88"/>
    </row>
    <row r="89" spans="1:33" ht="15">
      <c r="A89"/>
      <c r="B89"/>
      <c r="C89"/>
      <c r="D89"/>
      <c r="E89"/>
      <c r="F89"/>
      <c r="G89"/>
      <c r="H89"/>
      <c r="I89"/>
      <c r="J89"/>
      <c r="K89"/>
      <c r="L89"/>
      <c r="M89"/>
      <c r="N89"/>
      <c r="O89"/>
      <c r="P89"/>
      <c r="Q89"/>
      <c r="R89"/>
      <c r="S89"/>
      <c r="T89"/>
      <c r="U89"/>
      <c r="V89"/>
      <c r="X89"/>
      <c r="Y89"/>
      <c r="Z89"/>
      <c r="AA89"/>
      <c r="AB89"/>
      <c r="AC89"/>
      <c r="AD89"/>
      <c r="AE89"/>
      <c r="AF89"/>
      <c r="AG89"/>
    </row>
    <row r="90" spans="1:33" ht="15">
      <c r="A90" s="276" t="s">
        <v>1220</v>
      </c>
      <c r="B90" s="276" t="s">
        <v>1271</v>
      </c>
      <c r="C90"/>
      <c r="D90"/>
      <c r="E90"/>
      <c r="F90"/>
      <c r="G90"/>
      <c r="H90"/>
      <c r="I90"/>
      <c r="J90"/>
      <c r="K90"/>
      <c r="L90"/>
      <c r="M90"/>
      <c r="N90"/>
      <c r="O90"/>
      <c r="P90"/>
      <c r="Q90"/>
      <c r="R90"/>
      <c r="S90"/>
      <c r="T90"/>
      <c r="U90"/>
      <c r="V90"/>
      <c r="X90"/>
      <c r="Y90"/>
      <c r="Z90"/>
      <c r="AA90"/>
      <c r="AB90"/>
      <c r="AC90"/>
      <c r="AD90"/>
      <c r="AE90"/>
      <c r="AF90"/>
      <c r="AG90"/>
    </row>
    <row r="91" spans="1:33" ht="15">
      <c r="A91" s="276" t="s">
        <v>1218</v>
      </c>
      <c r="B91" s="276" t="s">
        <v>1278</v>
      </c>
      <c r="C91"/>
      <c r="D91"/>
      <c r="E91"/>
      <c r="F91"/>
      <c r="G91"/>
      <c r="H91"/>
      <c r="I91"/>
      <c r="J91"/>
      <c r="K91"/>
      <c r="L91"/>
      <c r="M91"/>
      <c r="N91"/>
      <c r="O91"/>
      <c r="P91"/>
      <c r="Q91"/>
      <c r="R91"/>
      <c r="S91"/>
      <c r="T91"/>
      <c r="U91"/>
      <c r="V91"/>
      <c r="X91"/>
      <c r="Y91"/>
      <c r="Z91"/>
      <c r="AA91"/>
      <c r="AB91"/>
      <c r="AC91"/>
      <c r="AD91"/>
      <c r="AE91"/>
      <c r="AF91"/>
      <c r="AG91"/>
    </row>
    <row r="92" spans="1:33" ht="15">
      <c r="A92" s="276" t="s">
        <v>1217</v>
      </c>
      <c r="B92" s="276" t="s">
        <v>1015</v>
      </c>
      <c r="C92"/>
      <c r="D92"/>
      <c r="E92"/>
      <c r="F92"/>
      <c r="G92"/>
      <c r="H92"/>
      <c r="I92"/>
      <c r="J92"/>
      <c r="K92"/>
      <c r="L92"/>
      <c r="M92"/>
      <c r="N92"/>
      <c r="O92"/>
      <c r="P92"/>
      <c r="Q92"/>
      <c r="R92"/>
      <c r="S92"/>
      <c r="T92"/>
      <c r="U92"/>
      <c r="V92"/>
      <c r="X92"/>
      <c r="Y92"/>
      <c r="Z92"/>
      <c r="AA92"/>
      <c r="AB92"/>
      <c r="AC92"/>
      <c r="AD92"/>
      <c r="AE92"/>
      <c r="AF92"/>
      <c r="AG92"/>
    </row>
    <row r="93" spans="1:33" ht="15">
      <c r="A93" s="276" t="s">
        <v>1216</v>
      </c>
      <c r="B93" s="276" t="s">
        <v>1215</v>
      </c>
      <c r="C93"/>
      <c r="D93"/>
      <c r="E93"/>
      <c r="F93"/>
      <c r="G93"/>
      <c r="H93"/>
      <c r="I93"/>
      <c r="J93"/>
      <c r="K93"/>
      <c r="L93"/>
      <c r="M93"/>
      <c r="N93"/>
      <c r="O93"/>
      <c r="P93"/>
      <c r="Q93"/>
      <c r="R93"/>
      <c r="S93"/>
      <c r="T93"/>
      <c r="U93"/>
      <c r="V93"/>
      <c r="X93"/>
      <c r="Y93"/>
      <c r="Z93"/>
      <c r="AA93"/>
      <c r="AB93"/>
      <c r="AC93"/>
      <c r="AD93"/>
      <c r="AE93"/>
      <c r="AF93"/>
      <c r="AG93"/>
    </row>
    <row r="94" spans="1:33" ht="15">
      <c r="A94" s="276" t="s">
        <v>1119</v>
      </c>
      <c r="B94" s="276" t="s">
        <v>869</v>
      </c>
      <c r="C94"/>
      <c r="D94"/>
      <c r="E94"/>
      <c r="F94"/>
      <c r="G94"/>
      <c r="H94"/>
      <c r="I94"/>
      <c r="J94"/>
      <c r="K94"/>
      <c r="L94"/>
      <c r="M94"/>
      <c r="N94"/>
      <c r="O94"/>
      <c r="P94"/>
      <c r="Q94"/>
      <c r="R94"/>
      <c r="S94"/>
      <c r="T94"/>
      <c r="U94"/>
      <c r="V94"/>
      <c r="X94"/>
      <c r="Y94"/>
      <c r="Z94"/>
      <c r="AA94"/>
      <c r="AB94"/>
      <c r="AC94"/>
      <c r="AD94"/>
      <c r="AE94"/>
      <c r="AF94"/>
      <c r="AG94"/>
    </row>
    <row r="95" spans="1:33" ht="15">
      <c r="A95"/>
      <c r="B95"/>
      <c r="C95"/>
      <c r="D95"/>
      <c r="E95"/>
      <c r="F95"/>
      <c r="G95"/>
      <c r="H95"/>
      <c r="I95"/>
      <c r="J95"/>
      <c r="K95"/>
      <c r="L95"/>
      <c r="M95"/>
      <c r="N95"/>
      <c r="O95"/>
      <c r="P95"/>
      <c r="Q95"/>
      <c r="R95"/>
      <c r="S95"/>
      <c r="T95"/>
      <c r="U95"/>
      <c r="V95"/>
      <c r="X95"/>
      <c r="Y95"/>
      <c r="Z95"/>
      <c r="AA95"/>
      <c r="AB95"/>
      <c r="AC95"/>
      <c r="AD95"/>
      <c r="AE95"/>
      <c r="AF95"/>
      <c r="AG95"/>
    </row>
    <row r="96" spans="1:33" ht="15">
      <c r="A96" s="278" t="s">
        <v>1116</v>
      </c>
      <c r="B96" s="278" t="s">
        <v>1214</v>
      </c>
      <c r="C96" s="278" t="s">
        <v>1213</v>
      </c>
      <c r="D96" s="278" t="s">
        <v>1212</v>
      </c>
      <c r="E96" s="278" t="s">
        <v>1211</v>
      </c>
      <c r="F96" s="278" t="s">
        <v>1210</v>
      </c>
      <c r="G96" s="278" t="s">
        <v>1209</v>
      </c>
      <c r="H96" s="278" t="s">
        <v>1208</v>
      </c>
      <c r="I96" s="278" t="s">
        <v>1207</v>
      </c>
      <c r="J96" s="278" t="s">
        <v>1206</v>
      </c>
      <c r="K96" s="278" t="s">
        <v>1205</v>
      </c>
      <c r="L96" s="278" t="s">
        <v>1204</v>
      </c>
      <c r="M96" s="278" t="s">
        <v>1203</v>
      </c>
      <c r="N96" s="278" t="s">
        <v>1202</v>
      </c>
      <c r="O96" s="278" t="s">
        <v>1201</v>
      </c>
      <c r="P96" s="278" t="s">
        <v>1200</v>
      </c>
      <c r="Q96" s="278" t="s">
        <v>1199</v>
      </c>
      <c r="R96" s="278" t="s">
        <v>1272</v>
      </c>
      <c r="S96" s="278" t="s">
        <v>1273</v>
      </c>
      <c r="T96" s="278" t="s">
        <v>1274</v>
      </c>
      <c r="U96" s="278" t="s">
        <v>1275</v>
      </c>
      <c r="V96"/>
      <c r="X96"/>
      <c r="Y96"/>
      <c r="Z96"/>
      <c r="AA96"/>
      <c r="AB96"/>
      <c r="AC96"/>
      <c r="AD96"/>
      <c r="AE96"/>
      <c r="AF96"/>
      <c r="AG96"/>
    </row>
    <row r="97" spans="1:33" ht="15">
      <c r="A97" s="278" t="s">
        <v>391</v>
      </c>
      <c r="B97" s="279">
        <v>16811000</v>
      </c>
      <c r="C97" s="279">
        <v>16648000</v>
      </c>
      <c r="D97" s="279">
        <v>26327000</v>
      </c>
      <c r="E97" s="279">
        <v>9407000</v>
      </c>
      <c r="F97" s="279">
        <v>21491000</v>
      </c>
      <c r="G97" s="279">
        <v>19463000</v>
      </c>
      <c r="H97" s="279">
        <v>26823000</v>
      </c>
      <c r="I97" s="279">
        <v>11232000</v>
      </c>
      <c r="J97" s="279">
        <v>9032000</v>
      </c>
      <c r="K97" s="279">
        <v>12313000</v>
      </c>
      <c r="L97" s="279">
        <v>23723000</v>
      </c>
      <c r="M97" s="279">
        <v>8132000</v>
      </c>
      <c r="N97" s="279">
        <v>6950000</v>
      </c>
      <c r="O97" s="279">
        <v>17913000</v>
      </c>
      <c r="P97" s="279">
        <v>27568000</v>
      </c>
      <c r="Q97" s="279">
        <v>7760000</v>
      </c>
      <c r="R97" s="279">
        <v>12255000</v>
      </c>
      <c r="S97" s="279">
        <v>10927000</v>
      </c>
      <c r="T97" s="279">
        <v>16811000</v>
      </c>
      <c r="U97" s="279">
        <v>6759500</v>
      </c>
      <c r="V97"/>
      <c r="X97"/>
      <c r="Y97"/>
      <c r="Z97"/>
      <c r="AA97"/>
      <c r="AB97"/>
      <c r="AC97"/>
      <c r="AD97"/>
      <c r="AE97"/>
      <c r="AF97"/>
      <c r="AG97"/>
    </row>
    <row r="98" spans="1:33" ht="15">
      <c r="A98"/>
      <c r="B98"/>
      <c r="C98"/>
      <c r="D98"/>
      <c r="E98"/>
      <c r="F98"/>
      <c r="G98"/>
      <c r="H98"/>
      <c r="I98"/>
      <c r="J98"/>
      <c r="K98"/>
      <c r="L98"/>
      <c r="M98"/>
      <c r="N98"/>
      <c r="O98"/>
      <c r="P98"/>
      <c r="Q98"/>
      <c r="R98"/>
      <c r="S98"/>
      <c r="T98"/>
      <c r="U98"/>
      <c r="V98"/>
      <c r="X98"/>
      <c r="Y98"/>
      <c r="Z98"/>
      <c r="AA98"/>
      <c r="AB98"/>
      <c r="AC98"/>
      <c r="AD98"/>
      <c r="AE98"/>
      <c r="AF98"/>
      <c r="AG98"/>
    </row>
    <row r="99" spans="1:33" ht="15">
      <c r="A99" s="276" t="s">
        <v>1276</v>
      </c>
      <c r="B99"/>
      <c r="C99"/>
      <c r="D99"/>
      <c r="E99" s="174">
        <f>SUM(B97:E97)</f>
        <v>69193000</v>
      </c>
      <c r="F99"/>
      <c r="G99"/>
      <c r="H99"/>
      <c r="I99" s="174">
        <f>SUM(F97:I97)</f>
        <v>79009000</v>
      </c>
      <c r="J99"/>
      <c r="K99"/>
      <c r="L99"/>
      <c r="M99" s="174">
        <f>SUM(J97:M97)</f>
        <v>53200000</v>
      </c>
      <c r="N99"/>
      <c r="O99"/>
      <c r="P99"/>
      <c r="Q99" s="174">
        <f>SUM(N97:Q97)</f>
        <v>60191000</v>
      </c>
      <c r="R99"/>
      <c r="S99"/>
      <c r="T99"/>
      <c r="U99" s="174">
        <f>SUM(R97:U97)</f>
        <v>46752500</v>
      </c>
      <c r="V99"/>
      <c r="X99"/>
      <c r="Y99"/>
      <c r="Z99"/>
      <c r="AA99"/>
      <c r="AB99"/>
      <c r="AC99"/>
      <c r="AD99"/>
      <c r="AE99"/>
      <c r="AF99"/>
      <c r="AG99"/>
    </row>
    <row r="100" spans="1:33" ht="15">
      <c r="A100" s="276" t="s">
        <v>1084</v>
      </c>
      <c r="B100" s="276" t="s">
        <v>1083</v>
      </c>
      <c r="C100"/>
      <c r="D100"/>
      <c r="E100"/>
      <c r="F100"/>
      <c r="G100"/>
      <c r="H100"/>
      <c r="I100"/>
      <c r="J100"/>
      <c r="K100"/>
      <c r="L100"/>
      <c r="M100"/>
      <c r="N100"/>
      <c r="O100"/>
      <c r="P100"/>
      <c r="Q100"/>
      <c r="R100"/>
      <c r="S100"/>
      <c r="T100"/>
      <c r="U100"/>
      <c r="V100"/>
      <c r="X100"/>
      <c r="Y100"/>
      <c r="Z100"/>
      <c r="AA100"/>
      <c r="AB100"/>
      <c r="AC100"/>
      <c r="AD100"/>
      <c r="AE100"/>
      <c r="AF100"/>
      <c r="AG100"/>
    </row>
    <row r="101" spans="1:33">
      <c r="B101" s="169">
        <v>2007</v>
      </c>
      <c r="C101" s="169">
        <v>2008</v>
      </c>
      <c r="D101" s="169">
        <v>2009</v>
      </c>
      <c r="E101" s="169">
        <v>2010</v>
      </c>
      <c r="F101" s="169">
        <v>2011</v>
      </c>
    </row>
    <row r="102" spans="1:33">
      <c r="A102" s="169" t="s">
        <v>1281</v>
      </c>
      <c r="B102" s="280">
        <f>E87/E28</f>
        <v>5.0039881255809773</v>
      </c>
      <c r="C102" s="280">
        <f>I87/I28</f>
        <v>4.8435016329007832</v>
      </c>
      <c r="D102" s="280">
        <f>M87/M28</f>
        <v>5.0237962568422434</v>
      </c>
      <c r="E102" s="280">
        <f>Q87/Q28</f>
        <v>4.8755976544880468</v>
      </c>
      <c r="F102" s="280">
        <f>U87/U28</f>
        <v>4.6946950775401337</v>
      </c>
    </row>
    <row r="103" spans="1:33">
      <c r="A103" s="169" t="s">
        <v>1282</v>
      </c>
      <c r="B103" s="280">
        <f>E99/E40</f>
        <v>11.427415359207266</v>
      </c>
      <c r="C103" s="280">
        <f>I99/I40</f>
        <v>11.781837160751566</v>
      </c>
      <c r="D103" s="280">
        <f>M99/M40</f>
        <v>9.2521739130434781</v>
      </c>
      <c r="E103" s="280">
        <f>Q99/Q40</f>
        <v>9.4063134864822633</v>
      </c>
      <c r="F103" s="280">
        <f>U99/U40</f>
        <v>9.2731618303350061</v>
      </c>
    </row>
    <row r="107" spans="1:33" ht="15">
      <c r="A107" s="276" t="s">
        <v>1283</v>
      </c>
      <c r="B107"/>
      <c r="C107"/>
      <c r="D107"/>
      <c r="E107"/>
      <c r="F107"/>
      <c r="G107"/>
      <c r="H107"/>
      <c r="I107"/>
      <c r="J107"/>
      <c r="K107"/>
    </row>
    <row r="108" spans="1:33" ht="15">
      <c r="A108"/>
      <c r="B108"/>
      <c r="C108"/>
      <c r="D108"/>
      <c r="E108"/>
      <c r="F108"/>
      <c r="G108"/>
      <c r="H108"/>
      <c r="I108"/>
      <c r="J108"/>
      <c r="K108"/>
    </row>
    <row r="109" spans="1:33" ht="15">
      <c r="A109" s="276" t="s">
        <v>1125</v>
      </c>
      <c r="B109" s="277">
        <v>41338.583680555559</v>
      </c>
      <c r="C109"/>
      <c r="D109"/>
      <c r="E109"/>
      <c r="F109"/>
      <c r="G109"/>
      <c r="H109"/>
      <c r="I109"/>
      <c r="J109"/>
      <c r="K109"/>
    </row>
    <row r="110" spans="1:33" ht="15">
      <c r="A110" s="276" t="s">
        <v>1124</v>
      </c>
      <c r="B110" s="277">
        <v>41348.402751226851</v>
      </c>
      <c r="C110"/>
      <c r="D110"/>
      <c r="E110"/>
      <c r="F110"/>
      <c r="G110"/>
      <c r="H110"/>
      <c r="I110"/>
      <c r="J110"/>
      <c r="K110"/>
    </row>
    <row r="111" spans="1:33" ht="15">
      <c r="A111" s="276" t="s">
        <v>1270</v>
      </c>
      <c r="B111" s="276" t="s">
        <v>1122</v>
      </c>
      <c r="C111"/>
      <c r="D111"/>
      <c r="E111"/>
      <c r="F111"/>
      <c r="G111"/>
      <c r="H111"/>
      <c r="I111"/>
      <c r="J111"/>
      <c r="K111"/>
    </row>
    <row r="112" spans="1:33" ht="15">
      <c r="A112"/>
      <c r="B112"/>
      <c r="C112"/>
      <c r="D112"/>
      <c r="E112"/>
      <c r="F112"/>
      <c r="G112"/>
      <c r="H112"/>
      <c r="I112"/>
      <c r="J112"/>
      <c r="K112"/>
    </row>
    <row r="113" spans="1:11" ht="15">
      <c r="A113" s="276" t="s">
        <v>1121</v>
      </c>
      <c r="B113" s="276" t="s">
        <v>1120</v>
      </c>
      <c r="C113"/>
      <c r="D113"/>
      <c r="E113"/>
      <c r="F113"/>
      <c r="G113"/>
      <c r="H113"/>
      <c r="I113"/>
      <c r="J113"/>
      <c r="K113"/>
    </row>
    <row r="114" spans="1:11" ht="15">
      <c r="A114" s="276" t="s">
        <v>1119</v>
      </c>
      <c r="B114" s="276" t="s">
        <v>869</v>
      </c>
      <c r="C114"/>
      <c r="D114"/>
      <c r="E114"/>
      <c r="F114"/>
      <c r="G114"/>
      <c r="H114"/>
      <c r="I114"/>
      <c r="J114"/>
      <c r="K114"/>
    </row>
    <row r="115" spans="1:11" ht="15">
      <c r="A115" s="276" t="s">
        <v>1118</v>
      </c>
      <c r="B115" s="276" t="s">
        <v>1117</v>
      </c>
      <c r="C115"/>
      <c r="D115"/>
      <c r="E115"/>
      <c r="F115"/>
      <c r="G115"/>
      <c r="H115"/>
      <c r="I115"/>
      <c r="J115"/>
      <c r="K115"/>
    </row>
    <row r="116" spans="1:11" ht="15">
      <c r="A116"/>
      <c r="B116"/>
      <c r="C116"/>
      <c r="D116"/>
      <c r="E116"/>
      <c r="F116"/>
      <c r="G116"/>
      <c r="H116"/>
      <c r="I116"/>
      <c r="J116"/>
      <c r="K116"/>
    </row>
    <row r="117" spans="1:11">
      <c r="A117" s="278" t="s">
        <v>1116</v>
      </c>
      <c r="B117" s="278" t="s">
        <v>1115</v>
      </c>
      <c r="C117" s="278" t="s">
        <v>1114</v>
      </c>
      <c r="D117" s="278" t="s">
        <v>1113</v>
      </c>
      <c r="E117" s="278" t="s">
        <v>1112</v>
      </c>
      <c r="F117" s="278" t="s">
        <v>1284</v>
      </c>
      <c r="G117" s="278" t="s">
        <v>1115</v>
      </c>
      <c r="H117" s="278" t="s">
        <v>1114</v>
      </c>
      <c r="I117" s="278" t="s">
        <v>1113</v>
      </c>
      <c r="J117" s="278" t="s">
        <v>1112</v>
      </c>
      <c r="K117" s="278" t="s">
        <v>1284</v>
      </c>
    </row>
    <row r="118" spans="1:11" ht="15">
      <c r="A118" s="278" t="s">
        <v>391</v>
      </c>
      <c r="B118" s="279">
        <v>44035622</v>
      </c>
      <c r="C118" s="279">
        <v>46472281</v>
      </c>
      <c r="D118" s="279">
        <v>45410620</v>
      </c>
      <c r="E118" s="279">
        <v>45729839</v>
      </c>
      <c r="F118" s="279">
        <v>46527989</v>
      </c>
      <c r="G118" s="161">
        <f>SUM(G119:G137)</f>
        <v>1</v>
      </c>
      <c r="H118" s="161">
        <f>SUM(H119:H137)</f>
        <v>1</v>
      </c>
      <c r="I118" s="161">
        <f>SUM(I119:I137)</f>
        <v>1</v>
      </c>
      <c r="J118" s="161">
        <f>SUM(J119:J137)</f>
        <v>0.99999999999999989</v>
      </c>
      <c r="K118" s="161">
        <f>SUM(K119:K137)</f>
        <v>1</v>
      </c>
    </row>
    <row r="119" spans="1:11" ht="15">
      <c r="A119" s="278" t="s">
        <v>1106</v>
      </c>
      <c r="B119" s="279">
        <v>4742346</v>
      </c>
      <c r="C119" s="279">
        <v>5202194</v>
      </c>
      <c r="D119" s="279">
        <v>5126818</v>
      </c>
      <c r="E119" s="279">
        <v>5637580</v>
      </c>
      <c r="F119" s="279">
        <v>5595698</v>
      </c>
      <c r="G119" s="173">
        <f>B119/B$118</f>
        <v>0.10769340330880305</v>
      </c>
      <c r="H119" s="173">
        <f t="shared" ref="H119:K119" si="4">C119/C$118</f>
        <v>0.11194186917573511</v>
      </c>
      <c r="I119" s="173">
        <f t="shared" si="4"/>
        <v>0.11289909717154269</v>
      </c>
      <c r="J119" s="173">
        <f t="shared" si="4"/>
        <v>0.1232801191362165</v>
      </c>
      <c r="K119" s="173">
        <f t="shared" si="4"/>
        <v>0.12026520209158406</v>
      </c>
    </row>
    <row r="120" spans="1:11" ht="15">
      <c r="A120" s="278" t="s">
        <v>1111</v>
      </c>
      <c r="B120" s="279">
        <v>1460185</v>
      </c>
      <c r="C120" s="279">
        <v>1601782</v>
      </c>
      <c r="D120" s="279">
        <v>1649944</v>
      </c>
      <c r="E120" s="279">
        <v>1687813</v>
      </c>
      <c r="F120" s="279">
        <v>1713577</v>
      </c>
      <c r="G120"/>
      <c r="H120"/>
      <c r="I120"/>
      <c r="J120"/>
      <c r="K120"/>
    </row>
    <row r="121" spans="1:11" ht="15">
      <c r="A121" s="278" t="s">
        <v>1110</v>
      </c>
      <c r="B121" s="279">
        <v>3282161</v>
      </c>
      <c r="C121" s="279">
        <v>3600412</v>
      </c>
      <c r="D121" s="279">
        <v>3476874</v>
      </c>
      <c r="E121" s="279">
        <v>3949767</v>
      </c>
      <c r="F121" s="279">
        <v>3882121</v>
      </c>
      <c r="G121"/>
      <c r="H121"/>
      <c r="I121"/>
      <c r="J121"/>
      <c r="K121"/>
    </row>
    <row r="122" spans="1:11" ht="15">
      <c r="A122" s="278" t="s">
        <v>1104</v>
      </c>
      <c r="B122" s="279">
        <v>9234980</v>
      </c>
      <c r="C122" s="279">
        <v>9636326</v>
      </c>
      <c r="D122" s="279">
        <v>9850686</v>
      </c>
      <c r="E122" s="279">
        <v>9826233</v>
      </c>
      <c r="F122" s="279">
        <v>10217749</v>
      </c>
      <c r="G122" s="173">
        <f>B122/B$118</f>
        <v>0.20971612482276281</v>
      </c>
      <c r="H122" s="173">
        <f t="shared" ref="H122" si="5">C122/C$118</f>
        <v>0.20735642392935263</v>
      </c>
      <c r="I122" s="173">
        <f t="shared" ref="I122" si="6">D122/D$118</f>
        <v>0.21692471937181215</v>
      </c>
      <c r="J122" s="173">
        <f t="shared" ref="J122" si="7">E122/E$118</f>
        <v>0.21487574010483615</v>
      </c>
      <c r="K122" s="173">
        <f t="shared" ref="K122" si="8">F122/F$118</f>
        <v>0.21960435470357423</v>
      </c>
    </row>
    <row r="123" spans="1:11" ht="15">
      <c r="A123" s="278" t="s">
        <v>1109</v>
      </c>
      <c r="B123" s="279">
        <v>5745099</v>
      </c>
      <c r="C123" s="279">
        <v>5967952</v>
      </c>
      <c r="D123" s="279">
        <v>6013971</v>
      </c>
      <c r="E123" s="279">
        <v>5838427</v>
      </c>
      <c r="F123" s="279">
        <v>6219067</v>
      </c>
      <c r="G123"/>
      <c r="H123"/>
      <c r="I123"/>
      <c r="J123"/>
      <c r="K123"/>
    </row>
    <row r="124" spans="1:11" ht="15">
      <c r="A124" s="278" t="s">
        <v>1108</v>
      </c>
      <c r="B124" s="279">
        <v>3489881</v>
      </c>
      <c r="C124" s="279">
        <v>3668374</v>
      </c>
      <c r="D124" s="279">
        <v>3836715</v>
      </c>
      <c r="E124" s="279">
        <v>3987806</v>
      </c>
      <c r="F124" s="279">
        <v>3998682</v>
      </c>
      <c r="G124"/>
      <c r="H124"/>
      <c r="I124"/>
      <c r="J124"/>
      <c r="K124"/>
    </row>
    <row r="125" spans="1:11" ht="15">
      <c r="A125" s="278" t="s">
        <v>1102</v>
      </c>
      <c r="B125" s="279">
        <v>4727364</v>
      </c>
      <c r="C125" s="279">
        <v>4965696</v>
      </c>
      <c r="D125" s="279">
        <v>5102649</v>
      </c>
      <c r="E125" s="279">
        <v>5323847</v>
      </c>
      <c r="F125" s="279">
        <v>5245221</v>
      </c>
      <c r="G125" s="173">
        <f>B125/B$118</f>
        <v>0.10735317875151168</v>
      </c>
      <c r="H125" s="173">
        <f t="shared" ref="H125" si="9">C125/C$118</f>
        <v>0.1068528570826984</v>
      </c>
      <c r="I125" s="173">
        <f t="shared" ref="I125" si="10">D125/D$118</f>
        <v>0.11236686484351018</v>
      </c>
      <c r="J125" s="173">
        <f t="shared" ref="J125" si="11">E125/E$118</f>
        <v>0.11641954392185812</v>
      </c>
      <c r="K125" s="173">
        <f t="shared" ref="K125" si="12">F125/F$118</f>
        <v>0.11273259628736587</v>
      </c>
    </row>
    <row r="126" spans="1:11" ht="15">
      <c r="A126" s="278" t="s">
        <v>1107</v>
      </c>
      <c r="B126" s="279">
        <v>1251678</v>
      </c>
      <c r="C126" s="279">
        <v>1416546</v>
      </c>
      <c r="D126" s="279">
        <v>1478257</v>
      </c>
      <c r="E126" s="279">
        <v>1483210</v>
      </c>
      <c r="F126" s="279">
        <v>1341663</v>
      </c>
      <c r="G126"/>
      <c r="H126"/>
      <c r="I126"/>
      <c r="J126"/>
      <c r="K126"/>
    </row>
    <row r="127" spans="1:11" ht="15">
      <c r="A127" s="278" t="s">
        <v>1105</v>
      </c>
      <c r="B127" s="279">
        <v>1622503</v>
      </c>
      <c r="C127" s="279">
        <v>1739537</v>
      </c>
      <c r="D127" s="279">
        <v>1799484</v>
      </c>
      <c r="E127" s="279">
        <v>1905361</v>
      </c>
      <c r="F127" s="279">
        <v>1955199</v>
      </c>
      <c r="G127"/>
      <c r="H127"/>
      <c r="I127"/>
      <c r="J127"/>
      <c r="K127"/>
    </row>
    <row r="128" spans="1:11" ht="15">
      <c r="A128" s="278" t="s">
        <v>1103</v>
      </c>
      <c r="B128" s="279">
        <v>1046287</v>
      </c>
      <c r="C128" s="279">
        <v>1008278</v>
      </c>
      <c r="D128" s="279">
        <v>1068563</v>
      </c>
      <c r="E128" s="279">
        <v>1140028</v>
      </c>
      <c r="F128" s="279">
        <v>1183112</v>
      </c>
      <c r="G128"/>
      <c r="H128"/>
      <c r="I128"/>
      <c r="J128"/>
      <c r="K128"/>
    </row>
    <row r="129" spans="1:11" ht="15">
      <c r="A129" s="278" t="s">
        <v>1101</v>
      </c>
      <c r="B129" s="279">
        <v>806896</v>
      </c>
      <c r="C129" s="279">
        <v>801335</v>
      </c>
      <c r="D129" s="279">
        <v>756345</v>
      </c>
      <c r="E129" s="279">
        <v>795248</v>
      </c>
      <c r="F129" s="279">
        <v>765247</v>
      </c>
      <c r="G129"/>
      <c r="H129"/>
      <c r="I129"/>
      <c r="J129"/>
      <c r="K129"/>
    </row>
    <row r="130" spans="1:11" ht="15">
      <c r="A130" s="278" t="s">
        <v>1100</v>
      </c>
      <c r="B130" s="279">
        <v>10897802</v>
      </c>
      <c r="C130" s="279">
        <v>11718107</v>
      </c>
      <c r="D130" s="279">
        <v>11146930</v>
      </c>
      <c r="E130" s="279">
        <v>11112797</v>
      </c>
      <c r="F130" s="279">
        <v>11307191</v>
      </c>
      <c r="G130" s="173">
        <f>B130/B$118</f>
        <v>0.24747696308229733</v>
      </c>
      <c r="H130" s="173">
        <f t="shared" ref="H130" si="13">C130/C$118</f>
        <v>0.25215261114469506</v>
      </c>
      <c r="I130" s="173">
        <f t="shared" ref="I130" si="14">D130/D$118</f>
        <v>0.2454696720723038</v>
      </c>
      <c r="J130" s="173">
        <f t="shared" ref="J130" si="15">E130/E$118</f>
        <v>0.24300975562148819</v>
      </c>
      <c r="K130" s="173">
        <f t="shared" ref="K130" si="16">F130/F$118</f>
        <v>0.24301912124334452</v>
      </c>
    </row>
    <row r="131" spans="1:11" ht="15">
      <c r="A131" s="278" t="s">
        <v>1099</v>
      </c>
      <c r="B131" s="279">
        <v>2265857</v>
      </c>
      <c r="C131" s="279">
        <v>2493493</v>
      </c>
      <c r="D131" s="279">
        <v>2302405</v>
      </c>
      <c r="E131" s="279">
        <v>2581712</v>
      </c>
      <c r="F131" s="279">
        <v>2527271</v>
      </c>
      <c r="G131"/>
      <c r="H131"/>
      <c r="I131"/>
      <c r="J131"/>
      <c r="K131"/>
    </row>
    <row r="132" spans="1:11" ht="15">
      <c r="A132" s="278" t="s">
        <v>1098</v>
      </c>
      <c r="B132" s="279">
        <v>7458371</v>
      </c>
      <c r="C132" s="279">
        <v>7986278</v>
      </c>
      <c r="D132" s="279">
        <v>7752574</v>
      </c>
      <c r="E132" s="279">
        <v>7436991</v>
      </c>
      <c r="F132" s="279">
        <v>7693066</v>
      </c>
      <c r="G132"/>
      <c r="H132"/>
      <c r="I132"/>
      <c r="J132"/>
      <c r="K132"/>
    </row>
    <row r="133" spans="1:11" ht="15">
      <c r="A133" s="278" t="s">
        <v>1097</v>
      </c>
      <c r="B133" s="279">
        <v>1173574</v>
      </c>
      <c r="C133" s="279">
        <v>1238336</v>
      </c>
      <c r="D133" s="279">
        <v>1091951</v>
      </c>
      <c r="E133" s="279">
        <v>1094094</v>
      </c>
      <c r="F133" s="279">
        <v>1086854</v>
      </c>
      <c r="G133"/>
      <c r="H133"/>
      <c r="I133"/>
      <c r="J133"/>
      <c r="K133"/>
    </row>
    <row r="134" spans="1:11" ht="15">
      <c r="A134" s="278" t="s">
        <v>1096</v>
      </c>
      <c r="B134" s="279">
        <v>4447339</v>
      </c>
      <c r="C134" s="279">
        <v>4635886</v>
      </c>
      <c r="D134" s="279">
        <v>4326394</v>
      </c>
      <c r="E134" s="279">
        <v>4278244</v>
      </c>
      <c r="F134" s="279">
        <v>4459342</v>
      </c>
      <c r="G134" s="173">
        <f>B134/B$118</f>
        <v>0.10099412244023713</v>
      </c>
      <c r="H134" s="173">
        <f t="shared" ref="H134" si="17">C134/C$118</f>
        <v>9.9755938384001416E-2</v>
      </c>
      <c r="I134" s="173">
        <f t="shared" ref="I134" si="18">D134/D$118</f>
        <v>9.5272735760929927E-2</v>
      </c>
      <c r="J134" s="173">
        <f t="shared" ref="J134" si="19">E134/E$118</f>
        <v>9.3554757540257244E-2</v>
      </c>
      <c r="K134" s="173">
        <f t="shared" ref="K134" si="20">F134/F$118</f>
        <v>9.5842139233655685E-2</v>
      </c>
    </row>
    <row r="135" spans="1:11" ht="15">
      <c r="A135" s="278" t="s">
        <v>1095</v>
      </c>
      <c r="B135" s="279">
        <v>3958394</v>
      </c>
      <c r="C135" s="279">
        <v>4100098</v>
      </c>
      <c r="D135" s="279">
        <v>3836459</v>
      </c>
      <c r="E135" s="279">
        <v>3797675</v>
      </c>
      <c r="F135" s="279">
        <v>3970628</v>
      </c>
      <c r="G135"/>
      <c r="H135"/>
      <c r="I135"/>
      <c r="J135"/>
      <c r="K135"/>
    </row>
    <row r="136" spans="1:11" ht="15">
      <c r="A136" s="278" t="s">
        <v>1094</v>
      </c>
      <c r="B136" s="279">
        <v>488945</v>
      </c>
      <c r="C136" s="279">
        <v>535788</v>
      </c>
      <c r="D136" s="279">
        <v>489935</v>
      </c>
      <c r="E136" s="279">
        <v>480569</v>
      </c>
      <c r="F136" s="279">
        <v>488714</v>
      </c>
      <c r="G136"/>
      <c r="H136"/>
      <c r="I136"/>
      <c r="J136"/>
      <c r="K136"/>
    </row>
    <row r="137" spans="1:11" ht="15">
      <c r="A137" s="278" t="s">
        <v>1093</v>
      </c>
      <c r="B137" s="279">
        <v>9985791</v>
      </c>
      <c r="C137" s="279">
        <v>10314072</v>
      </c>
      <c r="D137" s="279">
        <v>9857143</v>
      </c>
      <c r="E137" s="279">
        <v>9551138</v>
      </c>
      <c r="F137" s="279">
        <v>9702788</v>
      </c>
      <c r="G137" s="173">
        <f>B137/B$118</f>
        <v>0.22676620759438801</v>
      </c>
      <c r="H137" s="173">
        <f t="shared" ref="H137" si="21">C137/C$118</f>
        <v>0.22194030028351738</v>
      </c>
      <c r="I137" s="173">
        <f t="shared" ref="I137" si="22">D137/D$118</f>
        <v>0.21706691077990126</v>
      </c>
      <c r="J137" s="173">
        <f t="shared" ref="J137" si="23">E137/E$118</f>
        <v>0.20886008367534378</v>
      </c>
      <c r="K137" s="173">
        <f t="shared" ref="K137" si="24">F137/F$118</f>
        <v>0.20853658644047565</v>
      </c>
    </row>
    <row r="138" spans="1:11" ht="15">
      <c r="A138" s="278" t="s">
        <v>1092</v>
      </c>
      <c r="B138" s="279">
        <v>2617631</v>
      </c>
      <c r="C138" s="279">
        <v>2703163</v>
      </c>
      <c r="D138" s="279">
        <v>2684385</v>
      </c>
      <c r="E138" s="279">
        <v>2491828</v>
      </c>
      <c r="F138" s="279">
        <v>2625491</v>
      </c>
      <c r="G138"/>
      <c r="H138"/>
      <c r="I138"/>
      <c r="J138"/>
      <c r="K138"/>
    </row>
    <row r="139" spans="1:11" ht="15">
      <c r="A139" s="278" t="s">
        <v>1091</v>
      </c>
      <c r="B139" s="279">
        <v>1949765</v>
      </c>
      <c r="C139" s="279">
        <v>2075500</v>
      </c>
      <c r="D139" s="279">
        <v>1991411</v>
      </c>
      <c r="E139" s="279">
        <v>2046425</v>
      </c>
      <c r="F139" s="279">
        <v>2108001</v>
      </c>
      <c r="G139"/>
      <c r="H139"/>
      <c r="I139"/>
      <c r="J139"/>
      <c r="K139"/>
    </row>
    <row r="140" spans="1:11" ht="15">
      <c r="A140" s="278" t="s">
        <v>1090</v>
      </c>
      <c r="B140" s="279">
        <v>5418395</v>
      </c>
      <c r="C140" s="279">
        <v>5535409</v>
      </c>
      <c r="D140" s="279">
        <v>5181347</v>
      </c>
      <c r="E140" s="279">
        <v>5012885</v>
      </c>
      <c r="F140" s="279">
        <v>4969296</v>
      </c>
      <c r="G140"/>
      <c r="H140"/>
      <c r="I140"/>
      <c r="J140"/>
      <c r="K140"/>
    </row>
    <row r="141" spans="1:11" ht="15">
      <c r="A141"/>
      <c r="B141"/>
      <c r="C141"/>
      <c r="D141"/>
      <c r="E141"/>
      <c r="F141"/>
      <c r="G141"/>
      <c r="H141"/>
      <c r="I141"/>
      <c r="J141"/>
      <c r="K141"/>
    </row>
    <row r="142" spans="1:11" ht="15">
      <c r="A142" s="276" t="s">
        <v>1276</v>
      </c>
      <c r="B142"/>
      <c r="C142"/>
      <c r="D142"/>
      <c r="E142"/>
      <c r="F142"/>
      <c r="G142"/>
      <c r="H142"/>
      <c r="I142"/>
      <c r="J142"/>
      <c r="K142"/>
    </row>
    <row r="143" spans="1:11" ht="15">
      <c r="A143" s="276" t="s">
        <v>1084</v>
      </c>
      <c r="B143" s="276" t="s">
        <v>1083</v>
      </c>
      <c r="C143"/>
      <c r="D143"/>
      <c r="E143"/>
      <c r="F143"/>
      <c r="G143"/>
      <c r="H143"/>
      <c r="I143"/>
      <c r="J143"/>
      <c r="K143"/>
    </row>
    <row r="145" spans="1:7">
      <c r="B145" s="174"/>
      <c r="C145" s="174"/>
    </row>
    <row r="146" spans="1:7">
      <c r="A146" s="227"/>
      <c r="B146" s="169">
        <v>2007</v>
      </c>
      <c r="C146" s="227">
        <v>2008</v>
      </c>
      <c r="D146" s="227">
        <v>2009</v>
      </c>
      <c r="E146" s="227">
        <v>2010</v>
      </c>
      <c r="F146" s="227">
        <v>2011</v>
      </c>
      <c r="G146" s="227">
        <v>2012</v>
      </c>
    </row>
    <row r="147" spans="1:7" ht="15">
      <c r="A147" t="s">
        <v>1015</v>
      </c>
      <c r="B147" s="174">
        <v>14975</v>
      </c>
      <c r="C147" s="289">
        <v>12960</v>
      </c>
      <c r="D147" s="295">
        <v>11890.1</v>
      </c>
      <c r="E147" s="295">
        <v>12470.4</v>
      </c>
      <c r="F147" s="289">
        <v>13350.2</v>
      </c>
      <c r="G147" s="289">
        <v>14839.8</v>
      </c>
    </row>
    <row r="148" spans="1:7" ht="15">
      <c r="A148" t="s">
        <v>1235</v>
      </c>
      <c r="B148" s="289">
        <f>B149+B159</f>
        <v>9208.8559753046848</v>
      </c>
      <c r="C148" s="289">
        <f>C149+C159</f>
        <v>8645.323876392411</v>
      </c>
      <c r="D148">
        <v>8345</v>
      </c>
      <c r="E148">
        <v>8500</v>
      </c>
      <c r="F148" s="227">
        <v>8770</v>
      </c>
      <c r="G148" s="227">
        <v>9165</v>
      </c>
    </row>
    <row r="149" spans="1:7" ht="15">
      <c r="A149" t="s">
        <v>1236</v>
      </c>
      <c r="B149" s="289">
        <f>FORECAST(B147,C149:G149,C147:G147)</f>
        <v>7407.7476813979038</v>
      </c>
      <c r="C149" s="289">
        <f>FORECAST(C147,D149:G149,D147:G147)</f>
        <v>6975.6609663741465</v>
      </c>
      <c r="D149">
        <v>6750</v>
      </c>
      <c r="E149">
        <v>6875</v>
      </c>
      <c r="F149" s="227">
        <v>7045</v>
      </c>
      <c r="G149" s="227">
        <v>7385</v>
      </c>
    </row>
    <row r="150" spans="1:7" ht="15">
      <c r="A150" t="s">
        <v>1237</v>
      </c>
      <c r="C150" s="227"/>
      <c r="D150" t="s">
        <v>1244</v>
      </c>
      <c r="E150" t="s">
        <v>1244</v>
      </c>
      <c r="F150" s="227" t="s">
        <v>1244</v>
      </c>
      <c r="G150" s="227" t="s">
        <v>1244</v>
      </c>
    </row>
    <row r="151" spans="1:7" ht="15">
      <c r="A151" t="s">
        <v>365</v>
      </c>
      <c r="B151" s="289">
        <f>FORECAST(B$149,C$151:G$151,C$149:G$149)</f>
        <v>4782.9576056261722</v>
      </c>
      <c r="C151" s="289">
        <f>FORECAST(C$149,D$151:G$151,D$149:G$149)</f>
        <v>4601.5046766722371</v>
      </c>
      <c r="D151">
        <v>4560</v>
      </c>
      <c r="E151">
        <v>4520</v>
      </c>
      <c r="F151" s="227">
        <v>4590</v>
      </c>
      <c r="G151" s="227">
        <v>4800</v>
      </c>
    </row>
    <row r="152" spans="1:7" ht="15">
      <c r="A152" t="s">
        <v>1136</v>
      </c>
      <c r="B152" s="289">
        <f>FORECAST(B$149,$C$152:$G$152,C$149:G$149)</f>
        <v>498.01581727602348</v>
      </c>
      <c r="C152" s="289">
        <f>FORECAST(C$149,$D152:$G152,$D149:$G149)</f>
        <v>471.40414474799451</v>
      </c>
      <c r="D152">
        <v>450</v>
      </c>
      <c r="E152">
        <v>485</v>
      </c>
      <c r="F152" s="227">
        <v>460</v>
      </c>
      <c r="G152" s="227">
        <v>500</v>
      </c>
    </row>
    <row r="153" spans="1:7" ht="15">
      <c r="A153" t="s">
        <v>387</v>
      </c>
      <c r="B153" s="289">
        <f t="shared" ref="B153:B158" si="25">FORECAST(B$149,$C153:$G153,C$149:G$149)</f>
        <v>364.64259444329207</v>
      </c>
      <c r="C153" s="289">
        <f t="shared" ref="C153:C158" si="26">FORECAST(C$149,$D153:$G153,$D$149:$G$149)</f>
        <v>332.13435426192814</v>
      </c>
      <c r="D153">
        <v>300</v>
      </c>
      <c r="E153">
        <v>335</v>
      </c>
      <c r="F153" s="227">
        <v>350</v>
      </c>
      <c r="G153" s="227">
        <v>355</v>
      </c>
    </row>
    <row r="154" spans="1:7" ht="15">
      <c r="A154" t="s">
        <v>337</v>
      </c>
      <c r="B154" s="289">
        <f t="shared" si="25"/>
        <v>331.10589090338078</v>
      </c>
      <c r="C154" s="289">
        <f t="shared" si="26"/>
        <v>305.21794197063036</v>
      </c>
      <c r="D154">
        <v>280</v>
      </c>
      <c r="E154">
        <v>310</v>
      </c>
      <c r="F154" s="227">
        <v>315</v>
      </c>
      <c r="G154" s="227">
        <v>325</v>
      </c>
    </row>
    <row r="155" spans="1:7" ht="15">
      <c r="A155" t="s">
        <v>375</v>
      </c>
      <c r="B155" s="289">
        <f t="shared" si="25"/>
        <v>301.99113593153811</v>
      </c>
      <c r="C155" s="289">
        <f t="shared" si="26"/>
        <v>269.64899624745112</v>
      </c>
      <c r="D155">
        <v>245</v>
      </c>
      <c r="E155">
        <v>265</v>
      </c>
      <c r="F155" s="227">
        <v>285</v>
      </c>
      <c r="G155" s="227">
        <v>295</v>
      </c>
    </row>
    <row r="156" spans="1:7" ht="15">
      <c r="A156" t="s">
        <v>361</v>
      </c>
      <c r="B156" s="289">
        <f t="shared" si="25"/>
        <v>245.01602959390124</v>
      </c>
      <c r="C156" s="289">
        <f t="shared" si="26"/>
        <v>228.54835172100599</v>
      </c>
      <c r="D156">
        <v>215</v>
      </c>
      <c r="E156">
        <v>225</v>
      </c>
      <c r="F156" s="227">
        <v>240</v>
      </c>
      <c r="G156" s="227">
        <v>240</v>
      </c>
    </row>
    <row r="157" spans="1:7" ht="15">
      <c r="A157" t="s">
        <v>409</v>
      </c>
      <c r="B157" s="289">
        <f t="shared" si="25"/>
        <v>178.78673196809359</v>
      </c>
      <c r="C157" s="289">
        <f t="shared" si="26"/>
        <v>159.55466724765893</v>
      </c>
      <c r="D157">
        <v>155</v>
      </c>
      <c r="E157">
        <v>150</v>
      </c>
      <c r="F157" s="227">
        <v>160</v>
      </c>
      <c r="G157" s="227">
        <v>180</v>
      </c>
    </row>
    <row r="158" spans="1:7" ht="15">
      <c r="A158" t="s">
        <v>1194</v>
      </c>
      <c r="B158" s="289">
        <f t="shared" si="25"/>
        <v>705.2318756555029</v>
      </c>
      <c r="C158" s="289">
        <f t="shared" si="26"/>
        <v>607.64783350524067</v>
      </c>
      <c r="D158">
        <v>545</v>
      </c>
      <c r="E158">
        <v>585</v>
      </c>
      <c r="F158" s="227">
        <v>645</v>
      </c>
      <c r="G158" s="227">
        <v>690</v>
      </c>
    </row>
    <row r="159" spans="1:7" ht="15">
      <c r="A159" t="s">
        <v>1238</v>
      </c>
      <c r="B159" s="289">
        <f>FORECAST(B$147,$C159:$G159,$C$147:$G$147)</f>
        <v>1801.1082939067812</v>
      </c>
      <c r="C159" s="289">
        <f>FORECAST(C$147,$D159:$G159,$D$147:$G$147)</f>
        <v>1669.662910018264</v>
      </c>
      <c r="D159">
        <v>1595</v>
      </c>
      <c r="E159">
        <v>1625</v>
      </c>
      <c r="F159" s="227">
        <v>1725</v>
      </c>
      <c r="G159" s="227">
        <v>1780</v>
      </c>
    </row>
    <row r="160" spans="1:7" ht="15">
      <c r="A160" t="s">
        <v>1237</v>
      </c>
      <c r="C160" s="227"/>
      <c r="D160" t="s">
        <v>1244</v>
      </c>
      <c r="E160" t="s">
        <v>1244</v>
      </c>
      <c r="F160" s="227" t="s">
        <v>1244</v>
      </c>
      <c r="G160" s="227" t="s">
        <v>1244</v>
      </c>
    </row>
    <row r="161" spans="1:7" ht="15">
      <c r="A161" t="s">
        <v>353</v>
      </c>
      <c r="B161" s="289">
        <f t="shared" ref="B161:B166" si="27">FORECAST(B$159,$C161:$G161,$C$159:$G$159)</f>
        <v>208.15478317675095</v>
      </c>
      <c r="C161" s="289">
        <f t="shared" ref="C161:C166" si="28">FORECAST(C$159,$D161:$G161,$D$159:$G$159)</f>
        <v>185.50323512523551</v>
      </c>
      <c r="D161">
        <v>175</v>
      </c>
      <c r="E161">
        <v>175</v>
      </c>
      <c r="F161" s="227">
        <v>195</v>
      </c>
      <c r="G161" s="227">
        <v>205</v>
      </c>
    </row>
    <row r="162" spans="1:7" ht="15">
      <c r="A162" t="s">
        <v>403</v>
      </c>
      <c r="B162" s="289">
        <f t="shared" si="27"/>
        <v>111.29228192584348</v>
      </c>
      <c r="C162" s="289">
        <f t="shared" si="28"/>
        <v>96.16665537678594</v>
      </c>
      <c r="D162">
        <v>85</v>
      </c>
      <c r="E162">
        <v>95</v>
      </c>
      <c r="F162" s="227">
        <v>100</v>
      </c>
      <c r="G162" s="227">
        <v>110</v>
      </c>
    </row>
    <row r="163" spans="1:7" ht="15">
      <c r="A163" t="s">
        <v>379</v>
      </c>
      <c r="B163" s="289">
        <f t="shared" si="27"/>
        <v>620.9472425918716</v>
      </c>
      <c r="C163" s="289">
        <f t="shared" si="28"/>
        <v>621.27926854050952</v>
      </c>
      <c r="D163">
        <v>620</v>
      </c>
      <c r="E163">
        <v>620</v>
      </c>
      <c r="F163" s="227">
        <v>630</v>
      </c>
      <c r="G163" s="227">
        <v>615</v>
      </c>
    </row>
    <row r="164" spans="1:7" ht="15">
      <c r="A164" t="s">
        <v>377</v>
      </c>
      <c r="B164" s="289">
        <f t="shared" si="27"/>
        <v>340.02390754437158</v>
      </c>
      <c r="C164" s="289">
        <f t="shared" si="28"/>
        <v>276.93897730318031</v>
      </c>
      <c r="D164">
        <v>230</v>
      </c>
      <c r="E164">
        <v>270</v>
      </c>
      <c r="F164" s="227">
        <v>300</v>
      </c>
      <c r="G164" s="227">
        <v>330</v>
      </c>
    </row>
    <row r="165" spans="1:7" ht="15">
      <c r="A165" t="s">
        <v>369</v>
      </c>
      <c r="B165" s="289">
        <f t="shared" si="27"/>
        <v>208.07886153889325</v>
      </c>
      <c r="C165" s="289">
        <f t="shared" si="28"/>
        <v>200.5898318085062</v>
      </c>
      <c r="D165">
        <v>200</v>
      </c>
      <c r="E165">
        <v>195</v>
      </c>
      <c r="F165" s="227">
        <v>200</v>
      </c>
      <c r="G165" s="227">
        <v>210</v>
      </c>
    </row>
    <row r="166" spans="1:7" ht="15">
      <c r="A166" t="s">
        <v>1239</v>
      </c>
      <c r="B166" s="289">
        <f t="shared" si="27"/>
        <v>312.61121712905032</v>
      </c>
      <c r="C166" s="289">
        <f t="shared" si="28"/>
        <v>289.18494186404649</v>
      </c>
      <c r="D166">
        <v>285</v>
      </c>
      <c r="E166">
        <v>270</v>
      </c>
      <c r="F166" s="227">
        <v>300</v>
      </c>
      <c r="G166" s="227">
        <v>310</v>
      </c>
    </row>
    <row r="167" spans="1:7" ht="15">
      <c r="A167" t="s">
        <v>1240</v>
      </c>
      <c r="B167" s="289">
        <f>FORECAST(B$147,$C167:$G167,$C$147:$G$147)</f>
        <v>4285.957191236098</v>
      </c>
      <c r="C167" s="289">
        <f>FORECAST(C$147,$D167:$G167,$D$147:$G$147)</f>
        <v>3073.0835316180355</v>
      </c>
      <c r="D167">
        <v>2480</v>
      </c>
      <c r="E167">
        <v>2720</v>
      </c>
      <c r="F167" s="227">
        <v>3300</v>
      </c>
      <c r="G167" s="227">
        <v>4220</v>
      </c>
    </row>
    <row r="168" spans="1:7" ht="15">
      <c r="A168" t="s">
        <v>417</v>
      </c>
      <c r="B168" s="289">
        <f>FORECAST(B$167,$C168:$G168,$C$167:$G$167)</f>
        <v>1950.5307899946154</v>
      </c>
      <c r="C168" s="289">
        <f>FORECAST(C$167,$D168:$G168,$D$167:$G$167)</f>
        <v>1498.9418155940984</v>
      </c>
      <c r="D168">
        <v>1295</v>
      </c>
      <c r="E168">
        <v>1350</v>
      </c>
      <c r="F168" s="227">
        <v>1580</v>
      </c>
      <c r="G168" s="227">
        <v>1930</v>
      </c>
    </row>
    <row r="169" spans="1:7" ht="15">
      <c r="A169" t="s">
        <v>339</v>
      </c>
      <c r="B169" s="289">
        <f t="shared" ref="B169:B170" si="29">FORECAST(B$167,$C169:$G169,$C$167:$G$167)</f>
        <v>1648.3303463331877</v>
      </c>
      <c r="C169" s="289">
        <f>FORECAST(C$167,$D169:$G169,$D$167:$G$167)</f>
        <v>1122.3874126036153</v>
      </c>
      <c r="D169">
        <v>865</v>
      </c>
      <c r="E169">
        <v>970</v>
      </c>
      <c r="F169" s="227">
        <v>1220</v>
      </c>
      <c r="G169" s="227">
        <v>1620</v>
      </c>
    </row>
    <row r="170" spans="1:7" ht="15">
      <c r="A170" t="s">
        <v>1152</v>
      </c>
      <c r="B170" s="289">
        <f t="shared" si="29"/>
        <v>687.09605490829472</v>
      </c>
      <c r="C170" s="289">
        <f>FORECAST(C$167,$D170:$G170,$D$167:$G$167)</f>
        <v>451.754303420322</v>
      </c>
      <c r="D170">
        <v>320</v>
      </c>
      <c r="E170">
        <v>400</v>
      </c>
      <c r="F170" s="227">
        <v>500</v>
      </c>
      <c r="G170" s="227">
        <v>670</v>
      </c>
    </row>
    <row r="171" spans="1:7" ht="15">
      <c r="A171" t="s">
        <v>1241</v>
      </c>
      <c r="B171" s="291">
        <f>SUM(B172:B173)</f>
        <v>532.84301456746425</v>
      </c>
      <c r="C171" s="291">
        <f>SUM(C172:C173)</f>
        <v>454.32887110004987</v>
      </c>
      <c r="D171">
        <v>390</v>
      </c>
      <c r="E171">
        <v>460</v>
      </c>
      <c r="F171" s="227">
        <v>475</v>
      </c>
      <c r="G171" s="227">
        <v>520</v>
      </c>
    </row>
    <row r="172" spans="1:7" ht="15">
      <c r="A172" t="s">
        <v>1038</v>
      </c>
      <c r="B172" s="289">
        <f>FORECAST(B$147,$C172:$G172,$C$147:$G$147)</f>
        <v>283.9336219359933</v>
      </c>
      <c r="C172" s="289">
        <f>FORECAST(C$147,$D172:$G172,$D$147:$G$147)</f>
        <v>242.60700205653126</v>
      </c>
      <c r="D172">
        <v>215</v>
      </c>
      <c r="E172">
        <v>240</v>
      </c>
      <c r="F172" s="227">
        <v>250</v>
      </c>
      <c r="G172" s="227">
        <v>280</v>
      </c>
    </row>
    <row r="173" spans="1:7" ht="15">
      <c r="A173" t="s">
        <v>1242</v>
      </c>
      <c r="B173" s="289">
        <f>FORECAST(B$147,$C173:$G173,$C$147:$G$147)</f>
        <v>248.90939263147101</v>
      </c>
      <c r="C173" s="289">
        <f>FORECAST(C$147,$D173:$G173,$D$147:$G$147)</f>
        <v>211.72186904351861</v>
      </c>
      <c r="D173">
        <v>175</v>
      </c>
      <c r="E173">
        <v>220</v>
      </c>
      <c r="F173" s="227">
        <v>225</v>
      </c>
      <c r="G173" s="227">
        <v>240</v>
      </c>
    </row>
    <row r="174" spans="1:7" ht="15">
      <c r="A174" t="s">
        <v>1243</v>
      </c>
      <c r="B174" s="289">
        <f>FORECAST(B$147,$C174:$G174,$C$147:$G$147)</f>
        <v>947.47508110400008</v>
      </c>
      <c r="C174" s="289">
        <f>FORECAST(C$147,$D174:$G174,$D$147:$G$147)</f>
        <v>787.11394719036775</v>
      </c>
      <c r="D174">
        <v>675</v>
      </c>
      <c r="E174">
        <v>790</v>
      </c>
      <c r="F174" s="227">
        <v>805</v>
      </c>
      <c r="G174" s="227">
        <v>935</v>
      </c>
    </row>
    <row r="175" spans="1:7" ht="15">
      <c r="A175" s="283" t="s">
        <v>1285</v>
      </c>
      <c r="C175" s="227"/>
      <c r="D175"/>
      <c r="E175"/>
      <c r="F175" s="227"/>
      <c r="G175" s="227"/>
    </row>
    <row r="176" spans="1:7" ht="15">
      <c r="A176"/>
      <c r="C176" s="227"/>
      <c r="D176"/>
      <c r="E176"/>
      <c r="F176" s="227"/>
      <c r="G176" s="227"/>
    </row>
    <row r="177" spans="1:14">
      <c r="A177" s="169" t="s">
        <v>69</v>
      </c>
      <c r="B177" s="280">
        <f>B148+B167</f>
        <v>13494.813166540782</v>
      </c>
      <c r="C177" s="280">
        <f>C148+C167</f>
        <v>11718.407408010447</v>
      </c>
      <c r="D177" s="280">
        <f>D148+D167</f>
        <v>10825</v>
      </c>
      <c r="E177" s="280">
        <f>E148+E167</f>
        <v>11220</v>
      </c>
      <c r="F177" s="280">
        <f>F148+F167</f>
        <v>12070</v>
      </c>
      <c r="G177" s="280">
        <f t="shared" ref="G177" si="30">G148+G167</f>
        <v>13385</v>
      </c>
    </row>
    <row r="180" spans="1:14" ht="15">
      <c r="A180" s="296" t="s">
        <v>365</v>
      </c>
      <c r="C180" s="227"/>
      <c r="D180" s="227"/>
      <c r="E180" s="227"/>
      <c r="F180" s="227"/>
      <c r="G180" s="227"/>
      <c r="H180" s="227"/>
      <c r="I180" s="227"/>
      <c r="J180" s="227"/>
      <c r="K180" s="227"/>
      <c r="L180" s="227"/>
      <c r="M180" s="227"/>
      <c r="N180" s="227"/>
    </row>
    <row r="181" spans="1:14">
      <c r="A181" s="234" t="s">
        <v>451</v>
      </c>
      <c r="B181" s="289">
        <v>246.126</v>
      </c>
      <c r="C181" s="289">
        <v>256.24299999999999</v>
      </c>
      <c r="D181" s="289">
        <v>233.52600000000001</v>
      </c>
      <c r="E181" s="289">
        <v>245.29833333333332</v>
      </c>
      <c r="F181" s="289">
        <v>245.02244444444443</v>
      </c>
      <c r="H181" s="227"/>
      <c r="I181" s="227"/>
      <c r="J181" s="227"/>
      <c r="K181" s="227"/>
      <c r="L181" s="227"/>
      <c r="M181" s="227"/>
      <c r="N181" s="227"/>
    </row>
    <row r="182" spans="1:14">
      <c r="A182" s="234" t="s">
        <v>246</v>
      </c>
      <c r="B182" s="289">
        <v>266.40499999999997</v>
      </c>
      <c r="C182" s="289">
        <v>270.66000000000003</v>
      </c>
      <c r="D182" s="289">
        <v>255.06899999999999</v>
      </c>
      <c r="E182" s="289">
        <v>264.04466666666667</v>
      </c>
      <c r="F182" s="289">
        <v>286.95109888888891</v>
      </c>
      <c r="H182" s="227"/>
      <c r="I182" s="227"/>
      <c r="J182" s="227"/>
      <c r="K182" s="227"/>
      <c r="L182" s="227"/>
      <c r="M182" s="227"/>
      <c r="N182" s="227"/>
    </row>
    <row r="183" spans="1:14">
      <c r="A183" s="234" t="s">
        <v>276</v>
      </c>
      <c r="B183" s="289">
        <v>661.79200000000003</v>
      </c>
      <c r="C183" s="289">
        <v>597.65499999999997</v>
      </c>
      <c r="D183" s="289">
        <v>537.98400000000004</v>
      </c>
      <c r="E183" s="289">
        <v>599.14366666666672</v>
      </c>
      <c r="F183" s="289">
        <v>630.30436888888903</v>
      </c>
      <c r="H183" s="227"/>
      <c r="I183" s="227"/>
      <c r="J183" s="227"/>
      <c r="K183" s="227"/>
      <c r="L183" s="227"/>
      <c r="M183" s="227"/>
      <c r="N183" s="227"/>
    </row>
    <row r="184" spans="1:14">
      <c r="A184" s="234" t="s">
        <v>1295</v>
      </c>
      <c r="B184" s="289">
        <v>160.49299999999999</v>
      </c>
      <c r="C184" s="289">
        <v>144.09299999999999</v>
      </c>
      <c r="D184" s="289">
        <v>123.937</v>
      </c>
      <c r="E184" s="289">
        <v>142.84100000000001</v>
      </c>
      <c r="F184" s="289">
        <v>149.28313</v>
      </c>
      <c r="H184" s="227"/>
      <c r="I184" s="227"/>
      <c r="J184" s="227"/>
      <c r="K184" s="227"/>
      <c r="L184" s="227"/>
      <c r="M184" s="227"/>
      <c r="N184" s="227"/>
    </row>
    <row r="185" spans="1:14">
      <c r="A185" s="227"/>
      <c r="B185" s="291">
        <f>SUM(B181:B184)</f>
        <v>1334.8159999999998</v>
      </c>
      <c r="C185" s="291">
        <f t="shared" ref="C185:F185" si="31">SUM(C181:C184)</f>
        <v>1268.6510000000001</v>
      </c>
      <c r="D185" s="291">
        <f t="shared" si="31"/>
        <v>1150.5160000000001</v>
      </c>
      <c r="E185" s="291">
        <f t="shared" si="31"/>
        <v>1251.3276666666666</v>
      </c>
      <c r="F185" s="291">
        <f t="shared" si="31"/>
        <v>1311.5610422222223</v>
      </c>
      <c r="H185" s="227"/>
      <c r="I185" s="227"/>
      <c r="J185" s="227"/>
      <c r="K185" s="227"/>
      <c r="L185" s="227"/>
      <c r="M185" s="227"/>
      <c r="N185" s="227"/>
    </row>
    <row r="186" spans="1:14">
      <c r="A186" s="227"/>
      <c r="C186" s="227"/>
      <c r="D186" s="227"/>
      <c r="E186" s="227"/>
      <c r="F186" s="227"/>
      <c r="G186" s="227"/>
      <c r="H186" s="227"/>
      <c r="I186" s="227"/>
      <c r="J186" s="227"/>
      <c r="K186" s="227"/>
      <c r="L186" s="227"/>
      <c r="M186" s="227"/>
      <c r="N186" s="227"/>
    </row>
    <row r="187" spans="1:14">
      <c r="A187" s="234" t="s">
        <v>391</v>
      </c>
      <c r="C187" s="227"/>
      <c r="D187" s="227"/>
      <c r="E187" s="227"/>
      <c r="F187" s="227"/>
      <c r="G187" s="227"/>
      <c r="H187" s="227"/>
      <c r="I187" s="227"/>
      <c r="J187" s="227"/>
      <c r="K187" s="227"/>
      <c r="L187" s="227"/>
      <c r="M187" s="227"/>
      <c r="N187" s="227"/>
    </row>
    <row r="188" spans="1:14">
      <c r="A188" s="234" t="s">
        <v>451</v>
      </c>
      <c r="B188" s="291">
        <f>(B181/B$185)*B$173</f>
        <v>45.896268227840721</v>
      </c>
      <c r="C188" s="291">
        <f t="shared" ref="C188:F188" si="32">(C181/C$185)*C$173</f>
        <v>42.763728471674511</v>
      </c>
      <c r="D188" s="291">
        <f t="shared" si="32"/>
        <v>35.52062726637439</v>
      </c>
      <c r="E188" s="291">
        <f t="shared" si="32"/>
        <v>43.126700360656933</v>
      </c>
      <c r="F188" s="291">
        <f t="shared" si="32"/>
        <v>42.033918533133075</v>
      </c>
      <c r="G188" s="280">
        <f>FORECAST($G$173,$B188:$F188,$B$173:$F$173)</f>
        <v>45.14764701687939</v>
      </c>
      <c r="H188" s="227"/>
      <c r="I188" s="233">
        <f t="shared" ref="I188:L192" si="33">C188/B188-1</f>
        <v>-6.8252602599747081E-2</v>
      </c>
      <c r="J188" s="233">
        <f t="shared" si="33"/>
        <v>-0.16937487595586398</v>
      </c>
      <c r="K188" s="233">
        <f t="shared" si="33"/>
        <v>0.21413115926257409</v>
      </c>
      <c r="L188" s="233">
        <f t="shared" si="33"/>
        <v>-2.533886938683505E-2</v>
      </c>
      <c r="M188" s="233">
        <f t="shared" ref="M188:M192" si="34">G188/F188-1</f>
        <v>7.4076569408867421E-2</v>
      </c>
      <c r="N188" s="227"/>
    </row>
    <row r="189" spans="1:14">
      <c r="A189" s="234" t="s">
        <v>246</v>
      </c>
      <c r="B189" s="291">
        <f t="shared" ref="B189:F189" si="35">(B182/B$185)*B$173</f>
        <v>49.677788357336922</v>
      </c>
      <c r="C189" s="291">
        <f t="shared" si="35"/>
        <v>45.169744141863092</v>
      </c>
      <c r="D189" s="291">
        <f t="shared" si="35"/>
        <v>38.7974395836303</v>
      </c>
      <c r="E189" s="291">
        <f t="shared" si="35"/>
        <v>46.422554390896288</v>
      </c>
      <c r="F189" s="291">
        <f t="shared" si="35"/>
        <v>49.22683365206322</v>
      </c>
      <c r="G189" s="280">
        <f>FORECAST($G$173,$B189:$F189,$B$173:$F$173)</f>
        <v>49.596015299292795</v>
      </c>
      <c r="H189" s="227"/>
      <c r="I189" s="233">
        <f t="shared" si="33"/>
        <v>-9.0745670540867351E-2</v>
      </c>
      <c r="J189" s="233">
        <f t="shared" si="33"/>
        <v>-0.14107462150371075</v>
      </c>
      <c r="K189" s="233">
        <f t="shared" si="33"/>
        <v>0.19653654697572454</v>
      </c>
      <c r="L189" s="233">
        <f t="shared" si="33"/>
        <v>6.0407689709484513E-2</v>
      </c>
      <c r="M189" s="233">
        <f t="shared" si="34"/>
        <v>7.4996017383315294E-3</v>
      </c>
      <c r="N189" s="227"/>
    </row>
    <row r="190" spans="1:14">
      <c r="A190" s="234" t="s">
        <v>276</v>
      </c>
      <c r="B190" s="291">
        <f t="shared" ref="B190:F190" si="36">(B183/B$185)*B$173</f>
        <v>123.40745448688544</v>
      </c>
      <c r="C190" s="291">
        <f t="shared" si="36"/>
        <v>99.741090058025492</v>
      </c>
      <c r="D190" s="291">
        <f t="shared" si="36"/>
        <v>81.830413484036725</v>
      </c>
      <c r="E190" s="291">
        <f t="shared" si="36"/>
        <v>105.33740296639597</v>
      </c>
      <c r="F190" s="291">
        <f t="shared" si="36"/>
        <v>108.12953300268218</v>
      </c>
      <c r="G190" s="280">
        <f>FORECAST($G$173,$B190:$F190,$B$173:$F$173)</f>
        <v>117.02690217517498</v>
      </c>
      <c r="H190" s="227"/>
      <c r="I190" s="233">
        <f t="shared" si="33"/>
        <v>-0.19177418841724014</v>
      </c>
      <c r="J190" s="233">
        <f t="shared" si="33"/>
        <v>-0.17957169471046519</v>
      </c>
      <c r="K190" s="233">
        <f t="shared" si="33"/>
        <v>0.2872647036904552</v>
      </c>
      <c r="L190" s="233">
        <f t="shared" si="33"/>
        <v>2.6506539535410267E-2</v>
      </c>
      <c r="M190" s="233">
        <f t="shared" si="34"/>
        <v>8.2284357708935163E-2</v>
      </c>
      <c r="N190" s="227"/>
    </row>
    <row r="191" spans="1:14">
      <c r="A191" s="234" t="s">
        <v>1295</v>
      </c>
      <c r="B191" s="291">
        <f>(B184/B$185)*B$173</f>
        <v>29.927881559407947</v>
      </c>
      <c r="C191" s="291">
        <f t="shared" ref="C191:F191" si="37">(C184/C$185)*C$173</f>
        <v>24.047306371955504</v>
      </c>
      <c r="D191" s="291">
        <f t="shared" si="37"/>
        <v>18.851519665958577</v>
      </c>
      <c r="E191" s="291">
        <f t="shared" si="37"/>
        <v>25.113342282050827</v>
      </c>
      <c r="F191" s="291">
        <f t="shared" si="37"/>
        <v>25.609714812121531</v>
      </c>
      <c r="G191" s="280">
        <f>FORECAST($G$173,$B191:$F191,$B$173:$F$173)</f>
        <v>28.229435508652831</v>
      </c>
      <c r="H191" s="227"/>
      <c r="I191" s="233">
        <f t="shared" si="33"/>
        <v>-0.19649152833551831</v>
      </c>
      <c r="J191" s="233">
        <f t="shared" si="33"/>
        <v>-0.21606522683373663</v>
      </c>
      <c r="K191" s="233">
        <f t="shared" si="33"/>
        <v>0.33216540242109138</v>
      </c>
      <c r="L191" s="233">
        <f t="shared" si="33"/>
        <v>1.9765291473189395E-2</v>
      </c>
      <c r="M191" s="233">
        <f t="shared" si="34"/>
        <v>0.10229402067731508</v>
      </c>
      <c r="N191" s="227"/>
    </row>
    <row r="192" spans="1:14">
      <c r="A192" s="227"/>
      <c r="B192" s="291">
        <f>SUM(B188:B191)</f>
        <v>248.90939263147104</v>
      </c>
      <c r="C192" s="291">
        <f t="shared" ref="C192:F192" si="38">SUM(C188:C191)</f>
        <v>211.72186904351858</v>
      </c>
      <c r="D192" s="291">
        <f t="shared" si="38"/>
        <v>175</v>
      </c>
      <c r="E192" s="291">
        <f t="shared" si="38"/>
        <v>220.00000000000003</v>
      </c>
      <c r="F192" s="291">
        <f t="shared" si="38"/>
        <v>225</v>
      </c>
      <c r="G192" s="291">
        <f>SUM(G188:G191)</f>
        <v>240</v>
      </c>
      <c r="H192" s="227"/>
      <c r="I192" s="233">
        <f t="shared" si="33"/>
        <v>-0.14940184938304579</v>
      </c>
      <c r="J192" s="233">
        <f t="shared" si="33"/>
        <v>-0.17344391115294067</v>
      </c>
      <c r="K192" s="233">
        <f t="shared" si="33"/>
        <v>0.25714285714285734</v>
      </c>
      <c r="L192" s="233">
        <f t="shared" si="33"/>
        <v>2.2727272727272485E-2</v>
      </c>
      <c r="M192" s="233">
        <f t="shared" si="34"/>
        <v>6.6666666666666652E-2</v>
      </c>
      <c r="N192" s="227"/>
    </row>
    <row r="193" spans="1:14">
      <c r="A193" s="227"/>
      <c r="C193" s="227"/>
      <c r="D193" s="227"/>
      <c r="E193" s="227"/>
      <c r="F193" s="227"/>
      <c r="G193" s="227"/>
      <c r="H193" s="227"/>
      <c r="I193" s="227"/>
      <c r="J193" s="227"/>
      <c r="K193" s="227"/>
      <c r="L193" s="227"/>
      <c r="M193" s="227"/>
      <c r="N193" s="227"/>
    </row>
    <row r="194" spans="1:14">
      <c r="A194" s="227" t="s">
        <v>1243</v>
      </c>
      <c r="B194" s="289">
        <f>B174</f>
        <v>947.47508110400008</v>
      </c>
      <c r="C194" s="289">
        <f t="shared" ref="C194:G194" si="39">C174</f>
        <v>787.11394719036775</v>
      </c>
      <c r="D194" s="289">
        <f t="shared" si="39"/>
        <v>675</v>
      </c>
      <c r="E194" s="289">
        <f t="shared" si="39"/>
        <v>790</v>
      </c>
      <c r="F194" s="289">
        <f t="shared" si="39"/>
        <v>805</v>
      </c>
      <c r="G194" s="289">
        <f t="shared" si="39"/>
        <v>935</v>
      </c>
      <c r="H194" s="227"/>
      <c r="I194" s="227"/>
      <c r="J194" s="227"/>
      <c r="K194" s="227"/>
      <c r="L194" s="227"/>
      <c r="M194" s="227"/>
      <c r="N194" s="227"/>
    </row>
    <row r="195" spans="1:14">
      <c r="A195" s="227"/>
      <c r="C195" s="227"/>
      <c r="D195" s="227"/>
      <c r="E195" s="227"/>
      <c r="F195" s="227"/>
      <c r="G195" s="227"/>
      <c r="H195" s="227"/>
      <c r="I195" s="227"/>
      <c r="J195" s="227"/>
      <c r="K195" s="227"/>
      <c r="L195" s="227"/>
      <c r="M195" s="227"/>
      <c r="N195" s="227"/>
    </row>
    <row r="196" spans="1:14" ht="15">
      <c r="A196" s="296" t="s">
        <v>365</v>
      </c>
      <c r="C196" s="227"/>
      <c r="D196" s="227"/>
      <c r="E196" s="227"/>
      <c r="F196" s="227"/>
      <c r="G196" s="227"/>
      <c r="H196" s="227"/>
      <c r="I196" s="227"/>
      <c r="J196" s="227"/>
      <c r="K196" s="227"/>
      <c r="L196" s="227"/>
      <c r="M196" s="227"/>
      <c r="N196" s="227"/>
    </row>
    <row r="197" spans="1:14">
      <c r="A197" s="234" t="s">
        <v>65</v>
      </c>
      <c r="B197" s="289">
        <v>169.60103935712644</v>
      </c>
      <c r="C197" s="289">
        <v>170.56984463439537</v>
      </c>
      <c r="D197" s="289">
        <v>166.43735045986941</v>
      </c>
      <c r="E197" s="289">
        <v>186.11933061466158</v>
      </c>
      <c r="F197" s="289">
        <v>209.04581790578874</v>
      </c>
      <c r="H197" s="227"/>
      <c r="I197" s="233">
        <f t="shared" ref="I197:L202" si="40">C197/B197-1</f>
        <v>5.712260260557267E-3</v>
      </c>
      <c r="J197" s="233">
        <f t="shared" si="40"/>
        <v>-2.4227577760791652E-2</v>
      </c>
      <c r="K197" s="233">
        <f t="shared" si="40"/>
        <v>0.11825458708883851</v>
      </c>
      <c r="L197" s="233">
        <f t="shared" si="40"/>
        <v>0.12318165563680106</v>
      </c>
      <c r="M197" s="227"/>
      <c r="N197" s="227"/>
    </row>
    <row r="198" spans="1:14">
      <c r="A198" s="234" t="s">
        <v>67</v>
      </c>
      <c r="B198" s="289">
        <v>2090.2972440862068</v>
      </c>
      <c r="C198" s="289">
        <v>2041.8269053178867</v>
      </c>
      <c r="D198" s="289">
        <v>1810.2753400398144</v>
      </c>
      <c r="E198" s="289">
        <v>2183.158600627753</v>
      </c>
      <c r="F198" s="289">
        <v>2411.5746959422913</v>
      </c>
      <c r="H198" s="227"/>
      <c r="I198" s="233">
        <f t="shared" si="40"/>
        <v>-2.3188251769192481E-2</v>
      </c>
      <c r="J198" s="233">
        <f t="shared" si="40"/>
        <v>-0.11340411112959781</v>
      </c>
      <c r="K198" s="233">
        <f t="shared" si="40"/>
        <v>0.20598151692202671</v>
      </c>
      <c r="L198" s="233">
        <f t="shared" si="40"/>
        <v>0.1046264322018835</v>
      </c>
      <c r="M198" s="227"/>
      <c r="N198" s="227"/>
    </row>
    <row r="199" spans="1:14">
      <c r="A199" s="234" t="s">
        <v>70</v>
      </c>
      <c r="B199" s="289">
        <v>372.72328387148298</v>
      </c>
      <c r="C199" s="289">
        <v>409.87825770897859</v>
      </c>
      <c r="D199" s="289">
        <v>434.93466653923497</v>
      </c>
      <c r="E199" s="289">
        <v>492.01558989026228</v>
      </c>
      <c r="F199" s="289">
        <v>539.06132876051515</v>
      </c>
      <c r="H199" s="227"/>
      <c r="I199" s="233">
        <f t="shared" si="40"/>
        <v>9.9685142960660444E-2</v>
      </c>
      <c r="J199" s="233">
        <f t="shared" si="40"/>
        <v>6.113134414669763E-2</v>
      </c>
      <c r="K199" s="233">
        <f t="shared" si="40"/>
        <v>0.13124022466458896</v>
      </c>
      <c r="L199" s="233">
        <f t="shared" si="40"/>
        <v>9.5618390630154204E-2</v>
      </c>
      <c r="M199" s="227"/>
      <c r="N199" s="227"/>
    </row>
    <row r="200" spans="1:14">
      <c r="A200" s="234" t="s">
        <v>453</v>
      </c>
      <c r="B200" s="289">
        <v>58.965000000000003</v>
      </c>
      <c r="C200" s="289">
        <v>60.72</v>
      </c>
      <c r="D200" s="289">
        <v>49.28</v>
      </c>
      <c r="E200" s="289">
        <v>56.321666666666665</v>
      </c>
      <c r="F200" s="289">
        <v>55.440555555555555</v>
      </c>
      <c r="H200" s="227"/>
      <c r="I200" s="233">
        <f t="shared" si="40"/>
        <v>2.9763418977359457E-2</v>
      </c>
      <c r="J200" s="233">
        <f t="shared" si="40"/>
        <v>-0.18840579710144922</v>
      </c>
      <c r="K200" s="233">
        <f t="shared" si="40"/>
        <v>0.14289096320346317</v>
      </c>
      <c r="L200" s="233">
        <f t="shared" si="40"/>
        <v>-1.5644265577683725E-2</v>
      </c>
      <c r="M200" s="227"/>
      <c r="N200" s="227"/>
    </row>
    <row r="201" spans="1:14">
      <c r="A201" s="234" t="s">
        <v>74</v>
      </c>
      <c r="B201" s="289">
        <v>377.519269184846</v>
      </c>
      <c r="C201" s="289">
        <v>457.51994904235585</v>
      </c>
      <c r="D201" s="289">
        <v>378.51919584690665</v>
      </c>
      <c r="E201" s="289">
        <v>421.17431974093904</v>
      </c>
      <c r="F201" s="289">
        <v>419.07115487673377</v>
      </c>
      <c r="H201" s="227"/>
      <c r="I201" s="233">
        <f t="shared" si="40"/>
        <v>0.21191151389504004</v>
      </c>
      <c r="J201" s="233">
        <f t="shared" si="40"/>
        <v>-0.17267171269975712</v>
      </c>
      <c r="K201" s="233">
        <f t="shared" si="40"/>
        <v>0.11268946030225746</v>
      </c>
      <c r="L201" s="233">
        <f t="shared" si="40"/>
        <v>-4.9935733629222767E-3</v>
      </c>
      <c r="M201" s="227"/>
      <c r="N201" s="227"/>
    </row>
    <row r="202" spans="1:14">
      <c r="A202" s="227"/>
      <c r="B202" s="291">
        <f>SUM(B197:B201)</f>
        <v>3069.1058364996625</v>
      </c>
      <c r="C202" s="291">
        <f t="shared" ref="C202:F202" si="41">SUM(C197:C201)</f>
        <v>3140.514956703616</v>
      </c>
      <c r="D202" s="291">
        <f t="shared" si="41"/>
        <v>2839.4465528858259</v>
      </c>
      <c r="E202" s="291">
        <f t="shared" si="41"/>
        <v>3338.7895075402826</v>
      </c>
      <c r="F202" s="291">
        <f t="shared" si="41"/>
        <v>3634.1935530408846</v>
      </c>
      <c r="H202" s="227"/>
      <c r="I202" s="233">
        <f t="shared" si="40"/>
        <v>2.3267076473777237E-2</v>
      </c>
      <c r="J202" s="233">
        <f t="shared" si="40"/>
        <v>-9.5865935354054521E-2</v>
      </c>
      <c r="K202" s="233">
        <f t="shared" si="40"/>
        <v>0.1758592547364406</v>
      </c>
      <c r="L202" s="233">
        <f t="shared" si="40"/>
        <v>8.8476390869644428E-2</v>
      </c>
      <c r="M202" s="227"/>
      <c r="N202" s="227"/>
    </row>
    <row r="203" spans="1:14" ht="15">
      <c r="A203" s="296" t="s">
        <v>391</v>
      </c>
      <c r="C203" s="227"/>
      <c r="D203" s="227"/>
      <c r="E203" s="227"/>
      <c r="F203" s="227"/>
      <c r="G203" s="227"/>
      <c r="H203" s="227"/>
      <c r="I203" s="227"/>
      <c r="J203" s="227"/>
      <c r="K203" s="227"/>
      <c r="L203" s="227"/>
      <c r="M203" s="227"/>
      <c r="N203" s="227"/>
    </row>
    <row r="204" spans="1:14">
      <c r="A204" s="234" t="s">
        <v>65</v>
      </c>
      <c r="B204" s="289">
        <f>(B197/B202)*B194*0.998</f>
        <v>52.253451508886499</v>
      </c>
      <c r="C204" s="289">
        <f>(C197/C202)*C194</f>
        <v>42.750283164627255</v>
      </c>
      <c r="D204" s="289">
        <f>(D197/D202)*D194</f>
        <v>39.565883515656104</v>
      </c>
      <c r="E204" s="289">
        <f>(E197/E202)*E194</f>
        <v>44.038197332752539</v>
      </c>
      <c r="F204" s="289">
        <f>(F197/F202)*F194</f>
        <v>46.305151599135741</v>
      </c>
      <c r="G204" s="280">
        <f>FORECAST($G$174,$B204:$F204,$B$174:$F$174)*1.06</f>
        <v>54.452575819274571</v>
      </c>
      <c r="H204" s="227"/>
      <c r="I204" s="233">
        <f t="shared" ref="I204:M209" si="42">C204/B204-1</f>
        <v>-0.18186680630356222</v>
      </c>
      <c r="J204" s="233">
        <f t="shared" si="42"/>
        <v>-7.4488387286426483E-2</v>
      </c>
      <c r="K204" s="233">
        <f t="shared" si="42"/>
        <v>0.11303460000651211</v>
      </c>
      <c r="L204" s="233">
        <f t="shared" si="42"/>
        <v>5.1476999597737771E-2</v>
      </c>
      <c r="M204" s="233">
        <f t="shared" si="42"/>
        <v>0.17595070826397841</v>
      </c>
      <c r="N204" s="227"/>
    </row>
    <row r="205" spans="1:14">
      <c r="A205" s="234" t="s">
        <v>67</v>
      </c>
      <c r="B205" s="289">
        <f>(B198/B$202)*B$194*0.96</f>
        <v>619.49130141617832</v>
      </c>
      <c r="C205" s="289">
        <f>(C198/C$202)*C$194</f>
        <v>511.74742266190992</v>
      </c>
      <c r="D205" s="289">
        <f>(D198/D$202)*D$194</f>
        <v>430.34296711272128</v>
      </c>
      <c r="E205" s="289">
        <f>E194-SUM(E204,E206,E207,E208)</f>
        <v>511.07743297681708</v>
      </c>
      <c r="F205" s="289">
        <f>(F198/F$202)*F$194</f>
        <v>534.18113314552591</v>
      </c>
      <c r="G205" s="280">
        <f>FORECAST($G$174,$B205:$F205,$B$174:$F$174)</f>
        <v>614.43270469318475</v>
      </c>
      <c r="H205" s="227"/>
      <c r="I205" s="233">
        <f t="shared" si="42"/>
        <v>-0.17392315034603745</v>
      </c>
      <c r="J205" s="233">
        <f t="shared" si="42"/>
        <v>-0.15907154964406955</v>
      </c>
      <c r="K205" s="233">
        <f t="shared" si="42"/>
        <v>0.18760493846515858</v>
      </c>
      <c r="L205" s="233">
        <f t="shared" si="42"/>
        <v>4.5205870339723786E-2</v>
      </c>
      <c r="M205" s="233">
        <f t="shared" si="42"/>
        <v>0.15023288275850821</v>
      </c>
      <c r="N205" s="227"/>
    </row>
    <row r="206" spans="1:14">
      <c r="A206" s="234" t="s">
        <v>70</v>
      </c>
      <c r="B206" s="289">
        <f>(B199/B$202)*B$194*1.17</f>
        <v>134.62580622548694</v>
      </c>
      <c r="C206" s="289">
        <f>(C199/C$202)*C$194*1.1</f>
        <v>113.00152602826763</v>
      </c>
      <c r="D206" s="289">
        <f>(D199/D$202)*D$194</f>
        <v>103.3937052330171</v>
      </c>
      <c r="E206" s="289">
        <f>(E199/E$202)*E$194*1.03</f>
        <v>119.90965126419432</v>
      </c>
      <c r="F206" s="289">
        <f>(F199/F$202)*F$194</f>
        <v>119.40595989696668</v>
      </c>
      <c r="G206" s="280">
        <f>FORECAST($G$174,$B206:$F206,$B$174:$F$174)*1.06</f>
        <v>141.49119239388128</v>
      </c>
      <c r="H206" s="227"/>
      <c r="I206" s="233">
        <f t="shared" si="42"/>
        <v>-0.1606250748166399</v>
      </c>
      <c r="J206" s="233">
        <f t="shared" si="42"/>
        <v>-8.5023814570850176E-2</v>
      </c>
      <c r="K206" s="233">
        <f t="shared" si="42"/>
        <v>0.15973840954780982</v>
      </c>
      <c r="L206" s="233">
        <f t="shared" si="42"/>
        <v>-4.2005907107333096E-3</v>
      </c>
      <c r="M206" s="233">
        <f t="shared" si="42"/>
        <v>0.18495921406244342</v>
      </c>
      <c r="N206" s="227"/>
    </row>
    <row r="207" spans="1:14">
      <c r="A207" s="234" t="s">
        <v>453</v>
      </c>
      <c r="B207" s="289">
        <f>(B200/B$202)*B$194*0.9</f>
        <v>16.382974071338502</v>
      </c>
      <c r="C207" s="289">
        <f>(C200/C$202)*C$194*0.92</f>
        <v>14.000912197431335</v>
      </c>
      <c r="D207" s="289">
        <f>(D200/D$202)*D$194</f>
        <v>11.71495901769754</v>
      </c>
      <c r="E207" s="289">
        <f>(E200/E$202)*E$194</f>
        <v>13.326421616631322</v>
      </c>
      <c r="F207" s="289">
        <f>(F200/F$202)*F$194</f>
        <v>12.28048164492469</v>
      </c>
      <c r="G207" s="280">
        <f>FORECAST($G$174,$B207:$F207,$B$174:$F$174)*0.9</f>
        <v>14.229068597835298</v>
      </c>
      <c r="H207" s="227"/>
      <c r="I207" s="233">
        <f t="shared" si="42"/>
        <v>-0.14539862320080876</v>
      </c>
      <c r="J207" s="233">
        <f t="shared" si="42"/>
        <v>-0.16327173169139542</v>
      </c>
      <c r="K207" s="233">
        <f t="shared" si="42"/>
        <v>0.13755597407548592</v>
      </c>
      <c r="L207" s="233">
        <f t="shared" si="42"/>
        <v>-7.8486183447873503E-2</v>
      </c>
      <c r="M207" s="233">
        <f t="shared" si="42"/>
        <v>0.1586734958165037</v>
      </c>
      <c r="N207" s="227"/>
    </row>
    <row r="208" spans="1:14">
      <c r="A208" s="234" t="s">
        <v>74</v>
      </c>
      <c r="B208" s="280">
        <f>B194-SUM(B204,B205,B206,B207)</f>
        <v>124.7215478821098</v>
      </c>
      <c r="C208" s="280">
        <f>C194-SUM(C204,C205,C206,C207)</f>
        <v>105.61380313813152</v>
      </c>
      <c r="D208" s="289">
        <f>(D201/D$202)*D$194</f>
        <v>89.982485120907882</v>
      </c>
      <c r="E208" s="289">
        <f>(E201/E$202)*E$194*1.02</f>
        <v>101.64829680960473</v>
      </c>
      <c r="F208" s="289">
        <f>(F201/F$202)*F$194</f>
        <v>92.827273713447013</v>
      </c>
      <c r="G208" s="280">
        <f>G194-SUM(G204,G205,G206,G207)</f>
        <v>110.3944584958241</v>
      </c>
      <c r="H208" s="227"/>
      <c r="I208" s="233">
        <f t="shared" si="42"/>
        <v>-0.15320323607625086</v>
      </c>
      <c r="J208" s="233">
        <f t="shared" si="42"/>
        <v>-0.14800449896477597</v>
      </c>
      <c r="K208" s="233">
        <f t="shared" si="42"/>
        <v>0.12964536012782601</v>
      </c>
      <c r="L208" s="233">
        <f t="shared" si="42"/>
        <v>-8.6779841601086427E-2</v>
      </c>
      <c r="M208" s="233">
        <f t="shared" si="42"/>
        <v>0.18924594119402971</v>
      </c>
      <c r="N208" s="227"/>
    </row>
    <row r="209" spans="1:14">
      <c r="A209" s="227"/>
      <c r="B209" s="289">
        <f>SUM(B204:B208)</f>
        <v>947.47508110400008</v>
      </c>
      <c r="C209" s="289">
        <f t="shared" ref="C209:G209" si="43">SUM(C204:C208)</f>
        <v>787.11394719036775</v>
      </c>
      <c r="D209" s="289">
        <f t="shared" si="43"/>
        <v>674.99999999999989</v>
      </c>
      <c r="E209" s="289">
        <f t="shared" si="43"/>
        <v>790</v>
      </c>
      <c r="F209" s="289">
        <f t="shared" si="43"/>
        <v>804.99999999999989</v>
      </c>
      <c r="G209" s="289">
        <f t="shared" si="43"/>
        <v>935</v>
      </c>
      <c r="H209" s="227"/>
      <c r="I209" s="233">
        <f t="shared" si="42"/>
        <v>-0.16925103056724111</v>
      </c>
      <c r="J209" s="233">
        <f t="shared" si="42"/>
        <v>-0.14243674323211108</v>
      </c>
      <c r="K209" s="233">
        <f t="shared" si="42"/>
        <v>0.17037037037037051</v>
      </c>
      <c r="L209" s="233">
        <f t="shared" si="42"/>
        <v>1.8987341772151778E-2</v>
      </c>
      <c r="M209" s="233">
        <f t="shared" si="42"/>
        <v>0.16149068322981375</v>
      </c>
      <c r="N209" s="227"/>
    </row>
    <row r="210" spans="1:14">
      <c r="A210" s="227"/>
      <c r="B210" s="227"/>
      <c r="C210" s="227"/>
      <c r="D210" s="227"/>
      <c r="E210" s="227"/>
      <c r="F210" s="227"/>
      <c r="G210" s="227"/>
      <c r="H210" s="227"/>
      <c r="I210" s="227"/>
      <c r="J210" s="227"/>
      <c r="K210" s="227"/>
      <c r="L210" s="227"/>
      <c r="M210" s="227"/>
      <c r="N210" s="227"/>
    </row>
    <row r="211" spans="1:14">
      <c r="A211" s="234" t="s">
        <v>1296</v>
      </c>
      <c r="B211" s="227"/>
      <c r="C211" s="227"/>
      <c r="D211" s="227"/>
      <c r="E211" s="227"/>
      <c r="F211" s="227"/>
      <c r="G211" s="227"/>
      <c r="H211" s="227"/>
      <c r="I211" s="227"/>
      <c r="J211" s="227"/>
      <c r="K211" s="227"/>
      <c r="L211" s="227"/>
      <c r="M211" s="227"/>
      <c r="N211" s="227"/>
    </row>
    <row r="212" spans="1:14" ht="15">
      <c r="A212"/>
      <c r="B212"/>
      <c r="C212">
        <v>2007</v>
      </c>
      <c r="D212">
        <v>2008</v>
      </c>
      <c r="E212">
        <v>2009</v>
      </c>
      <c r="F212">
        <v>2010</v>
      </c>
      <c r="G212">
        <v>2011</v>
      </c>
      <c r="H212" s="169">
        <v>2012</v>
      </c>
    </row>
    <row r="213" spans="1:14" ht="15">
      <c r="A213" s="182" t="s">
        <v>1176</v>
      </c>
      <c r="B213" s="183"/>
      <c r="C213" s="183">
        <f>D213/(1+(G213/D213)^(1/3)-1)</f>
        <v>0.28700288287041498</v>
      </c>
      <c r="D213" s="183">
        <v>0.28000000000000003</v>
      </c>
      <c r="E213" s="183">
        <v>0.27</v>
      </c>
      <c r="F213" s="183">
        <v>0.25</v>
      </c>
      <c r="G213" s="183">
        <v>0.26</v>
      </c>
      <c r="H213" s="298">
        <f>G213*(1+(G213/C213)^(1/4)-1)*1.02</f>
        <v>0.25872910842337221</v>
      </c>
    </row>
    <row r="214" spans="1:14" ht="15">
      <c r="A214" s="182" t="s">
        <v>1175</v>
      </c>
      <c r="B214"/>
      <c r="C214" s="183">
        <f t="shared" ref="C214:C218" si="44">D214/(1+(G214/D214)^(1/3)-1)</f>
        <v>0.27084564195267646</v>
      </c>
      <c r="D214" s="183">
        <v>0.26</v>
      </c>
      <c r="E214" s="183">
        <v>0.25</v>
      </c>
      <c r="F214" s="183">
        <v>0.23</v>
      </c>
      <c r="G214" s="183">
        <v>0.23</v>
      </c>
      <c r="H214" s="298">
        <f>G214*(1+(G214/C214)^(1/4)-1)</f>
        <v>0.22078996571208839</v>
      </c>
    </row>
    <row r="215" spans="1:14" ht="15">
      <c r="A215" s="182" t="s">
        <v>1174</v>
      </c>
      <c r="B215"/>
      <c r="C215" s="183">
        <f t="shared" si="44"/>
        <v>0.17678502454214207</v>
      </c>
      <c r="D215" s="183">
        <v>0.18</v>
      </c>
      <c r="E215" s="183">
        <v>0.18</v>
      </c>
      <c r="F215" s="183">
        <v>0.18</v>
      </c>
      <c r="G215" s="183">
        <v>0.19</v>
      </c>
      <c r="H215" s="298">
        <f t="shared" ref="H215:H218" si="45">G215*(1+(G215/C215)^(1/4)-1)</f>
        <v>0.19345530023583751</v>
      </c>
    </row>
    <row r="216" spans="1:14" ht="15">
      <c r="A216" s="182" t="s">
        <v>86</v>
      </c>
      <c r="B216"/>
      <c r="C216" s="183">
        <f t="shared" si="44"/>
        <v>0.11</v>
      </c>
      <c r="D216" s="183">
        <v>0.11</v>
      </c>
      <c r="E216" s="183">
        <v>0.08</v>
      </c>
      <c r="F216" s="183">
        <v>0.1</v>
      </c>
      <c r="G216" s="183">
        <v>0.11</v>
      </c>
      <c r="H216" s="298">
        <f t="shared" si="45"/>
        <v>0.11</v>
      </c>
    </row>
    <row r="217" spans="1:14" ht="15">
      <c r="A217" s="182" t="s">
        <v>1173</v>
      </c>
      <c r="B217"/>
      <c r="C217" s="183">
        <f t="shared" si="44"/>
        <v>4.469517675482839E-2</v>
      </c>
      <c r="D217" s="183">
        <v>0.05</v>
      </c>
      <c r="E217" s="183">
        <v>0.08</v>
      </c>
      <c r="F217" s="183">
        <v>0.1</v>
      </c>
      <c r="G217" s="183">
        <v>7.0000000000000007E-2</v>
      </c>
      <c r="H217" s="298">
        <f t="shared" si="45"/>
        <v>7.8308225945697765E-2</v>
      </c>
    </row>
    <row r="218" spans="1:14" ht="15">
      <c r="A218" s="182" t="s">
        <v>1172</v>
      </c>
      <c r="B218"/>
      <c r="C218" s="183">
        <f t="shared" si="44"/>
        <v>0.11398971019115957</v>
      </c>
      <c r="D218" s="183">
        <v>0.12</v>
      </c>
      <c r="E218" s="183">
        <v>0.14000000000000001</v>
      </c>
      <c r="F218" s="183">
        <v>0.14000000000000001</v>
      </c>
      <c r="G218" s="183">
        <v>0.14000000000000001</v>
      </c>
      <c r="H218" s="298">
        <f t="shared" si="45"/>
        <v>0.14738172394531554</v>
      </c>
    </row>
    <row r="219" spans="1:14" ht="15">
      <c r="A219" s="182" t="s">
        <v>1015</v>
      </c>
      <c r="B219"/>
      <c r="C219" s="183">
        <f>SUM(C213:C218)</f>
        <v>1.0033184363112215</v>
      </c>
      <c r="D219" s="183">
        <f t="shared" ref="D219:H219" si="46">SUM(D213:D218)</f>
        <v>1</v>
      </c>
      <c r="E219" s="183">
        <f t="shared" si="46"/>
        <v>0.99999999999999989</v>
      </c>
      <c r="F219" s="183">
        <f t="shared" si="46"/>
        <v>0.99999999999999989</v>
      </c>
      <c r="G219" s="183">
        <f t="shared" si="46"/>
        <v>0.99999999999999989</v>
      </c>
      <c r="H219" s="183">
        <f t="shared" si="46"/>
        <v>1.0086643242623115</v>
      </c>
    </row>
    <row r="220" spans="1:14" ht="15">
      <c r="A220" s="182"/>
      <c r="B220"/>
      <c r="C220" s="183"/>
      <c r="D220" s="183"/>
      <c r="E220" s="183"/>
      <c r="F220" s="183"/>
      <c r="G220" s="183"/>
    </row>
    <row r="221" spans="1:14" ht="15">
      <c r="A221" s="182" t="s">
        <v>1158</v>
      </c>
      <c r="B221"/>
      <c r="C221" s="161">
        <f t="shared" ref="C221:H221" si="47">C213</f>
        <v>0.28700288287041498</v>
      </c>
      <c r="D221" s="161">
        <f t="shared" si="47"/>
        <v>0.28000000000000003</v>
      </c>
      <c r="E221" s="161">
        <f t="shared" si="47"/>
        <v>0.27</v>
      </c>
      <c r="F221" s="161">
        <f t="shared" si="47"/>
        <v>0.25</v>
      </c>
      <c r="G221" s="161">
        <f t="shared" si="47"/>
        <v>0.26</v>
      </c>
      <c r="H221" s="161">
        <f t="shared" si="47"/>
        <v>0.25872910842337221</v>
      </c>
      <c r="I221" s="275"/>
    </row>
    <row r="222" spans="1:14" ht="15">
      <c r="A222" s="182" t="s">
        <v>1169</v>
      </c>
      <c r="B222"/>
      <c r="C222" s="161">
        <f t="shared" ref="C222:H222" si="48">SUM(C214:C217)</f>
        <v>0.60232584324964689</v>
      </c>
      <c r="D222" s="161">
        <f t="shared" si="48"/>
        <v>0.60000000000000009</v>
      </c>
      <c r="E222" s="161">
        <f t="shared" si="48"/>
        <v>0.59</v>
      </c>
      <c r="F222" s="161">
        <f t="shared" si="48"/>
        <v>0.61</v>
      </c>
      <c r="G222" s="161">
        <f t="shared" si="48"/>
        <v>0.60000000000000009</v>
      </c>
      <c r="H222" s="161">
        <f t="shared" si="48"/>
        <v>0.60255349189362362</v>
      </c>
      <c r="I222" s="275"/>
    </row>
    <row r="223" spans="1:14" ht="15">
      <c r="A223" s="182" t="s">
        <v>1171</v>
      </c>
      <c r="B223"/>
      <c r="C223" s="161">
        <f>C218</f>
        <v>0.11398971019115957</v>
      </c>
      <c r="D223" s="161">
        <f>D218</f>
        <v>0.12</v>
      </c>
      <c r="E223" s="161">
        <f>E218</f>
        <v>0.14000000000000001</v>
      </c>
      <c r="F223" s="161">
        <f>F218</f>
        <v>0.14000000000000001</v>
      </c>
      <c r="G223" s="161">
        <f t="shared" ref="G223:H223" si="49">G218</f>
        <v>0.14000000000000001</v>
      </c>
      <c r="H223" s="161">
        <f t="shared" si="49"/>
        <v>0.14738172394531554</v>
      </c>
      <c r="I223" s="275"/>
    </row>
    <row r="224" spans="1:14">
      <c r="C224" s="299">
        <f>SUM(C221:C223)</f>
        <v>1.0033184363112215</v>
      </c>
      <c r="D224" s="299">
        <f t="shared" ref="D224:H224" si="50">SUM(D221:D223)</f>
        <v>1</v>
      </c>
      <c r="E224" s="299">
        <f t="shared" si="50"/>
        <v>1</v>
      </c>
      <c r="F224" s="299">
        <f t="shared" si="50"/>
        <v>1</v>
      </c>
      <c r="G224" s="299">
        <f t="shared" si="50"/>
        <v>1</v>
      </c>
      <c r="H224" s="299">
        <f t="shared" si="50"/>
        <v>1.0086643242623112</v>
      </c>
    </row>
    <row r="226" spans="1:7">
      <c r="A226" s="169" t="s">
        <v>1278</v>
      </c>
    </row>
    <row r="228" spans="1:7">
      <c r="B228" s="169">
        <v>2007</v>
      </c>
      <c r="C228" s="169">
        <v>2008</v>
      </c>
      <c r="D228" s="169">
        <v>2009</v>
      </c>
      <c r="E228" s="169">
        <v>2010</v>
      </c>
    </row>
    <row r="229" spans="1:7">
      <c r="A229" s="169" t="s">
        <v>365</v>
      </c>
      <c r="B229" s="280">
        <v>1550</v>
      </c>
      <c r="C229" s="280">
        <v>1900</v>
      </c>
      <c r="D229" s="280">
        <v>1300</v>
      </c>
      <c r="E229" s="280">
        <v>1250</v>
      </c>
    </row>
    <row r="230" spans="1:7">
      <c r="A230" s="169" t="s">
        <v>1136</v>
      </c>
      <c r="B230" s="280">
        <v>850</v>
      </c>
      <c r="C230" s="280">
        <v>450</v>
      </c>
      <c r="D230" s="280">
        <v>500</v>
      </c>
      <c r="E230" s="280">
        <v>600</v>
      </c>
    </row>
    <row r="231" spans="1:7">
      <c r="A231" s="169" t="s">
        <v>353</v>
      </c>
      <c r="B231" s="280">
        <v>400</v>
      </c>
      <c r="C231" s="280">
        <v>650</v>
      </c>
      <c r="D231" s="280">
        <v>350</v>
      </c>
      <c r="E231" s="280">
        <v>400</v>
      </c>
    </row>
    <row r="232" spans="1:7">
      <c r="A232" s="169" t="s">
        <v>387</v>
      </c>
      <c r="B232" s="280">
        <v>300</v>
      </c>
      <c r="C232" s="280">
        <v>350</v>
      </c>
      <c r="D232" s="280">
        <v>350</v>
      </c>
      <c r="E232" s="280">
        <v>150</v>
      </c>
      <c r="G232" s="169">
        <v>1000</v>
      </c>
    </row>
    <row r="233" spans="1:7">
      <c r="A233" s="169" t="s">
        <v>375</v>
      </c>
      <c r="B233" s="280">
        <v>350</v>
      </c>
      <c r="C233" s="280">
        <v>450</v>
      </c>
      <c r="D233" s="280">
        <v>650</v>
      </c>
      <c r="E233" s="280">
        <v>550</v>
      </c>
    </row>
    <row r="234" spans="1:7">
      <c r="A234" s="169" t="s">
        <v>403</v>
      </c>
      <c r="B234" s="280">
        <v>450</v>
      </c>
      <c r="C234" s="280">
        <v>450</v>
      </c>
      <c r="D234" s="280">
        <v>200</v>
      </c>
      <c r="E234" s="280">
        <v>200</v>
      </c>
    </row>
    <row r="235" spans="1:7">
      <c r="A235" s="169" t="s">
        <v>337</v>
      </c>
      <c r="B235" s="280">
        <v>350</v>
      </c>
      <c r="C235" s="280">
        <v>300</v>
      </c>
      <c r="D235" s="280">
        <v>350</v>
      </c>
      <c r="E235" s="280">
        <v>200</v>
      </c>
    </row>
    <row r="236" spans="1:7">
      <c r="A236" s="169" t="s">
        <v>349</v>
      </c>
      <c r="B236" s="280">
        <v>250</v>
      </c>
      <c r="C236" s="280">
        <v>300</v>
      </c>
      <c r="D236" s="280">
        <v>300</v>
      </c>
      <c r="E236" s="280">
        <v>300</v>
      </c>
    </row>
    <row r="237" spans="1:7">
      <c r="A237" s="169" t="s">
        <v>361</v>
      </c>
      <c r="B237" s="280">
        <v>450</v>
      </c>
      <c r="C237" s="280">
        <v>350</v>
      </c>
      <c r="D237" s="280">
        <v>200</v>
      </c>
      <c r="E237" s="280">
        <v>450</v>
      </c>
    </row>
    <row r="238" spans="1:7">
      <c r="A238" s="169" t="s">
        <v>369</v>
      </c>
      <c r="B238" s="280">
        <v>150</v>
      </c>
      <c r="C238" s="280">
        <v>200</v>
      </c>
      <c r="D238" s="280">
        <v>100</v>
      </c>
      <c r="E238" s="280">
        <v>100</v>
      </c>
    </row>
    <row r="239" spans="1:7">
      <c r="A239" s="169" t="s">
        <v>417</v>
      </c>
      <c r="B239" s="280">
        <v>250</v>
      </c>
      <c r="C239" s="280">
        <v>150</v>
      </c>
      <c r="D239" s="280">
        <v>100</v>
      </c>
      <c r="E239" s="280">
        <v>150</v>
      </c>
    </row>
    <row r="240" spans="1:7">
      <c r="A240" s="169" t="s">
        <v>339</v>
      </c>
      <c r="B240" s="280">
        <v>0</v>
      </c>
      <c r="C240" s="280">
        <v>150</v>
      </c>
      <c r="D240" s="280">
        <v>0</v>
      </c>
      <c r="E240" s="280">
        <v>0</v>
      </c>
    </row>
    <row r="241" spans="1:5">
      <c r="A241" s="169" t="s">
        <v>379</v>
      </c>
      <c r="B241" s="280">
        <v>150</v>
      </c>
      <c r="C241" s="280">
        <v>300</v>
      </c>
      <c r="D241" s="280">
        <v>100</v>
      </c>
      <c r="E241" s="280">
        <v>350</v>
      </c>
    </row>
    <row r="242" spans="1:5">
      <c r="A242" s="169" t="s">
        <v>409</v>
      </c>
      <c r="B242" s="280">
        <v>150</v>
      </c>
      <c r="C242" s="280">
        <v>100</v>
      </c>
      <c r="D242" s="280">
        <v>200</v>
      </c>
      <c r="E242" s="280">
        <v>150</v>
      </c>
    </row>
    <row r="243" spans="1:5">
      <c r="A243" s="169" t="s">
        <v>163</v>
      </c>
      <c r="B243" s="280">
        <v>150</v>
      </c>
      <c r="C243" s="280">
        <v>250</v>
      </c>
      <c r="D243" s="280">
        <v>250</v>
      </c>
      <c r="E243" s="280">
        <v>300</v>
      </c>
    </row>
    <row r="244" spans="1:5">
      <c r="A244" s="169" t="s">
        <v>230</v>
      </c>
      <c r="B244" s="280">
        <v>0</v>
      </c>
      <c r="C244" s="280">
        <v>0</v>
      </c>
      <c r="D244" s="280">
        <v>100</v>
      </c>
      <c r="E244" s="280">
        <v>150</v>
      </c>
    </row>
    <row r="245" spans="1:5">
      <c r="A245" s="169" t="s">
        <v>341</v>
      </c>
      <c r="B245" s="280">
        <v>300</v>
      </c>
      <c r="C245" s="280">
        <v>150</v>
      </c>
      <c r="D245" s="280">
        <v>350</v>
      </c>
      <c r="E245" s="280">
        <v>100</v>
      </c>
    </row>
    <row r="246" spans="1:5">
      <c r="A246" s="169" t="s">
        <v>367</v>
      </c>
      <c r="B246" s="280">
        <v>150</v>
      </c>
      <c r="C246" s="280">
        <v>300</v>
      </c>
      <c r="D246" s="280">
        <v>150</v>
      </c>
      <c r="E246" s="280">
        <v>300</v>
      </c>
    </row>
    <row r="247" spans="1:5">
      <c r="A247" s="169" t="s">
        <v>407</v>
      </c>
      <c r="B247" s="280">
        <v>300</v>
      </c>
      <c r="C247" s="280">
        <v>300</v>
      </c>
      <c r="D247" s="280">
        <v>250</v>
      </c>
      <c r="E247" s="280">
        <v>400</v>
      </c>
    </row>
    <row r="248" spans="1:5">
      <c r="A248" s="169" t="s">
        <v>415</v>
      </c>
      <c r="B248" s="280">
        <v>100</v>
      </c>
      <c r="C248" s="280">
        <v>150</v>
      </c>
      <c r="D248" s="280">
        <v>150</v>
      </c>
      <c r="E248" s="280">
        <v>250</v>
      </c>
    </row>
    <row r="249" spans="1:5">
      <c r="A249" s="169" t="s">
        <v>373</v>
      </c>
      <c r="B249" s="280">
        <v>150</v>
      </c>
      <c r="C249" s="280">
        <v>250</v>
      </c>
      <c r="D249" s="280">
        <v>200</v>
      </c>
      <c r="E249" s="280">
        <v>100</v>
      </c>
    </row>
    <row r="250" spans="1:5">
      <c r="A250" s="169" t="s">
        <v>345</v>
      </c>
      <c r="B250" s="280">
        <v>150</v>
      </c>
      <c r="C250" s="280">
        <v>100</v>
      </c>
      <c r="D250" s="280">
        <v>0</v>
      </c>
      <c r="E250" s="280">
        <v>150</v>
      </c>
    </row>
    <row r="251" spans="1:5">
      <c r="A251" s="169" t="s">
        <v>1152</v>
      </c>
      <c r="B251" s="280">
        <v>0</v>
      </c>
      <c r="C251" s="280">
        <v>200</v>
      </c>
      <c r="D251" s="280">
        <v>0</v>
      </c>
      <c r="E251" s="280">
        <v>100</v>
      </c>
    </row>
    <row r="252" spans="1:5">
      <c r="A252" s="169" t="s">
        <v>355</v>
      </c>
      <c r="B252" s="280">
        <v>250</v>
      </c>
      <c r="C252" s="280">
        <v>100</v>
      </c>
      <c r="D252" s="280">
        <v>100</v>
      </c>
      <c r="E252" s="280">
        <v>100</v>
      </c>
    </row>
    <row r="253" spans="1:5">
      <c r="A253" s="169" t="s">
        <v>389</v>
      </c>
      <c r="B253" s="280">
        <v>150</v>
      </c>
      <c r="C253" s="280">
        <v>100</v>
      </c>
      <c r="D253" s="280">
        <v>0</v>
      </c>
      <c r="E253" s="280">
        <v>100</v>
      </c>
    </row>
    <row r="254" spans="1:5">
      <c r="A254" s="169" t="s">
        <v>411</v>
      </c>
      <c r="B254" s="280">
        <v>0</v>
      </c>
      <c r="C254" s="280">
        <v>0</v>
      </c>
      <c r="D254" s="280">
        <v>0</v>
      </c>
      <c r="E254" s="280">
        <v>150</v>
      </c>
    </row>
    <row r="255" spans="1:5">
      <c r="B255" s="280">
        <f>SUM(B229:B254)</f>
        <v>7350</v>
      </c>
      <c r="C255" s="280">
        <f t="shared" ref="C255:E255" si="51">SUM(C229:C254)</f>
        <v>8000</v>
      </c>
      <c r="D255" s="280">
        <f t="shared" si="51"/>
        <v>6250</v>
      </c>
      <c r="E255" s="280">
        <f t="shared" si="51"/>
        <v>7050</v>
      </c>
    </row>
    <row r="256" spans="1:5">
      <c r="A256" s="169" t="s">
        <v>1195</v>
      </c>
      <c r="B256" s="280">
        <v>6900</v>
      </c>
      <c r="C256" s="280">
        <v>7600</v>
      </c>
      <c r="D256" s="280">
        <v>6300</v>
      </c>
      <c r="E256" s="280">
        <v>7100</v>
      </c>
    </row>
    <row r="257" spans="1:7">
      <c r="B257" s="280"/>
      <c r="C257" s="280"/>
      <c r="D257" s="280"/>
      <c r="E257" s="280"/>
    </row>
    <row r="258" spans="1:7" ht="15">
      <c r="A258" s="338" t="s">
        <v>1331</v>
      </c>
      <c r="B258"/>
      <c r="C258"/>
      <c r="D258"/>
      <c r="E258"/>
      <c r="F258"/>
      <c r="G258"/>
    </row>
    <row r="259" spans="1:7" ht="15">
      <c r="A259"/>
      <c r="B259"/>
      <c r="C259"/>
      <c r="D259"/>
      <c r="E259"/>
      <c r="F259"/>
      <c r="G259"/>
    </row>
    <row r="260" spans="1:7" ht="15">
      <c r="A260" s="338" t="s">
        <v>1125</v>
      </c>
      <c r="B260" s="345">
        <v>41326.473715277782</v>
      </c>
      <c r="C260"/>
      <c r="D260"/>
      <c r="E260"/>
      <c r="F260"/>
      <c r="G260"/>
    </row>
    <row r="261" spans="1:7" ht="15">
      <c r="A261" s="338" t="s">
        <v>1124</v>
      </c>
      <c r="B261" s="345">
        <v>41352.404059942128</v>
      </c>
      <c r="C261"/>
      <c r="D261"/>
      <c r="E261"/>
      <c r="F261"/>
      <c r="G261"/>
    </row>
    <row r="262" spans="1:7" ht="15">
      <c r="A262" s="338" t="s">
        <v>1270</v>
      </c>
      <c r="B262" s="338" t="s">
        <v>1122</v>
      </c>
      <c r="C262"/>
      <c r="D262"/>
      <c r="E262"/>
      <c r="F262"/>
      <c r="G262"/>
    </row>
    <row r="263" spans="1:7" ht="15">
      <c r="A263"/>
      <c r="B263"/>
      <c r="C263"/>
      <c r="D263"/>
      <c r="E263"/>
      <c r="F263"/>
      <c r="G263"/>
    </row>
    <row r="264" spans="1:7" ht="15">
      <c r="A264" s="338" t="s">
        <v>1119</v>
      </c>
      <c r="B264" s="338" t="s">
        <v>869</v>
      </c>
      <c r="C264"/>
      <c r="D264"/>
      <c r="E264"/>
      <c r="F264"/>
      <c r="G264"/>
    </row>
    <row r="265" spans="1:7" ht="15">
      <c r="A265" s="338" t="s">
        <v>1220</v>
      </c>
      <c r="B265" s="338" t="s">
        <v>1271</v>
      </c>
      <c r="C265"/>
      <c r="D265"/>
      <c r="E265"/>
      <c r="F265"/>
      <c r="G265"/>
    </row>
    <row r="266" spans="1:7" ht="15">
      <c r="A266" s="338" t="s">
        <v>1217</v>
      </c>
      <c r="B266" s="338" t="s">
        <v>1015</v>
      </c>
      <c r="C266"/>
      <c r="D266"/>
      <c r="E266"/>
      <c r="F266"/>
      <c r="G266"/>
    </row>
    <row r="267" spans="1:7" ht="15">
      <c r="A267"/>
      <c r="B267"/>
      <c r="C267"/>
      <c r="D267"/>
      <c r="E267"/>
      <c r="F267"/>
      <c r="G267"/>
    </row>
    <row r="268" spans="1:7">
      <c r="A268" s="333" t="s">
        <v>1301</v>
      </c>
      <c r="B268" s="333" t="s">
        <v>1116</v>
      </c>
      <c r="C268" s="333" t="s">
        <v>1115</v>
      </c>
      <c r="D268" s="333" t="s">
        <v>1114</v>
      </c>
      <c r="E268" s="333" t="s">
        <v>1113</v>
      </c>
      <c r="F268" s="333" t="s">
        <v>1112</v>
      </c>
      <c r="G268" s="333" t="s">
        <v>1284</v>
      </c>
    </row>
    <row r="269" spans="1:7">
      <c r="A269" s="333" t="s">
        <v>65</v>
      </c>
      <c r="B269" s="333" t="s">
        <v>391</v>
      </c>
      <c r="C269" s="334">
        <v>223000</v>
      </c>
      <c r="D269" s="334">
        <v>325000</v>
      </c>
      <c r="E269" s="334">
        <v>337000</v>
      </c>
      <c r="F269" s="334">
        <v>383000</v>
      </c>
      <c r="G269" s="334">
        <v>353000</v>
      </c>
    </row>
    <row r="270" spans="1:7">
      <c r="A270" s="333" t="s">
        <v>1302</v>
      </c>
      <c r="B270" s="333" t="s">
        <v>391</v>
      </c>
      <c r="C270" s="334">
        <v>32000</v>
      </c>
      <c r="D270" s="335" t="s">
        <v>1084</v>
      </c>
      <c r="E270" s="335" t="s">
        <v>1084</v>
      </c>
      <c r="F270" s="334">
        <v>41000</v>
      </c>
      <c r="G270" s="334">
        <v>38000</v>
      </c>
    </row>
    <row r="271" spans="1:7">
      <c r="A271" s="333" t="s">
        <v>1314</v>
      </c>
      <c r="B271" s="333" t="s">
        <v>391</v>
      </c>
      <c r="C271" s="335" t="s">
        <v>1084</v>
      </c>
      <c r="D271" s="335" t="s">
        <v>1084</v>
      </c>
      <c r="E271" s="335" t="s">
        <v>1084</v>
      </c>
      <c r="F271" s="334">
        <v>12000</v>
      </c>
      <c r="G271" s="334">
        <v>11000</v>
      </c>
    </row>
    <row r="272" spans="1:7">
      <c r="A272" s="333" t="s">
        <v>1315</v>
      </c>
      <c r="B272" s="333" t="s">
        <v>391</v>
      </c>
      <c r="C272" s="335" t="s">
        <v>1084</v>
      </c>
      <c r="D272" s="335" t="s">
        <v>1084</v>
      </c>
      <c r="E272" s="335" t="s">
        <v>1084</v>
      </c>
      <c r="F272" s="334">
        <v>12000</v>
      </c>
      <c r="G272" s="334">
        <v>11000</v>
      </c>
    </row>
    <row r="273" spans="1:7">
      <c r="A273" s="333" t="s">
        <v>1313</v>
      </c>
      <c r="B273" s="333" t="s">
        <v>391</v>
      </c>
      <c r="C273" s="335" t="s">
        <v>1084</v>
      </c>
      <c r="D273" s="335" t="s">
        <v>1084</v>
      </c>
      <c r="E273" s="335" t="s">
        <v>1084</v>
      </c>
      <c r="F273" s="334">
        <v>40000</v>
      </c>
      <c r="G273" s="334">
        <v>39400</v>
      </c>
    </row>
    <row r="274" spans="1:7">
      <c r="A274" s="333" t="s">
        <v>1312</v>
      </c>
      <c r="B274" s="333" t="s">
        <v>391</v>
      </c>
      <c r="C274" s="335" t="s">
        <v>1084</v>
      </c>
      <c r="D274" s="335" t="s">
        <v>1084</v>
      </c>
      <c r="E274" s="335" t="s">
        <v>1084</v>
      </c>
      <c r="F274" s="334">
        <v>26000</v>
      </c>
      <c r="G274" s="334">
        <v>26000</v>
      </c>
    </row>
    <row r="275" spans="1:7">
      <c r="A275" s="333" t="s">
        <v>458</v>
      </c>
      <c r="B275" s="333" t="s">
        <v>391</v>
      </c>
      <c r="C275" s="335" t="s">
        <v>1084</v>
      </c>
      <c r="D275" s="335" t="s">
        <v>1084</v>
      </c>
      <c r="E275" s="335" t="s">
        <v>1084</v>
      </c>
      <c r="F275" s="334">
        <v>0</v>
      </c>
      <c r="G275" s="334">
        <v>0</v>
      </c>
    </row>
    <row r="276" spans="1:7">
      <c r="A276" s="333" t="s">
        <v>1303</v>
      </c>
      <c r="B276" s="333" t="s">
        <v>391</v>
      </c>
      <c r="C276" s="334">
        <v>78000</v>
      </c>
      <c r="D276" s="334">
        <v>65000</v>
      </c>
      <c r="E276" s="335" t="s">
        <v>1084</v>
      </c>
      <c r="F276" s="334">
        <v>66000</v>
      </c>
      <c r="G276" s="334">
        <v>60400</v>
      </c>
    </row>
    <row r="277" spans="1:7">
      <c r="A277" s="333" t="s">
        <v>1304</v>
      </c>
      <c r="B277" s="333" t="s">
        <v>391</v>
      </c>
      <c r="C277" s="334">
        <v>38000</v>
      </c>
      <c r="D277" s="334">
        <v>30000</v>
      </c>
      <c r="E277" s="335" t="s">
        <v>1084</v>
      </c>
      <c r="F277" s="334">
        <v>46000</v>
      </c>
      <c r="G277" s="334">
        <v>42000</v>
      </c>
    </row>
    <row r="278" spans="1:7">
      <c r="A278" s="333" t="s">
        <v>337</v>
      </c>
      <c r="B278" s="333" t="s">
        <v>391</v>
      </c>
      <c r="C278" s="334">
        <v>265000</v>
      </c>
      <c r="D278" s="334">
        <v>250000</v>
      </c>
      <c r="E278" s="334">
        <v>329000</v>
      </c>
      <c r="F278" s="334">
        <v>180000</v>
      </c>
      <c r="G278" s="334">
        <v>146000</v>
      </c>
    </row>
    <row r="279" spans="1:7">
      <c r="A279" s="333" t="s">
        <v>246</v>
      </c>
      <c r="B279" s="333" t="s">
        <v>391</v>
      </c>
      <c r="C279" s="334">
        <v>132000</v>
      </c>
      <c r="D279" s="335" t="s">
        <v>1084</v>
      </c>
      <c r="E279" s="335" t="s">
        <v>1084</v>
      </c>
      <c r="F279" s="334">
        <v>0</v>
      </c>
      <c r="G279" s="334">
        <v>0</v>
      </c>
    </row>
    <row r="280" spans="1:7">
      <c r="A280" s="333" t="s">
        <v>341</v>
      </c>
      <c r="B280" s="333" t="s">
        <v>391</v>
      </c>
      <c r="C280" s="334">
        <v>250000</v>
      </c>
      <c r="D280" s="334">
        <v>113000</v>
      </c>
      <c r="E280" s="334">
        <v>274000</v>
      </c>
      <c r="F280" s="334">
        <v>91000</v>
      </c>
      <c r="G280" s="334">
        <v>86000</v>
      </c>
    </row>
    <row r="281" spans="1:7">
      <c r="A281" s="333" t="s">
        <v>345</v>
      </c>
      <c r="B281" s="333" t="s">
        <v>391</v>
      </c>
      <c r="C281" s="334">
        <v>127000</v>
      </c>
      <c r="D281" s="335" t="s">
        <v>1084</v>
      </c>
      <c r="E281" s="334">
        <v>56000</v>
      </c>
      <c r="F281" s="334">
        <v>130000</v>
      </c>
      <c r="G281" s="334">
        <v>121000</v>
      </c>
    </row>
    <row r="282" spans="1:7">
      <c r="A282" s="333" t="s">
        <v>470</v>
      </c>
      <c r="B282" s="333" t="s">
        <v>391</v>
      </c>
      <c r="C282" s="335" t="s">
        <v>1084</v>
      </c>
      <c r="D282" s="335" t="s">
        <v>1084</v>
      </c>
      <c r="E282" s="335" t="s">
        <v>1084</v>
      </c>
      <c r="F282" s="334">
        <v>0</v>
      </c>
      <c r="G282" s="334">
        <v>0</v>
      </c>
    </row>
    <row r="283" spans="1:7">
      <c r="A283" s="333" t="s">
        <v>411</v>
      </c>
      <c r="B283" s="333" t="s">
        <v>391</v>
      </c>
      <c r="C283" s="334">
        <v>64000</v>
      </c>
      <c r="D283" s="334">
        <v>36000</v>
      </c>
      <c r="E283" s="334">
        <v>40000</v>
      </c>
      <c r="F283" s="334">
        <v>123000</v>
      </c>
      <c r="G283" s="334">
        <v>120000</v>
      </c>
    </row>
    <row r="284" spans="1:7">
      <c r="A284" s="333" t="s">
        <v>1305</v>
      </c>
      <c r="B284" s="333" t="s">
        <v>391</v>
      </c>
      <c r="C284" s="334">
        <v>30000</v>
      </c>
      <c r="D284" s="334">
        <v>26000</v>
      </c>
      <c r="E284" s="335" t="s">
        <v>1084</v>
      </c>
      <c r="F284" s="334">
        <v>0</v>
      </c>
      <c r="G284" s="334">
        <v>0</v>
      </c>
    </row>
    <row r="285" spans="1:7">
      <c r="A285" s="333" t="s">
        <v>351</v>
      </c>
      <c r="B285" s="333" t="s">
        <v>391</v>
      </c>
      <c r="C285" s="335" t="s">
        <v>1084</v>
      </c>
      <c r="D285" s="335" t="s">
        <v>1084</v>
      </c>
      <c r="E285" s="335" t="s">
        <v>1084</v>
      </c>
      <c r="F285" s="334">
        <v>17000</v>
      </c>
      <c r="G285" s="334">
        <v>16000</v>
      </c>
    </row>
    <row r="286" spans="1:7">
      <c r="A286" s="333" t="s">
        <v>353</v>
      </c>
      <c r="B286" s="333" t="s">
        <v>391</v>
      </c>
      <c r="C286" s="334">
        <v>268000</v>
      </c>
      <c r="D286" s="334">
        <v>599000</v>
      </c>
      <c r="E286" s="334">
        <v>324000</v>
      </c>
      <c r="F286" s="334">
        <v>360000</v>
      </c>
      <c r="G286" s="334">
        <v>204000</v>
      </c>
    </row>
    <row r="287" spans="1:7">
      <c r="A287" s="333" t="s">
        <v>1306</v>
      </c>
      <c r="B287" s="333" t="s">
        <v>391</v>
      </c>
      <c r="C287" s="334">
        <v>1432000</v>
      </c>
      <c r="D287" s="334">
        <v>1647000</v>
      </c>
      <c r="E287" s="334">
        <v>1203000</v>
      </c>
      <c r="F287" s="334">
        <v>1285000</v>
      </c>
      <c r="G287" s="334">
        <v>910000</v>
      </c>
    </row>
    <row r="288" spans="1:7">
      <c r="A288" s="333" t="s">
        <v>355</v>
      </c>
      <c r="B288" s="333" t="s">
        <v>391</v>
      </c>
      <c r="C288" s="334">
        <v>210000</v>
      </c>
      <c r="D288" s="334">
        <v>92000</v>
      </c>
      <c r="E288" s="334">
        <v>92000</v>
      </c>
      <c r="F288" s="334">
        <v>101000</v>
      </c>
      <c r="G288" s="334">
        <v>72000</v>
      </c>
    </row>
    <row r="289" spans="1:7">
      <c r="A289" s="333" t="s">
        <v>1332</v>
      </c>
      <c r="B289" s="333" t="s">
        <v>391</v>
      </c>
      <c r="C289" s="335" t="s">
        <v>1084</v>
      </c>
      <c r="D289" s="335" t="s">
        <v>1084</v>
      </c>
      <c r="E289" s="335" t="s">
        <v>1084</v>
      </c>
      <c r="F289" s="335" t="s">
        <v>1084</v>
      </c>
      <c r="G289" s="335" t="s">
        <v>1084</v>
      </c>
    </row>
    <row r="290" spans="1:7">
      <c r="A290" s="333" t="s">
        <v>1316</v>
      </c>
      <c r="B290" s="333" t="s">
        <v>391</v>
      </c>
      <c r="C290" s="334">
        <v>3403000</v>
      </c>
      <c r="D290" s="334">
        <v>3852000</v>
      </c>
      <c r="E290" s="334">
        <v>3741000</v>
      </c>
      <c r="F290" s="334">
        <v>3594500</v>
      </c>
      <c r="G290" s="334">
        <v>2911000</v>
      </c>
    </row>
    <row r="291" spans="1:7">
      <c r="A291" s="333" t="s">
        <v>357</v>
      </c>
      <c r="B291" s="333" t="s">
        <v>391</v>
      </c>
      <c r="C291" s="335" t="s">
        <v>1084</v>
      </c>
      <c r="D291" s="335" t="s">
        <v>1084</v>
      </c>
      <c r="E291" s="335" t="s">
        <v>1084</v>
      </c>
      <c r="F291" s="334">
        <v>12000</v>
      </c>
      <c r="G291" s="334">
        <v>11000</v>
      </c>
    </row>
    <row r="292" spans="1:7">
      <c r="A292" s="333" t="s">
        <v>1317</v>
      </c>
      <c r="B292" s="333" t="s">
        <v>391</v>
      </c>
      <c r="C292" s="334">
        <v>5787000</v>
      </c>
      <c r="D292" s="334">
        <v>6129000</v>
      </c>
      <c r="E292" s="334">
        <v>5223000</v>
      </c>
      <c r="F292" s="334">
        <v>5487500</v>
      </c>
      <c r="G292" s="334">
        <v>4391000</v>
      </c>
    </row>
    <row r="293" spans="1:7">
      <c r="A293" s="333" t="s">
        <v>1333</v>
      </c>
      <c r="B293" s="333" t="s">
        <v>391</v>
      </c>
      <c r="C293" s="335" t="s">
        <v>1084</v>
      </c>
      <c r="D293" s="335" t="s">
        <v>1084</v>
      </c>
      <c r="E293" s="335" t="s">
        <v>1084</v>
      </c>
      <c r="F293" s="335" t="s">
        <v>1084</v>
      </c>
      <c r="G293" s="335" t="s">
        <v>1084</v>
      </c>
    </row>
    <row r="294" spans="1:7">
      <c r="A294" s="333" t="s">
        <v>1318</v>
      </c>
      <c r="B294" s="333" t="s">
        <v>391</v>
      </c>
      <c r="C294" s="334">
        <v>206000</v>
      </c>
      <c r="D294" s="334">
        <v>159000</v>
      </c>
      <c r="E294" s="334">
        <v>112000</v>
      </c>
      <c r="F294" s="334">
        <v>211000</v>
      </c>
      <c r="G294" s="334">
        <v>190000</v>
      </c>
    </row>
    <row r="295" spans="1:7">
      <c r="A295" s="333" t="s">
        <v>367</v>
      </c>
      <c r="B295" s="333" t="s">
        <v>391</v>
      </c>
      <c r="C295" s="334">
        <v>145000</v>
      </c>
      <c r="D295" s="334">
        <v>267000</v>
      </c>
      <c r="E295" s="335" t="s">
        <v>1084</v>
      </c>
      <c r="F295" s="334">
        <v>272000</v>
      </c>
      <c r="G295" s="334">
        <v>251000</v>
      </c>
    </row>
    <row r="296" spans="1:7">
      <c r="A296" s="333" t="s">
        <v>407</v>
      </c>
      <c r="B296" s="333" t="s">
        <v>391</v>
      </c>
      <c r="C296" s="334">
        <v>178000</v>
      </c>
      <c r="D296" s="334">
        <v>259000</v>
      </c>
      <c r="E296" s="335" t="s">
        <v>1084</v>
      </c>
      <c r="F296" s="334">
        <v>376000</v>
      </c>
      <c r="G296" s="334">
        <v>329000</v>
      </c>
    </row>
    <row r="297" spans="1:7">
      <c r="A297" s="333" t="s">
        <v>1334</v>
      </c>
      <c r="B297" s="333" t="s">
        <v>391</v>
      </c>
      <c r="C297" s="335" t="s">
        <v>1084</v>
      </c>
      <c r="D297" s="335" t="s">
        <v>1084</v>
      </c>
      <c r="E297" s="335" t="s">
        <v>1084</v>
      </c>
      <c r="F297" s="335" t="s">
        <v>1084</v>
      </c>
      <c r="G297" s="335" t="s">
        <v>1084</v>
      </c>
    </row>
    <row r="298" spans="1:7">
      <c r="A298" s="333" t="s">
        <v>1335</v>
      </c>
      <c r="B298" s="333" t="s">
        <v>391</v>
      </c>
      <c r="C298" s="335" t="s">
        <v>1084</v>
      </c>
      <c r="D298" s="335" t="s">
        <v>1084</v>
      </c>
      <c r="E298" s="335" t="s">
        <v>1084</v>
      </c>
      <c r="F298" s="335" t="s">
        <v>1084</v>
      </c>
      <c r="G298" s="335" t="s">
        <v>1084</v>
      </c>
    </row>
    <row r="299" spans="1:7">
      <c r="A299" s="333" t="s">
        <v>1319</v>
      </c>
      <c r="B299" s="333" t="s">
        <v>391</v>
      </c>
      <c r="C299" s="334">
        <v>5645000</v>
      </c>
      <c r="D299" s="334">
        <v>6006000</v>
      </c>
      <c r="E299" s="334">
        <v>5111000</v>
      </c>
      <c r="F299" s="334">
        <v>5399500</v>
      </c>
      <c r="G299" s="334">
        <v>4321000</v>
      </c>
    </row>
    <row r="300" spans="1:7">
      <c r="A300" s="333" t="s">
        <v>1320</v>
      </c>
      <c r="B300" s="333" t="s">
        <v>391</v>
      </c>
      <c r="C300" s="334">
        <v>566000</v>
      </c>
      <c r="D300" s="334">
        <v>950000</v>
      </c>
      <c r="E300" s="334">
        <v>594000</v>
      </c>
      <c r="F300" s="334">
        <v>810000</v>
      </c>
      <c r="G300" s="334">
        <v>701800</v>
      </c>
    </row>
    <row r="301" spans="1:7">
      <c r="A301" s="333" t="s">
        <v>1321</v>
      </c>
      <c r="B301" s="333" t="s">
        <v>391</v>
      </c>
      <c r="C301" s="334">
        <v>440000</v>
      </c>
      <c r="D301" s="334">
        <v>630000</v>
      </c>
      <c r="E301" s="334">
        <v>404000</v>
      </c>
      <c r="F301" s="334">
        <v>460000</v>
      </c>
      <c r="G301" s="334">
        <v>378000</v>
      </c>
    </row>
    <row r="302" spans="1:7">
      <c r="A302" s="333" t="s">
        <v>359</v>
      </c>
      <c r="B302" s="333" t="s">
        <v>391</v>
      </c>
      <c r="C302" s="335" t="s">
        <v>1084</v>
      </c>
      <c r="D302" s="335" t="s">
        <v>1084</v>
      </c>
      <c r="E302" s="334">
        <v>51000</v>
      </c>
      <c r="F302" s="334">
        <v>0</v>
      </c>
      <c r="G302" s="334">
        <v>0</v>
      </c>
    </row>
    <row r="303" spans="1:7">
      <c r="A303" s="333" t="s">
        <v>361</v>
      </c>
      <c r="B303" s="333" t="s">
        <v>391</v>
      </c>
      <c r="C303" s="334">
        <v>420000</v>
      </c>
      <c r="D303" s="334">
        <v>286000</v>
      </c>
      <c r="E303" s="334">
        <v>190000</v>
      </c>
      <c r="F303" s="334">
        <v>415000</v>
      </c>
      <c r="G303" s="334">
        <v>363000</v>
      </c>
    </row>
    <row r="304" spans="1:7">
      <c r="A304" s="333" t="s">
        <v>369</v>
      </c>
      <c r="B304" s="333" t="s">
        <v>391</v>
      </c>
      <c r="C304" s="334">
        <v>126000</v>
      </c>
      <c r="D304" s="334">
        <v>164000</v>
      </c>
      <c r="E304" s="335" t="s">
        <v>1084</v>
      </c>
      <c r="F304" s="334">
        <v>94000</v>
      </c>
      <c r="G304" s="334">
        <v>58000</v>
      </c>
    </row>
    <row r="305" spans="1:7">
      <c r="A305" s="333" t="s">
        <v>373</v>
      </c>
      <c r="B305" s="333" t="s">
        <v>391</v>
      </c>
      <c r="C305" s="334">
        <v>143000</v>
      </c>
      <c r="D305" s="334">
        <v>231000</v>
      </c>
      <c r="E305" s="335" t="s">
        <v>1084</v>
      </c>
      <c r="F305" s="334">
        <v>89000</v>
      </c>
      <c r="G305" s="334">
        <v>83000</v>
      </c>
    </row>
    <row r="306" spans="1:7">
      <c r="A306" s="333" t="s">
        <v>371</v>
      </c>
      <c r="B306" s="333" t="s">
        <v>391</v>
      </c>
      <c r="C306" s="335" t="s">
        <v>1084</v>
      </c>
      <c r="D306" s="335" t="s">
        <v>1084</v>
      </c>
      <c r="E306" s="335" t="s">
        <v>1084</v>
      </c>
      <c r="F306" s="334">
        <v>0</v>
      </c>
      <c r="G306" s="334">
        <v>0</v>
      </c>
    </row>
    <row r="307" spans="1:7">
      <c r="A307" s="333" t="s">
        <v>375</v>
      </c>
      <c r="B307" s="333" t="s">
        <v>391</v>
      </c>
      <c r="C307" s="334">
        <v>206000</v>
      </c>
      <c r="D307" s="335" t="s">
        <v>1084</v>
      </c>
      <c r="E307" s="334">
        <v>568000</v>
      </c>
      <c r="F307" s="334">
        <v>492000</v>
      </c>
      <c r="G307" s="334">
        <v>448000</v>
      </c>
    </row>
    <row r="308" spans="1:7">
      <c r="A308" s="333" t="s">
        <v>276</v>
      </c>
      <c r="B308" s="333" t="s">
        <v>391</v>
      </c>
      <c r="C308" s="335" t="s">
        <v>1084</v>
      </c>
      <c r="D308" s="334">
        <v>9000</v>
      </c>
      <c r="E308" s="335" t="s">
        <v>1084</v>
      </c>
      <c r="F308" s="334">
        <v>0</v>
      </c>
      <c r="G308" s="334">
        <v>0</v>
      </c>
    </row>
    <row r="309" spans="1:7">
      <c r="A309" s="333" t="s">
        <v>1307</v>
      </c>
      <c r="B309" s="333" t="s">
        <v>391</v>
      </c>
      <c r="C309" s="335" t="s">
        <v>1084</v>
      </c>
      <c r="D309" s="335" t="s">
        <v>1084</v>
      </c>
      <c r="E309" s="335" t="s">
        <v>1084</v>
      </c>
      <c r="F309" s="334">
        <v>20000</v>
      </c>
      <c r="G309" s="334">
        <v>18400</v>
      </c>
    </row>
    <row r="310" spans="1:7">
      <c r="A310" s="333" t="s">
        <v>379</v>
      </c>
      <c r="B310" s="333" t="s">
        <v>391</v>
      </c>
      <c r="C310" s="334">
        <v>138000</v>
      </c>
      <c r="D310" s="334">
        <v>270000</v>
      </c>
      <c r="E310" s="335" t="s">
        <v>1084</v>
      </c>
      <c r="F310" s="334">
        <v>347000</v>
      </c>
      <c r="G310" s="334">
        <v>308000</v>
      </c>
    </row>
    <row r="311" spans="1:7">
      <c r="A311" s="333" t="s">
        <v>381</v>
      </c>
      <c r="B311" s="333" t="s">
        <v>391</v>
      </c>
      <c r="C311" s="335" t="s">
        <v>1084</v>
      </c>
      <c r="D311" s="335" t="s">
        <v>1084</v>
      </c>
      <c r="E311" s="335" t="s">
        <v>1084</v>
      </c>
      <c r="F311" s="334">
        <v>5000</v>
      </c>
      <c r="G311" s="334">
        <v>4600</v>
      </c>
    </row>
    <row r="312" spans="1:7">
      <c r="A312" s="333" t="s">
        <v>377</v>
      </c>
      <c r="B312" s="333" t="s">
        <v>391</v>
      </c>
      <c r="C312" s="335" t="s">
        <v>1084</v>
      </c>
      <c r="D312" s="335" t="s">
        <v>1084</v>
      </c>
      <c r="E312" s="335" t="s">
        <v>1084</v>
      </c>
      <c r="F312" s="334">
        <v>26000</v>
      </c>
      <c r="G312" s="334">
        <v>24000</v>
      </c>
    </row>
    <row r="313" spans="1:7">
      <c r="A313" s="333" t="s">
        <v>1308</v>
      </c>
      <c r="B313" s="333" t="s">
        <v>391</v>
      </c>
      <c r="C313" s="334">
        <v>191000</v>
      </c>
      <c r="D313" s="334">
        <v>313000</v>
      </c>
      <c r="E313" s="334">
        <v>326000</v>
      </c>
      <c r="F313" s="334">
        <v>342000</v>
      </c>
      <c r="G313" s="334">
        <v>315000</v>
      </c>
    </row>
    <row r="314" spans="1:7">
      <c r="A314" s="333" t="s">
        <v>383</v>
      </c>
      <c r="B314" s="333" t="s">
        <v>391</v>
      </c>
      <c r="C314" s="335" t="s">
        <v>1084</v>
      </c>
      <c r="D314" s="335" t="s">
        <v>1084</v>
      </c>
      <c r="E314" s="335" t="s">
        <v>1084</v>
      </c>
      <c r="F314" s="334">
        <v>21000</v>
      </c>
      <c r="G314" s="334">
        <v>19000</v>
      </c>
    </row>
    <row r="315" spans="1:7">
      <c r="A315" s="333" t="s">
        <v>387</v>
      </c>
      <c r="B315" s="333" t="s">
        <v>391</v>
      </c>
      <c r="C315" s="334">
        <v>257000</v>
      </c>
      <c r="D315" s="334">
        <v>313000</v>
      </c>
      <c r="E315" s="334">
        <v>318000</v>
      </c>
      <c r="F315" s="334">
        <v>143000</v>
      </c>
      <c r="G315" s="334">
        <v>129000</v>
      </c>
    </row>
    <row r="316" spans="1:7">
      <c r="A316" s="333" t="s">
        <v>389</v>
      </c>
      <c r="B316" s="333" t="s">
        <v>391</v>
      </c>
      <c r="C316" s="334">
        <v>142000</v>
      </c>
      <c r="D316" s="334">
        <v>110000</v>
      </c>
      <c r="E316" s="334">
        <v>54000</v>
      </c>
      <c r="F316" s="334">
        <v>88000</v>
      </c>
      <c r="G316" s="334">
        <v>70000</v>
      </c>
    </row>
    <row r="317" spans="1:7">
      <c r="A317" s="333" t="s">
        <v>1309</v>
      </c>
      <c r="B317" s="333" t="s">
        <v>391</v>
      </c>
      <c r="C317" s="334">
        <v>132000</v>
      </c>
      <c r="D317" s="335" t="s">
        <v>1084</v>
      </c>
      <c r="E317" s="335" t="s">
        <v>1084</v>
      </c>
      <c r="F317" s="334">
        <v>0</v>
      </c>
      <c r="G317" s="334">
        <v>0</v>
      </c>
    </row>
    <row r="318" spans="1:7">
      <c r="A318" s="333" t="s">
        <v>1336</v>
      </c>
      <c r="B318" s="333" t="s">
        <v>391</v>
      </c>
      <c r="C318" s="335" t="s">
        <v>1084</v>
      </c>
      <c r="D318" s="335" t="s">
        <v>1084</v>
      </c>
      <c r="E318" s="335" t="s">
        <v>1084</v>
      </c>
      <c r="F318" s="334">
        <v>0</v>
      </c>
      <c r="G318" s="334">
        <v>0</v>
      </c>
    </row>
    <row r="319" spans="1:7">
      <c r="A319" s="333" t="s">
        <v>1310</v>
      </c>
      <c r="B319" s="333" t="s">
        <v>391</v>
      </c>
      <c r="C319" s="334">
        <v>6917000</v>
      </c>
      <c r="D319" s="334">
        <v>7574000</v>
      </c>
      <c r="E319" s="334">
        <v>6218000</v>
      </c>
      <c r="F319" s="334">
        <v>6921500</v>
      </c>
      <c r="G319" s="334">
        <v>5676600</v>
      </c>
    </row>
    <row r="320" spans="1:7">
      <c r="A320" s="333" t="s">
        <v>391</v>
      </c>
      <c r="B320" s="333" t="s">
        <v>391</v>
      </c>
      <c r="C320" s="335" t="s">
        <v>1084</v>
      </c>
      <c r="D320" s="335" t="s">
        <v>1084</v>
      </c>
      <c r="E320" s="335" t="s">
        <v>1084</v>
      </c>
      <c r="F320" s="334">
        <v>0</v>
      </c>
      <c r="G320" s="334">
        <v>0</v>
      </c>
    </row>
    <row r="321" spans="1:7">
      <c r="A321" s="333" t="s">
        <v>393</v>
      </c>
      <c r="B321" s="333" t="s">
        <v>391</v>
      </c>
      <c r="C321" s="335" t="s">
        <v>1084</v>
      </c>
      <c r="D321" s="334">
        <v>26000</v>
      </c>
      <c r="E321" s="335" t="s">
        <v>1084</v>
      </c>
      <c r="F321" s="334">
        <v>13500</v>
      </c>
      <c r="G321" s="334">
        <v>12400</v>
      </c>
    </row>
    <row r="322" spans="1:7">
      <c r="A322" s="333" t="s">
        <v>397</v>
      </c>
      <c r="B322" s="333" t="s">
        <v>391</v>
      </c>
      <c r="C322" s="335" t="s">
        <v>1084</v>
      </c>
      <c r="D322" s="335" t="s">
        <v>1084</v>
      </c>
      <c r="E322" s="335" t="s">
        <v>1084</v>
      </c>
      <c r="F322" s="334">
        <v>47000</v>
      </c>
      <c r="G322" s="334">
        <v>43000</v>
      </c>
    </row>
    <row r="323" spans="1:7">
      <c r="A323" s="333" t="s">
        <v>1152</v>
      </c>
      <c r="B323" s="333" t="s">
        <v>391</v>
      </c>
      <c r="C323" s="334">
        <v>56000</v>
      </c>
      <c r="D323" s="334">
        <v>189000</v>
      </c>
      <c r="E323" s="335" t="s">
        <v>1084</v>
      </c>
      <c r="F323" s="334">
        <v>92000</v>
      </c>
      <c r="G323" s="334">
        <v>90800</v>
      </c>
    </row>
    <row r="324" spans="1:7">
      <c r="A324" s="333" t="s">
        <v>409</v>
      </c>
      <c r="B324" s="333" t="s">
        <v>391</v>
      </c>
      <c r="C324" s="334">
        <v>123000</v>
      </c>
      <c r="D324" s="334">
        <v>114000</v>
      </c>
      <c r="E324" s="334">
        <v>153000</v>
      </c>
      <c r="F324" s="334">
        <v>118000</v>
      </c>
      <c r="G324" s="334">
        <v>88000</v>
      </c>
    </row>
    <row r="325" spans="1:7">
      <c r="A325" s="333" t="s">
        <v>405</v>
      </c>
      <c r="B325" s="333" t="s">
        <v>391</v>
      </c>
      <c r="C325" s="335" t="s">
        <v>1084</v>
      </c>
      <c r="D325" s="335" t="s">
        <v>1084</v>
      </c>
      <c r="E325" s="335" t="s">
        <v>1084</v>
      </c>
      <c r="F325" s="334">
        <v>0</v>
      </c>
      <c r="G325" s="334">
        <v>0</v>
      </c>
    </row>
    <row r="326" spans="1:7">
      <c r="A326" s="333" t="s">
        <v>403</v>
      </c>
      <c r="B326" s="333" t="s">
        <v>391</v>
      </c>
      <c r="C326" s="334">
        <v>401000</v>
      </c>
      <c r="D326" s="334">
        <v>381000</v>
      </c>
      <c r="E326" s="335" t="s">
        <v>1084</v>
      </c>
      <c r="F326" s="334">
        <v>195000</v>
      </c>
      <c r="G326" s="334">
        <v>103000</v>
      </c>
    </row>
    <row r="327" spans="1:7">
      <c r="A327" s="333" t="s">
        <v>415</v>
      </c>
      <c r="B327" s="333" t="s">
        <v>391</v>
      </c>
      <c r="C327" s="335" t="s">
        <v>1084</v>
      </c>
      <c r="D327" s="334">
        <v>131000</v>
      </c>
      <c r="E327" s="335" t="s">
        <v>1084</v>
      </c>
      <c r="F327" s="334">
        <v>258000</v>
      </c>
      <c r="G327" s="334">
        <v>233000</v>
      </c>
    </row>
    <row r="328" spans="1:7">
      <c r="A328" s="333" t="s">
        <v>419</v>
      </c>
      <c r="B328" s="333" t="s">
        <v>391</v>
      </c>
      <c r="C328" s="334">
        <v>763000</v>
      </c>
      <c r="D328" s="334">
        <v>409000</v>
      </c>
      <c r="E328" s="334">
        <v>463000</v>
      </c>
      <c r="F328" s="334">
        <v>570000</v>
      </c>
      <c r="G328" s="334">
        <v>492000</v>
      </c>
    </row>
    <row r="329" spans="1:7">
      <c r="A329" s="333" t="s">
        <v>1337</v>
      </c>
      <c r="B329" s="333" t="s">
        <v>391</v>
      </c>
      <c r="C329" s="335" t="s">
        <v>1084</v>
      </c>
      <c r="D329" s="335" t="s">
        <v>1084</v>
      </c>
      <c r="E329" s="335" t="s">
        <v>1084</v>
      </c>
      <c r="F329" s="334">
        <v>0</v>
      </c>
      <c r="G329" s="334">
        <v>0</v>
      </c>
    </row>
    <row r="330" spans="1:7">
      <c r="A330" s="333" t="s">
        <v>1311</v>
      </c>
      <c r="B330" s="333" t="s">
        <v>391</v>
      </c>
      <c r="C330" s="335" t="s">
        <v>1084</v>
      </c>
      <c r="D330" s="335" t="s">
        <v>1084</v>
      </c>
      <c r="E330" s="335" t="s">
        <v>1084</v>
      </c>
      <c r="F330" s="334">
        <v>14000</v>
      </c>
      <c r="G330" s="334">
        <v>13400</v>
      </c>
    </row>
    <row r="331" spans="1:7">
      <c r="A331" s="333" t="s">
        <v>1338</v>
      </c>
      <c r="B331" s="333" t="s">
        <v>391</v>
      </c>
      <c r="C331" s="335" t="s">
        <v>1084</v>
      </c>
      <c r="D331" s="335" t="s">
        <v>1084</v>
      </c>
      <c r="E331" s="335" t="s">
        <v>1084</v>
      </c>
      <c r="F331" s="335" t="s">
        <v>1084</v>
      </c>
      <c r="G331" s="335" t="s">
        <v>1084</v>
      </c>
    </row>
    <row r="332" spans="1:7">
      <c r="A332" s="333" t="s">
        <v>219</v>
      </c>
      <c r="B332" s="333" t="s">
        <v>391</v>
      </c>
      <c r="C332" s="335" t="s">
        <v>1084</v>
      </c>
      <c r="D332" s="335" t="s">
        <v>1084</v>
      </c>
      <c r="E332" s="335" t="s">
        <v>1084</v>
      </c>
      <c r="F332" s="334">
        <v>0</v>
      </c>
      <c r="G332" s="334">
        <v>0</v>
      </c>
    </row>
    <row r="333" spans="1:7" ht="15">
      <c r="A333"/>
      <c r="B333"/>
      <c r="C333"/>
      <c r="D333"/>
      <c r="E333"/>
      <c r="F333"/>
      <c r="G333"/>
    </row>
    <row r="334" spans="1:7" ht="15">
      <c r="A334" s="338" t="s">
        <v>1276</v>
      </c>
      <c r="B334"/>
      <c r="C334"/>
      <c r="D334"/>
      <c r="E334"/>
      <c r="F334"/>
      <c r="G334"/>
    </row>
    <row r="335" spans="1:7" ht="15">
      <c r="A335" s="338" t="s">
        <v>1084</v>
      </c>
      <c r="B335" s="338" t="s">
        <v>1083</v>
      </c>
      <c r="C335"/>
      <c r="D335"/>
      <c r="E335"/>
      <c r="F335"/>
      <c r="G335"/>
    </row>
    <row r="336" spans="1:7">
      <c r="B336" s="280"/>
      <c r="C336" s="280"/>
      <c r="D336" s="280"/>
      <c r="E336" s="280"/>
    </row>
    <row r="338" spans="1:15">
      <c r="A338" s="333" t="s">
        <v>1301</v>
      </c>
      <c r="B338" s="333" t="s">
        <v>1115</v>
      </c>
      <c r="C338" s="333" t="s">
        <v>1114</v>
      </c>
      <c r="D338" s="333" t="s">
        <v>1113</v>
      </c>
      <c r="E338" s="333" t="s">
        <v>1112</v>
      </c>
      <c r="F338" s="333" t="s">
        <v>1284</v>
      </c>
    </row>
    <row r="339" spans="1:15">
      <c r="A339" s="333" t="s">
        <v>65</v>
      </c>
      <c r="B339" s="334">
        <v>223000</v>
      </c>
      <c r="C339" s="334">
        <v>325000</v>
      </c>
      <c r="D339" s="334">
        <v>337000</v>
      </c>
      <c r="E339" s="334">
        <v>383000</v>
      </c>
      <c r="F339" s="334">
        <v>353000</v>
      </c>
    </row>
    <row r="340" spans="1:15">
      <c r="A340" s="333" t="s">
        <v>1308</v>
      </c>
      <c r="B340" s="334">
        <v>191000</v>
      </c>
      <c r="C340" s="334">
        <v>313000</v>
      </c>
      <c r="D340" s="334">
        <v>326000</v>
      </c>
      <c r="E340" s="334">
        <v>342000</v>
      </c>
      <c r="F340" s="334">
        <v>315000</v>
      </c>
    </row>
    <row r="341" spans="1:15">
      <c r="A341" s="333" t="s">
        <v>1302</v>
      </c>
      <c r="B341" s="334">
        <v>32000</v>
      </c>
      <c r="C341" s="335" t="s">
        <v>1084</v>
      </c>
      <c r="D341" s="335" t="s">
        <v>1084</v>
      </c>
      <c r="E341" s="334">
        <v>41000</v>
      </c>
      <c r="F341" s="334">
        <v>38000</v>
      </c>
    </row>
    <row r="342" spans="1:15">
      <c r="A342" s="337" t="s">
        <v>1015</v>
      </c>
      <c r="B342" s="336"/>
      <c r="C342" s="338"/>
      <c r="D342" s="338"/>
      <c r="E342" s="336"/>
      <c r="F342" s="336"/>
    </row>
    <row r="345" spans="1:15">
      <c r="A345" s="333" t="s">
        <v>1303</v>
      </c>
      <c r="B345" s="334">
        <v>78000</v>
      </c>
      <c r="C345" s="334">
        <v>65000</v>
      </c>
      <c r="D345" s="342">
        <f>FORECAST(D407,E345:F345,E407:F407)</f>
        <v>60339.413762737451</v>
      </c>
      <c r="E345" s="334">
        <v>66000</v>
      </c>
      <c r="F345" s="334">
        <v>60400</v>
      </c>
    </row>
    <row r="346" spans="1:15">
      <c r="A346" s="333" t="s">
        <v>246</v>
      </c>
      <c r="B346" s="334">
        <v>132000</v>
      </c>
      <c r="C346" s="335" t="s">
        <v>1084</v>
      </c>
      <c r="D346" s="335" t="s">
        <v>1084</v>
      </c>
      <c r="E346" s="334">
        <v>0</v>
      </c>
      <c r="F346" s="334">
        <v>0</v>
      </c>
    </row>
    <row r="347" spans="1:15">
      <c r="A347" s="333" t="s">
        <v>1305</v>
      </c>
      <c r="B347" s="334">
        <v>30000</v>
      </c>
      <c r="C347" s="334">
        <v>26000</v>
      </c>
      <c r="D347" s="335" t="s">
        <v>1084</v>
      </c>
      <c r="E347" s="334">
        <v>0</v>
      </c>
      <c r="F347" s="334">
        <v>0</v>
      </c>
    </row>
    <row r="348" spans="1:15">
      <c r="A348" s="333" t="s">
        <v>276</v>
      </c>
      <c r="B348" s="335" t="s">
        <v>1084</v>
      </c>
      <c r="C348" s="334">
        <v>9000</v>
      </c>
      <c r="D348" s="335" t="s">
        <v>1084</v>
      </c>
      <c r="E348" s="334">
        <v>0</v>
      </c>
      <c r="F348" s="334">
        <v>0</v>
      </c>
    </row>
    <row r="349" spans="1:15">
      <c r="A349" s="333" t="s">
        <v>1307</v>
      </c>
      <c r="B349" s="335" t="s">
        <v>1084</v>
      </c>
      <c r="C349" s="335" t="s">
        <v>1084</v>
      </c>
      <c r="D349" s="335" t="s">
        <v>1084</v>
      </c>
      <c r="E349" s="334">
        <v>20000</v>
      </c>
      <c r="F349" s="334">
        <v>18400</v>
      </c>
    </row>
    <row r="350" spans="1:15">
      <c r="A350" s="333" t="s">
        <v>1304</v>
      </c>
      <c r="B350" s="334">
        <v>38000</v>
      </c>
      <c r="C350" s="334">
        <v>30000</v>
      </c>
      <c r="D350" s="335" t="s">
        <v>1084</v>
      </c>
      <c r="E350" s="334">
        <v>46000</v>
      </c>
      <c r="F350" s="334">
        <v>42000</v>
      </c>
    </row>
    <row r="351" spans="1:15">
      <c r="A351" s="333" t="s">
        <v>1309</v>
      </c>
      <c r="B351" s="334">
        <v>132000</v>
      </c>
      <c r="C351" s="342">
        <f>B351*(1+K352)</f>
        <v>161505.88235294117</v>
      </c>
      <c r="D351" s="342">
        <f>C351*(1+L352)*1.22</f>
        <v>159145.41176470587</v>
      </c>
      <c r="E351" s="342">
        <f>D351*(1+M352)</f>
        <v>168618.35294117648</v>
      </c>
      <c r="F351" s="342">
        <f>E351*(1+N352)</f>
        <v>204615.52941176473</v>
      </c>
      <c r="I351" s="169" t="s">
        <v>1325</v>
      </c>
      <c r="J351" s="169">
        <v>8.5</v>
      </c>
      <c r="K351" s="280">
        <v>10.4</v>
      </c>
      <c r="L351" s="280">
        <v>8.4</v>
      </c>
      <c r="M351" s="280">
        <v>8.9</v>
      </c>
      <c r="N351" s="280">
        <v>10.8</v>
      </c>
      <c r="O351" s="280">
        <v>11.466343896897095</v>
      </c>
    </row>
    <row r="352" spans="1:15">
      <c r="A352" s="337" t="s">
        <v>1015</v>
      </c>
      <c r="B352" s="336">
        <f>SUM(B345,B351)</f>
        <v>210000</v>
      </c>
      <c r="C352" s="336">
        <f t="shared" ref="C352:F352" si="52">SUM(C345:C351)</f>
        <v>291505.8823529412</v>
      </c>
      <c r="D352" s="336">
        <f t="shared" si="52"/>
        <v>219484.82552744332</v>
      </c>
      <c r="E352" s="336">
        <f t="shared" si="52"/>
        <v>300618.3529411765</v>
      </c>
      <c r="F352" s="336">
        <f t="shared" si="52"/>
        <v>325415.5294117647</v>
      </c>
      <c r="I352" s="169" t="s">
        <v>1326</v>
      </c>
      <c r="K352" s="226">
        <f>K351/J351-1</f>
        <v>0.22352941176470598</v>
      </c>
      <c r="L352" s="226">
        <f t="shared" ref="L352:O352" si="53">L351/K351-1</f>
        <v>-0.19230769230769229</v>
      </c>
      <c r="M352" s="226">
        <f t="shared" si="53"/>
        <v>5.9523809523809534E-2</v>
      </c>
      <c r="N352" s="226">
        <f t="shared" si="53"/>
        <v>0.21348314606741581</v>
      </c>
      <c r="O352" s="226">
        <f t="shared" si="53"/>
        <v>6.1698508971953281E-2</v>
      </c>
    </row>
    <row r="354" spans="1:6">
      <c r="A354" s="344" t="s">
        <v>337</v>
      </c>
      <c r="B354" s="334">
        <v>265000</v>
      </c>
      <c r="C354" s="334">
        <v>250000</v>
      </c>
      <c r="D354" s="334">
        <v>329000</v>
      </c>
      <c r="E354" s="334">
        <v>180000</v>
      </c>
      <c r="F354" s="334">
        <v>146000</v>
      </c>
    </row>
    <row r="355" spans="1:6">
      <c r="A355" s="344" t="s">
        <v>341</v>
      </c>
      <c r="B355" s="334">
        <v>250000</v>
      </c>
      <c r="C355" s="334">
        <v>113000</v>
      </c>
      <c r="D355" s="334">
        <v>274000</v>
      </c>
      <c r="E355" s="334">
        <v>91000</v>
      </c>
      <c r="F355" s="334">
        <v>86000</v>
      </c>
    </row>
    <row r="356" spans="1:6">
      <c r="A356" s="333" t="s">
        <v>345</v>
      </c>
      <c r="B356" s="334">
        <v>127000</v>
      </c>
      <c r="C356" s="335" t="s">
        <v>1084</v>
      </c>
      <c r="D356" s="334">
        <v>56000</v>
      </c>
      <c r="E356" s="334">
        <v>130000</v>
      </c>
      <c r="F356" s="334">
        <v>121000</v>
      </c>
    </row>
    <row r="357" spans="1:6">
      <c r="A357" s="344" t="s">
        <v>411</v>
      </c>
      <c r="B357" s="334">
        <v>64000</v>
      </c>
      <c r="C357" s="334">
        <v>36000</v>
      </c>
      <c r="D357" s="334">
        <v>40000</v>
      </c>
      <c r="E357" s="334">
        <v>123000</v>
      </c>
      <c r="F357" s="334">
        <v>120000</v>
      </c>
    </row>
    <row r="358" spans="1:6">
      <c r="A358" s="333" t="s">
        <v>351</v>
      </c>
      <c r="B358" s="335" t="s">
        <v>1084</v>
      </c>
      <c r="C358" s="335" t="s">
        <v>1084</v>
      </c>
      <c r="D358" s="335" t="s">
        <v>1084</v>
      </c>
      <c r="E358" s="334">
        <v>17000</v>
      </c>
      <c r="F358" s="334">
        <v>16000</v>
      </c>
    </row>
    <row r="359" spans="1:6">
      <c r="A359" s="344" t="s">
        <v>353</v>
      </c>
      <c r="B359" s="334">
        <v>268000</v>
      </c>
      <c r="C359" s="334">
        <v>599000</v>
      </c>
      <c r="D359" s="334">
        <v>324000</v>
      </c>
      <c r="E359" s="334">
        <v>360000</v>
      </c>
      <c r="F359" s="334">
        <v>204000</v>
      </c>
    </row>
    <row r="360" spans="1:6">
      <c r="A360" s="344" t="s">
        <v>1306</v>
      </c>
      <c r="B360" s="334">
        <v>1432000</v>
      </c>
      <c r="C360" s="334">
        <v>1647000</v>
      </c>
      <c r="D360" s="334">
        <v>1203000</v>
      </c>
      <c r="E360" s="334">
        <v>1285000</v>
      </c>
      <c r="F360" s="334">
        <v>912000</v>
      </c>
    </row>
    <row r="361" spans="1:6">
      <c r="A361" s="344" t="s">
        <v>355</v>
      </c>
      <c r="B361" s="334">
        <v>210000</v>
      </c>
      <c r="C361" s="334">
        <v>92000</v>
      </c>
      <c r="D361" s="334">
        <v>92000</v>
      </c>
      <c r="E361" s="334">
        <v>101000</v>
      </c>
      <c r="F361" s="334">
        <v>72000</v>
      </c>
    </row>
    <row r="362" spans="1:6">
      <c r="A362" s="333" t="s">
        <v>357</v>
      </c>
      <c r="B362" s="335" t="s">
        <v>1084</v>
      </c>
      <c r="C362" s="335" t="s">
        <v>1084</v>
      </c>
      <c r="D362" s="335" t="s">
        <v>1084</v>
      </c>
      <c r="E362" s="334">
        <v>12000</v>
      </c>
      <c r="F362" s="334">
        <v>11000</v>
      </c>
    </row>
    <row r="363" spans="1:6">
      <c r="A363" s="333" t="s">
        <v>367</v>
      </c>
      <c r="B363" s="334">
        <v>145000</v>
      </c>
      <c r="C363" s="334">
        <v>267000</v>
      </c>
      <c r="D363" s="335" t="s">
        <v>1084</v>
      </c>
      <c r="E363" s="334">
        <v>272000</v>
      </c>
      <c r="F363" s="334">
        <v>251000</v>
      </c>
    </row>
    <row r="364" spans="1:6">
      <c r="A364" s="333" t="s">
        <v>407</v>
      </c>
      <c r="B364" s="334">
        <v>178000</v>
      </c>
      <c r="C364" s="334">
        <v>259000</v>
      </c>
      <c r="D364" s="335" t="s">
        <v>1084</v>
      </c>
      <c r="E364" s="334">
        <v>376000</v>
      </c>
      <c r="F364" s="334">
        <v>329000</v>
      </c>
    </row>
    <row r="365" spans="1:6">
      <c r="A365" s="333" t="s">
        <v>359</v>
      </c>
      <c r="B365" s="335" t="s">
        <v>1084</v>
      </c>
      <c r="C365" s="335" t="s">
        <v>1084</v>
      </c>
      <c r="D365" s="334">
        <v>51000</v>
      </c>
      <c r="E365" s="334">
        <v>0</v>
      </c>
      <c r="F365" s="334">
        <v>0</v>
      </c>
    </row>
    <row r="366" spans="1:6">
      <c r="A366" s="344" t="s">
        <v>361</v>
      </c>
      <c r="B366" s="334">
        <v>420000</v>
      </c>
      <c r="C366" s="334">
        <v>286000</v>
      </c>
      <c r="D366" s="334">
        <v>190000</v>
      </c>
      <c r="E366" s="334">
        <v>415000</v>
      </c>
      <c r="F366" s="334">
        <v>363000</v>
      </c>
    </row>
    <row r="367" spans="1:6">
      <c r="A367" s="333" t="s">
        <v>369</v>
      </c>
      <c r="B367" s="334">
        <v>126000</v>
      </c>
      <c r="C367" s="334">
        <v>164000</v>
      </c>
      <c r="D367" s="335" t="s">
        <v>1084</v>
      </c>
      <c r="E367" s="334">
        <v>94000</v>
      </c>
      <c r="F367" s="334">
        <v>58000</v>
      </c>
    </row>
    <row r="368" spans="1:6">
      <c r="A368" s="333" t="s">
        <v>373</v>
      </c>
      <c r="B368" s="334">
        <v>143000</v>
      </c>
      <c r="C368" s="334">
        <v>231000</v>
      </c>
      <c r="D368" s="335" t="s">
        <v>1084</v>
      </c>
      <c r="E368" s="334">
        <v>89000</v>
      </c>
      <c r="F368" s="334">
        <v>83000</v>
      </c>
    </row>
    <row r="369" spans="1:6">
      <c r="A369" s="333" t="s">
        <v>375</v>
      </c>
      <c r="B369" s="334">
        <v>206000</v>
      </c>
      <c r="C369" s="335" t="s">
        <v>1084</v>
      </c>
      <c r="D369" s="334">
        <v>568000</v>
      </c>
      <c r="E369" s="334">
        <v>492000</v>
      </c>
      <c r="F369" s="334">
        <v>448000</v>
      </c>
    </row>
    <row r="370" spans="1:6">
      <c r="A370" s="333" t="s">
        <v>379</v>
      </c>
      <c r="B370" s="334">
        <v>138000</v>
      </c>
      <c r="C370" s="334">
        <v>270000</v>
      </c>
      <c r="D370" s="335" t="s">
        <v>1084</v>
      </c>
      <c r="E370" s="334">
        <v>347000</v>
      </c>
      <c r="F370" s="334">
        <v>308000</v>
      </c>
    </row>
    <row r="371" spans="1:6">
      <c r="A371" s="333" t="s">
        <v>381</v>
      </c>
      <c r="B371" s="335" t="s">
        <v>1084</v>
      </c>
      <c r="C371" s="335" t="s">
        <v>1084</v>
      </c>
      <c r="D371" s="335" t="s">
        <v>1084</v>
      </c>
      <c r="E371" s="334">
        <v>5000</v>
      </c>
      <c r="F371" s="334">
        <v>4600</v>
      </c>
    </row>
    <row r="372" spans="1:6">
      <c r="A372" s="333" t="s">
        <v>377</v>
      </c>
      <c r="B372" s="335" t="s">
        <v>1084</v>
      </c>
      <c r="C372" s="335" t="s">
        <v>1084</v>
      </c>
      <c r="D372" s="335" t="s">
        <v>1084</v>
      </c>
      <c r="E372" s="334">
        <v>26000</v>
      </c>
      <c r="F372" s="334">
        <v>24000</v>
      </c>
    </row>
    <row r="373" spans="1:6">
      <c r="A373" s="333" t="s">
        <v>383</v>
      </c>
      <c r="B373" s="335" t="s">
        <v>1084</v>
      </c>
      <c r="C373" s="335" t="s">
        <v>1084</v>
      </c>
      <c r="D373" s="335" t="s">
        <v>1084</v>
      </c>
      <c r="E373" s="334">
        <v>21000</v>
      </c>
      <c r="F373" s="334">
        <v>19000</v>
      </c>
    </row>
    <row r="374" spans="1:6">
      <c r="A374" s="344" t="s">
        <v>387</v>
      </c>
      <c r="B374" s="334">
        <v>257000</v>
      </c>
      <c r="C374" s="334">
        <v>313000</v>
      </c>
      <c r="D374" s="334">
        <v>318000</v>
      </c>
      <c r="E374" s="334">
        <v>143000</v>
      </c>
      <c r="F374" s="334">
        <v>129000</v>
      </c>
    </row>
    <row r="375" spans="1:6">
      <c r="A375" s="344" t="s">
        <v>389</v>
      </c>
      <c r="B375" s="334">
        <v>142000</v>
      </c>
      <c r="C375" s="334">
        <v>110000</v>
      </c>
      <c r="D375" s="334">
        <v>54000</v>
      </c>
      <c r="E375" s="334">
        <v>88000</v>
      </c>
      <c r="F375" s="334">
        <v>70000</v>
      </c>
    </row>
    <row r="376" spans="1:6">
      <c r="A376" s="333" t="s">
        <v>393</v>
      </c>
      <c r="B376" s="335" t="s">
        <v>1084</v>
      </c>
      <c r="C376" s="334">
        <v>26000</v>
      </c>
      <c r="D376" s="335" t="s">
        <v>1084</v>
      </c>
      <c r="E376" s="334">
        <v>13500</v>
      </c>
      <c r="F376" s="334">
        <v>12400</v>
      </c>
    </row>
    <row r="377" spans="1:6">
      <c r="A377" s="333" t="s">
        <v>397</v>
      </c>
      <c r="B377" s="335" t="s">
        <v>1084</v>
      </c>
      <c r="C377" s="335" t="s">
        <v>1084</v>
      </c>
      <c r="D377" s="335" t="s">
        <v>1084</v>
      </c>
      <c r="E377" s="334">
        <v>47000</v>
      </c>
      <c r="F377" s="334">
        <v>43000</v>
      </c>
    </row>
    <row r="378" spans="1:6">
      <c r="A378" s="333" t="s">
        <v>1152</v>
      </c>
      <c r="B378" s="334">
        <v>56000</v>
      </c>
      <c r="C378" s="334">
        <v>189000</v>
      </c>
      <c r="D378" s="335" t="s">
        <v>1084</v>
      </c>
      <c r="E378" s="334">
        <v>92000</v>
      </c>
      <c r="F378" s="334">
        <v>90800</v>
      </c>
    </row>
    <row r="379" spans="1:6">
      <c r="A379" s="344" t="s">
        <v>409</v>
      </c>
      <c r="B379" s="334">
        <v>123000</v>
      </c>
      <c r="C379" s="334">
        <v>114000</v>
      </c>
      <c r="D379" s="334">
        <v>153000</v>
      </c>
      <c r="E379" s="334">
        <v>118000</v>
      </c>
      <c r="F379" s="334">
        <v>88000</v>
      </c>
    </row>
    <row r="380" spans="1:6">
      <c r="A380" s="333" t="s">
        <v>405</v>
      </c>
      <c r="B380" s="335" t="s">
        <v>1084</v>
      </c>
      <c r="C380" s="335" t="s">
        <v>1084</v>
      </c>
      <c r="D380" s="335" t="s">
        <v>1084</v>
      </c>
      <c r="E380" s="334">
        <v>0</v>
      </c>
      <c r="F380" s="334">
        <v>0</v>
      </c>
    </row>
    <row r="381" spans="1:6">
      <c r="A381" s="333" t="s">
        <v>403</v>
      </c>
      <c r="B381" s="334">
        <v>401000</v>
      </c>
      <c r="C381" s="334">
        <v>381000</v>
      </c>
      <c r="D381" s="335" t="s">
        <v>1084</v>
      </c>
      <c r="E381" s="334">
        <v>195000</v>
      </c>
      <c r="F381" s="334">
        <v>103000</v>
      </c>
    </row>
    <row r="382" spans="1:6">
      <c r="A382" s="333" t="s">
        <v>415</v>
      </c>
      <c r="B382" s="335" t="s">
        <v>1084</v>
      </c>
      <c r="C382" s="334">
        <v>131000</v>
      </c>
      <c r="D382" s="335" t="s">
        <v>1084</v>
      </c>
      <c r="E382" s="334">
        <v>258000</v>
      </c>
      <c r="F382" s="334">
        <v>233000</v>
      </c>
    </row>
    <row r="383" spans="1:6">
      <c r="A383" s="344" t="s">
        <v>419</v>
      </c>
      <c r="B383" s="334">
        <v>763000</v>
      </c>
      <c r="C383" s="334">
        <v>409000</v>
      </c>
      <c r="D383" s="334">
        <v>463000</v>
      </c>
      <c r="E383" s="334">
        <v>570000</v>
      </c>
      <c r="F383" s="334">
        <v>492000</v>
      </c>
    </row>
    <row r="384" spans="1:6">
      <c r="A384" s="169" t="s">
        <v>1015</v>
      </c>
      <c r="B384" s="174">
        <f>SUM(B354:B383)</f>
        <v>5714000</v>
      </c>
      <c r="C384" s="174">
        <f t="shared" ref="C384:F384" si="54">SUM(C354:C383)</f>
        <v>5887000</v>
      </c>
      <c r="D384" s="174">
        <f t="shared" si="54"/>
        <v>4115000</v>
      </c>
      <c r="E384" s="174">
        <f t="shared" si="54"/>
        <v>5960500</v>
      </c>
      <c r="F384" s="174">
        <f t="shared" si="54"/>
        <v>4836800</v>
      </c>
    </row>
    <row r="385" spans="1:13">
      <c r="A385" s="333" t="s">
        <v>1321</v>
      </c>
      <c r="B385" s="334">
        <v>440000</v>
      </c>
      <c r="C385" s="334">
        <v>630000</v>
      </c>
      <c r="D385" s="334">
        <v>404000</v>
      </c>
      <c r="E385" s="334">
        <v>460000</v>
      </c>
      <c r="F385" s="334">
        <v>378000</v>
      </c>
    </row>
    <row r="389" spans="1:13">
      <c r="A389" s="333" t="s">
        <v>1316</v>
      </c>
      <c r="B389" s="334">
        <v>3403000</v>
      </c>
      <c r="C389" s="334">
        <v>3852000</v>
      </c>
      <c r="D389" s="334">
        <v>3741000</v>
      </c>
      <c r="E389" s="334">
        <v>3594500</v>
      </c>
      <c r="F389" s="334">
        <v>2911000</v>
      </c>
    </row>
    <row r="390" spans="1:13">
      <c r="A390" s="333" t="s">
        <v>1317</v>
      </c>
      <c r="B390" s="334">
        <v>5787000</v>
      </c>
      <c r="C390" s="334">
        <v>6129000</v>
      </c>
      <c r="D390" s="334">
        <v>5223000</v>
      </c>
      <c r="E390" s="334">
        <v>5487500</v>
      </c>
      <c r="F390" s="334">
        <v>4391000</v>
      </c>
    </row>
    <row r="391" spans="1:13">
      <c r="A391" s="333" t="s">
        <v>1318</v>
      </c>
      <c r="B391" s="334">
        <v>206000</v>
      </c>
      <c r="C391" s="334">
        <v>159000</v>
      </c>
      <c r="D391" s="334">
        <v>112000</v>
      </c>
      <c r="E391" s="334">
        <v>211000</v>
      </c>
      <c r="F391" s="334">
        <v>190000</v>
      </c>
    </row>
    <row r="392" spans="1:13">
      <c r="A392" s="333" t="s">
        <v>1319</v>
      </c>
      <c r="B392" s="334">
        <v>5645000</v>
      </c>
      <c r="C392" s="334">
        <v>6006000</v>
      </c>
      <c r="D392" s="334">
        <v>5111000</v>
      </c>
      <c r="E392" s="334">
        <v>5399500</v>
      </c>
      <c r="F392" s="334">
        <v>4321000</v>
      </c>
    </row>
    <row r="393" spans="1:13">
      <c r="A393" s="333" t="s">
        <v>1320</v>
      </c>
      <c r="B393" s="334">
        <v>566000</v>
      </c>
      <c r="C393" s="334">
        <v>950000</v>
      </c>
      <c r="D393" s="334">
        <v>594000</v>
      </c>
      <c r="E393" s="334">
        <v>810000</v>
      </c>
      <c r="F393" s="334">
        <v>701800</v>
      </c>
    </row>
    <row r="394" spans="1:13">
      <c r="A394" s="333" t="s">
        <v>1321</v>
      </c>
      <c r="B394" s="334">
        <v>440000</v>
      </c>
      <c r="C394" s="334">
        <v>630000</v>
      </c>
      <c r="D394" s="334">
        <v>404000</v>
      </c>
      <c r="E394" s="334">
        <v>460000</v>
      </c>
      <c r="F394" s="334">
        <v>378000</v>
      </c>
    </row>
    <row r="397" spans="1:13">
      <c r="A397" s="333" t="s">
        <v>1311</v>
      </c>
      <c r="B397" s="342">
        <f t="shared" ref="B397:C397" si="55">C397/(1+J398)</f>
        <v>18613.913043478264</v>
      </c>
      <c r="C397" s="342">
        <f t="shared" si="55"/>
        <v>19685.217391304352</v>
      </c>
      <c r="D397" s="342">
        <f>E397/(1+L398)*1.1</f>
        <v>15400.000000000002</v>
      </c>
      <c r="E397" s="334">
        <v>14000</v>
      </c>
      <c r="F397" s="334">
        <v>13400</v>
      </c>
      <c r="I397" s="169">
        <v>139</v>
      </c>
      <c r="J397" s="169">
        <v>147</v>
      </c>
      <c r="K397" s="169">
        <v>115</v>
      </c>
      <c r="L397" s="169">
        <v>115</v>
      </c>
      <c r="M397" s="169">
        <v>111</v>
      </c>
    </row>
    <row r="398" spans="1:13">
      <c r="A398" s="333" t="s">
        <v>1312</v>
      </c>
      <c r="B398" s="342">
        <f>FORECAST(B397,C398:F398,C397:F397)*1.03</f>
        <v>37973.120357045947</v>
      </c>
      <c r="C398" s="342">
        <f>FORECAST(C397,D398:F398,D397:F397)*1.04</f>
        <v>39337.053869014853</v>
      </c>
      <c r="D398" s="342">
        <f>FORECAST(D397,E398:F398,E397:F397)*1.14</f>
        <v>29639.999999999996</v>
      </c>
      <c r="E398" s="334">
        <v>26000</v>
      </c>
      <c r="F398" s="334">
        <v>26000</v>
      </c>
      <c r="J398" s="226">
        <f>J397/I397-1</f>
        <v>5.755395683453246E-2</v>
      </c>
      <c r="K398" s="226">
        <f t="shared" ref="K398:M398" si="56">K397/J397-1</f>
        <v>-0.21768707482993199</v>
      </c>
      <c r="L398" s="226">
        <f t="shared" si="56"/>
        <v>0</v>
      </c>
      <c r="M398" s="226">
        <f t="shared" si="56"/>
        <v>-3.4782608695652195E-2</v>
      </c>
    </row>
    <row r="399" spans="1:13">
      <c r="A399" s="333" t="s">
        <v>1313</v>
      </c>
      <c r="B399" s="343">
        <f>SUM(B397:B398)</f>
        <v>56587.033400524211</v>
      </c>
      <c r="C399" s="343">
        <f t="shared" ref="C399:D399" si="57">SUM(C397:C398)</f>
        <v>59022.271260319205</v>
      </c>
      <c r="D399" s="343">
        <f t="shared" si="57"/>
        <v>45040</v>
      </c>
      <c r="E399" s="334">
        <v>40000</v>
      </c>
      <c r="F399" s="334">
        <v>39400</v>
      </c>
      <c r="I399" s="226">
        <f>C397/B397-1</f>
        <v>5.755395683453246E-2</v>
      </c>
      <c r="J399" s="226">
        <f t="shared" ref="J399:L399" si="58">D397/C397-1</f>
        <v>-0.21768707482993199</v>
      </c>
      <c r="K399" s="226">
        <f t="shared" si="58"/>
        <v>-9.090909090909105E-2</v>
      </c>
      <c r="L399" s="226">
        <f t="shared" si="58"/>
        <v>-4.2857142857142816E-2</v>
      </c>
      <c r="M399" s="226"/>
    </row>
    <row r="400" spans="1:13">
      <c r="I400" s="226">
        <f t="shared" ref="I400:L400" si="59">C398/B398-1</f>
        <v>3.5918394357492556E-2</v>
      </c>
      <c r="J400" s="226">
        <f t="shared" si="59"/>
        <v>-0.24651195031799433</v>
      </c>
      <c r="K400" s="226">
        <f t="shared" si="59"/>
        <v>-0.12280701754385959</v>
      </c>
      <c r="L400" s="226">
        <f t="shared" si="59"/>
        <v>0</v>
      </c>
      <c r="M400" s="226"/>
    </row>
    <row r="401" spans="1:13">
      <c r="A401" s="333" t="s">
        <v>1314</v>
      </c>
      <c r="B401" s="342">
        <f>FORECAST(B406,C401:F401,C406:F406)</f>
        <v>11996.385251827456</v>
      </c>
      <c r="C401" s="342">
        <f>FORECAST(C406,D401:F401,D406:F406)</f>
        <v>12524.138485018877</v>
      </c>
      <c r="D401" s="342">
        <f>FORECAST(D406,E401:F401,E406:F406)</f>
        <v>11434.894369025624</v>
      </c>
      <c r="E401" s="334">
        <v>12000</v>
      </c>
      <c r="F401" s="334">
        <v>11000</v>
      </c>
      <c r="I401" s="226">
        <f t="shared" ref="I401:L401" si="60">C399/B399-1</f>
        <v>4.3035262911881755E-2</v>
      </c>
      <c r="J401" s="226">
        <f t="shared" si="60"/>
        <v>-0.23689822437788011</v>
      </c>
      <c r="K401" s="226">
        <f t="shared" si="60"/>
        <v>-0.11190053285968027</v>
      </c>
      <c r="L401" s="226">
        <f t="shared" si="60"/>
        <v>-1.5000000000000013E-2</v>
      </c>
      <c r="M401" s="226"/>
    </row>
    <row r="402" spans="1:13">
      <c r="A402" s="333" t="s">
        <v>1315</v>
      </c>
      <c r="B402" s="335" t="s">
        <v>1084</v>
      </c>
      <c r="C402" s="335" t="s">
        <v>1084</v>
      </c>
      <c r="D402" s="335" t="s">
        <v>1084</v>
      </c>
      <c r="E402" s="334">
        <v>12000</v>
      </c>
      <c r="F402" s="334">
        <v>11000</v>
      </c>
    </row>
    <row r="404" spans="1:13" ht="15">
      <c r="A404" s="339" t="s">
        <v>1015</v>
      </c>
      <c r="B404" s="174">
        <f>SUM(B401,B399,B384,B385,B352,B339)</f>
        <v>6655583.4186523519</v>
      </c>
      <c r="C404" s="174">
        <f>SUM(C401,C399,C384,C385,C352,C339)</f>
        <v>7205052.29209828</v>
      </c>
      <c r="D404" s="174">
        <f>SUM(D401,D399,D384,D385,D352,D339)</f>
        <v>5131959.7198964693</v>
      </c>
      <c r="E404" s="174">
        <f>SUM(E401,E399,E384,E385,E352,E339)</f>
        <v>7156118.3529411769</v>
      </c>
      <c r="F404" s="174">
        <f>SUM(F401,F399,F384,F385,F352,F339)</f>
        <v>5943615.5294117648</v>
      </c>
    </row>
    <row r="406" spans="1:13">
      <c r="A406" s="333" t="s">
        <v>1310</v>
      </c>
      <c r="B406" s="334">
        <v>6917000</v>
      </c>
      <c r="C406" s="334">
        <v>7574000</v>
      </c>
      <c r="D406" s="334">
        <v>6218000</v>
      </c>
      <c r="E406" s="334">
        <v>6921500</v>
      </c>
      <c r="F406" s="334">
        <v>5676600</v>
      </c>
      <c r="G406" s="169" t="s">
        <v>1327</v>
      </c>
    </row>
    <row r="407" spans="1:13">
      <c r="A407" s="333" t="s">
        <v>1310</v>
      </c>
      <c r="B407" s="334">
        <v>6917000</v>
      </c>
      <c r="C407" s="334">
        <v>7574000</v>
      </c>
      <c r="D407" s="334">
        <v>6318000</v>
      </c>
      <c r="E407" s="334">
        <v>7121500</v>
      </c>
      <c r="F407" s="334">
        <v>6326600</v>
      </c>
      <c r="G407" s="169" t="s">
        <v>1328</v>
      </c>
    </row>
    <row r="409" spans="1:13">
      <c r="A409" s="169" t="s">
        <v>1322</v>
      </c>
      <c r="B409" s="169">
        <v>2007</v>
      </c>
      <c r="C409" s="169">
        <v>2008</v>
      </c>
      <c r="D409" s="169">
        <v>2009</v>
      </c>
      <c r="E409" s="169">
        <v>2010</v>
      </c>
      <c r="F409" s="169">
        <v>2011</v>
      </c>
      <c r="G409" s="169">
        <v>2012</v>
      </c>
    </row>
    <row r="410" spans="1:13">
      <c r="A410" s="169" t="s">
        <v>65</v>
      </c>
      <c r="B410" s="340">
        <f>FORECAST(B406,C410:F410,C406:F406)</f>
        <v>382891.5575548237</v>
      </c>
      <c r="C410" s="340">
        <f>FORECAST(C406,D410:F410,D406:F406)</f>
        <v>398724.15455056628</v>
      </c>
      <c r="D410" s="340">
        <f>FORECAST(D406,E410:F410,E406:F406)</f>
        <v>366046.83107076876</v>
      </c>
      <c r="E410" s="340">
        <f>E339</f>
        <v>383000</v>
      </c>
      <c r="F410" s="340">
        <f>F339</f>
        <v>353000</v>
      </c>
      <c r="G410" s="340">
        <f>F410*(1+(F410/B410)^(1/4)-1)</f>
        <v>345899.1016425243</v>
      </c>
      <c r="I410" s="226">
        <f t="shared" ref="I410:M415" si="61">C410/B410-1</f>
        <v>4.1350081200146604E-2</v>
      </c>
      <c r="J410" s="226">
        <f t="shared" si="61"/>
        <v>-8.1954712567215093E-2</v>
      </c>
      <c r="K410" s="226">
        <f t="shared" si="61"/>
        <v>4.6314207610101299E-2</v>
      </c>
      <c r="L410" s="226">
        <f t="shared" si="61"/>
        <v>-7.8328981723237545E-2</v>
      </c>
      <c r="M410" s="226">
        <f t="shared" si="61"/>
        <v>-2.0115859369619571E-2</v>
      </c>
    </row>
    <row r="411" spans="1:13">
      <c r="A411" s="169" t="s">
        <v>1323</v>
      </c>
      <c r="B411" s="340">
        <f>SUM(B345,B351)</f>
        <v>210000</v>
      </c>
      <c r="C411" s="340">
        <f t="shared" ref="C411:F411" si="62">SUM(C345,C351)</f>
        <v>226505.88235294117</v>
      </c>
      <c r="D411" s="340">
        <f t="shared" si="62"/>
        <v>219484.82552744332</v>
      </c>
      <c r="E411" s="340">
        <f t="shared" si="62"/>
        <v>234618.35294117648</v>
      </c>
      <c r="F411" s="340">
        <f t="shared" si="62"/>
        <v>265015.5294117647</v>
      </c>
      <c r="G411" s="340">
        <f t="shared" ref="G411:G414" si="63">F411*(1+(F411/B411)^(1/4)-1)</f>
        <v>280888.74048659613</v>
      </c>
      <c r="I411" s="226">
        <f t="shared" si="61"/>
        <v>7.859943977591044E-2</v>
      </c>
      <c r="J411" s="226">
        <f t="shared" si="61"/>
        <v>-3.0997238361155088E-2</v>
      </c>
      <c r="K411" s="226">
        <f t="shared" si="61"/>
        <v>6.8950221854134242E-2</v>
      </c>
      <c r="L411" s="226">
        <f t="shared" si="61"/>
        <v>0.12956009659742773</v>
      </c>
      <c r="M411" s="226">
        <f t="shared" si="61"/>
        <v>5.9895399752852185E-2</v>
      </c>
    </row>
    <row r="412" spans="1:13">
      <c r="A412" s="169" t="s">
        <v>72</v>
      </c>
      <c r="B412" s="340">
        <f>B399</f>
        <v>56587.033400524211</v>
      </c>
      <c r="C412" s="340">
        <f t="shared" ref="C412:F412" si="64">C399</f>
        <v>59022.271260319205</v>
      </c>
      <c r="D412" s="340">
        <f t="shared" si="64"/>
        <v>45040</v>
      </c>
      <c r="E412" s="340">
        <f t="shared" si="64"/>
        <v>40000</v>
      </c>
      <c r="F412" s="340">
        <f t="shared" si="64"/>
        <v>39400</v>
      </c>
      <c r="G412" s="340">
        <f>F412*(1+(F412/B412)^(1/4)-1)*1.043</f>
        <v>37538.365110981766</v>
      </c>
      <c r="I412" s="226">
        <f t="shared" si="61"/>
        <v>4.3035262911881755E-2</v>
      </c>
      <c r="J412" s="226">
        <f t="shared" si="61"/>
        <v>-0.23689822437788011</v>
      </c>
      <c r="K412" s="226">
        <f t="shared" si="61"/>
        <v>-0.11190053285968027</v>
      </c>
      <c r="L412" s="226">
        <f t="shared" si="61"/>
        <v>-1.5000000000000013E-2</v>
      </c>
      <c r="M412" s="226">
        <f t="shared" si="61"/>
        <v>-4.7249616472543998E-2</v>
      </c>
    </row>
    <row r="413" spans="1:13">
      <c r="A413" s="169" t="s">
        <v>1324</v>
      </c>
      <c r="B413" s="340">
        <f>B401</f>
        <v>11996.385251827456</v>
      </c>
      <c r="C413" s="340">
        <f t="shared" ref="C413:D413" si="65">C401</f>
        <v>12524.138485018877</v>
      </c>
      <c r="D413" s="340">
        <f t="shared" si="65"/>
        <v>11434.894369025624</v>
      </c>
      <c r="E413" s="340">
        <f>E401+85</f>
        <v>12085</v>
      </c>
      <c r="F413" s="340">
        <f>F401+131</f>
        <v>11131</v>
      </c>
      <c r="G413" s="340">
        <f t="shared" si="63"/>
        <v>10924.589509669229</v>
      </c>
      <c r="I413" s="226">
        <f t="shared" si="61"/>
        <v>4.399268797332323E-2</v>
      </c>
      <c r="J413" s="226">
        <f t="shared" si="61"/>
        <v>-8.6971580304400553E-2</v>
      </c>
      <c r="K413" s="226">
        <f t="shared" si="61"/>
        <v>5.6852788490583395E-2</v>
      </c>
      <c r="L413" s="226">
        <f t="shared" si="61"/>
        <v>-7.8940835746793558E-2</v>
      </c>
      <c r="M413" s="226">
        <f t="shared" si="61"/>
        <v>-1.8543750815809057E-2</v>
      </c>
    </row>
    <row r="414" spans="1:13">
      <c r="A414" s="169" t="s">
        <v>69</v>
      </c>
      <c r="B414" s="341">
        <f>B407-SUM(B410:B413)</f>
        <v>6255525.0237928247</v>
      </c>
      <c r="C414" s="341">
        <f t="shared" ref="C414:E414" si="66">C407-SUM(C410:C413)</f>
        <v>6877223.5533511546</v>
      </c>
      <c r="D414" s="341">
        <f t="shared" si="66"/>
        <v>5675993.4490327621</v>
      </c>
      <c r="E414" s="341">
        <f t="shared" si="66"/>
        <v>6451796.6470588231</v>
      </c>
      <c r="F414" s="341">
        <f>F407-SUM(F410:F413)</f>
        <v>5658053.4705882352</v>
      </c>
      <c r="G414" s="340">
        <f t="shared" si="63"/>
        <v>5517824.3043497838</v>
      </c>
      <c r="I414" s="226">
        <f t="shared" si="61"/>
        <v>9.9383908975458679E-2</v>
      </c>
      <c r="J414" s="226">
        <f t="shared" si="61"/>
        <v>-0.17466788668416244</v>
      </c>
      <c r="K414" s="226">
        <f t="shared" si="61"/>
        <v>0.13668148228012211</v>
      </c>
      <c r="L414" s="226">
        <f t="shared" si="61"/>
        <v>-0.12302668851666787</v>
      </c>
      <c r="M414" s="226">
        <f t="shared" si="61"/>
        <v>-2.4783994525218289E-2</v>
      </c>
    </row>
    <row r="415" spans="1:13">
      <c r="A415" s="169" t="s">
        <v>1015</v>
      </c>
      <c r="B415" s="341">
        <f>SUM(B410:B414)</f>
        <v>6917000</v>
      </c>
      <c r="C415" s="341">
        <f t="shared" ref="C415:G415" si="67">SUM(C410:C414)</f>
        <v>7574000</v>
      </c>
      <c r="D415" s="341">
        <f t="shared" si="67"/>
        <v>6318000</v>
      </c>
      <c r="E415" s="341">
        <f t="shared" si="67"/>
        <v>7121500</v>
      </c>
      <c r="F415" s="341">
        <f t="shared" si="67"/>
        <v>6326600</v>
      </c>
      <c r="G415" s="341">
        <f t="shared" si="67"/>
        <v>6193075.1010995554</v>
      </c>
      <c r="I415" s="226">
        <f t="shared" si="61"/>
        <v>9.498337429521464E-2</v>
      </c>
      <c r="J415" s="226">
        <f t="shared" si="61"/>
        <v>-0.16583047266965933</v>
      </c>
      <c r="K415" s="226">
        <f t="shared" si="61"/>
        <v>0.12717632162076598</v>
      </c>
      <c r="L415" s="226">
        <f t="shared" si="61"/>
        <v>-0.11161974303166466</v>
      </c>
      <c r="M415" s="226">
        <f t="shared" si="61"/>
        <v>-2.110531705820573E-2</v>
      </c>
    </row>
    <row r="417" spans="1:7">
      <c r="A417" s="169" t="s">
        <v>1329</v>
      </c>
    </row>
    <row r="418" spans="1:7">
      <c r="A418" s="169" t="s">
        <v>1330</v>
      </c>
    </row>
    <row r="420" spans="1:7">
      <c r="A420" s="169" t="s">
        <v>353</v>
      </c>
    </row>
    <row r="421" spans="1:7">
      <c r="A421" s="169" t="s">
        <v>67</v>
      </c>
      <c r="B421" s="280">
        <v>130.32791844490853</v>
      </c>
      <c r="C421" s="280">
        <v>114.50879924512098</v>
      </c>
      <c r="D421" s="280">
        <v>108.81424822389297</v>
      </c>
      <c r="E421" s="280">
        <v>100.74624672515075</v>
      </c>
      <c r="F421" s="280">
        <v>103.37536587538916</v>
      </c>
      <c r="G421" s="280">
        <v>106.94506505576177</v>
      </c>
    </row>
    <row r="422" spans="1:7">
      <c r="A422" s="169" t="s">
        <v>70</v>
      </c>
      <c r="B422" s="280">
        <v>22.301927980212326</v>
      </c>
      <c r="C422" s="280">
        <v>26.191374659070789</v>
      </c>
      <c r="D422" s="280">
        <v>21.460736173528858</v>
      </c>
      <c r="E422" s="280">
        <v>21.378437058026975</v>
      </c>
      <c r="F422" s="280">
        <v>21.919794209001346</v>
      </c>
      <c r="G422" s="280">
        <v>22.510115265618847</v>
      </c>
    </row>
    <row r="423" spans="1:7">
      <c r="A423" s="169" t="s">
        <v>1015</v>
      </c>
      <c r="B423" s="346">
        <f>SUM(B421:B422)</f>
        <v>152.62984642512086</v>
      </c>
      <c r="C423" s="346">
        <f t="shared" ref="C423:G423" si="68">SUM(C421:C422)</f>
        <v>140.70017390419179</v>
      </c>
      <c r="D423" s="346">
        <f t="shared" si="68"/>
        <v>130.27498439742183</v>
      </c>
      <c r="E423" s="346">
        <f t="shared" si="68"/>
        <v>122.12468378317773</v>
      </c>
      <c r="F423" s="346">
        <f t="shared" si="68"/>
        <v>125.29516008439052</v>
      </c>
      <c r="G423" s="346">
        <f t="shared" si="68"/>
        <v>129.45518032138062</v>
      </c>
    </row>
    <row r="424" spans="1:7">
      <c r="B424" s="346"/>
      <c r="C424" s="346"/>
      <c r="D424" s="346"/>
      <c r="E424" s="346"/>
      <c r="F424" s="346"/>
      <c r="G424" s="346"/>
    </row>
    <row r="425" spans="1:7">
      <c r="A425" s="169" t="s">
        <v>67</v>
      </c>
      <c r="B425" s="226">
        <f>B421/B423</f>
        <v>0.85388226154605029</v>
      </c>
      <c r="C425" s="226">
        <f t="shared" ref="C425:G425" si="69">C421/C423</f>
        <v>0.81384973499104896</v>
      </c>
      <c r="D425" s="226">
        <f t="shared" si="69"/>
        <v>0.83526587032196509</v>
      </c>
      <c r="E425" s="226">
        <f t="shared" si="69"/>
        <v>0.82494581442697845</v>
      </c>
      <c r="F425" s="226">
        <f t="shared" si="69"/>
        <v>0.82505474118682931</v>
      </c>
      <c r="G425" s="226">
        <f t="shared" si="69"/>
        <v>0.82611653539289753</v>
      </c>
    </row>
    <row r="426" spans="1:7">
      <c r="A426" s="169" t="s">
        <v>70</v>
      </c>
      <c r="B426" s="226">
        <f>B422/B423</f>
        <v>0.14611773845394974</v>
      </c>
      <c r="C426" s="226">
        <f t="shared" ref="C426:G426" si="70">C422/C423</f>
        <v>0.18615026500895096</v>
      </c>
      <c r="D426" s="226">
        <f t="shared" si="70"/>
        <v>0.16473412967803489</v>
      </c>
      <c r="E426" s="226">
        <f t="shared" si="70"/>
        <v>0.1750541855730216</v>
      </c>
      <c r="F426" s="226">
        <f t="shared" si="70"/>
        <v>0.17494525881317063</v>
      </c>
      <c r="G426" s="226">
        <f t="shared" si="70"/>
        <v>0.17388346460710241</v>
      </c>
    </row>
    <row r="428" spans="1:7">
      <c r="A428" s="169" t="s">
        <v>391</v>
      </c>
      <c r="B428" s="280"/>
      <c r="C428" s="280"/>
      <c r="D428" s="280"/>
      <c r="E428" s="280"/>
      <c r="F428" s="280"/>
    </row>
    <row r="429" spans="1:7">
      <c r="A429" s="169" t="s">
        <v>67</v>
      </c>
      <c r="B429" s="347">
        <f>B425*B411/1000</f>
        <v>179.31527492467055</v>
      </c>
      <c r="C429" s="347">
        <f t="shared" ref="C429:G429" si="71">C425*C411/1000</f>
        <v>184.34175232685487</v>
      </c>
      <c r="D429" s="347">
        <f t="shared" si="71"/>
        <v>183.32818381664458</v>
      </c>
      <c r="E429" s="347">
        <f t="shared" si="71"/>
        <v>193.54742824657512</v>
      </c>
      <c r="F429" s="347">
        <f t="shared" si="71"/>
        <v>218.65231902931407</v>
      </c>
      <c r="G429" s="347">
        <f t="shared" si="71"/>
        <v>232.04683312166151</v>
      </c>
    </row>
    <row r="430" spans="1:7">
      <c r="A430" s="169" t="s">
        <v>70</v>
      </c>
      <c r="B430" s="347">
        <f>(B411/1000)-B429</f>
        <v>30.684725075329453</v>
      </c>
      <c r="C430" s="347">
        <f t="shared" ref="C430:G430" si="72">(C411/1000)-C429</f>
        <v>42.164130026086298</v>
      </c>
      <c r="D430" s="347">
        <f t="shared" si="72"/>
        <v>36.156641710798738</v>
      </c>
      <c r="E430" s="347">
        <f t="shared" si="72"/>
        <v>41.070924694601359</v>
      </c>
      <c r="F430" s="347">
        <f t="shared" si="72"/>
        <v>46.363210382450632</v>
      </c>
      <c r="G430" s="347">
        <f t="shared" si="72"/>
        <v>48.841907364934627</v>
      </c>
    </row>
    <row r="431" spans="1:7">
      <c r="A431" s="169" t="s">
        <v>1015</v>
      </c>
      <c r="B431" s="347">
        <f>SUM(B429:B430)</f>
        <v>210</v>
      </c>
      <c r="C431" s="347">
        <f t="shared" ref="C431:F431" si="73">SUM(C429:C430)</f>
        <v>226.50588235294117</v>
      </c>
      <c r="D431" s="347">
        <f t="shared" si="73"/>
        <v>219.48482552744332</v>
      </c>
      <c r="E431" s="347">
        <f t="shared" si="73"/>
        <v>234.61835294117648</v>
      </c>
      <c r="F431" s="347">
        <f t="shared" si="73"/>
        <v>265.0155294117647</v>
      </c>
    </row>
    <row r="433" spans="1:7">
      <c r="A433" s="169" t="s">
        <v>1339</v>
      </c>
    </row>
    <row r="435" spans="1:7">
      <c r="A435" s="169" t="s">
        <v>365</v>
      </c>
    </row>
    <row r="436" spans="1:7">
      <c r="A436" s="169" t="s">
        <v>451</v>
      </c>
      <c r="B436" s="280">
        <v>306.63799999999998</v>
      </c>
      <c r="C436" s="280">
        <v>319.89499999999998</v>
      </c>
      <c r="D436" s="280">
        <v>313.26649999999995</v>
      </c>
      <c r="E436" s="280">
        <v>316.58074999999997</v>
      </c>
      <c r="F436" s="280">
        <v>314.92362499999996</v>
      </c>
    </row>
    <row r="437" spans="1:7">
      <c r="A437" s="169" t="s">
        <v>453</v>
      </c>
      <c r="B437" s="280">
        <v>151.96899999999999</v>
      </c>
      <c r="C437" s="280">
        <v>158.167</v>
      </c>
      <c r="D437" s="280">
        <v>140.81100000000001</v>
      </c>
      <c r="E437" s="280">
        <v>147.30935333333332</v>
      </c>
      <c r="F437" s="280">
        <v>150.25007562222223</v>
      </c>
    </row>
    <row r="438" spans="1:7">
      <c r="A438" s="169" t="s">
        <v>1292</v>
      </c>
      <c r="B438" s="346">
        <v>1524.1510000000001</v>
      </c>
      <c r="C438" s="346">
        <v>1782.299</v>
      </c>
      <c r="D438" s="346">
        <v>1686.825</v>
      </c>
      <c r="E438" s="346">
        <v>1697.7135000000001</v>
      </c>
      <c r="F438" s="346">
        <v>1756.7247499999999</v>
      </c>
    </row>
    <row r="439" spans="1:7">
      <c r="A439" s="169" t="s">
        <v>1015</v>
      </c>
      <c r="B439" s="346">
        <f>SUM(B436:B438)</f>
        <v>1982.758</v>
      </c>
      <c r="C439" s="346">
        <f t="shared" ref="C439:F439" si="74">SUM(C436:C438)</f>
        <v>2260.3609999999999</v>
      </c>
      <c r="D439" s="346">
        <f t="shared" si="74"/>
        <v>2140.9025000000001</v>
      </c>
      <c r="E439" s="346">
        <f t="shared" si="74"/>
        <v>2161.6036033333335</v>
      </c>
      <c r="F439" s="346">
        <f t="shared" si="74"/>
        <v>2221.8984506222223</v>
      </c>
    </row>
    <row r="441" spans="1:7">
      <c r="A441" s="169" t="s">
        <v>451</v>
      </c>
      <c r="B441" s="226">
        <f>B436/B439</f>
        <v>0.15465225710853264</v>
      </c>
      <c r="C441" s="226">
        <f t="shared" ref="C441:F441" si="75">C436/C439</f>
        <v>0.14152385393306643</v>
      </c>
      <c r="D441" s="226">
        <f t="shared" si="75"/>
        <v>0.14632450566992189</v>
      </c>
      <c r="E441" s="226">
        <f t="shared" si="75"/>
        <v>0.14645643147143714</v>
      </c>
      <c r="F441" s="226">
        <f t="shared" si="75"/>
        <v>0.14173628183223608</v>
      </c>
    </row>
    <row r="442" spans="1:7">
      <c r="A442" s="169" t="s">
        <v>453</v>
      </c>
      <c r="B442" s="226">
        <f>B437/B439</f>
        <v>7.6645258775907096E-2</v>
      </c>
      <c r="C442" s="226">
        <f t="shared" ref="C442:F442" si="76">C437/C439</f>
        <v>6.9974220931966188E-2</v>
      </c>
      <c r="D442" s="226">
        <f t="shared" si="76"/>
        <v>6.5771794838858838E-2</v>
      </c>
      <c r="E442" s="226">
        <f t="shared" si="76"/>
        <v>6.8148180871910422E-2</v>
      </c>
      <c r="F442" s="226">
        <f t="shared" si="76"/>
        <v>6.7622386423711697E-2</v>
      </c>
    </row>
    <row r="443" spans="1:7">
      <c r="A443" s="169" t="s">
        <v>1292</v>
      </c>
      <c r="B443" s="226">
        <f>B438/B439</f>
        <v>0.7687024841155603</v>
      </c>
      <c r="C443" s="226">
        <f t="shared" ref="C443:F443" si="77">C438/C439</f>
        <v>0.78850192513496742</v>
      </c>
      <c r="D443" s="226">
        <f t="shared" si="77"/>
        <v>0.78790369949121919</v>
      </c>
      <c r="E443" s="226">
        <f t="shared" si="77"/>
        <v>0.7853953876566524</v>
      </c>
      <c r="F443" s="226">
        <f t="shared" si="77"/>
        <v>0.79064133174405216</v>
      </c>
    </row>
    <row r="444" spans="1:7">
      <c r="B444" s="226"/>
      <c r="C444" s="226"/>
      <c r="D444" s="226"/>
      <c r="E444" s="226"/>
      <c r="F444" s="226"/>
    </row>
    <row r="445" spans="1:7">
      <c r="A445" s="169" t="s">
        <v>391</v>
      </c>
      <c r="B445" s="226"/>
      <c r="C445" s="226"/>
      <c r="D445" s="226"/>
      <c r="E445" s="226"/>
      <c r="F445" s="226"/>
    </row>
    <row r="446" spans="1:7">
      <c r="A446" s="169" t="s">
        <v>72</v>
      </c>
      <c r="B446" s="340">
        <f>B399</f>
        <v>56587.033400524211</v>
      </c>
      <c r="C446" s="340">
        <f t="shared" ref="C446:F446" si="78">C399</f>
        <v>59022.271260319205</v>
      </c>
      <c r="D446" s="340">
        <f t="shared" si="78"/>
        <v>45040</v>
      </c>
      <c r="E446" s="340">
        <f t="shared" si="78"/>
        <v>40000</v>
      </c>
      <c r="F446" s="340">
        <f t="shared" si="78"/>
        <v>39400</v>
      </c>
      <c r="G446" s="340"/>
    </row>
    <row r="447" spans="1:7">
      <c r="B447" s="226"/>
      <c r="C447" s="226"/>
      <c r="D447" s="226"/>
      <c r="E447" s="226"/>
      <c r="F447" s="226"/>
    </row>
    <row r="448" spans="1:7">
      <c r="A448" s="169" t="s">
        <v>391</v>
      </c>
      <c r="B448" s="226"/>
      <c r="C448" s="226"/>
      <c r="D448" s="226"/>
      <c r="E448" s="226"/>
      <c r="F448" s="226"/>
    </row>
    <row r="449" spans="1:7">
      <c r="A449" s="169" t="s">
        <v>451</v>
      </c>
      <c r="B449" s="280">
        <f>B441*B446/1000</f>
        <v>8.7513124384669929</v>
      </c>
      <c r="C449" s="280">
        <f t="shared" ref="C449:F449" si="79">C441*C446/1000</f>
        <v>8.3530592966432398</v>
      </c>
      <c r="D449" s="280">
        <f t="shared" si="79"/>
        <v>6.5904557353732818</v>
      </c>
      <c r="E449" s="280">
        <f t="shared" si="79"/>
        <v>5.8582572588574857</v>
      </c>
      <c r="F449" s="280">
        <f t="shared" si="79"/>
        <v>5.5844095041901021</v>
      </c>
      <c r="G449" s="280"/>
    </row>
    <row r="450" spans="1:7">
      <c r="A450" s="169" t="s">
        <v>453</v>
      </c>
      <c r="B450" s="280">
        <f>B442*B446/1000</f>
        <v>4.3371278183440767</v>
      </c>
      <c r="C450" s="280">
        <f t="shared" ref="C450:F450" si="80">C442*C446/1000</f>
        <v>4.1300374490760143</v>
      </c>
      <c r="D450" s="280">
        <f t="shared" si="80"/>
        <v>2.9623616395422023</v>
      </c>
      <c r="E450" s="280">
        <f t="shared" si="80"/>
        <v>2.725927234876417</v>
      </c>
      <c r="F450" s="280">
        <f t="shared" si="80"/>
        <v>2.6643220250942408</v>
      </c>
      <c r="G450" s="280"/>
    </row>
    <row r="451" spans="1:7">
      <c r="A451" s="169" t="s">
        <v>1292</v>
      </c>
      <c r="B451" s="346">
        <f>B443*B446/1000</f>
        <v>43.498593143713144</v>
      </c>
      <c r="C451" s="346">
        <f t="shared" ref="C451:F451" si="81">C443*C446/1000</f>
        <v>46.539174514599949</v>
      </c>
      <c r="D451" s="346">
        <f t="shared" si="81"/>
        <v>35.487182625084515</v>
      </c>
      <c r="E451" s="346">
        <f t="shared" si="81"/>
        <v>31.415815506266096</v>
      </c>
      <c r="F451" s="346">
        <f t="shared" si="81"/>
        <v>31.151268470715657</v>
      </c>
    </row>
    <row r="452" spans="1:7">
      <c r="A452" s="169" t="s">
        <v>1015</v>
      </c>
      <c r="B452" s="346">
        <f>SUM(B449:B451)</f>
        <v>56.587033400524213</v>
      </c>
      <c r="C452" s="346">
        <f t="shared" ref="C452:F452" si="82">SUM(C449:C451)</f>
        <v>59.022271260319201</v>
      </c>
      <c r="D452" s="346">
        <f t="shared" si="82"/>
        <v>45.04</v>
      </c>
      <c r="E452" s="346">
        <f t="shared" si="82"/>
        <v>40</v>
      </c>
      <c r="F452" s="346">
        <f t="shared" si="82"/>
        <v>39.4</v>
      </c>
    </row>
    <row r="453" spans="1:7">
      <c r="B453" s="346"/>
      <c r="C453" s="346"/>
      <c r="D453" s="346"/>
      <c r="E453" s="346"/>
      <c r="F453" s="346"/>
    </row>
    <row r="454" spans="1:7">
      <c r="B454" s="346"/>
      <c r="C454" s="346"/>
      <c r="D454" s="346"/>
      <c r="E454" s="346"/>
      <c r="F454" s="346"/>
    </row>
    <row r="455" spans="1:7">
      <c r="A455" s="169" t="s">
        <v>1298</v>
      </c>
    </row>
    <row r="456" spans="1:7">
      <c r="A456" s="169" t="s">
        <v>1297</v>
      </c>
      <c r="B456" s="169">
        <v>2007</v>
      </c>
      <c r="C456" s="169">
        <v>2008</v>
      </c>
      <c r="D456" s="169">
        <v>2009</v>
      </c>
      <c r="E456" s="169">
        <v>2010</v>
      </c>
    </row>
    <row r="457" spans="1:7">
      <c r="A457" s="169" t="s">
        <v>1156</v>
      </c>
      <c r="B457" s="275">
        <v>0.42</v>
      </c>
      <c r="C457" s="275">
        <v>0.52</v>
      </c>
      <c r="D457" s="275">
        <v>0.52</v>
      </c>
      <c r="E457" s="299">
        <v>0.52</v>
      </c>
    </row>
    <row r="458" spans="1:7">
      <c r="A458" s="169" t="s">
        <v>1157</v>
      </c>
      <c r="B458" s="275">
        <v>0.25</v>
      </c>
      <c r="C458" s="275">
        <v>0.25</v>
      </c>
      <c r="D458" s="275">
        <v>0.22</v>
      </c>
      <c r="E458" s="299">
        <v>0.24</v>
      </c>
    </row>
    <row r="459" spans="1:7">
      <c r="A459" s="169" t="s">
        <v>112</v>
      </c>
      <c r="B459" s="275">
        <v>0.26</v>
      </c>
      <c r="C459" s="275">
        <v>0.18</v>
      </c>
      <c r="D459" s="275">
        <v>0.17</v>
      </c>
      <c r="E459" s="299">
        <v>0.19</v>
      </c>
    </row>
    <row r="460" spans="1:7">
      <c r="A460" s="169" t="s">
        <v>1063</v>
      </c>
      <c r="B460" s="275">
        <v>7.0000000000000007E-2</v>
      </c>
      <c r="C460" s="275">
        <v>0.05</v>
      </c>
      <c r="D460" s="275">
        <v>0.09</v>
      </c>
      <c r="E460" s="299">
        <v>0.05</v>
      </c>
    </row>
    <row r="461" spans="1:7">
      <c r="A461" s="169" t="s">
        <v>1015</v>
      </c>
      <c r="B461" s="226">
        <f>SUM(B457:B460)</f>
        <v>1</v>
      </c>
      <c r="C461" s="226">
        <f t="shared" ref="C461:E461" si="83">SUM(C457:C460)</f>
        <v>1</v>
      </c>
      <c r="D461" s="226">
        <f t="shared" si="83"/>
        <v>1</v>
      </c>
      <c r="E461" s="226">
        <f t="shared" si="83"/>
        <v>1</v>
      </c>
    </row>
    <row r="463" spans="1:7">
      <c r="A463" s="169" t="s">
        <v>115</v>
      </c>
      <c r="B463" s="226">
        <f>B457+B458</f>
        <v>0.66999999999999993</v>
      </c>
      <c r="C463" s="226">
        <f t="shared" ref="C463:E463" si="84">C457+C458</f>
        <v>0.77</v>
      </c>
      <c r="D463" s="226">
        <f t="shared" si="84"/>
        <v>0.74</v>
      </c>
      <c r="E463" s="226">
        <f t="shared" si="84"/>
        <v>0.76</v>
      </c>
      <c r="F463" s="226">
        <f>E463*(1+(E463/B463)^(1/3)-1)*0.965</f>
        <v>0.76486919269813713</v>
      </c>
      <c r="G463" s="226">
        <f t="shared" ref="G463:G464" si="85">F463*(1+(F463/C463)^(1/3)-1)</f>
        <v>0.76316653233438869</v>
      </c>
    </row>
    <row r="464" spans="1:7">
      <c r="A464" s="169" t="s">
        <v>112</v>
      </c>
      <c r="B464" s="226">
        <f>B459</f>
        <v>0.26</v>
      </c>
      <c r="C464" s="226">
        <f t="shared" ref="C464:E464" si="86">C459</f>
        <v>0.18</v>
      </c>
      <c r="D464" s="226">
        <f t="shared" si="86"/>
        <v>0.17</v>
      </c>
      <c r="E464" s="226">
        <f t="shared" si="86"/>
        <v>0.19</v>
      </c>
      <c r="F464" s="226">
        <f>E464*(1+(E464/B464)^(1/3)-1)*1.1</f>
        <v>0.18825204547282398</v>
      </c>
      <c r="G464" s="226">
        <f t="shared" si="85"/>
        <v>0.19108595624307501</v>
      </c>
    </row>
    <row r="465" spans="1:27">
      <c r="A465" s="169" t="s">
        <v>1063</v>
      </c>
      <c r="B465" s="226">
        <f>B460</f>
        <v>7.0000000000000007E-2</v>
      </c>
      <c r="C465" s="226">
        <f t="shared" ref="C465:E465" si="87">C460</f>
        <v>0.05</v>
      </c>
      <c r="D465" s="226">
        <f t="shared" si="87"/>
        <v>0.09</v>
      </c>
      <c r="E465" s="226">
        <f t="shared" si="87"/>
        <v>0.05</v>
      </c>
      <c r="F465" s="226">
        <f>1-SUM(F463:F464)</f>
        <v>4.687876182903894E-2</v>
      </c>
      <c r="G465" s="226">
        <f t="shared" ref="G465" si="88">1-SUM(G463:G464)</f>
        <v>4.5747511422536302E-2</v>
      </c>
    </row>
    <row r="466" spans="1:27">
      <c r="A466" s="169" t="s">
        <v>1015</v>
      </c>
      <c r="B466" s="226">
        <f>SUM(B463:B465)</f>
        <v>1</v>
      </c>
      <c r="C466" s="226">
        <f t="shared" ref="C466:E466" si="89">SUM(C463:C465)</f>
        <v>1</v>
      </c>
      <c r="D466" s="226">
        <f t="shared" si="89"/>
        <v>1</v>
      </c>
      <c r="E466" s="226">
        <f t="shared" si="89"/>
        <v>1</v>
      </c>
      <c r="F466" s="226">
        <f t="shared" ref="F466" si="90">SUM(F463:F465)</f>
        <v>1</v>
      </c>
      <c r="G466" s="226">
        <f t="shared" ref="G466" si="91">SUM(G463:G465)</f>
        <v>1</v>
      </c>
    </row>
    <row r="468" spans="1:27" ht="15">
      <c r="A468" s="276" t="s">
        <v>1269</v>
      </c>
      <c r="B468"/>
      <c r="C468"/>
      <c r="D468"/>
      <c r="E468"/>
      <c r="F468"/>
      <c r="G468"/>
      <c r="H468"/>
      <c r="I468"/>
      <c r="J468"/>
      <c r="K468"/>
      <c r="L468"/>
      <c r="M468"/>
      <c r="N468"/>
      <c r="O468"/>
      <c r="P468"/>
      <c r="Q468"/>
      <c r="R468"/>
      <c r="S468"/>
      <c r="T468"/>
      <c r="U468"/>
      <c r="V468"/>
      <c r="W468"/>
      <c r="X468"/>
      <c r="Y468"/>
      <c r="Z468"/>
      <c r="AA468"/>
    </row>
    <row r="469" spans="1:27" ht="15">
      <c r="A469"/>
      <c r="B469"/>
      <c r="C469"/>
      <c r="D469"/>
      <c r="E469"/>
      <c r="F469"/>
      <c r="G469"/>
      <c r="H469"/>
      <c r="I469"/>
      <c r="J469"/>
      <c r="K469"/>
      <c r="L469"/>
      <c r="M469"/>
      <c r="N469"/>
      <c r="O469"/>
      <c r="P469"/>
      <c r="Q469"/>
      <c r="R469"/>
      <c r="S469"/>
      <c r="T469"/>
      <c r="U469"/>
      <c r="V469"/>
      <c r="W469"/>
      <c r="X469"/>
      <c r="Y469"/>
      <c r="Z469"/>
      <c r="AA469"/>
    </row>
    <row r="470" spans="1:27" ht="15">
      <c r="A470" s="276" t="s">
        <v>1125</v>
      </c>
      <c r="B470" s="277">
        <v>41326.473252314812</v>
      </c>
      <c r="C470"/>
      <c r="D470"/>
      <c r="E470"/>
      <c r="F470"/>
      <c r="G470"/>
      <c r="H470"/>
      <c r="I470"/>
      <c r="J470"/>
      <c r="K470"/>
      <c r="L470"/>
      <c r="M470"/>
      <c r="N470"/>
      <c r="O470"/>
      <c r="P470"/>
      <c r="Q470"/>
      <c r="R470"/>
      <c r="S470"/>
      <c r="T470"/>
      <c r="U470"/>
      <c r="V470"/>
      <c r="W470"/>
      <c r="X470"/>
      <c r="Y470"/>
      <c r="Z470"/>
      <c r="AA470"/>
    </row>
    <row r="471" spans="1:27" ht="15">
      <c r="A471" s="276" t="s">
        <v>1124</v>
      </c>
      <c r="B471" s="277">
        <v>41351.504638958329</v>
      </c>
      <c r="C471"/>
      <c r="D471"/>
      <c r="E471"/>
      <c r="F471"/>
      <c r="G471"/>
      <c r="H471"/>
      <c r="I471"/>
      <c r="J471"/>
      <c r="K471"/>
      <c r="L471"/>
      <c r="M471"/>
      <c r="N471"/>
      <c r="O471"/>
      <c r="P471"/>
      <c r="Q471"/>
      <c r="R471"/>
      <c r="S471"/>
      <c r="T471"/>
      <c r="U471"/>
      <c r="V471"/>
      <c r="W471"/>
      <c r="X471"/>
      <c r="Y471"/>
      <c r="Z471"/>
      <c r="AA471"/>
    </row>
    <row r="472" spans="1:27" ht="15">
      <c r="A472" s="276" t="s">
        <v>1270</v>
      </c>
      <c r="B472" s="276" t="s">
        <v>1122</v>
      </c>
      <c r="C472"/>
      <c r="D472"/>
      <c r="E472"/>
      <c r="F472"/>
      <c r="G472"/>
      <c r="H472"/>
      <c r="I472"/>
      <c r="J472"/>
      <c r="K472"/>
      <c r="L472"/>
      <c r="M472"/>
      <c r="N472"/>
      <c r="O472"/>
      <c r="P472"/>
      <c r="Q472"/>
      <c r="R472"/>
      <c r="S472"/>
      <c r="T472"/>
      <c r="U472"/>
      <c r="V472"/>
      <c r="W472"/>
      <c r="X472"/>
      <c r="Y472"/>
      <c r="Z472"/>
      <c r="AA472"/>
    </row>
    <row r="473" spans="1:27" ht="15">
      <c r="A473"/>
      <c r="B473"/>
      <c r="C473"/>
      <c r="D473"/>
      <c r="E473"/>
      <c r="F473"/>
      <c r="G473"/>
      <c r="H473"/>
      <c r="I473"/>
      <c r="J473"/>
      <c r="K473"/>
      <c r="L473"/>
      <c r="M473"/>
      <c r="N473"/>
      <c r="O473"/>
      <c r="P473"/>
      <c r="Q473"/>
      <c r="R473"/>
      <c r="S473"/>
      <c r="T473"/>
      <c r="U473"/>
      <c r="V473"/>
      <c r="W473"/>
      <c r="X473"/>
      <c r="Y473"/>
      <c r="Z473"/>
      <c r="AA473"/>
    </row>
    <row r="474" spans="1:27" ht="15">
      <c r="A474" s="276" t="s">
        <v>1220</v>
      </c>
      <c r="B474" s="276" t="s">
        <v>1271</v>
      </c>
      <c r="C474"/>
      <c r="D474"/>
      <c r="E474"/>
      <c r="F474"/>
      <c r="G474"/>
      <c r="H474"/>
      <c r="I474"/>
      <c r="J474"/>
      <c r="K474"/>
      <c r="L474"/>
      <c r="M474"/>
      <c r="N474"/>
      <c r="O474"/>
      <c r="P474"/>
      <c r="Q474"/>
      <c r="R474"/>
      <c r="S474"/>
      <c r="T474"/>
      <c r="U474"/>
      <c r="V474"/>
      <c r="W474"/>
      <c r="X474"/>
      <c r="Y474"/>
      <c r="Z474"/>
      <c r="AA474"/>
    </row>
    <row r="475" spans="1:27" ht="15">
      <c r="A475" s="276" t="s">
        <v>1218</v>
      </c>
      <c r="B475" s="276" t="s">
        <v>1278</v>
      </c>
      <c r="C475"/>
      <c r="D475"/>
      <c r="E475"/>
      <c r="F475"/>
      <c r="G475"/>
      <c r="H475"/>
      <c r="I475"/>
      <c r="J475"/>
      <c r="K475"/>
      <c r="L475"/>
      <c r="M475"/>
      <c r="N475"/>
      <c r="O475"/>
      <c r="P475"/>
      <c r="Q475"/>
      <c r="R475"/>
      <c r="S475"/>
      <c r="T475"/>
      <c r="U475"/>
      <c r="V475"/>
      <c r="W475"/>
      <c r="X475"/>
      <c r="Y475"/>
      <c r="Z475"/>
      <c r="AA475"/>
    </row>
    <row r="476" spans="1:27" ht="15">
      <c r="A476" s="276" t="s">
        <v>1217</v>
      </c>
      <c r="B476" s="276" t="s">
        <v>1015</v>
      </c>
      <c r="C476"/>
      <c r="D476"/>
      <c r="E476"/>
      <c r="F476"/>
      <c r="G476"/>
      <c r="H476"/>
      <c r="I476"/>
      <c r="J476"/>
      <c r="K476"/>
      <c r="L476"/>
      <c r="M476"/>
      <c r="N476"/>
      <c r="O476"/>
      <c r="P476"/>
      <c r="Q476"/>
      <c r="R476"/>
      <c r="S476"/>
      <c r="T476"/>
      <c r="U476"/>
      <c r="V476"/>
      <c r="W476"/>
      <c r="X476"/>
      <c r="Y476"/>
      <c r="Z476"/>
      <c r="AA476"/>
    </row>
    <row r="477" spans="1:27" ht="15">
      <c r="A477" s="276" t="s">
        <v>1216</v>
      </c>
      <c r="B477" s="276" t="s">
        <v>1215</v>
      </c>
      <c r="C477"/>
      <c r="D477"/>
      <c r="E477"/>
      <c r="F477"/>
      <c r="G477"/>
      <c r="H477"/>
      <c r="I477"/>
      <c r="J477"/>
      <c r="K477"/>
      <c r="L477"/>
      <c r="M477"/>
      <c r="N477"/>
      <c r="O477"/>
      <c r="P477"/>
      <c r="Q477"/>
      <c r="R477"/>
      <c r="S477"/>
      <c r="T477"/>
      <c r="U477"/>
      <c r="V477"/>
      <c r="W477"/>
      <c r="X477"/>
      <c r="Y477"/>
      <c r="Z477"/>
      <c r="AA477"/>
    </row>
    <row r="478" spans="1:27" ht="15">
      <c r="A478" s="276" t="s">
        <v>1119</v>
      </c>
      <c r="B478" s="276" t="s">
        <v>869</v>
      </c>
      <c r="C478"/>
      <c r="D478"/>
      <c r="E478"/>
      <c r="F478"/>
      <c r="G478"/>
      <c r="H478"/>
      <c r="I478"/>
      <c r="J478"/>
      <c r="K478"/>
      <c r="L478"/>
      <c r="M478"/>
      <c r="N478"/>
      <c r="O478"/>
      <c r="P478"/>
      <c r="Q478"/>
      <c r="R478"/>
      <c r="S478"/>
      <c r="T478"/>
      <c r="U478"/>
      <c r="V478"/>
      <c r="W478"/>
      <c r="X478"/>
      <c r="Y478"/>
      <c r="Z478"/>
      <c r="AA478"/>
    </row>
    <row r="479" spans="1:27" ht="15">
      <c r="A479"/>
      <c r="B479"/>
      <c r="C479"/>
      <c r="D479"/>
      <c r="E479"/>
      <c r="F479"/>
      <c r="G479"/>
      <c r="H479"/>
      <c r="I479"/>
      <c r="J479"/>
      <c r="K479"/>
      <c r="L479"/>
      <c r="M479"/>
      <c r="N479"/>
      <c r="O479"/>
      <c r="P479"/>
      <c r="Q479"/>
      <c r="R479"/>
      <c r="S479"/>
      <c r="T479"/>
      <c r="U479"/>
      <c r="V479"/>
      <c r="W479"/>
      <c r="X479"/>
      <c r="Y479"/>
      <c r="Z479"/>
      <c r="AA479"/>
    </row>
    <row r="480" spans="1:27" ht="15">
      <c r="A480" s="278" t="s">
        <v>1116</v>
      </c>
      <c r="B480" s="278" t="s">
        <v>1214</v>
      </c>
      <c r="C480" s="278" t="s">
        <v>1213</v>
      </c>
      <c r="D480" s="278" t="s">
        <v>1212</v>
      </c>
      <c r="E480" s="278" t="s">
        <v>1211</v>
      </c>
      <c r="F480" s="278" t="s">
        <v>1210</v>
      </c>
      <c r="G480" s="278" t="s">
        <v>1209</v>
      </c>
      <c r="H480" s="278" t="s">
        <v>1208</v>
      </c>
      <c r="I480" s="278" t="s">
        <v>1207</v>
      </c>
      <c r="J480" s="278" t="s">
        <v>1206</v>
      </c>
      <c r="K480" s="278" t="s">
        <v>1205</v>
      </c>
      <c r="L480" s="278" t="s">
        <v>1204</v>
      </c>
      <c r="M480" s="278" t="s">
        <v>1203</v>
      </c>
      <c r="N480" s="278" t="s">
        <v>1202</v>
      </c>
      <c r="O480" s="278" t="s">
        <v>1201</v>
      </c>
      <c r="P480" s="278" t="s">
        <v>1200</v>
      </c>
      <c r="Q480" s="278" t="s">
        <v>1199</v>
      </c>
      <c r="R480" s="278" t="s">
        <v>1272</v>
      </c>
      <c r="S480" s="278" t="s">
        <v>1273</v>
      </c>
      <c r="T480" s="278" t="s">
        <v>1274</v>
      </c>
      <c r="U480" s="278" t="s">
        <v>1275</v>
      </c>
      <c r="V480"/>
      <c r="W480"/>
      <c r="X480"/>
      <c r="Y480"/>
      <c r="Z480"/>
      <c r="AA480"/>
    </row>
    <row r="481" spans="1:27" ht="15">
      <c r="A481" s="278" t="s">
        <v>391</v>
      </c>
      <c r="B481" s="279">
        <v>1229000</v>
      </c>
      <c r="C481" s="279">
        <v>1401000</v>
      </c>
      <c r="D481" s="279">
        <v>2351000</v>
      </c>
      <c r="E481" s="279">
        <v>1074000</v>
      </c>
      <c r="F481" s="279">
        <v>1462000</v>
      </c>
      <c r="G481" s="279">
        <v>1585000</v>
      </c>
      <c r="H481" s="279">
        <v>2360000</v>
      </c>
      <c r="I481" s="279">
        <v>1299000</v>
      </c>
      <c r="J481" s="279">
        <v>1081000</v>
      </c>
      <c r="K481" s="279">
        <v>1447000</v>
      </c>
      <c r="L481" s="279">
        <v>2305000</v>
      </c>
      <c r="M481" s="279">
        <v>917000</v>
      </c>
      <c r="N481" s="279">
        <v>936000</v>
      </c>
      <c r="O481" s="279">
        <v>1626000</v>
      </c>
      <c r="P481" s="279">
        <v>2859000</v>
      </c>
      <c r="Q481" s="279">
        <v>978000</v>
      </c>
      <c r="R481" s="279">
        <v>1003000</v>
      </c>
      <c r="S481" s="279">
        <v>1255000</v>
      </c>
      <c r="T481" s="279">
        <v>1921000</v>
      </c>
      <c r="U481" s="279">
        <v>862700</v>
      </c>
      <c r="V481"/>
      <c r="W481"/>
      <c r="X481"/>
      <c r="Y481"/>
      <c r="Z481"/>
      <c r="AA481"/>
    </row>
    <row r="482" spans="1:27" ht="15">
      <c r="A482"/>
      <c r="B482"/>
      <c r="C482"/>
      <c r="D482"/>
      <c r="E482"/>
      <c r="F482"/>
      <c r="G482"/>
      <c r="H482"/>
      <c r="I482"/>
      <c r="J482"/>
      <c r="K482"/>
      <c r="L482"/>
      <c r="M482"/>
      <c r="N482"/>
      <c r="O482"/>
      <c r="P482"/>
      <c r="Q482"/>
      <c r="R482"/>
      <c r="S482"/>
      <c r="T482"/>
      <c r="U482"/>
      <c r="V482"/>
      <c r="W482"/>
      <c r="X482"/>
      <c r="Y482"/>
      <c r="Z482"/>
      <c r="AA482"/>
    </row>
    <row r="483" spans="1:27" ht="15">
      <c r="A483" s="276" t="s">
        <v>1276</v>
      </c>
      <c r="B483"/>
      <c r="C483"/>
      <c r="D483"/>
      <c r="E483" s="332">
        <f>SUM(B481:E481)/1000</f>
        <v>6055</v>
      </c>
      <c r="F483" s="133"/>
      <c r="G483" s="133"/>
      <c r="H483" s="133"/>
      <c r="I483" s="133">
        <f>SUM(F481:I481)/1000</f>
        <v>6706</v>
      </c>
      <c r="J483" s="133"/>
      <c r="K483" s="133"/>
      <c r="L483" s="133"/>
      <c r="M483" s="133">
        <f>SUM(J481:M481)/1000</f>
        <v>5750</v>
      </c>
      <c r="N483" s="133"/>
      <c r="O483" s="133"/>
      <c r="P483" s="133"/>
      <c r="Q483" s="133">
        <f>SUM(N481:Q481)/1000</f>
        <v>6399</v>
      </c>
      <c r="R483" s="133"/>
      <c r="S483" s="133"/>
      <c r="T483" s="133"/>
      <c r="U483" s="133">
        <f>SUM(R481:U481)/1000</f>
        <v>5041.7</v>
      </c>
      <c r="V483"/>
      <c r="W483"/>
      <c r="X483"/>
      <c r="Y483"/>
      <c r="Z483"/>
      <c r="AA483"/>
    </row>
    <row r="484" spans="1:27" ht="15">
      <c r="A484" s="276" t="s">
        <v>1084</v>
      </c>
      <c r="B484" s="276" t="s">
        <v>1083</v>
      </c>
      <c r="C484"/>
      <c r="D484"/>
      <c r="E484" s="332"/>
      <c r="F484"/>
      <c r="G484"/>
      <c r="H484"/>
      <c r="I484"/>
      <c r="J484"/>
      <c r="K484"/>
      <c r="L484"/>
      <c r="M484"/>
      <c r="N484"/>
      <c r="O484"/>
      <c r="P484"/>
      <c r="Q484"/>
      <c r="R484"/>
      <c r="S484"/>
      <c r="T484"/>
      <c r="U484"/>
      <c r="V484"/>
      <c r="W484"/>
      <c r="X484"/>
      <c r="Y484"/>
      <c r="Z484"/>
      <c r="AA484"/>
    </row>
    <row r="485" spans="1:27" ht="15">
      <c r="A485"/>
      <c r="B485"/>
      <c r="C485"/>
      <c r="D485"/>
      <c r="E485" s="332"/>
      <c r="F485"/>
      <c r="G485"/>
      <c r="H485"/>
      <c r="I485"/>
      <c r="J485"/>
      <c r="K485"/>
      <c r="L485"/>
      <c r="M485"/>
      <c r="N485"/>
      <c r="O485"/>
      <c r="P485"/>
      <c r="Q485"/>
      <c r="R485"/>
      <c r="S485"/>
      <c r="T485"/>
      <c r="U485"/>
      <c r="V485"/>
      <c r="W485"/>
      <c r="X485"/>
      <c r="Y485"/>
      <c r="Z485"/>
      <c r="AA485"/>
    </row>
    <row r="486" spans="1:27" ht="15">
      <c r="A486"/>
      <c r="B486"/>
      <c r="C486"/>
      <c r="D486"/>
      <c r="E486" s="332"/>
      <c r="F486"/>
      <c r="G486"/>
      <c r="H486"/>
      <c r="I486"/>
      <c r="J486"/>
      <c r="K486"/>
      <c r="L486"/>
      <c r="M486"/>
      <c r="N486"/>
      <c r="O486"/>
      <c r="P486"/>
      <c r="Q486"/>
      <c r="R486"/>
      <c r="S486"/>
      <c r="T486"/>
      <c r="U486"/>
      <c r="V486"/>
      <c r="W486"/>
      <c r="X486"/>
      <c r="Y486"/>
      <c r="Z486"/>
      <c r="AA486"/>
    </row>
    <row r="487" spans="1:27" ht="15">
      <c r="A487"/>
      <c r="B487"/>
      <c r="C487"/>
      <c r="D487"/>
      <c r="E487" s="332"/>
      <c r="F487"/>
      <c r="G487"/>
      <c r="H487"/>
      <c r="I487"/>
      <c r="J487"/>
      <c r="K487"/>
      <c r="L487"/>
      <c r="M487"/>
      <c r="N487"/>
      <c r="O487"/>
      <c r="P487"/>
      <c r="Q487"/>
      <c r="R487"/>
      <c r="S487"/>
      <c r="T487"/>
      <c r="U487"/>
      <c r="V487"/>
      <c r="W487"/>
      <c r="X487"/>
      <c r="Y487"/>
      <c r="Z487"/>
      <c r="AA487"/>
    </row>
    <row r="488" spans="1:27" ht="15">
      <c r="A488"/>
      <c r="B488"/>
      <c r="C488"/>
      <c r="D488"/>
      <c r="E488">
        <v>2007</v>
      </c>
      <c r="F488">
        <v>2008</v>
      </c>
      <c r="G488">
        <v>2009</v>
      </c>
      <c r="H488">
        <v>2010</v>
      </c>
      <c r="I488">
        <v>2011</v>
      </c>
      <c r="J488"/>
      <c r="K488"/>
      <c r="L488"/>
      <c r="M488"/>
      <c r="N488"/>
      <c r="O488"/>
      <c r="P488"/>
      <c r="Q488"/>
      <c r="R488"/>
      <c r="S488"/>
      <c r="T488"/>
      <c r="U488"/>
      <c r="V488"/>
      <c r="W488"/>
      <c r="X488"/>
      <c r="Y488"/>
      <c r="Z488"/>
      <c r="AA488"/>
    </row>
    <row r="489" spans="1:27" ht="15">
      <c r="A489"/>
      <c r="B489"/>
      <c r="C489"/>
      <c r="D489"/>
      <c r="E489" s="332">
        <v>6055</v>
      </c>
      <c r="F489" s="332">
        <v>6706</v>
      </c>
      <c r="G489" s="332">
        <v>5750</v>
      </c>
      <c r="H489" s="332">
        <v>6399</v>
      </c>
      <c r="I489" s="332">
        <v>5041.7</v>
      </c>
      <c r="J489"/>
      <c r="K489"/>
      <c r="L489"/>
      <c r="M489"/>
      <c r="N489"/>
      <c r="O489"/>
      <c r="P489"/>
      <c r="Q489"/>
      <c r="R489"/>
      <c r="S489"/>
      <c r="T489"/>
      <c r="U489"/>
      <c r="V489"/>
      <c r="W489"/>
      <c r="X489"/>
      <c r="Y489"/>
      <c r="Z489"/>
      <c r="AA489"/>
    </row>
    <row r="490" spans="1:27" ht="15">
      <c r="A490"/>
      <c r="B490"/>
      <c r="C490"/>
      <c r="D490"/>
      <c r="E490"/>
      <c r="F490"/>
      <c r="G490"/>
      <c r="H490"/>
      <c r="I490"/>
      <c r="J490"/>
      <c r="K490"/>
      <c r="L490"/>
      <c r="M490"/>
      <c r="N490"/>
      <c r="O490"/>
      <c r="P490"/>
      <c r="Q490"/>
      <c r="R490"/>
      <c r="S490"/>
      <c r="T490"/>
      <c r="U490"/>
      <c r="V490"/>
      <c r="W490"/>
      <c r="X490"/>
      <c r="Y490"/>
      <c r="Z490"/>
      <c r="AA490"/>
    </row>
    <row r="491" spans="1:27" ht="15">
      <c r="A491"/>
      <c r="B491"/>
      <c r="C491"/>
      <c r="D491"/>
      <c r="E491"/>
      <c r="F491"/>
      <c r="G491"/>
      <c r="H491"/>
      <c r="I491"/>
      <c r="J491"/>
      <c r="K491"/>
      <c r="L491"/>
      <c r="M491"/>
      <c r="N491"/>
      <c r="O491"/>
      <c r="P491"/>
      <c r="Q491"/>
      <c r="R491"/>
      <c r="S491"/>
      <c r="T491"/>
      <c r="U491"/>
      <c r="V491"/>
      <c r="W491"/>
      <c r="X491"/>
      <c r="Y491"/>
      <c r="Z491"/>
      <c r="AA491"/>
    </row>
    <row r="492" spans="1:27" ht="15">
      <c r="A492"/>
      <c r="B492"/>
      <c r="C492"/>
      <c r="D492"/>
      <c r="E492"/>
      <c r="F492"/>
      <c r="G492"/>
      <c r="H492"/>
      <c r="I492"/>
      <c r="J492"/>
      <c r="K492"/>
      <c r="L492"/>
      <c r="M492"/>
      <c r="N492"/>
      <c r="O492"/>
      <c r="P492"/>
      <c r="Q492"/>
      <c r="R492"/>
      <c r="S492"/>
      <c r="T492"/>
      <c r="U492"/>
      <c r="V492"/>
      <c r="W492"/>
      <c r="X492"/>
      <c r="Y492"/>
      <c r="Z492"/>
      <c r="AA492"/>
    </row>
  </sheetData>
  <pageMargins left="0.75" right="0.75" top="1" bottom="1" header="0.5" footer="0.5"/>
  <pageSetup paperSize="9" firstPageNumber="0" fitToWidth="0" fitToHeight="0" pageOrder="overThenDown" orientation="portrait" horizontalDpi="300" verticalDpi="300" r:id="rId1"/>
  <headerFooter alignWithMargins="0"/>
</worksheet>
</file>

<file path=xl/worksheets/sheet16.xml><?xml version="1.0" encoding="utf-8"?>
<worksheet xmlns="http://schemas.openxmlformats.org/spreadsheetml/2006/main" xmlns:r="http://schemas.openxmlformats.org/officeDocument/2006/relationships">
  <dimension ref="A1:AE559"/>
  <sheetViews>
    <sheetView workbookViewId="0">
      <pane ySplit="1" topLeftCell="A49" activePane="bottomLeft" state="frozen"/>
      <selection activeCell="Q54" sqref="Q54"/>
      <selection pane="bottomLeft" activeCell="P52" sqref="P52"/>
    </sheetView>
  </sheetViews>
  <sheetFormatPr defaultRowHeight="15"/>
  <cols>
    <col min="1" max="1" width="9.140625" style="7"/>
    <col min="2" max="2" width="7.42578125" style="7" customWidth="1"/>
    <col min="3" max="3" width="17.7109375" style="7" customWidth="1"/>
    <col min="4" max="4" width="8.42578125" style="7" customWidth="1"/>
    <col min="5" max="5" width="12.140625" style="7" customWidth="1"/>
    <col min="6" max="6" width="6.42578125" style="7" customWidth="1"/>
    <col min="7" max="9" width="9.140625" style="7" hidden="1" customWidth="1"/>
    <col min="10" max="10" width="9.140625" style="7" customWidth="1"/>
    <col min="11" max="11" width="10.140625" style="8" hidden="1" customWidth="1"/>
    <col min="12" max="13" width="10.140625" style="9" customWidth="1"/>
    <col min="14" max="14" width="11.28515625" style="9" bestFit="1" customWidth="1"/>
    <col min="15" max="15" width="10" style="9" bestFit="1" customWidth="1"/>
    <col min="16" max="16" width="11.28515625" style="9" bestFit="1" customWidth="1"/>
    <col min="17" max="20" width="10.5703125" style="9" bestFit="1" customWidth="1"/>
    <col min="21" max="21" width="9.5703125" style="9" bestFit="1" customWidth="1"/>
    <col min="22" max="23" width="11" style="14" bestFit="1" customWidth="1"/>
    <col min="24" max="26" width="9.140625" style="7"/>
    <col min="27" max="27" width="9.140625" style="15"/>
  </cols>
  <sheetData>
    <row r="1" spans="1:31">
      <c r="A1" s="1" t="s">
        <v>0</v>
      </c>
      <c r="B1" s="1" t="s">
        <v>1</v>
      </c>
      <c r="C1" s="1" t="s">
        <v>2</v>
      </c>
      <c r="D1" s="1" t="s">
        <v>3</v>
      </c>
      <c r="E1" s="1" t="s">
        <v>4</v>
      </c>
      <c r="F1" s="1" t="s">
        <v>5</v>
      </c>
      <c r="G1" s="2" t="s">
        <v>6</v>
      </c>
      <c r="H1" s="2" t="s">
        <v>7</v>
      </c>
      <c r="I1" s="2" t="s">
        <v>8</v>
      </c>
      <c r="J1" s="1" t="s">
        <v>9</v>
      </c>
      <c r="K1" s="3">
        <v>2006</v>
      </c>
      <c r="L1" s="4">
        <v>2007</v>
      </c>
      <c r="M1" s="4">
        <v>2008</v>
      </c>
      <c r="N1" s="4">
        <v>2009</v>
      </c>
      <c r="O1" s="4">
        <v>2010</v>
      </c>
      <c r="P1" s="4">
        <v>2011</v>
      </c>
      <c r="Q1" s="4">
        <v>2012</v>
      </c>
      <c r="R1" s="4">
        <v>2013</v>
      </c>
      <c r="S1" s="4">
        <v>2014</v>
      </c>
      <c r="T1" s="4">
        <v>2015</v>
      </c>
      <c r="U1" s="4">
        <v>2016</v>
      </c>
      <c r="V1" s="5" t="s">
        <v>10</v>
      </c>
      <c r="W1" s="5" t="s">
        <v>978</v>
      </c>
      <c r="X1" s="1" t="s">
        <v>8</v>
      </c>
      <c r="Y1" s="1" t="s">
        <v>11</v>
      </c>
      <c r="Z1" s="1" t="s">
        <v>12</v>
      </c>
      <c r="AA1" s="15">
        <v>2007</v>
      </c>
      <c r="AB1">
        <v>2008</v>
      </c>
      <c r="AC1">
        <v>2009</v>
      </c>
      <c r="AD1">
        <v>2010</v>
      </c>
      <c r="AE1">
        <v>2011</v>
      </c>
    </row>
    <row r="2" spans="1:31">
      <c r="A2" s="6" t="s">
        <v>979</v>
      </c>
      <c r="B2" s="6" t="s">
        <v>13</v>
      </c>
      <c r="F2" s="7" t="s">
        <v>14</v>
      </c>
      <c r="G2" s="7" t="s">
        <v>15</v>
      </c>
      <c r="H2" s="7" t="s">
        <v>16</v>
      </c>
      <c r="L2" s="118"/>
      <c r="M2" s="118"/>
      <c r="N2" s="118"/>
      <c r="O2" s="118"/>
      <c r="P2" s="118"/>
      <c r="Q2" s="40"/>
      <c r="R2" s="40"/>
      <c r="S2" s="40"/>
      <c r="T2" s="40"/>
      <c r="U2" s="40"/>
      <c r="V2" s="10" t="e">
        <f t="shared" ref="V2:V43" si="0">+(P2/L2)^(1/4)-1</f>
        <v>#DIV/0!</v>
      </c>
      <c r="W2" s="10" t="e">
        <f t="shared" ref="W2:W43" si="1">+(U2/Q2)^(1/4)-1</f>
        <v>#DIV/0!</v>
      </c>
    </row>
    <row r="3" spans="1:31">
      <c r="A3" s="119" t="s">
        <v>979</v>
      </c>
      <c r="B3" s="119" t="s">
        <v>13</v>
      </c>
      <c r="C3" s="6" t="s">
        <v>765</v>
      </c>
      <c r="D3" s="6"/>
      <c r="F3" s="7" t="s">
        <v>17</v>
      </c>
      <c r="G3" s="7" t="s">
        <v>15</v>
      </c>
      <c r="H3" s="7" t="s">
        <v>16</v>
      </c>
      <c r="J3" s="7" t="s">
        <v>18</v>
      </c>
      <c r="L3" s="118"/>
      <c r="M3" s="118"/>
      <c r="N3" s="118"/>
      <c r="O3" s="118"/>
      <c r="P3" s="118"/>
      <c r="Q3" s="108"/>
      <c r="R3" s="108"/>
      <c r="S3" s="108"/>
      <c r="T3" s="108"/>
      <c r="U3" s="108"/>
      <c r="V3" s="10" t="e">
        <f t="shared" si="0"/>
        <v>#DIV/0!</v>
      </c>
      <c r="W3" s="10" t="e">
        <f t="shared" si="1"/>
        <v>#DIV/0!</v>
      </c>
    </row>
    <row r="4" spans="1:31">
      <c r="A4" s="119" t="s">
        <v>979</v>
      </c>
      <c r="B4" s="119" t="s">
        <v>13</v>
      </c>
      <c r="C4" s="119" t="s">
        <v>765</v>
      </c>
      <c r="D4" s="6" t="s">
        <v>19</v>
      </c>
      <c r="F4" s="7" t="s">
        <v>20</v>
      </c>
      <c r="G4" s="7" t="s">
        <v>15</v>
      </c>
      <c r="H4" s="7" t="s">
        <v>16</v>
      </c>
      <c r="J4" s="7" t="s">
        <v>18</v>
      </c>
      <c r="K4" s="8">
        <f>'[1]Tourism Demand &amp; Flows-vanya'!K4</f>
        <v>0</v>
      </c>
      <c r="L4" s="168">
        <v>26</v>
      </c>
      <c r="M4" s="168">
        <v>26</v>
      </c>
      <c r="N4" s="118">
        <v>26</v>
      </c>
      <c r="O4" s="168">
        <v>26</v>
      </c>
      <c r="P4" s="118">
        <v>26</v>
      </c>
      <c r="Q4" s="40"/>
      <c r="R4" s="40"/>
      <c r="S4" s="40"/>
      <c r="T4" s="40"/>
      <c r="U4" s="40"/>
      <c r="V4" s="10">
        <f t="shared" si="0"/>
        <v>0</v>
      </c>
      <c r="W4" s="10" t="e">
        <f t="shared" si="1"/>
        <v>#DIV/0!</v>
      </c>
    </row>
    <row r="5" spans="1:31">
      <c r="A5" s="119" t="s">
        <v>979</v>
      </c>
      <c r="B5" s="119" t="s">
        <v>13</v>
      </c>
      <c r="C5" s="119" t="s">
        <v>765</v>
      </c>
      <c r="D5" s="6" t="s">
        <v>21</v>
      </c>
      <c r="F5" s="7" t="s">
        <v>22</v>
      </c>
      <c r="G5" s="7" t="s">
        <v>15</v>
      </c>
      <c r="H5" s="7" t="s">
        <v>16</v>
      </c>
      <c r="J5" s="7" t="s">
        <v>18</v>
      </c>
      <c r="K5" s="8">
        <f>'[1]Tourism Demand &amp; Flows-vanya'!K5</f>
        <v>10</v>
      </c>
      <c r="L5" s="168">
        <v>10</v>
      </c>
      <c r="M5" s="168">
        <v>10</v>
      </c>
      <c r="N5" s="118">
        <v>10</v>
      </c>
      <c r="O5" s="168">
        <v>10</v>
      </c>
      <c r="P5" s="118">
        <v>11</v>
      </c>
      <c r="Q5" s="108"/>
      <c r="R5" s="108"/>
      <c r="S5" s="108"/>
      <c r="T5" s="108"/>
      <c r="U5" s="108"/>
      <c r="V5" s="10">
        <f t="shared" si="0"/>
        <v>2.4113689084445111E-2</v>
      </c>
      <c r="W5" s="10" t="e">
        <f t="shared" si="1"/>
        <v>#DIV/0!</v>
      </c>
    </row>
    <row r="6" spans="1:31">
      <c r="A6" s="119" t="s">
        <v>979</v>
      </c>
      <c r="B6" s="119" t="s">
        <v>13</v>
      </c>
      <c r="C6" s="6" t="s">
        <v>766</v>
      </c>
      <c r="G6" s="7" t="s">
        <v>15</v>
      </c>
      <c r="H6" s="7" t="s">
        <v>16</v>
      </c>
      <c r="J6" s="7" t="s">
        <v>25</v>
      </c>
      <c r="K6" s="8">
        <f>'[1]Tourism Demand &amp; Flows-vanya'!K18</f>
        <v>1557.27242</v>
      </c>
      <c r="L6" s="118"/>
      <c r="M6" s="118"/>
      <c r="N6" s="118"/>
      <c r="O6" s="118"/>
      <c r="V6" s="10" t="e">
        <f t="shared" si="0"/>
        <v>#DIV/0!</v>
      </c>
      <c r="W6" s="10" t="e">
        <f t="shared" si="1"/>
        <v>#DIV/0!</v>
      </c>
      <c r="X6" s="11"/>
    </row>
    <row r="7" spans="1:31">
      <c r="A7" s="119" t="s">
        <v>979</v>
      </c>
      <c r="B7" s="119" t="s">
        <v>13</v>
      </c>
      <c r="C7" s="119" t="s">
        <v>766</v>
      </c>
      <c r="D7" s="6" t="s">
        <v>27</v>
      </c>
      <c r="G7" s="7" t="s">
        <v>15</v>
      </c>
      <c r="H7" s="7" t="s">
        <v>16</v>
      </c>
      <c r="J7" s="7" t="s">
        <v>25</v>
      </c>
      <c r="L7" s="120">
        <f t="shared" ref="L7:U7" si="2">SUM(L8:L14)</f>
        <v>38.518240999999996</v>
      </c>
      <c r="M7" s="120">
        <f t="shared" si="2"/>
        <v>38.500696000000005</v>
      </c>
      <c r="N7" s="120">
        <f t="shared" si="2"/>
        <v>38.482919000000003</v>
      </c>
      <c r="O7" s="120">
        <f t="shared" si="2"/>
        <v>38.463689000000002</v>
      </c>
      <c r="P7" s="120">
        <f t="shared" si="2"/>
        <v>38.441587999999996</v>
      </c>
      <c r="Q7" s="120">
        <f t="shared" si="2"/>
        <v>38.415284</v>
      </c>
      <c r="R7" s="120">
        <f t="shared" si="2"/>
        <v>38.383808999999992</v>
      </c>
      <c r="S7" s="120">
        <f t="shared" si="2"/>
        <v>38.346278999999996</v>
      </c>
      <c r="T7" s="120">
        <f t="shared" si="2"/>
        <v>38.301884999999999</v>
      </c>
      <c r="U7" s="120">
        <f t="shared" si="2"/>
        <v>38.306902537757701</v>
      </c>
      <c r="V7" s="10">
        <f t="shared" si="0"/>
        <v>-4.9788274383089082E-4</v>
      </c>
      <c r="W7" s="10">
        <f t="shared" si="1"/>
        <v>-7.060752043490659E-4</v>
      </c>
      <c r="X7" s="122" t="s">
        <v>1082</v>
      </c>
      <c r="Y7" s="7" t="s">
        <v>1081</v>
      </c>
    </row>
    <row r="8" spans="1:31">
      <c r="A8" s="119" t="s">
        <v>979</v>
      </c>
      <c r="B8" s="119" t="s">
        <v>13</v>
      </c>
      <c r="C8" s="119" t="s">
        <v>766</v>
      </c>
      <c r="D8" s="119" t="s">
        <v>27</v>
      </c>
      <c r="E8" s="6" t="s">
        <v>28</v>
      </c>
      <c r="G8" s="7" t="s">
        <v>15</v>
      </c>
      <c r="H8" s="7" t="s">
        <v>16</v>
      </c>
      <c r="J8" s="7" t="s">
        <v>25</v>
      </c>
      <c r="L8" s="121">
        <v>5.9765090000000001</v>
      </c>
      <c r="M8" s="121">
        <v>5.863086</v>
      </c>
      <c r="N8" s="121">
        <v>5.7672730000000003</v>
      </c>
      <c r="O8" s="121">
        <v>5.7007529999999997</v>
      </c>
      <c r="P8" s="121">
        <v>5.6588700000000003</v>
      </c>
      <c r="Q8" s="121">
        <v>5.6246499999999999</v>
      </c>
      <c r="R8" s="121">
        <v>5.6032190000000002</v>
      </c>
      <c r="S8" s="121">
        <v>5.5928329999999997</v>
      </c>
      <c r="T8" s="121">
        <v>5.5859839999999998</v>
      </c>
      <c r="U8" s="129">
        <f>T8*(1+(((T8/Q8)^(1/3))-1))</f>
        <v>5.5731544915836082</v>
      </c>
      <c r="V8" s="10">
        <f t="shared" si="0"/>
        <v>-1.3560317332217298E-2</v>
      </c>
      <c r="W8" s="10">
        <f t="shared" si="1"/>
        <v>-2.2967320379707612E-3</v>
      </c>
    </row>
    <row r="9" spans="1:31">
      <c r="A9" s="119" t="s">
        <v>979</v>
      </c>
      <c r="B9" s="119" t="s">
        <v>13</v>
      </c>
      <c r="C9" s="119" t="s">
        <v>766</v>
      </c>
      <c r="D9" s="119" t="s">
        <v>27</v>
      </c>
      <c r="E9" s="6" t="s">
        <v>29</v>
      </c>
      <c r="G9" s="7" t="s">
        <v>15</v>
      </c>
      <c r="H9" s="7" t="s">
        <v>16</v>
      </c>
      <c r="J9" s="7" t="s">
        <v>25</v>
      </c>
      <c r="L9" s="121">
        <v>5.9017530000000002</v>
      </c>
      <c r="M9" s="121">
        <v>5.7020749999999998</v>
      </c>
      <c r="N9" s="121">
        <v>5.4898319999999998</v>
      </c>
      <c r="O9" s="121">
        <v>5.2693770000000004</v>
      </c>
      <c r="P9" s="121">
        <v>5.0562950000000004</v>
      </c>
      <c r="Q9" s="121">
        <v>4.8748889999999996</v>
      </c>
      <c r="R9" s="121">
        <v>4.7257680000000004</v>
      </c>
      <c r="S9" s="121">
        <v>4.5688550000000001</v>
      </c>
      <c r="T9" s="121">
        <v>4.4026420000000002</v>
      </c>
      <c r="U9" s="129">
        <f t="shared" ref="U9:U14" si="3">T9*(1+(((T9/Q9)^(1/3))-1))</f>
        <v>4.2556207647342905</v>
      </c>
      <c r="V9" s="10">
        <f t="shared" si="0"/>
        <v>-3.7916328936181465E-2</v>
      </c>
      <c r="W9" s="10">
        <f t="shared" si="1"/>
        <v>-3.3393865607448836E-2</v>
      </c>
    </row>
    <row r="10" spans="1:31">
      <c r="A10" s="119" t="s">
        <v>979</v>
      </c>
      <c r="B10" s="119" t="s">
        <v>13</v>
      </c>
      <c r="C10" s="119" t="s">
        <v>766</v>
      </c>
      <c r="D10" s="119" t="s">
        <v>27</v>
      </c>
      <c r="E10" s="6" t="s">
        <v>30</v>
      </c>
      <c r="G10" s="7" t="s">
        <v>15</v>
      </c>
      <c r="H10" s="7" t="s">
        <v>16</v>
      </c>
      <c r="J10" s="7" t="s">
        <v>25</v>
      </c>
      <c r="L10" s="121">
        <v>6.2222609999999996</v>
      </c>
      <c r="M10" s="121">
        <v>6.3293020000000002</v>
      </c>
      <c r="N10" s="121">
        <v>6.4191760000000002</v>
      </c>
      <c r="O10" s="121">
        <v>6.4713510000000003</v>
      </c>
      <c r="P10" s="121">
        <v>6.4705329999999996</v>
      </c>
      <c r="Q10" s="121">
        <v>6.4259139999999997</v>
      </c>
      <c r="R10" s="121">
        <v>6.3308580000000001</v>
      </c>
      <c r="S10" s="121">
        <v>6.2175960000000003</v>
      </c>
      <c r="T10" s="121">
        <v>6.0958810000000003</v>
      </c>
      <c r="U10" s="129">
        <f t="shared" si="3"/>
        <v>5.9896806914556979</v>
      </c>
      <c r="V10" s="10">
        <f t="shared" si="0"/>
        <v>9.8292780716024986E-3</v>
      </c>
      <c r="W10" s="10">
        <f t="shared" si="1"/>
        <v>-1.74216505447371E-2</v>
      </c>
    </row>
    <row r="11" spans="1:31">
      <c r="A11" s="119" t="s">
        <v>979</v>
      </c>
      <c r="B11" s="119" t="s">
        <v>13</v>
      </c>
      <c r="C11" s="119" t="s">
        <v>766</v>
      </c>
      <c r="D11" s="119" t="s">
        <v>27</v>
      </c>
      <c r="E11" s="6" t="s">
        <v>31</v>
      </c>
      <c r="G11" s="7" t="s">
        <v>15</v>
      </c>
      <c r="H11" s="7" t="s">
        <v>16</v>
      </c>
      <c r="J11" s="7" t="s">
        <v>25</v>
      </c>
      <c r="L11" s="121">
        <v>4.9293579999999997</v>
      </c>
      <c r="M11" s="121">
        <v>4.9741249999999999</v>
      </c>
      <c r="N11" s="121">
        <v>5.0441830000000003</v>
      </c>
      <c r="O11" s="121">
        <v>5.1464109999999996</v>
      </c>
      <c r="P11" s="121">
        <v>5.2828660000000003</v>
      </c>
      <c r="Q11" s="121">
        <v>5.4303999999999997</v>
      </c>
      <c r="R11" s="121">
        <v>5.5782930000000004</v>
      </c>
      <c r="S11" s="121">
        <v>5.7341899999999999</v>
      </c>
      <c r="T11" s="121">
        <v>5.8825820000000002</v>
      </c>
      <c r="U11" s="129">
        <f t="shared" si="3"/>
        <v>6.0415268891279865</v>
      </c>
      <c r="V11" s="10">
        <f t="shared" si="0"/>
        <v>1.7465772815513869E-2</v>
      </c>
      <c r="W11" s="10">
        <f t="shared" si="1"/>
        <v>2.7019579009351036E-2</v>
      </c>
    </row>
    <row r="12" spans="1:31">
      <c r="A12" s="119" t="s">
        <v>979</v>
      </c>
      <c r="B12" s="119" t="s">
        <v>13</v>
      </c>
      <c r="C12" s="119" t="s">
        <v>766</v>
      </c>
      <c r="D12" s="119" t="s">
        <v>27</v>
      </c>
      <c r="E12" s="6" t="s">
        <v>32</v>
      </c>
      <c r="G12" s="7" t="s">
        <v>15</v>
      </c>
      <c r="H12" s="7" t="s">
        <v>16</v>
      </c>
      <c r="J12" s="7" t="s">
        <v>25</v>
      </c>
      <c r="L12" s="121">
        <v>5.9540350000000002</v>
      </c>
      <c r="M12" s="121">
        <v>5.8303260000000003</v>
      </c>
      <c r="N12" s="121">
        <v>5.6946450000000004</v>
      </c>
      <c r="O12" s="121">
        <v>5.5346919999999997</v>
      </c>
      <c r="P12" s="121">
        <v>5.3583959999999999</v>
      </c>
      <c r="Q12" s="121">
        <v>5.1778550000000001</v>
      </c>
      <c r="R12" s="121">
        <v>5.0061499999999999</v>
      </c>
      <c r="S12" s="121">
        <v>4.8628580000000001</v>
      </c>
      <c r="T12" s="121">
        <v>4.7667169999999999</v>
      </c>
      <c r="U12" s="129">
        <f t="shared" si="3"/>
        <v>4.6370580213742354</v>
      </c>
      <c r="V12" s="10">
        <f t="shared" si="0"/>
        <v>-2.6006955078558436E-2</v>
      </c>
      <c r="W12" s="10">
        <f t="shared" si="1"/>
        <v>-2.7200897100827404E-2</v>
      </c>
    </row>
    <row r="13" spans="1:31">
      <c r="A13" s="119" t="s">
        <v>979</v>
      </c>
      <c r="B13" s="119" t="s">
        <v>13</v>
      </c>
      <c r="C13" s="119" t="s">
        <v>766</v>
      </c>
      <c r="D13" s="119" t="s">
        <v>27</v>
      </c>
      <c r="E13" s="6" t="s">
        <v>33</v>
      </c>
      <c r="G13" s="7" t="s">
        <v>15</v>
      </c>
      <c r="H13" s="7" t="s">
        <v>16</v>
      </c>
      <c r="J13" s="7" t="s">
        <v>25</v>
      </c>
      <c r="L13" s="121">
        <v>4.3927589999999999</v>
      </c>
      <c r="M13" s="121">
        <v>4.6540650000000001</v>
      </c>
      <c r="N13" s="121">
        <v>4.9104929999999998</v>
      </c>
      <c r="O13" s="121">
        <v>5.167211</v>
      </c>
      <c r="P13" s="121">
        <v>5.3650520000000004</v>
      </c>
      <c r="Q13" s="121">
        <v>5.4947499999999998</v>
      </c>
      <c r="R13" s="121">
        <v>5.5841209999999997</v>
      </c>
      <c r="S13" s="121">
        <v>5.6320389999999998</v>
      </c>
      <c r="T13" s="121">
        <v>5.6315080000000002</v>
      </c>
      <c r="U13" s="129">
        <f t="shared" si="3"/>
        <v>5.6778462480373433</v>
      </c>
      <c r="V13" s="10">
        <f t="shared" si="0"/>
        <v>5.1257578431392448E-2</v>
      </c>
      <c r="W13" s="10">
        <f t="shared" si="1"/>
        <v>8.2283906970110898E-3</v>
      </c>
    </row>
    <row r="14" spans="1:31">
      <c r="A14" s="119" t="s">
        <v>979</v>
      </c>
      <c r="B14" s="119" t="s">
        <v>13</v>
      </c>
      <c r="C14" s="119" t="s">
        <v>766</v>
      </c>
      <c r="D14" s="119" t="s">
        <v>27</v>
      </c>
      <c r="E14" s="6" t="s">
        <v>34</v>
      </c>
      <c r="G14" s="7" t="s">
        <v>15</v>
      </c>
      <c r="H14" s="7" t="s">
        <v>16</v>
      </c>
      <c r="J14" s="7" t="s">
        <v>25</v>
      </c>
      <c r="L14" s="121">
        <v>5.1415660000000001</v>
      </c>
      <c r="M14" s="121">
        <v>5.1477170000000001</v>
      </c>
      <c r="N14" s="121">
        <v>5.1573169999999999</v>
      </c>
      <c r="O14" s="121">
        <v>5.1738939999999998</v>
      </c>
      <c r="P14" s="121">
        <v>5.2495760000000002</v>
      </c>
      <c r="Q14" s="121">
        <v>5.3868260000000001</v>
      </c>
      <c r="R14" s="121">
        <v>5.5553999999999997</v>
      </c>
      <c r="S14" s="121">
        <v>5.737908</v>
      </c>
      <c r="T14" s="121">
        <v>5.9365709999999998</v>
      </c>
      <c r="U14" s="129">
        <f t="shared" si="3"/>
        <v>6.1320154314445459</v>
      </c>
      <c r="V14" s="10">
        <f t="shared" si="0"/>
        <v>5.2109322031765881E-3</v>
      </c>
      <c r="W14" s="10">
        <f t="shared" si="1"/>
        <v>3.2922107971848691E-2</v>
      </c>
    </row>
    <row r="15" spans="1:31">
      <c r="A15" s="119" t="s">
        <v>979</v>
      </c>
      <c r="B15" s="119" t="s">
        <v>13</v>
      </c>
      <c r="C15" s="119" t="s">
        <v>766</v>
      </c>
      <c r="D15" s="6" t="s">
        <v>35</v>
      </c>
      <c r="G15" s="7" t="s">
        <v>15</v>
      </c>
      <c r="H15" s="7" t="s">
        <v>16</v>
      </c>
      <c r="J15" s="7" t="s">
        <v>25</v>
      </c>
      <c r="K15" s="8">
        <f>'[1]Tourism Demand &amp; Flows-vanya'!K27</f>
        <v>864.43194319999998</v>
      </c>
      <c r="L15" s="120">
        <f t="shared" ref="L15:U15" si="4">SUM(L16:L22)</f>
        <v>18.673828999999998</v>
      </c>
      <c r="M15" s="120">
        <f t="shared" si="4"/>
        <v>18.659066999999997</v>
      </c>
      <c r="N15" s="120">
        <f t="shared" si="4"/>
        <v>18.644478999999997</v>
      </c>
      <c r="O15" s="120">
        <f t="shared" si="4"/>
        <v>18.629434</v>
      </c>
      <c r="P15" s="120">
        <f t="shared" si="4"/>
        <v>18.613236999999998</v>
      </c>
      <c r="Q15" s="120">
        <f t="shared" si="4"/>
        <v>18.595227999999999</v>
      </c>
      <c r="R15" s="120">
        <f t="shared" si="4"/>
        <v>18.574883999999997</v>
      </c>
      <c r="S15" s="120">
        <f t="shared" si="4"/>
        <v>18.551718999999999</v>
      </c>
      <c r="T15" s="120">
        <f t="shared" si="4"/>
        <v>18.525275999999998</v>
      </c>
      <c r="U15" s="120">
        <f t="shared" si="4"/>
        <v>18.523132548765702</v>
      </c>
      <c r="V15" s="10">
        <f t="shared" si="0"/>
        <v>-8.1217766297814187E-4</v>
      </c>
      <c r="W15" s="10">
        <f t="shared" si="1"/>
        <v>-9.7068599072180906E-4</v>
      </c>
      <c r="X15" s="7" t="s">
        <v>1080</v>
      </c>
    </row>
    <row r="16" spans="1:31">
      <c r="A16" s="119" t="s">
        <v>979</v>
      </c>
      <c r="B16" s="119" t="s">
        <v>13</v>
      </c>
      <c r="C16" s="119" t="s">
        <v>766</v>
      </c>
      <c r="D16" s="119" t="s">
        <v>35</v>
      </c>
      <c r="E16" s="6" t="s">
        <v>28</v>
      </c>
      <c r="G16" s="7" t="s">
        <v>15</v>
      </c>
      <c r="H16" s="7" t="s">
        <v>16</v>
      </c>
      <c r="J16" s="7" t="s">
        <v>25</v>
      </c>
      <c r="L16" s="121">
        <v>3.0703879999999999</v>
      </c>
      <c r="M16" s="121">
        <v>3.013109</v>
      </c>
      <c r="N16" s="121">
        <v>2.964995</v>
      </c>
      <c r="O16" s="121">
        <v>2.9317319999999998</v>
      </c>
      <c r="P16" s="121">
        <v>2.9103240000000001</v>
      </c>
      <c r="Q16" s="121">
        <v>2.8927010000000002</v>
      </c>
      <c r="R16" s="121">
        <v>2.881605</v>
      </c>
      <c r="S16" s="121">
        <v>2.8762639999999999</v>
      </c>
      <c r="T16" s="121">
        <v>2.8728419999999999</v>
      </c>
      <c r="U16" s="129">
        <f>T16*(1+(((T16/Q16)^(1/3))-1))</f>
        <v>2.8662526766218934</v>
      </c>
      <c r="V16" s="10">
        <f t="shared" si="0"/>
        <v>-1.3295701508631574E-2</v>
      </c>
      <c r="W16" s="10">
        <f t="shared" si="1"/>
        <v>-2.2936602075945833E-3</v>
      </c>
    </row>
    <row r="17" spans="1:30">
      <c r="A17" s="119" t="s">
        <v>979</v>
      </c>
      <c r="B17" s="119" t="s">
        <v>13</v>
      </c>
      <c r="C17" s="119" t="s">
        <v>766</v>
      </c>
      <c r="D17" s="119" t="s">
        <v>35</v>
      </c>
      <c r="E17" s="6" t="s">
        <v>29</v>
      </c>
      <c r="G17" s="7" t="s">
        <v>15</v>
      </c>
      <c r="H17" s="7" t="s">
        <v>16</v>
      </c>
      <c r="J17" s="7" t="s">
        <v>25</v>
      </c>
      <c r="L17" s="121">
        <v>3.004766</v>
      </c>
      <c r="M17" s="121">
        <v>2.903759</v>
      </c>
      <c r="N17" s="121">
        <v>2.7960440000000002</v>
      </c>
      <c r="O17" s="121">
        <v>2.6844579999999998</v>
      </c>
      <c r="P17" s="121">
        <v>2.5775839999999999</v>
      </c>
      <c r="Q17" s="121">
        <v>2.4865710000000001</v>
      </c>
      <c r="R17" s="121">
        <v>2.4125459999999999</v>
      </c>
      <c r="S17" s="121">
        <v>2.3336269999999999</v>
      </c>
      <c r="T17" s="121">
        <v>2.2486489999999999</v>
      </c>
      <c r="U17" s="129">
        <f t="shared" ref="U17:U22" si="5">T17*(1+(((T17/Q17)^(1/3))-1))</f>
        <v>2.1745126509932335</v>
      </c>
      <c r="V17" s="10">
        <f t="shared" si="0"/>
        <v>-3.7611238686508064E-2</v>
      </c>
      <c r="W17" s="10">
        <f t="shared" si="1"/>
        <v>-3.2969284671269805E-2</v>
      </c>
    </row>
    <row r="18" spans="1:30">
      <c r="A18" s="119" t="s">
        <v>979</v>
      </c>
      <c r="B18" s="119" t="s">
        <v>13</v>
      </c>
      <c r="C18" s="119" t="s">
        <v>766</v>
      </c>
      <c r="D18" s="119" t="s">
        <v>35</v>
      </c>
      <c r="E18" s="6" t="s">
        <v>30</v>
      </c>
      <c r="G18" s="7" t="s">
        <v>15</v>
      </c>
      <c r="H18" s="7" t="s">
        <v>16</v>
      </c>
      <c r="J18" s="7" t="s">
        <v>25</v>
      </c>
      <c r="L18" s="121">
        <v>3.157117</v>
      </c>
      <c r="M18" s="121">
        <v>3.2103389999999998</v>
      </c>
      <c r="N18" s="121">
        <v>3.2549969999999999</v>
      </c>
      <c r="O18" s="121">
        <v>3.28051</v>
      </c>
      <c r="P18" s="121">
        <v>3.2792669999999999</v>
      </c>
      <c r="Q18" s="121">
        <v>3.255671</v>
      </c>
      <c r="R18" s="121">
        <v>3.206137</v>
      </c>
      <c r="S18" s="121">
        <v>3.1482510000000001</v>
      </c>
      <c r="T18" s="121">
        <v>3.0879780000000001</v>
      </c>
      <c r="U18" s="129">
        <f t="shared" si="5"/>
        <v>3.0340222388477383</v>
      </c>
      <c r="V18" s="10">
        <f t="shared" si="0"/>
        <v>9.5353374944784353E-3</v>
      </c>
      <c r="W18" s="10">
        <f t="shared" si="1"/>
        <v>-1.7472845063100095E-2</v>
      </c>
    </row>
    <row r="19" spans="1:30">
      <c r="A19" s="119" t="s">
        <v>979</v>
      </c>
      <c r="B19" s="119" t="s">
        <v>13</v>
      </c>
      <c r="C19" s="119" t="s">
        <v>766</v>
      </c>
      <c r="D19" s="119" t="s">
        <v>35</v>
      </c>
      <c r="E19" s="6" t="s">
        <v>31</v>
      </c>
      <c r="G19" s="7" t="s">
        <v>15</v>
      </c>
      <c r="H19" s="7" t="s">
        <v>16</v>
      </c>
      <c r="J19" s="7" t="s">
        <v>25</v>
      </c>
      <c r="L19" s="121">
        <v>2.4932409999999998</v>
      </c>
      <c r="M19" s="121">
        <v>2.5170400000000002</v>
      </c>
      <c r="N19" s="121">
        <v>2.5533839999999999</v>
      </c>
      <c r="O19" s="121">
        <v>2.6056300000000001</v>
      </c>
      <c r="P19" s="121">
        <v>2.674515</v>
      </c>
      <c r="Q19" s="121">
        <v>2.748354</v>
      </c>
      <c r="R19" s="121">
        <v>2.8211930000000001</v>
      </c>
      <c r="S19" s="121">
        <v>2.8977010000000001</v>
      </c>
      <c r="T19" s="121">
        <v>2.9706519999999998</v>
      </c>
      <c r="U19" s="129">
        <f t="shared" si="5"/>
        <v>3.0486774718084919</v>
      </c>
      <c r="V19" s="10">
        <f t="shared" si="0"/>
        <v>1.7700984138865117E-2</v>
      </c>
      <c r="W19" s="10">
        <f t="shared" si="1"/>
        <v>2.6265436614080651E-2</v>
      </c>
    </row>
    <row r="20" spans="1:30">
      <c r="A20" s="119" t="s">
        <v>979</v>
      </c>
      <c r="B20" s="119" t="s">
        <v>13</v>
      </c>
      <c r="C20" s="119" t="s">
        <v>766</v>
      </c>
      <c r="D20" s="119" t="s">
        <v>35</v>
      </c>
      <c r="E20" s="6" t="s">
        <v>32</v>
      </c>
      <c r="G20" s="7" t="s">
        <v>15</v>
      </c>
      <c r="H20" s="7" t="s">
        <v>16</v>
      </c>
      <c r="J20" s="7" t="s">
        <v>25</v>
      </c>
      <c r="L20" s="121">
        <v>2.9280300000000001</v>
      </c>
      <c r="M20" s="121">
        <v>2.869532</v>
      </c>
      <c r="N20" s="121">
        <v>2.8053979999999998</v>
      </c>
      <c r="O20" s="121">
        <v>2.7289840000000001</v>
      </c>
      <c r="P20" s="121">
        <v>2.6448290000000001</v>
      </c>
      <c r="Q20" s="121">
        <v>2.559399</v>
      </c>
      <c r="R20" s="121">
        <v>2.4790990000000002</v>
      </c>
      <c r="S20" s="121">
        <v>2.4132009999999999</v>
      </c>
      <c r="T20" s="121">
        <v>2.3700350000000001</v>
      </c>
      <c r="U20" s="129">
        <f t="shared" si="5"/>
        <v>2.3100799681757627</v>
      </c>
      <c r="V20" s="10">
        <f t="shared" si="0"/>
        <v>-2.5110216806770502E-2</v>
      </c>
      <c r="W20" s="10">
        <f t="shared" si="1"/>
        <v>-2.5297108196392637E-2</v>
      </c>
    </row>
    <row r="21" spans="1:30">
      <c r="A21" s="119" t="s">
        <v>979</v>
      </c>
      <c r="B21" s="119" t="s">
        <v>13</v>
      </c>
      <c r="C21" s="119" t="s">
        <v>766</v>
      </c>
      <c r="D21" s="119" t="s">
        <v>35</v>
      </c>
      <c r="E21" s="6" t="s">
        <v>33</v>
      </c>
      <c r="G21" s="7" t="s">
        <v>15</v>
      </c>
      <c r="H21" s="7" t="s">
        <v>16</v>
      </c>
      <c r="J21" s="7" t="s">
        <v>25</v>
      </c>
      <c r="L21" s="121">
        <v>2.0558580000000002</v>
      </c>
      <c r="M21" s="121">
        <v>2.1808109999999998</v>
      </c>
      <c r="N21" s="121">
        <v>2.3032550000000001</v>
      </c>
      <c r="O21" s="121">
        <v>2.4263569999999999</v>
      </c>
      <c r="P21" s="121">
        <v>2.5221680000000002</v>
      </c>
      <c r="Q21" s="121">
        <v>2.5864660000000002</v>
      </c>
      <c r="R21" s="121">
        <v>2.6320579999999998</v>
      </c>
      <c r="S21" s="121">
        <v>2.6581060000000001</v>
      </c>
      <c r="T21" s="121">
        <v>2.6606369999999999</v>
      </c>
      <c r="U21" s="129">
        <f t="shared" si="5"/>
        <v>2.6858303501961083</v>
      </c>
      <c r="V21" s="10">
        <f t="shared" si="0"/>
        <v>5.2434858519179617E-2</v>
      </c>
      <c r="W21" s="10">
        <f t="shared" si="1"/>
        <v>9.4689167278769748E-3</v>
      </c>
    </row>
    <row r="22" spans="1:30">
      <c r="A22" s="119" t="s">
        <v>979</v>
      </c>
      <c r="B22" s="119" t="s">
        <v>13</v>
      </c>
      <c r="C22" s="119" t="s">
        <v>766</v>
      </c>
      <c r="D22" s="119" t="s">
        <v>35</v>
      </c>
      <c r="E22" s="6" t="s">
        <v>34</v>
      </c>
      <c r="G22" s="7" t="s">
        <v>15</v>
      </c>
      <c r="H22" s="7" t="s">
        <v>16</v>
      </c>
      <c r="J22" s="7" t="s">
        <v>25</v>
      </c>
      <c r="L22" s="121">
        <v>1.964429</v>
      </c>
      <c r="M22" s="121">
        <v>1.964477</v>
      </c>
      <c r="N22" s="121">
        <v>1.9664060000000001</v>
      </c>
      <c r="O22" s="121">
        <v>1.9717629999999999</v>
      </c>
      <c r="P22" s="121">
        <v>2.0045500000000001</v>
      </c>
      <c r="Q22" s="121">
        <v>2.0660660000000002</v>
      </c>
      <c r="R22" s="121">
        <v>2.1422460000000001</v>
      </c>
      <c r="S22" s="121">
        <v>2.2245689999999998</v>
      </c>
      <c r="T22" s="121">
        <v>2.3144830000000001</v>
      </c>
      <c r="U22" s="129">
        <f t="shared" si="5"/>
        <v>2.4037571921224723</v>
      </c>
      <c r="V22" s="10">
        <f t="shared" si="0"/>
        <v>5.0672902110924234E-3</v>
      </c>
      <c r="W22" s="10">
        <f t="shared" si="1"/>
        <v>3.8571980058817568E-2</v>
      </c>
    </row>
    <row r="23" spans="1:30">
      <c r="A23" s="119" t="s">
        <v>979</v>
      </c>
      <c r="B23" s="119" t="s">
        <v>13</v>
      </c>
      <c r="C23" s="119" t="s">
        <v>766</v>
      </c>
      <c r="D23" s="6" t="s">
        <v>36</v>
      </c>
      <c r="G23" s="7" t="s">
        <v>15</v>
      </c>
      <c r="H23" s="7" t="s">
        <v>16</v>
      </c>
      <c r="J23" s="7" t="s">
        <v>25</v>
      </c>
      <c r="K23" s="8">
        <f>'[1]Tourism Demand &amp; Flows-vanya'!K35</f>
        <v>692.84047680000003</v>
      </c>
      <c r="L23" s="120">
        <f t="shared" ref="L23:U23" si="6">SUM(L24:L30)</f>
        <v>19.844411999999998</v>
      </c>
      <c r="M23" s="120">
        <f t="shared" si="6"/>
        <v>19.841629000000001</v>
      </c>
      <c r="N23" s="120">
        <f t="shared" si="6"/>
        <v>19.838439999999999</v>
      </c>
      <c r="O23" s="120">
        <f t="shared" si="6"/>
        <v>19.834254999999999</v>
      </c>
      <c r="P23" s="120">
        <f t="shared" si="6"/>
        <v>19.828350999999998</v>
      </c>
      <c r="Q23" s="120">
        <f t="shared" si="6"/>
        <v>19.820056000000001</v>
      </c>
      <c r="R23" s="120">
        <f t="shared" si="6"/>
        <v>19.808924999999999</v>
      </c>
      <c r="S23" s="120">
        <f t="shared" si="6"/>
        <v>19.794560000000004</v>
      </c>
      <c r="T23" s="120">
        <f t="shared" si="6"/>
        <v>19.776609000000001</v>
      </c>
      <c r="U23" s="120">
        <f t="shared" si="6"/>
        <v>19.784059059587221</v>
      </c>
      <c r="V23" s="10">
        <f t="shared" si="0"/>
        <v>-2.0239799614407694E-4</v>
      </c>
      <c r="W23" s="10">
        <f t="shared" si="1"/>
        <v>-4.5435647190095185E-4</v>
      </c>
      <c r="X23" s="7" t="s">
        <v>1079</v>
      </c>
    </row>
    <row r="24" spans="1:30">
      <c r="A24" s="119" t="s">
        <v>979</v>
      </c>
      <c r="B24" s="119" t="s">
        <v>13</v>
      </c>
      <c r="C24" s="119" t="s">
        <v>766</v>
      </c>
      <c r="D24" s="119" t="s">
        <v>36</v>
      </c>
      <c r="E24" s="6" t="s">
        <v>28</v>
      </c>
      <c r="G24" s="7" t="s">
        <v>15</v>
      </c>
      <c r="H24" s="7" t="s">
        <v>16</v>
      </c>
      <c r="J24" s="7" t="s">
        <v>25</v>
      </c>
      <c r="L24" s="121">
        <v>2.9061210000000002</v>
      </c>
      <c r="M24" s="121">
        <v>2.849977</v>
      </c>
      <c r="N24" s="121">
        <v>2.8022779999999998</v>
      </c>
      <c r="O24" s="121">
        <v>2.769021</v>
      </c>
      <c r="P24" s="121">
        <v>2.7485460000000002</v>
      </c>
      <c r="Q24" s="121">
        <v>2.7319490000000002</v>
      </c>
      <c r="R24" s="121">
        <v>2.7216140000000002</v>
      </c>
      <c r="S24" s="121">
        <v>2.7165689999999998</v>
      </c>
      <c r="T24" s="121">
        <v>2.7131419999999999</v>
      </c>
      <c r="U24" s="129">
        <f>T24*(1+(((T24/Q24)^(1/3))-1))</f>
        <v>2.7069018150735955</v>
      </c>
      <c r="V24" s="10">
        <f t="shared" si="0"/>
        <v>-1.3840121972187869E-2</v>
      </c>
      <c r="W24" s="10">
        <f t="shared" si="1"/>
        <v>-2.2999846400979518E-3</v>
      </c>
    </row>
    <row r="25" spans="1:30">
      <c r="A25" s="119" t="s">
        <v>979</v>
      </c>
      <c r="B25" s="119" t="s">
        <v>13</v>
      </c>
      <c r="C25" s="119" t="s">
        <v>766</v>
      </c>
      <c r="D25" s="119" t="s">
        <v>36</v>
      </c>
      <c r="E25" s="6" t="s">
        <v>29</v>
      </c>
      <c r="G25" s="7" t="s">
        <v>15</v>
      </c>
      <c r="H25" s="7" t="s">
        <v>16</v>
      </c>
      <c r="J25" s="7" t="s">
        <v>25</v>
      </c>
      <c r="L25" s="121">
        <v>2.8969870000000002</v>
      </c>
      <c r="M25" s="121">
        <v>2.7983159999999998</v>
      </c>
      <c r="N25" s="121">
        <v>2.6937880000000001</v>
      </c>
      <c r="O25" s="121">
        <v>2.5849190000000002</v>
      </c>
      <c r="P25" s="121">
        <v>2.4787110000000001</v>
      </c>
      <c r="Q25" s="121">
        <v>2.3883179999999999</v>
      </c>
      <c r="R25" s="121">
        <v>2.3132220000000001</v>
      </c>
      <c r="S25" s="121">
        <v>2.2352280000000002</v>
      </c>
      <c r="T25" s="121">
        <v>2.1539929999999998</v>
      </c>
      <c r="U25" s="129">
        <f t="shared" ref="U25:U31" si="7">T25*(1+(((T25/Q25)^(1/3))-1))</f>
        <v>2.0811098249786797</v>
      </c>
      <c r="V25" s="10">
        <f t="shared" si="0"/>
        <v>-3.8233076654333287E-2</v>
      </c>
      <c r="W25" s="10">
        <f t="shared" si="1"/>
        <v>-3.3836310062901775E-2</v>
      </c>
    </row>
    <row r="26" spans="1:30">
      <c r="A26" s="119" t="s">
        <v>979</v>
      </c>
      <c r="B26" s="119" t="s">
        <v>13</v>
      </c>
      <c r="C26" s="119" t="s">
        <v>766</v>
      </c>
      <c r="D26" s="119" t="s">
        <v>36</v>
      </c>
      <c r="E26" s="6" t="s">
        <v>30</v>
      </c>
      <c r="G26" s="7" t="s">
        <v>15</v>
      </c>
      <c r="H26" s="7" t="s">
        <v>16</v>
      </c>
      <c r="J26" s="7" t="s">
        <v>25</v>
      </c>
      <c r="L26" s="121">
        <v>3.0651440000000001</v>
      </c>
      <c r="M26" s="121">
        <v>3.1189629999999999</v>
      </c>
      <c r="N26" s="121">
        <v>3.1641789999999999</v>
      </c>
      <c r="O26" s="121">
        <v>3.1908409999999998</v>
      </c>
      <c r="P26" s="121">
        <v>3.1912660000000002</v>
      </c>
      <c r="Q26" s="121">
        <v>3.1702430000000001</v>
      </c>
      <c r="R26" s="121">
        <v>3.1247210000000001</v>
      </c>
      <c r="S26" s="121">
        <v>3.0693450000000002</v>
      </c>
      <c r="T26" s="121">
        <v>3.0079030000000002</v>
      </c>
      <c r="U26" s="129">
        <f t="shared" si="7"/>
        <v>2.9556584860004267</v>
      </c>
      <c r="V26" s="10">
        <f t="shared" si="0"/>
        <v>1.0131770548242436E-2</v>
      </c>
      <c r="W26" s="10">
        <f t="shared" si="1"/>
        <v>-1.7369082048049322E-2</v>
      </c>
    </row>
    <row r="27" spans="1:30">
      <c r="A27" s="119" t="s">
        <v>979</v>
      </c>
      <c r="B27" s="119" t="s">
        <v>13</v>
      </c>
      <c r="C27" s="119" t="s">
        <v>766</v>
      </c>
      <c r="D27" s="119" t="s">
        <v>36</v>
      </c>
      <c r="E27" s="6" t="s">
        <v>31</v>
      </c>
      <c r="G27" s="7" t="s">
        <v>15</v>
      </c>
      <c r="H27" s="7" t="s">
        <v>16</v>
      </c>
      <c r="J27" s="7" t="s">
        <v>25</v>
      </c>
      <c r="L27" s="121">
        <v>2.4361169999999999</v>
      </c>
      <c r="M27" s="121">
        <v>2.4570850000000002</v>
      </c>
      <c r="N27" s="121">
        <v>2.490799</v>
      </c>
      <c r="O27" s="121">
        <v>2.540781</v>
      </c>
      <c r="P27" s="121">
        <v>2.6083509999999999</v>
      </c>
      <c r="Q27" s="121">
        <v>2.6820460000000002</v>
      </c>
      <c r="R27" s="121">
        <v>2.7570999999999999</v>
      </c>
      <c r="S27" s="121">
        <v>2.8364889999999998</v>
      </c>
      <c r="T27" s="121">
        <v>2.9119299999999999</v>
      </c>
      <c r="U27" s="129">
        <f t="shared" si="7"/>
        <v>2.9928560836905937</v>
      </c>
      <c r="V27" s="10">
        <f t="shared" si="0"/>
        <v>1.7224877045017184E-2</v>
      </c>
      <c r="W27" s="10">
        <f t="shared" si="1"/>
        <v>2.7791218776067383E-2</v>
      </c>
    </row>
    <row r="28" spans="1:30">
      <c r="A28" s="119" t="s">
        <v>979</v>
      </c>
      <c r="B28" s="119" t="s">
        <v>13</v>
      </c>
      <c r="C28" s="119" t="s">
        <v>766</v>
      </c>
      <c r="D28" s="119" t="s">
        <v>36</v>
      </c>
      <c r="E28" s="6" t="s">
        <v>32</v>
      </c>
      <c r="G28" s="7" t="s">
        <v>15</v>
      </c>
      <c r="H28" s="7" t="s">
        <v>16</v>
      </c>
      <c r="J28" s="7" t="s">
        <v>25</v>
      </c>
      <c r="L28" s="121">
        <v>3.0260050000000001</v>
      </c>
      <c r="M28" s="121">
        <v>2.9607939999999999</v>
      </c>
      <c r="N28" s="121">
        <v>2.8892470000000001</v>
      </c>
      <c r="O28" s="121">
        <v>2.8057080000000001</v>
      </c>
      <c r="P28" s="121">
        <v>2.7135669999999998</v>
      </c>
      <c r="Q28" s="121">
        <v>2.6184560000000001</v>
      </c>
      <c r="R28" s="121">
        <v>2.5270510000000002</v>
      </c>
      <c r="S28" s="121">
        <v>2.4496570000000002</v>
      </c>
      <c r="T28" s="121">
        <v>2.3966820000000002</v>
      </c>
      <c r="U28" s="129">
        <f t="shared" si="7"/>
        <v>2.3270129065342218</v>
      </c>
      <c r="V28" s="10">
        <f t="shared" si="0"/>
        <v>-2.6877023261280053E-2</v>
      </c>
      <c r="W28" s="10">
        <f t="shared" si="1"/>
        <v>-2.9068976804506597E-2</v>
      </c>
    </row>
    <row r="29" spans="1:30">
      <c r="A29" s="119" t="s">
        <v>979</v>
      </c>
      <c r="B29" s="119" t="s">
        <v>13</v>
      </c>
      <c r="C29" s="119" t="s">
        <v>766</v>
      </c>
      <c r="D29" s="119" t="s">
        <v>36</v>
      </c>
      <c r="E29" s="6" t="s">
        <v>33</v>
      </c>
      <c r="G29" s="7" t="s">
        <v>15</v>
      </c>
      <c r="H29" s="7" t="s">
        <v>16</v>
      </c>
      <c r="J29" s="7" t="s">
        <v>25</v>
      </c>
      <c r="L29" s="121">
        <v>2.3369010000000001</v>
      </c>
      <c r="M29" s="121">
        <v>2.4732539999999998</v>
      </c>
      <c r="N29" s="121">
        <v>2.6072380000000002</v>
      </c>
      <c r="O29" s="121">
        <v>2.7408540000000001</v>
      </c>
      <c r="P29" s="121">
        <v>2.8428840000000002</v>
      </c>
      <c r="Q29" s="121">
        <v>2.9082840000000001</v>
      </c>
      <c r="R29" s="121">
        <v>2.9520629999999999</v>
      </c>
      <c r="S29" s="121">
        <v>2.9739330000000002</v>
      </c>
      <c r="T29" s="121">
        <v>2.9708709999999998</v>
      </c>
      <c r="U29" s="129">
        <f t="shared" si="7"/>
        <v>2.9920312230719444</v>
      </c>
      <c r="V29" s="10">
        <f t="shared" si="0"/>
        <v>5.0218601392028051E-2</v>
      </c>
      <c r="W29" s="10">
        <f t="shared" si="1"/>
        <v>7.122565426753491E-3</v>
      </c>
    </row>
    <row r="30" spans="1:30">
      <c r="A30" s="119" t="s">
        <v>979</v>
      </c>
      <c r="B30" s="119" t="s">
        <v>13</v>
      </c>
      <c r="C30" s="119" t="s">
        <v>766</v>
      </c>
      <c r="D30" s="119" t="s">
        <v>36</v>
      </c>
      <c r="E30" s="6" t="s">
        <v>34</v>
      </c>
      <c r="G30" s="7" t="s">
        <v>15</v>
      </c>
      <c r="H30" s="7" t="s">
        <v>16</v>
      </c>
      <c r="J30" s="7" t="s">
        <v>25</v>
      </c>
      <c r="L30" s="121">
        <v>3.1771370000000001</v>
      </c>
      <c r="M30" s="121">
        <v>3.1832400000000001</v>
      </c>
      <c r="N30" s="121">
        <v>3.1909109999999998</v>
      </c>
      <c r="O30" s="121">
        <v>3.2021310000000001</v>
      </c>
      <c r="P30" s="121">
        <v>3.2450260000000002</v>
      </c>
      <c r="Q30" s="121">
        <v>3.3207599999999999</v>
      </c>
      <c r="R30" s="121">
        <v>3.413154</v>
      </c>
      <c r="S30" s="121">
        <v>3.5133390000000002</v>
      </c>
      <c r="T30" s="121">
        <v>3.6220880000000002</v>
      </c>
      <c r="U30" s="129">
        <f t="shared" si="7"/>
        <v>3.7284887202377597</v>
      </c>
      <c r="V30" s="10">
        <f t="shared" si="0"/>
        <v>5.2997154834202309E-3</v>
      </c>
      <c r="W30" s="10">
        <f t="shared" si="1"/>
        <v>2.9375520483698736E-2</v>
      </c>
    </row>
    <row r="31" spans="1:30">
      <c r="A31" s="119" t="s">
        <v>979</v>
      </c>
      <c r="B31" s="119" t="s">
        <v>13</v>
      </c>
      <c r="C31" s="6" t="s">
        <v>771</v>
      </c>
      <c r="G31" s="7" t="s">
        <v>15</v>
      </c>
      <c r="H31" s="7" t="s">
        <v>16</v>
      </c>
      <c r="J31" s="7" t="s">
        <v>773</v>
      </c>
      <c r="L31" s="155">
        <v>25608995.049116123</v>
      </c>
      <c r="M31" s="155">
        <v>25820528.089126367</v>
      </c>
      <c r="N31" s="155">
        <v>26033808.414687265</v>
      </c>
      <c r="O31" s="155">
        <v>26248850.458564468</v>
      </c>
      <c r="P31" s="155">
        <v>26465668.772739824</v>
      </c>
      <c r="Q31" s="155">
        <v>26684278.029396117</v>
      </c>
      <c r="R31" s="155">
        <v>26904693.021909911</v>
      </c>
      <c r="S31" s="155">
        <v>27126928.665852662</v>
      </c>
      <c r="T31" s="155">
        <v>27351000.000000034</v>
      </c>
      <c r="U31" s="129">
        <f t="shared" si="7"/>
        <v>27576922.187349588</v>
      </c>
      <c r="V31" s="10">
        <f t="shared" si="0"/>
        <v>8.2601070289771705E-3</v>
      </c>
      <c r="W31" s="10">
        <f t="shared" si="1"/>
        <v>8.2601070289771705E-3</v>
      </c>
      <c r="X31" s="122" t="s">
        <v>1078</v>
      </c>
      <c r="Y31" s="7" t="s">
        <v>1077</v>
      </c>
    </row>
    <row r="32" spans="1:30">
      <c r="A32" s="119" t="s">
        <v>979</v>
      </c>
      <c r="B32" s="119" t="s">
        <v>13</v>
      </c>
      <c r="C32" s="119" t="s">
        <v>771</v>
      </c>
      <c r="D32" s="6" t="s">
        <v>37</v>
      </c>
      <c r="G32" s="7" t="s">
        <v>15</v>
      </c>
      <c r="H32" s="7" t="s">
        <v>16</v>
      </c>
      <c r="J32" s="7" t="s">
        <v>773</v>
      </c>
      <c r="L32" s="123"/>
      <c r="M32" s="123"/>
      <c r="N32" s="123"/>
      <c r="O32" s="123"/>
      <c r="P32" s="123"/>
      <c r="Q32" s="123"/>
      <c r="R32" s="123"/>
      <c r="S32" s="123"/>
      <c r="T32" s="123"/>
      <c r="U32" s="123"/>
      <c r="V32" s="10" t="e">
        <f t="shared" si="0"/>
        <v>#DIV/0!</v>
      </c>
      <c r="W32" s="10" t="e">
        <f t="shared" si="1"/>
        <v>#DIV/0!</v>
      </c>
      <c r="AB32" s="15"/>
      <c r="AC32" s="15"/>
      <c r="AD32" s="15" t="s">
        <v>778</v>
      </c>
    </row>
    <row r="33" spans="1:31">
      <c r="A33" s="119" t="s">
        <v>979</v>
      </c>
      <c r="B33" s="119" t="s">
        <v>13</v>
      </c>
      <c r="C33" s="119" t="s">
        <v>771</v>
      </c>
      <c r="D33" s="6" t="s">
        <v>38</v>
      </c>
      <c r="G33" s="7" t="s">
        <v>15</v>
      </c>
      <c r="H33" s="7" t="s">
        <v>16</v>
      </c>
      <c r="J33" s="7" t="s">
        <v>773</v>
      </c>
      <c r="L33" s="123"/>
      <c r="M33" s="123"/>
      <c r="N33" s="123"/>
      <c r="O33" s="123"/>
      <c r="P33" s="123"/>
      <c r="Q33" s="123"/>
      <c r="R33" s="123"/>
      <c r="S33" s="123"/>
      <c r="T33" s="123"/>
      <c r="U33" s="123"/>
      <c r="V33" s="10" t="e">
        <f t="shared" si="0"/>
        <v>#DIV/0!</v>
      </c>
      <c r="W33" s="10" t="e">
        <f t="shared" si="1"/>
        <v>#DIV/0!</v>
      </c>
      <c r="AB33" s="15"/>
      <c r="AC33" s="15"/>
      <c r="AD33" s="15" t="s">
        <v>778</v>
      </c>
    </row>
    <row r="34" spans="1:31">
      <c r="A34" s="119" t="s">
        <v>979</v>
      </c>
      <c r="B34" s="119" t="s">
        <v>13</v>
      </c>
      <c r="C34" s="119" t="s">
        <v>771</v>
      </c>
      <c r="D34" s="6" t="s">
        <v>39</v>
      </c>
      <c r="G34" s="7" t="s">
        <v>15</v>
      </c>
      <c r="H34" s="7" t="s">
        <v>16</v>
      </c>
      <c r="J34" s="7" t="s">
        <v>773</v>
      </c>
      <c r="L34" s="123"/>
      <c r="M34" s="123"/>
      <c r="N34" s="123"/>
      <c r="O34" s="123"/>
      <c r="P34" s="123"/>
      <c r="Q34" s="123"/>
      <c r="R34" s="123"/>
      <c r="S34" s="123"/>
      <c r="T34" s="123"/>
      <c r="U34" s="123"/>
      <c r="V34" s="10" t="e">
        <f t="shared" si="0"/>
        <v>#DIV/0!</v>
      </c>
      <c r="W34" s="10" t="e">
        <f t="shared" si="1"/>
        <v>#DIV/0!</v>
      </c>
      <c r="AB34" s="15"/>
      <c r="AC34" s="15"/>
      <c r="AD34" s="15" t="s">
        <v>778</v>
      </c>
    </row>
    <row r="35" spans="1:31">
      <c r="A35" s="119" t="s">
        <v>979</v>
      </c>
      <c r="B35" s="119" t="s">
        <v>13</v>
      </c>
      <c r="C35" s="119" t="s">
        <v>771</v>
      </c>
      <c r="D35" s="6" t="s">
        <v>40</v>
      </c>
      <c r="G35" s="7" t="s">
        <v>15</v>
      </c>
      <c r="H35" s="7" t="s">
        <v>16</v>
      </c>
      <c r="J35" s="7" t="s">
        <v>773</v>
      </c>
      <c r="L35" s="123"/>
      <c r="M35" s="123"/>
      <c r="N35" s="123"/>
      <c r="O35" s="123"/>
      <c r="P35" s="123"/>
      <c r="Q35" s="123"/>
      <c r="R35" s="123"/>
      <c r="S35" s="123"/>
      <c r="T35" s="123"/>
      <c r="U35" s="123"/>
      <c r="V35" s="10" t="e">
        <f t="shared" si="0"/>
        <v>#DIV/0!</v>
      </c>
      <c r="W35" s="10" t="e">
        <f t="shared" si="1"/>
        <v>#DIV/0!</v>
      </c>
      <c r="AB35" s="15"/>
      <c r="AC35" s="15"/>
      <c r="AD35" s="15" t="s">
        <v>778</v>
      </c>
    </row>
    <row r="36" spans="1:31">
      <c r="A36" s="119" t="s">
        <v>979</v>
      </c>
      <c r="B36" s="119" t="s">
        <v>13</v>
      </c>
      <c r="C36" s="119" t="s">
        <v>771</v>
      </c>
      <c r="D36" s="6" t="s">
        <v>41</v>
      </c>
      <c r="G36" s="7" t="s">
        <v>15</v>
      </c>
      <c r="H36" s="7" t="s">
        <v>16</v>
      </c>
      <c r="J36" s="7" t="s">
        <v>773</v>
      </c>
      <c r="L36" s="123"/>
      <c r="M36" s="123"/>
      <c r="N36" s="123"/>
      <c r="O36" s="123"/>
      <c r="P36" s="123"/>
      <c r="Q36" s="123"/>
      <c r="R36" s="123"/>
      <c r="S36" s="123"/>
      <c r="T36" s="123"/>
      <c r="U36" s="123"/>
      <c r="V36" s="10" t="e">
        <f t="shared" si="0"/>
        <v>#DIV/0!</v>
      </c>
      <c r="W36" s="10" t="e">
        <f t="shared" si="1"/>
        <v>#DIV/0!</v>
      </c>
      <c r="AB36" s="15"/>
      <c r="AC36" s="15"/>
      <c r="AD36" s="15" t="s">
        <v>778</v>
      </c>
    </row>
    <row r="37" spans="1:31">
      <c r="A37" s="119" t="s">
        <v>979</v>
      </c>
      <c r="B37" s="119" t="s">
        <v>13</v>
      </c>
      <c r="C37" s="119" t="s">
        <v>771</v>
      </c>
      <c r="D37" s="6" t="s">
        <v>42</v>
      </c>
      <c r="G37" s="7" t="s">
        <v>15</v>
      </c>
      <c r="H37" s="7" t="s">
        <v>16</v>
      </c>
      <c r="J37" s="7" t="s">
        <v>773</v>
      </c>
      <c r="L37" s="123"/>
      <c r="M37" s="123"/>
      <c r="N37" s="123"/>
      <c r="O37" s="123"/>
      <c r="P37" s="123"/>
      <c r="Q37" s="123"/>
      <c r="R37" s="123"/>
      <c r="S37" s="123"/>
      <c r="T37" s="123"/>
      <c r="U37" s="123"/>
      <c r="V37" s="10" t="e">
        <f t="shared" si="0"/>
        <v>#DIV/0!</v>
      </c>
      <c r="W37" s="10" t="e">
        <f t="shared" si="1"/>
        <v>#DIV/0!</v>
      </c>
      <c r="AB37" s="15"/>
      <c r="AC37" s="15"/>
      <c r="AD37" s="15" t="s">
        <v>778</v>
      </c>
    </row>
    <row r="38" spans="1:31">
      <c r="A38" s="119" t="s">
        <v>979</v>
      </c>
      <c r="B38" s="119" t="s">
        <v>13</v>
      </c>
      <c r="C38" s="119" t="s">
        <v>771</v>
      </c>
      <c r="D38" s="6" t="s">
        <v>43</v>
      </c>
      <c r="G38" s="7" t="s">
        <v>15</v>
      </c>
      <c r="H38" s="7" t="s">
        <v>16</v>
      </c>
      <c r="J38" s="7" t="s">
        <v>773</v>
      </c>
      <c r="L38" s="123"/>
      <c r="M38" s="123"/>
      <c r="N38" s="123"/>
      <c r="O38" s="123"/>
      <c r="P38" s="123"/>
      <c r="Q38" s="123"/>
      <c r="R38" s="123"/>
      <c r="S38" s="123"/>
      <c r="T38" s="123"/>
      <c r="U38" s="123"/>
      <c r="V38" s="10" t="e">
        <f t="shared" si="0"/>
        <v>#DIV/0!</v>
      </c>
      <c r="W38" s="10" t="e">
        <f t="shared" si="1"/>
        <v>#DIV/0!</v>
      </c>
      <c r="AB38" s="15"/>
      <c r="AC38" s="15"/>
      <c r="AD38" s="15" t="s">
        <v>778</v>
      </c>
    </row>
    <row r="39" spans="1:31">
      <c r="A39" s="119" t="s">
        <v>979</v>
      </c>
      <c r="B39" s="119" t="s">
        <v>13</v>
      </c>
      <c r="C39" s="119" t="s">
        <v>771</v>
      </c>
      <c r="D39" s="6" t="s">
        <v>44</v>
      </c>
      <c r="G39" s="7" t="s">
        <v>15</v>
      </c>
      <c r="H39" s="7" t="s">
        <v>16</v>
      </c>
      <c r="J39" s="7" t="s">
        <v>773</v>
      </c>
      <c r="L39" s="123"/>
      <c r="M39" s="123"/>
      <c r="N39" s="123"/>
      <c r="O39" s="123"/>
      <c r="P39" s="123"/>
      <c r="Q39" s="123"/>
      <c r="R39" s="123"/>
      <c r="S39" s="123"/>
      <c r="T39" s="123"/>
      <c r="U39" s="123"/>
      <c r="V39" s="10" t="e">
        <f t="shared" si="0"/>
        <v>#DIV/0!</v>
      </c>
      <c r="W39" s="10" t="e">
        <f t="shared" si="1"/>
        <v>#DIV/0!</v>
      </c>
      <c r="AB39" s="15"/>
      <c r="AC39" s="15"/>
      <c r="AD39" s="15" t="s">
        <v>778</v>
      </c>
    </row>
    <row r="40" spans="1:31">
      <c r="A40" s="119" t="s">
        <v>979</v>
      </c>
      <c r="B40" s="119" t="s">
        <v>13</v>
      </c>
      <c r="C40" s="119" t="s">
        <v>771</v>
      </c>
      <c r="D40" s="6" t="s">
        <v>767</v>
      </c>
      <c r="G40" s="7" t="s">
        <v>15</v>
      </c>
      <c r="H40" s="7" t="s">
        <v>16</v>
      </c>
      <c r="J40" s="7" t="s">
        <v>773</v>
      </c>
      <c r="L40" s="123"/>
      <c r="M40" s="123"/>
      <c r="N40" s="123"/>
      <c r="O40" s="123"/>
      <c r="P40" s="123"/>
      <c r="Q40" s="123"/>
      <c r="R40" s="123"/>
      <c r="S40" s="123"/>
      <c r="T40" s="123"/>
      <c r="U40" s="123"/>
      <c r="V40" s="10" t="e">
        <f t="shared" si="0"/>
        <v>#DIV/0!</v>
      </c>
      <c r="W40" s="10" t="e">
        <f t="shared" si="1"/>
        <v>#DIV/0!</v>
      </c>
      <c r="AB40" s="15"/>
      <c r="AC40" s="15"/>
      <c r="AD40" s="15" t="s">
        <v>778</v>
      </c>
    </row>
    <row r="41" spans="1:31">
      <c r="A41" s="119" t="s">
        <v>979</v>
      </c>
      <c r="B41" s="119" t="s">
        <v>13</v>
      </c>
      <c r="C41" s="119" t="s">
        <v>771</v>
      </c>
      <c r="D41" s="6" t="s">
        <v>768</v>
      </c>
      <c r="G41" s="7" t="s">
        <v>15</v>
      </c>
      <c r="H41" s="7" t="s">
        <v>16</v>
      </c>
      <c r="J41" s="7" t="s">
        <v>773</v>
      </c>
      <c r="L41" s="123"/>
      <c r="M41" s="123"/>
      <c r="N41" s="123"/>
      <c r="O41" s="123"/>
      <c r="P41" s="123"/>
      <c r="Q41" s="123"/>
      <c r="R41" s="123"/>
      <c r="S41" s="123"/>
      <c r="T41" s="123"/>
      <c r="U41" s="123"/>
      <c r="V41" s="10" t="e">
        <f t="shared" si="0"/>
        <v>#DIV/0!</v>
      </c>
      <c r="W41" s="10" t="e">
        <f t="shared" si="1"/>
        <v>#DIV/0!</v>
      </c>
      <c r="AB41" s="15"/>
      <c r="AC41" s="15"/>
      <c r="AD41" s="15" t="s">
        <v>778</v>
      </c>
    </row>
    <row r="42" spans="1:31">
      <c r="A42" s="119" t="s">
        <v>979</v>
      </c>
      <c r="B42" s="119" t="s">
        <v>13</v>
      </c>
      <c r="C42" s="119" t="s">
        <v>771</v>
      </c>
      <c r="D42" s="6" t="s">
        <v>769</v>
      </c>
      <c r="G42" s="7" t="s">
        <v>15</v>
      </c>
      <c r="H42" s="7" t="s">
        <v>16</v>
      </c>
      <c r="J42" s="7" t="s">
        <v>773</v>
      </c>
      <c r="L42" s="123"/>
      <c r="M42" s="123"/>
      <c r="N42" s="123"/>
      <c r="O42" s="123"/>
      <c r="P42" s="123"/>
      <c r="Q42" s="123"/>
      <c r="R42" s="123"/>
      <c r="S42" s="123"/>
      <c r="T42" s="123"/>
      <c r="U42" s="123"/>
      <c r="V42" s="10" t="e">
        <f t="shared" si="0"/>
        <v>#DIV/0!</v>
      </c>
      <c r="W42" s="10" t="e">
        <f t="shared" si="1"/>
        <v>#DIV/0!</v>
      </c>
      <c r="AB42" s="15"/>
      <c r="AC42" s="15"/>
      <c r="AD42" s="15" t="s">
        <v>778</v>
      </c>
    </row>
    <row r="43" spans="1:31">
      <c r="A43" s="119" t="s">
        <v>979</v>
      </c>
      <c r="B43" s="119" t="s">
        <v>13</v>
      </c>
      <c r="C43" s="119" t="s">
        <v>771</v>
      </c>
      <c r="D43" s="6" t="s">
        <v>770</v>
      </c>
      <c r="G43" s="7" t="s">
        <v>15</v>
      </c>
      <c r="H43" s="7" t="s">
        <v>16</v>
      </c>
      <c r="J43" s="7" t="s">
        <v>773</v>
      </c>
      <c r="L43" s="123"/>
      <c r="M43" s="123"/>
      <c r="N43" s="123"/>
      <c r="O43" s="123"/>
      <c r="P43" s="123"/>
      <c r="Q43" s="123"/>
      <c r="R43" s="123"/>
      <c r="S43" s="123"/>
      <c r="T43" s="123"/>
      <c r="U43" s="123"/>
      <c r="V43" s="10" t="e">
        <f t="shared" si="0"/>
        <v>#DIV/0!</v>
      </c>
      <c r="W43" s="10" t="e">
        <f t="shared" si="1"/>
        <v>#DIV/0!</v>
      </c>
      <c r="AB43" s="15"/>
      <c r="AC43" s="15"/>
      <c r="AD43" s="15" t="s">
        <v>778</v>
      </c>
    </row>
    <row r="44" spans="1:31" ht="15" customHeight="1">
      <c r="A44" s="119" t="s">
        <v>979</v>
      </c>
      <c r="B44" s="119" t="s">
        <v>13</v>
      </c>
      <c r="C44" s="6" t="s">
        <v>772</v>
      </c>
      <c r="D44" s="6"/>
      <c r="J44" s="7" t="s">
        <v>980</v>
      </c>
      <c r="L44" s="123"/>
      <c r="M44" s="123"/>
      <c r="N44" s="123"/>
      <c r="O44" s="123"/>
      <c r="P44" s="123"/>
      <c r="Q44" s="123"/>
      <c r="R44" s="123"/>
      <c r="S44" s="123"/>
      <c r="T44" s="123"/>
      <c r="U44" s="123"/>
      <c r="V44" s="10"/>
      <c r="W44" s="10"/>
      <c r="X44" s="16"/>
      <c r="AB44" s="15"/>
      <c r="AC44" s="15"/>
      <c r="AD44" s="15" t="s">
        <v>778</v>
      </c>
    </row>
    <row r="45" spans="1:31">
      <c r="A45" s="119" t="s">
        <v>979</v>
      </c>
      <c r="B45" s="119" t="s">
        <v>13</v>
      </c>
      <c r="C45" s="6" t="s">
        <v>45</v>
      </c>
      <c r="F45" s="7" t="s">
        <v>887</v>
      </c>
      <c r="G45" s="7" t="s">
        <v>15</v>
      </c>
      <c r="H45" s="7" t="s">
        <v>16</v>
      </c>
      <c r="J45" s="7" t="s">
        <v>25</v>
      </c>
      <c r="L45" s="162">
        <f>SUM(L51:L52)</f>
        <v>23500</v>
      </c>
      <c r="M45" s="162">
        <f t="shared" ref="M45:P45" si="8">SUM(M51:M52)</f>
        <v>23700</v>
      </c>
      <c r="N45" s="162">
        <f t="shared" si="8"/>
        <v>22700</v>
      </c>
      <c r="O45" s="162">
        <f t="shared" si="8"/>
        <v>22800</v>
      </c>
      <c r="P45" s="162">
        <f t="shared" si="8"/>
        <v>23917.5</v>
      </c>
      <c r="Q45" s="123"/>
      <c r="R45" s="123"/>
      <c r="S45" s="123"/>
      <c r="T45" s="123"/>
      <c r="U45" s="123"/>
      <c r="V45" s="10">
        <f t="shared" ref="V45:V52" si="9">+(P45/L45)^(1/4)-1</f>
        <v>4.4122020814800766E-3</v>
      </c>
      <c r="W45" s="10" t="e">
        <f t="shared" ref="W45:W52" si="10">+(U45/Q45)^(1/4)-1</f>
        <v>#DIV/0!</v>
      </c>
      <c r="X45" s="122" t="s">
        <v>1076</v>
      </c>
    </row>
    <row r="46" spans="1:31">
      <c r="A46" s="119" t="s">
        <v>979</v>
      </c>
      <c r="B46" s="119" t="s">
        <v>13</v>
      </c>
      <c r="C46" s="119" t="s">
        <v>45</v>
      </c>
      <c r="D46" s="6" t="s">
        <v>46</v>
      </c>
      <c r="F46" s="7" t="s">
        <v>888</v>
      </c>
      <c r="G46" s="7" t="s">
        <v>15</v>
      </c>
      <c r="H46" s="7" t="s">
        <v>16</v>
      </c>
      <c r="J46" s="7" t="s">
        <v>25</v>
      </c>
      <c r="K46" s="8">
        <f>'[1]Tourism Demand &amp; Flows-vanya'!K89</f>
        <v>344.11245787213153</v>
      </c>
      <c r="L46" s="147">
        <f>L$45*Domestic!A103</f>
        <v>3825.3264925373137</v>
      </c>
      <c r="M46" s="147">
        <f>M$45*Domestic!B103</f>
        <v>4293.6153232242614</v>
      </c>
      <c r="N46" s="147">
        <f>N$45*Domestic!C103</f>
        <v>3694.1972076788829</v>
      </c>
      <c r="O46" s="147">
        <f>O$45*Domestic!D103</f>
        <v>3311.0467521721143</v>
      </c>
      <c r="P46" s="192">
        <f>$P$45*AE46</f>
        <v>3585.2140889905095</v>
      </c>
      <c r="Q46" s="123"/>
      <c r="R46" s="123"/>
      <c r="S46" s="123"/>
      <c r="T46" s="123"/>
      <c r="U46" s="123"/>
      <c r="V46" s="10">
        <f t="shared" si="9"/>
        <v>-1.6075790464511241E-2</v>
      </c>
      <c r="W46" s="10" t="e">
        <f t="shared" si="10"/>
        <v>#DIV/0!</v>
      </c>
      <c r="X46" s="122"/>
      <c r="AA46" s="191">
        <f>L46/L$45</f>
        <v>0.16277985074626866</v>
      </c>
      <c r="AB46" s="191">
        <f t="shared" ref="AB46:AD49" si="11">M46/M$45</f>
        <v>0.1811652035115722</v>
      </c>
      <c r="AC46" s="191">
        <f t="shared" si="11"/>
        <v>0.16273996509598604</v>
      </c>
      <c r="AD46" s="191">
        <f t="shared" si="11"/>
        <v>0.1452213487794787</v>
      </c>
      <c r="AE46" s="161">
        <f>1-SUM(AE47:AE49)</f>
        <v>0.14989919887072267</v>
      </c>
    </row>
    <row r="47" spans="1:31">
      <c r="A47" s="119" t="s">
        <v>979</v>
      </c>
      <c r="B47" s="119" t="s">
        <v>13</v>
      </c>
      <c r="C47" s="119" t="s">
        <v>45</v>
      </c>
      <c r="D47" s="6" t="s">
        <v>47</v>
      </c>
      <c r="F47" s="7" t="s">
        <v>889</v>
      </c>
      <c r="G47" s="7" t="s">
        <v>15</v>
      </c>
      <c r="H47" s="7" t="s">
        <v>16</v>
      </c>
      <c r="J47" s="7" t="s">
        <v>25</v>
      </c>
      <c r="K47" s="8">
        <f>'[1]Tourism Demand &amp; Flows-vanya'!K90</f>
        <v>431.14946599168542</v>
      </c>
      <c r="L47" s="147">
        <f>L$45*Domestic!A104</f>
        <v>4066.4645522388059</v>
      </c>
      <c r="M47" s="147">
        <f>M$45*Domestic!B104</f>
        <v>4870.5107741420588</v>
      </c>
      <c r="N47" s="147">
        <f>N$45*Domestic!C104</f>
        <v>5189.7033158813265</v>
      </c>
      <c r="O47" s="147">
        <f>O$45*Domestic!D104</f>
        <v>5027.8858088539509</v>
      </c>
      <c r="P47" s="192">
        <f t="shared" ref="P47:P49" si="12">$P$45*AE47</f>
        <v>5261.85</v>
      </c>
      <c r="Q47" s="123"/>
      <c r="R47" s="123"/>
      <c r="S47" s="123"/>
      <c r="T47" s="123"/>
      <c r="U47" s="123"/>
      <c r="V47" s="10">
        <f t="shared" si="9"/>
        <v>6.6547907897779535E-2</v>
      </c>
      <c r="W47" s="10" t="e">
        <f t="shared" si="10"/>
        <v>#DIV/0!</v>
      </c>
      <c r="AA47" s="191">
        <f t="shared" ref="AA47:AA49" si="13">L47/L$45</f>
        <v>0.1730410447761194</v>
      </c>
      <c r="AB47" s="191">
        <f t="shared" si="11"/>
        <v>0.20550678371907422</v>
      </c>
      <c r="AC47" s="191">
        <f t="shared" si="11"/>
        <v>0.22862129144851659</v>
      </c>
      <c r="AD47" s="191">
        <f t="shared" si="11"/>
        <v>0.22052130740587503</v>
      </c>
      <c r="AE47" s="161">
        <v>0.22</v>
      </c>
    </row>
    <row r="48" spans="1:31">
      <c r="A48" s="119" t="s">
        <v>979</v>
      </c>
      <c r="B48" s="119" t="s">
        <v>13</v>
      </c>
      <c r="C48" s="119" t="s">
        <v>45</v>
      </c>
      <c r="D48" s="6" t="s">
        <v>48</v>
      </c>
      <c r="F48" s="7" t="s">
        <v>890</v>
      </c>
      <c r="G48" s="7" t="s">
        <v>15</v>
      </c>
      <c r="H48" s="7" t="s">
        <v>16</v>
      </c>
      <c r="J48" s="7" t="s">
        <v>25</v>
      </c>
      <c r="K48" s="8">
        <f>'[1]Tourism Demand &amp; Flows-vanya'!K91</f>
        <v>420.50674294822005</v>
      </c>
      <c r="L48" s="147">
        <f>L$45*Domestic!A105</f>
        <v>10566.231343283582</v>
      </c>
      <c r="M48" s="147">
        <f>M$45*Domestic!B105</f>
        <v>10109.856344772546</v>
      </c>
      <c r="N48" s="147">
        <f>N$45*Domestic!C105</f>
        <v>9686.1256544502612</v>
      </c>
      <c r="O48" s="147">
        <f>O$45*Domestic!D105</f>
        <v>9980.306164666943</v>
      </c>
      <c r="P48" s="192">
        <f t="shared" si="12"/>
        <v>10407.923633749058</v>
      </c>
      <c r="Q48" s="123"/>
      <c r="R48" s="123"/>
      <c r="S48" s="123"/>
      <c r="T48" s="123"/>
      <c r="U48" s="123"/>
      <c r="V48" s="10">
        <f t="shared" si="9"/>
        <v>-3.7668350233805992E-3</v>
      </c>
      <c r="W48" s="10" t="e">
        <f t="shared" si="10"/>
        <v>#DIV/0!</v>
      </c>
      <c r="AA48" s="191">
        <f t="shared" si="13"/>
        <v>0.44962686567164178</v>
      </c>
      <c r="AB48" s="191">
        <f t="shared" si="11"/>
        <v>0.42657621707901039</v>
      </c>
      <c r="AC48" s="191">
        <f t="shared" si="11"/>
        <v>0.42670157068062825</v>
      </c>
      <c r="AD48" s="191">
        <f t="shared" si="11"/>
        <v>0.43773272652047995</v>
      </c>
      <c r="AE48" s="161">
        <f t="shared" ref="AE48:AE49" si="14">AVERAGE(AA48:AD48)</f>
        <v>0.43515934498794012</v>
      </c>
    </row>
    <row r="49" spans="1:31">
      <c r="A49" s="119" t="s">
        <v>979</v>
      </c>
      <c r="B49" s="119" t="s">
        <v>13</v>
      </c>
      <c r="C49" s="119" t="s">
        <v>45</v>
      </c>
      <c r="D49" s="6" t="s">
        <v>49</v>
      </c>
      <c r="F49" s="7" t="s">
        <v>891</v>
      </c>
      <c r="G49" s="7" t="s">
        <v>15</v>
      </c>
      <c r="H49" s="7" t="s">
        <v>16</v>
      </c>
      <c r="J49" s="7" t="s">
        <v>25</v>
      </c>
      <c r="K49" s="8">
        <f>'[1]Tourism Demand &amp; Flows-vanya'!K92</f>
        <v>361.5037531879629</v>
      </c>
      <c r="L49" s="147">
        <f>L$45*Domestic!A106</f>
        <v>5041.9776119402986</v>
      </c>
      <c r="M49" s="147">
        <f>M$45*Domestic!B106</f>
        <v>4426.0175578611334</v>
      </c>
      <c r="N49" s="147">
        <f>N$45*Domestic!C106</f>
        <v>4129.9738219895289</v>
      </c>
      <c r="O49" s="147">
        <f>O$45*Domestic!D106</f>
        <v>4480.7612743069922</v>
      </c>
      <c r="P49" s="192">
        <f t="shared" si="12"/>
        <v>4662.5122772604318</v>
      </c>
      <c r="Q49" s="123"/>
      <c r="R49" s="123"/>
      <c r="S49" s="123"/>
      <c r="T49" s="123"/>
      <c r="U49" s="123"/>
      <c r="V49" s="10">
        <f t="shared" si="9"/>
        <v>-1.937091772419175E-2</v>
      </c>
      <c r="W49" s="10" t="e">
        <f t="shared" si="10"/>
        <v>#DIV/0!</v>
      </c>
      <c r="Y49"/>
      <c r="Z49"/>
      <c r="AA49" s="191">
        <f t="shared" si="13"/>
        <v>0.21455223880597016</v>
      </c>
      <c r="AB49" s="191">
        <f t="shared" si="11"/>
        <v>0.18675179569034317</v>
      </c>
      <c r="AC49" s="191">
        <f t="shared" si="11"/>
        <v>0.18193717277486912</v>
      </c>
      <c r="AD49" s="191">
        <f t="shared" si="11"/>
        <v>0.19652461729416631</v>
      </c>
      <c r="AE49" s="161">
        <f t="shared" si="14"/>
        <v>0.19494145614133718</v>
      </c>
    </row>
    <row r="50" spans="1:31">
      <c r="A50" s="119" t="s">
        <v>979</v>
      </c>
      <c r="B50" s="119" t="s">
        <v>13</v>
      </c>
      <c r="C50" s="6" t="s">
        <v>871</v>
      </c>
      <c r="F50" s="7" t="s">
        <v>51</v>
      </c>
      <c r="G50" s="7" t="s">
        <v>15</v>
      </c>
      <c r="H50" s="7" t="s">
        <v>16</v>
      </c>
      <c r="J50" s="7" t="s">
        <v>25</v>
      </c>
      <c r="V50" s="10" t="e">
        <f t="shared" si="9"/>
        <v>#DIV/0!</v>
      </c>
      <c r="W50" s="10" t="e">
        <f t="shared" si="10"/>
        <v>#DIV/0!</v>
      </c>
      <c r="Y50"/>
      <c r="Z50"/>
      <c r="AA50"/>
    </row>
    <row r="51" spans="1:31">
      <c r="A51" s="119" t="s">
        <v>979</v>
      </c>
      <c r="B51" s="119" t="s">
        <v>13</v>
      </c>
      <c r="C51" s="119" t="s">
        <v>50</v>
      </c>
      <c r="D51" s="6" t="s">
        <v>23</v>
      </c>
      <c r="F51" s="7" t="s">
        <v>874</v>
      </c>
      <c r="G51" s="7" t="s">
        <v>15</v>
      </c>
      <c r="H51" s="7" t="s">
        <v>16</v>
      </c>
      <c r="J51" s="7" t="s">
        <v>25</v>
      </c>
      <c r="K51" s="8">
        <f>'[1]Tourism Demand &amp; Flows-vanya'!K94</f>
        <v>1967.64</v>
      </c>
      <c r="L51" s="9">
        <f>(L88)*1000</f>
        <v>16600</v>
      </c>
      <c r="M51" s="9">
        <f>(M88)*1000</f>
        <v>16100.000000000002</v>
      </c>
      <c r="N51" s="9">
        <f>(N88)*1000</f>
        <v>16400</v>
      </c>
      <c r="O51" s="9">
        <f>(O88)*1000</f>
        <v>15700</v>
      </c>
      <c r="P51" s="129">
        <f>AVERAGE(L51:O51)*1.02</f>
        <v>16524</v>
      </c>
      <c r="V51" s="10">
        <f t="shared" si="9"/>
        <v>-1.1465486672316283E-3</v>
      </c>
      <c r="W51" s="10" t="e">
        <f t="shared" si="10"/>
        <v>#DIV/0!</v>
      </c>
      <c r="Y51"/>
      <c r="Z51"/>
      <c r="AA51"/>
    </row>
    <row r="52" spans="1:31">
      <c r="A52" s="119" t="s">
        <v>979</v>
      </c>
      <c r="B52" s="119" t="s">
        <v>13</v>
      </c>
      <c r="C52" s="119" t="s">
        <v>50</v>
      </c>
      <c r="D52" s="6" t="s">
        <v>24</v>
      </c>
      <c r="F52" s="7" t="s">
        <v>873</v>
      </c>
      <c r="G52" s="7" t="s">
        <v>15</v>
      </c>
      <c r="H52" s="7" t="s">
        <v>16</v>
      </c>
      <c r="J52" s="7" t="s">
        <v>25</v>
      </c>
      <c r="K52" s="8">
        <f>'[1]Tourism Demand &amp; Flows-vanya'!K99</f>
        <v>65.676000000000002</v>
      </c>
      <c r="L52" s="9">
        <v>6900</v>
      </c>
      <c r="M52" s="9">
        <v>7600</v>
      </c>
      <c r="N52" s="9">
        <v>6300</v>
      </c>
      <c r="O52" s="9">
        <v>7100</v>
      </c>
      <c r="P52" s="129">
        <f>AVERAGE(L52:O52)*1.06</f>
        <v>7393.5</v>
      </c>
      <c r="V52" s="10">
        <f t="shared" si="9"/>
        <v>1.7419943932115656E-2</v>
      </c>
      <c r="W52" s="10" t="e">
        <f t="shared" si="10"/>
        <v>#DIV/0!</v>
      </c>
      <c r="Y52"/>
      <c r="Z52"/>
      <c r="AA52"/>
    </row>
    <row r="53" spans="1:31">
      <c r="A53" s="119" t="s">
        <v>979</v>
      </c>
      <c r="B53" s="119" t="s">
        <v>13</v>
      </c>
      <c r="C53" s="6" t="s">
        <v>872</v>
      </c>
      <c r="D53" s="6"/>
      <c r="F53" s="7" t="s">
        <v>96</v>
      </c>
      <c r="L53" s="40"/>
      <c r="M53" s="40"/>
      <c r="N53" s="40"/>
      <c r="O53" s="40"/>
      <c r="P53" s="40"/>
      <c r="Q53" s="40"/>
      <c r="R53" s="40"/>
      <c r="S53" s="40"/>
      <c r="T53" s="40"/>
      <c r="U53" s="40"/>
      <c r="V53" s="10"/>
      <c r="W53" s="10"/>
      <c r="Y53"/>
      <c r="Z53"/>
      <c r="AA53"/>
    </row>
    <row r="54" spans="1:31">
      <c r="A54" s="119" t="s">
        <v>979</v>
      </c>
      <c r="B54" s="119" t="s">
        <v>13</v>
      </c>
      <c r="C54" s="119" t="s">
        <v>872</v>
      </c>
      <c r="D54" s="6" t="s">
        <v>23</v>
      </c>
      <c r="F54" s="7" t="s">
        <v>875</v>
      </c>
      <c r="J54" s="7" t="s">
        <v>18</v>
      </c>
      <c r="L54" s="125">
        <v>5.0999999999999996</v>
      </c>
      <c r="M54" s="125">
        <v>5.2</v>
      </c>
      <c r="N54" s="9">
        <v>5.5</v>
      </c>
      <c r="O54" s="125">
        <v>5.6</v>
      </c>
      <c r="P54" s="125">
        <v>5.9</v>
      </c>
      <c r="V54" s="10"/>
      <c r="W54" s="10"/>
      <c r="X54" s="156"/>
      <c r="Y54"/>
      <c r="Z54"/>
      <c r="AA54"/>
    </row>
    <row r="55" spans="1:31">
      <c r="A55" s="119" t="s">
        <v>979</v>
      </c>
      <c r="B55" s="119" t="s">
        <v>13</v>
      </c>
      <c r="C55" s="119" t="s">
        <v>872</v>
      </c>
      <c r="D55" s="6" t="s">
        <v>24</v>
      </c>
      <c r="F55" s="7" t="s">
        <v>876</v>
      </c>
      <c r="J55" s="7" t="s">
        <v>18</v>
      </c>
      <c r="L55" s="129">
        <v>3.9</v>
      </c>
      <c r="M55" s="9">
        <v>4</v>
      </c>
      <c r="N55" s="9">
        <v>4.2</v>
      </c>
      <c r="O55" s="9">
        <v>3.9</v>
      </c>
      <c r="P55" s="129">
        <f>AVERAGE(L55:O55)*1.03</f>
        <v>4.12</v>
      </c>
      <c r="V55" s="10"/>
      <c r="W55" s="10"/>
      <c r="X55" s="156"/>
      <c r="Y55"/>
      <c r="Z55"/>
      <c r="AA55"/>
    </row>
    <row r="56" spans="1:31" hidden="1">
      <c r="A56" s="119" t="s">
        <v>979</v>
      </c>
      <c r="B56" s="119" t="s">
        <v>13</v>
      </c>
      <c r="C56" s="6" t="s">
        <v>52</v>
      </c>
      <c r="F56" s="7" t="s">
        <v>53</v>
      </c>
      <c r="G56" s="7" t="s">
        <v>15</v>
      </c>
      <c r="H56" s="7" t="s">
        <v>16</v>
      </c>
      <c r="J56" s="7" t="s">
        <v>1070</v>
      </c>
      <c r="V56" s="10" t="e">
        <f>+(P56/L56)^(1/4)-1</f>
        <v>#DIV/0!</v>
      </c>
      <c r="W56" s="10" t="e">
        <f t="shared" ref="W56:W72" si="15">+(U56/Q56)^(1/4)-1</f>
        <v>#DIV/0!</v>
      </c>
      <c r="Y56"/>
      <c r="Z56"/>
      <c r="AA56"/>
    </row>
    <row r="57" spans="1:31" hidden="1">
      <c r="A57" s="119" t="s">
        <v>979</v>
      </c>
      <c r="B57" s="119" t="s">
        <v>13</v>
      </c>
      <c r="C57" s="119" t="s">
        <v>52</v>
      </c>
      <c r="D57" s="6" t="s">
        <v>23</v>
      </c>
      <c r="F57" s="7" t="s">
        <v>54</v>
      </c>
      <c r="G57" s="7" t="s">
        <v>15</v>
      </c>
      <c r="H57" s="7" t="s">
        <v>16</v>
      </c>
      <c r="J57" s="7" t="s">
        <v>1070</v>
      </c>
      <c r="P57" s="126"/>
      <c r="V57" s="10">
        <f>+(P57/L63)^(1/4)-1</f>
        <v>-1</v>
      </c>
      <c r="W57" s="10" t="e">
        <f t="shared" si="15"/>
        <v>#DIV/0!</v>
      </c>
      <c r="Y57"/>
      <c r="Z57"/>
      <c r="AA57"/>
    </row>
    <row r="58" spans="1:31" hidden="1">
      <c r="A58" s="119" t="s">
        <v>979</v>
      </c>
      <c r="B58" s="119" t="s">
        <v>13</v>
      </c>
      <c r="C58" s="119" t="s">
        <v>52</v>
      </c>
      <c r="D58" s="6" t="s">
        <v>24</v>
      </c>
      <c r="F58" s="7" t="s">
        <v>55</v>
      </c>
      <c r="G58" s="7" t="s">
        <v>15</v>
      </c>
      <c r="H58" s="7" t="s">
        <v>16</v>
      </c>
      <c r="J58" s="7" t="s">
        <v>1070</v>
      </c>
      <c r="K58" s="8">
        <f>'[1]Tourism Demand &amp; Flows-vanya'!K106</f>
        <v>91</v>
      </c>
      <c r="P58" s="126"/>
      <c r="V58" s="10">
        <f>+(P58/L64)^(1/4)-1</f>
        <v>-1</v>
      </c>
      <c r="W58" s="10" t="e">
        <f t="shared" si="15"/>
        <v>#DIV/0!</v>
      </c>
      <c r="Y58"/>
      <c r="Z58"/>
      <c r="AA58"/>
    </row>
    <row r="59" spans="1:31" hidden="1">
      <c r="A59" s="119" t="s">
        <v>979</v>
      </c>
      <c r="B59" s="119" t="s">
        <v>13</v>
      </c>
      <c r="C59" s="6" t="s">
        <v>56</v>
      </c>
      <c r="F59" s="7" t="s">
        <v>57</v>
      </c>
      <c r="G59" s="7" t="s">
        <v>15</v>
      </c>
      <c r="H59" s="7" t="s">
        <v>16</v>
      </c>
      <c r="J59" s="7" t="s">
        <v>58</v>
      </c>
      <c r="V59" s="10" t="e">
        <f>+(P59/L59)^(1/4)-1</f>
        <v>#DIV/0!</v>
      </c>
      <c r="W59" s="10" t="e">
        <f t="shared" si="15"/>
        <v>#DIV/0!</v>
      </c>
      <c r="Y59"/>
      <c r="Z59"/>
      <c r="AA59"/>
    </row>
    <row r="60" spans="1:31" hidden="1">
      <c r="A60" s="119" t="s">
        <v>979</v>
      </c>
      <c r="B60" s="119" t="s">
        <v>13</v>
      </c>
      <c r="C60" s="119" t="s">
        <v>56</v>
      </c>
      <c r="D60" s="6" t="s">
        <v>23</v>
      </c>
      <c r="F60" s="7" t="s">
        <v>59</v>
      </c>
      <c r="G60" s="7" t="s">
        <v>15</v>
      </c>
      <c r="H60" s="7" t="s">
        <v>16</v>
      </c>
      <c r="J60" s="7" t="s">
        <v>58</v>
      </c>
      <c r="K60" s="127">
        <f>'[1]Tourism Demand &amp; Flows-vanya'!K108</f>
        <v>5.6220835810828797E-2</v>
      </c>
      <c r="V60" s="10" t="e">
        <f>+(P60/#REF!)^(1/4)-1</f>
        <v>#REF!</v>
      </c>
      <c r="W60" s="10" t="e">
        <f t="shared" si="15"/>
        <v>#DIV/0!</v>
      </c>
      <c r="Y60"/>
      <c r="Z60"/>
      <c r="AA60"/>
    </row>
    <row r="61" spans="1:31" hidden="1">
      <c r="A61" s="119" t="s">
        <v>979</v>
      </c>
      <c r="B61" s="119" t="s">
        <v>13</v>
      </c>
      <c r="C61" s="119" t="s">
        <v>56</v>
      </c>
      <c r="D61" s="6" t="s">
        <v>24</v>
      </c>
      <c r="F61" s="7" t="s">
        <v>60</v>
      </c>
      <c r="G61" s="7" t="s">
        <v>15</v>
      </c>
      <c r="H61" s="7" t="s">
        <v>16</v>
      </c>
      <c r="J61" s="7" t="s">
        <v>58</v>
      </c>
      <c r="K61" s="127">
        <f>'[1]Tourism Demand &amp; Flows-vanya'!K109</f>
        <v>8.8746106264587631E-3</v>
      </c>
      <c r="L61" s="10"/>
      <c r="M61" s="10"/>
      <c r="N61" s="10"/>
      <c r="O61" s="10"/>
      <c r="V61" s="10" t="e">
        <f>+(P61/L61)^(1/4)-1</f>
        <v>#DIV/0!</v>
      </c>
      <c r="W61" s="10" t="e">
        <f t="shared" si="15"/>
        <v>#DIV/0!</v>
      </c>
      <c r="Y61"/>
      <c r="Z61"/>
      <c r="AA61"/>
    </row>
    <row r="62" spans="1:31">
      <c r="A62" s="119" t="s">
        <v>979</v>
      </c>
      <c r="B62" s="119" t="s">
        <v>13</v>
      </c>
      <c r="C62" s="6" t="s">
        <v>61</v>
      </c>
      <c r="F62" s="7" t="s">
        <v>62</v>
      </c>
      <c r="G62" s="7" t="s">
        <v>15</v>
      </c>
      <c r="H62" s="7" t="s">
        <v>16</v>
      </c>
      <c r="J62" s="7" t="s">
        <v>1068</v>
      </c>
      <c r="K62" s="111">
        <f>'[1]Tourism Demand &amp; Flows-vanya'!K110</f>
        <v>733.50199999999995</v>
      </c>
      <c r="L62" s="128">
        <f>SUM(L63:L64)</f>
        <v>2806.9300000000003</v>
      </c>
      <c r="M62" s="128">
        <f>SUM(M63:M64)</f>
        <v>3868.39</v>
      </c>
      <c r="N62" s="128">
        <f>SUM(N63:N64)</f>
        <v>3104.3599999999997</v>
      </c>
      <c r="O62" s="128">
        <f>SUM(O63:O64)</f>
        <v>3720.13</v>
      </c>
      <c r="P62" s="128">
        <f>SUM(P63:P64)</f>
        <v>4095.0005020807594</v>
      </c>
      <c r="Q62" s="128"/>
      <c r="R62" s="128"/>
      <c r="S62" s="128"/>
      <c r="T62" s="128"/>
      <c r="U62" s="128"/>
      <c r="V62" s="10">
        <f>+(P62/L62)^(1/4)-1</f>
        <v>9.9019996161166635E-2</v>
      </c>
      <c r="W62" s="10" t="e">
        <f t="shared" si="15"/>
        <v>#DIV/0!</v>
      </c>
      <c r="Y62"/>
      <c r="Z62"/>
      <c r="AA62"/>
    </row>
    <row r="63" spans="1:31">
      <c r="A63" s="119" t="s">
        <v>979</v>
      </c>
      <c r="B63" s="119" t="s">
        <v>13</v>
      </c>
      <c r="C63" s="119" t="s">
        <v>61</v>
      </c>
      <c r="D63" s="6" t="s">
        <v>23</v>
      </c>
      <c r="F63" s="7" t="s">
        <v>63</v>
      </c>
      <c r="G63" s="7" t="s">
        <v>15</v>
      </c>
      <c r="H63" s="7" t="s">
        <v>16</v>
      </c>
      <c r="J63" s="7" t="s">
        <v>1068</v>
      </c>
      <c r="K63" s="8">
        <f>'[1]Tourism Demand &amp; Flows-vanya'!K111</f>
        <v>633.50199999999995</v>
      </c>
      <c r="L63" s="9">
        <f>Domestic!B85</f>
        <v>1560.79</v>
      </c>
      <c r="M63" s="9">
        <f>Domestic!C85</f>
        <v>2054.27</v>
      </c>
      <c r="N63" s="9">
        <f>Domestic!D85</f>
        <v>1777.58</v>
      </c>
      <c r="O63" s="9">
        <f>Domestic!E85</f>
        <v>1887.62</v>
      </c>
      <c r="P63" s="125">
        <f>O63*(1+(((O63/L63)^(1/3))-1))</f>
        <v>2011.1197716273325</v>
      </c>
      <c r="V63" s="10">
        <f>+(P63/K63)^(1/4)-1</f>
        <v>0.33481932732379627</v>
      </c>
      <c r="W63" s="10" t="e">
        <f t="shared" si="15"/>
        <v>#DIV/0!</v>
      </c>
      <c r="X63" s="122" t="s">
        <v>26</v>
      </c>
      <c r="Y63"/>
      <c r="Z63"/>
      <c r="AA63"/>
    </row>
    <row r="64" spans="1:31">
      <c r="A64" s="119" t="s">
        <v>979</v>
      </c>
      <c r="B64" s="119" t="s">
        <v>13</v>
      </c>
      <c r="C64" s="119" t="s">
        <v>61</v>
      </c>
      <c r="D64" s="6" t="s">
        <v>24</v>
      </c>
      <c r="F64" s="7" t="s">
        <v>64</v>
      </c>
      <c r="G64" s="7" t="s">
        <v>15</v>
      </c>
      <c r="H64" s="7" t="s">
        <v>16</v>
      </c>
      <c r="J64" s="7" t="s">
        <v>1068</v>
      </c>
      <c r="K64" s="8">
        <f>'[1]Tourism Demand &amp; Flows-vanya'!K112</f>
        <v>100</v>
      </c>
      <c r="L64" s="9">
        <v>1246.1400000000001</v>
      </c>
      <c r="M64" s="9">
        <v>1814.12</v>
      </c>
      <c r="N64" s="9">
        <v>1326.78</v>
      </c>
      <c r="O64" s="9">
        <v>1832.51</v>
      </c>
      <c r="P64" s="125">
        <f>O64*(1+(((O64/L64)^(1/3))-1))</f>
        <v>2083.8807304534271</v>
      </c>
      <c r="V64" s="10" t="e">
        <f>+(P64/#REF!)^(1/4)-1</f>
        <v>#REF!</v>
      </c>
      <c r="W64" s="10" t="e">
        <f t="shared" si="15"/>
        <v>#DIV/0!</v>
      </c>
      <c r="Y64"/>
      <c r="Z64"/>
      <c r="AA64"/>
    </row>
    <row r="65" spans="1:28" hidden="1">
      <c r="A65" s="119" t="s">
        <v>979</v>
      </c>
      <c r="B65" s="119" t="s">
        <v>13</v>
      </c>
      <c r="C65" s="119" t="s">
        <v>61</v>
      </c>
      <c r="D65" s="119" t="s">
        <v>24</v>
      </c>
      <c r="E65" s="6" t="s">
        <v>65</v>
      </c>
      <c r="F65" s="7" t="s">
        <v>66</v>
      </c>
      <c r="G65" s="7" t="s">
        <v>15</v>
      </c>
      <c r="H65" s="7" t="s">
        <v>16</v>
      </c>
      <c r="J65" s="7" t="s">
        <v>1068</v>
      </c>
      <c r="V65" s="10" t="e">
        <f>+(P65/L65)^(1/4)-1</f>
        <v>#DIV/0!</v>
      </c>
      <c r="W65" s="10" t="e">
        <f t="shared" si="15"/>
        <v>#DIV/0!</v>
      </c>
    </row>
    <row r="66" spans="1:28" hidden="1">
      <c r="A66" s="119" t="s">
        <v>979</v>
      </c>
      <c r="B66" s="119" t="s">
        <v>13</v>
      </c>
      <c r="C66" s="119" t="s">
        <v>61</v>
      </c>
      <c r="D66" s="119" t="s">
        <v>24</v>
      </c>
      <c r="E66" s="6" t="s">
        <v>67</v>
      </c>
      <c r="F66" s="7" t="s">
        <v>68</v>
      </c>
      <c r="G66" s="7" t="s">
        <v>15</v>
      </c>
      <c r="H66" s="7" t="s">
        <v>16</v>
      </c>
      <c r="J66" s="7" t="s">
        <v>1068</v>
      </c>
      <c r="V66" s="10" t="e">
        <f>+(P66/L66)^(1/4)-1</f>
        <v>#DIV/0!</v>
      </c>
      <c r="W66" s="10" t="e">
        <f t="shared" si="15"/>
        <v>#DIV/0!</v>
      </c>
    </row>
    <row r="67" spans="1:28" hidden="1">
      <c r="A67" s="119" t="s">
        <v>979</v>
      </c>
      <c r="B67" s="119" t="s">
        <v>13</v>
      </c>
      <c r="C67" s="119" t="s">
        <v>61</v>
      </c>
      <c r="D67" s="119" t="s">
        <v>24</v>
      </c>
      <c r="E67" s="6" t="s">
        <v>1060</v>
      </c>
      <c r="F67" s="7" t="s">
        <v>1069</v>
      </c>
      <c r="G67" s="7" t="s">
        <v>15</v>
      </c>
      <c r="H67" s="7" t="s">
        <v>16</v>
      </c>
      <c r="J67" s="7" t="s">
        <v>1068</v>
      </c>
      <c r="P67" s="125"/>
      <c r="V67" s="10" t="e">
        <f>+(P67/L67)^(1/4)-1</f>
        <v>#DIV/0!</v>
      </c>
      <c r="W67" s="10" t="e">
        <f t="shared" si="15"/>
        <v>#DIV/0!</v>
      </c>
    </row>
    <row r="68" spans="1:28" hidden="1">
      <c r="A68" s="119" t="s">
        <v>979</v>
      </c>
      <c r="B68" s="119" t="s">
        <v>13</v>
      </c>
      <c r="C68" s="119" t="s">
        <v>61</v>
      </c>
      <c r="D68" s="119" t="s">
        <v>24</v>
      </c>
      <c r="E68" s="6" t="s">
        <v>70</v>
      </c>
      <c r="F68" s="7" t="s">
        <v>71</v>
      </c>
      <c r="G68" s="7" t="s">
        <v>15</v>
      </c>
      <c r="H68" s="7" t="s">
        <v>16</v>
      </c>
      <c r="J68" s="7" t="s">
        <v>1068</v>
      </c>
      <c r="V68" s="10" t="e">
        <f>+(P68/L68)^(1/4)-1</f>
        <v>#DIV/0!</v>
      </c>
      <c r="W68" s="10" t="e">
        <f t="shared" si="15"/>
        <v>#DIV/0!</v>
      </c>
    </row>
    <row r="69" spans="1:28" hidden="1">
      <c r="A69" s="119" t="s">
        <v>979</v>
      </c>
      <c r="B69" s="119" t="s">
        <v>13</v>
      </c>
      <c r="C69" s="119" t="s">
        <v>61</v>
      </c>
      <c r="D69" s="119" t="s">
        <v>24</v>
      </c>
      <c r="E69" s="6" t="s">
        <v>72</v>
      </c>
      <c r="F69" s="7" t="s">
        <v>73</v>
      </c>
      <c r="G69" s="7" t="s">
        <v>15</v>
      </c>
      <c r="H69" s="7" t="s">
        <v>16</v>
      </c>
      <c r="J69" s="7" t="s">
        <v>1068</v>
      </c>
      <c r="P69" s="125"/>
      <c r="V69" s="10" t="e">
        <f>+(P69/L73)^(1/4)-1</f>
        <v>#DIV/0!</v>
      </c>
      <c r="W69" s="10" t="e">
        <f t="shared" si="15"/>
        <v>#DIV/0!</v>
      </c>
    </row>
    <row r="70" spans="1:28" hidden="1">
      <c r="A70" s="119" t="s">
        <v>979</v>
      </c>
      <c r="B70" s="119" t="s">
        <v>13</v>
      </c>
      <c r="C70" s="119" t="s">
        <v>61</v>
      </c>
      <c r="D70" s="119" t="s">
        <v>24</v>
      </c>
      <c r="E70" s="6" t="s">
        <v>74</v>
      </c>
      <c r="F70" s="7" t="s">
        <v>75</v>
      </c>
      <c r="G70" s="7" t="s">
        <v>15</v>
      </c>
      <c r="H70" s="7" t="s">
        <v>16</v>
      </c>
      <c r="J70" s="7" t="s">
        <v>1068</v>
      </c>
      <c r="V70" s="10" t="e">
        <f>+(P70/L70)^(1/4)-1</f>
        <v>#DIV/0!</v>
      </c>
      <c r="W70" s="10" t="e">
        <f t="shared" si="15"/>
        <v>#DIV/0!</v>
      </c>
    </row>
    <row r="71" spans="1:28" hidden="1">
      <c r="A71" s="119" t="s">
        <v>979</v>
      </c>
      <c r="B71" s="119" t="s">
        <v>13</v>
      </c>
      <c r="C71" s="119" t="s">
        <v>61</v>
      </c>
      <c r="D71" s="119" t="s">
        <v>24</v>
      </c>
      <c r="E71" s="6" t="s">
        <v>981</v>
      </c>
      <c r="F71" s="7" t="s">
        <v>75</v>
      </c>
      <c r="G71" s="7" t="s">
        <v>15</v>
      </c>
      <c r="H71" s="7" t="s">
        <v>16</v>
      </c>
      <c r="J71" s="7" t="s">
        <v>1068</v>
      </c>
      <c r="P71" s="129"/>
      <c r="V71" s="10" t="e">
        <f>+(P71/L71)^(1/4)-1</f>
        <v>#DIV/0!</v>
      </c>
      <c r="W71" s="10" t="e">
        <f t="shared" si="15"/>
        <v>#DIV/0!</v>
      </c>
    </row>
    <row r="72" spans="1:28" hidden="1">
      <c r="A72" s="119" t="s">
        <v>979</v>
      </c>
      <c r="B72" s="119" t="s">
        <v>13</v>
      </c>
      <c r="C72" s="6" t="s">
        <v>76</v>
      </c>
      <c r="F72" s="7" t="s">
        <v>77</v>
      </c>
      <c r="G72" s="7" t="s">
        <v>15</v>
      </c>
      <c r="H72" s="7" t="s">
        <v>16</v>
      </c>
      <c r="J72" s="7" t="s">
        <v>1068</v>
      </c>
      <c r="L72" s="128"/>
      <c r="M72" s="128"/>
      <c r="N72" s="128"/>
      <c r="O72" s="128"/>
      <c r="P72" s="167"/>
      <c r="V72" s="10" t="e">
        <f>+(P72/L72)^(1/4)-1</f>
        <v>#DIV/0!</v>
      </c>
      <c r="W72" s="10" t="e">
        <f t="shared" si="15"/>
        <v>#DIV/0!</v>
      </c>
      <c r="Z72" s="122"/>
    </row>
    <row r="73" spans="1:28" hidden="1">
      <c r="A73" s="119" t="s">
        <v>979</v>
      </c>
      <c r="B73" s="119" t="s">
        <v>13</v>
      </c>
      <c r="C73" s="119" t="s">
        <v>76</v>
      </c>
      <c r="D73" s="6" t="s">
        <v>78</v>
      </c>
      <c r="F73" s="7" t="s">
        <v>79</v>
      </c>
      <c r="G73" s="7" t="s">
        <v>15</v>
      </c>
      <c r="H73" s="7" t="s">
        <v>16</v>
      </c>
      <c r="I73" s="7" t="s">
        <v>1058</v>
      </c>
      <c r="J73" s="7" t="s">
        <v>1068</v>
      </c>
      <c r="V73" s="10"/>
      <c r="W73" s="10"/>
      <c r="AB73" s="130"/>
    </row>
    <row r="74" spans="1:28" hidden="1">
      <c r="A74" s="119" t="s">
        <v>979</v>
      </c>
      <c r="B74" s="119" t="s">
        <v>13</v>
      </c>
      <c r="C74" s="119" t="s">
        <v>76</v>
      </c>
      <c r="D74" s="6" t="s">
        <v>80</v>
      </c>
      <c r="F74" s="7" t="s">
        <v>81</v>
      </c>
      <c r="G74" s="7" t="s">
        <v>15</v>
      </c>
      <c r="H74" s="7" t="s">
        <v>16</v>
      </c>
      <c r="J74" s="7" t="s">
        <v>1068</v>
      </c>
      <c r="V74" s="10" t="e">
        <f t="shared" ref="V74:V87" si="16">+(P74/L74)^(1/4)-1</f>
        <v>#DIV/0!</v>
      </c>
      <c r="W74" s="10" t="e">
        <f t="shared" ref="W74:W105" si="17">+(U74/Q74)^(1/4)-1</f>
        <v>#DIV/0!</v>
      </c>
      <c r="AB74" s="130"/>
    </row>
    <row r="75" spans="1:28" hidden="1">
      <c r="A75" s="119" t="s">
        <v>979</v>
      </c>
      <c r="B75" s="119" t="s">
        <v>13</v>
      </c>
      <c r="C75" s="119" t="s">
        <v>76</v>
      </c>
      <c r="D75" s="6" t="s">
        <v>82</v>
      </c>
      <c r="F75" s="7" t="s">
        <v>83</v>
      </c>
      <c r="G75" s="7" t="s">
        <v>15</v>
      </c>
      <c r="H75" s="7" t="s">
        <v>16</v>
      </c>
      <c r="J75" s="7" t="s">
        <v>1068</v>
      </c>
      <c r="V75" s="10" t="e">
        <f t="shared" si="16"/>
        <v>#DIV/0!</v>
      </c>
      <c r="W75" s="10" t="e">
        <f t="shared" si="17"/>
        <v>#DIV/0!</v>
      </c>
      <c r="AB75" s="130"/>
    </row>
    <row r="76" spans="1:28" hidden="1">
      <c r="A76" s="119" t="s">
        <v>979</v>
      </c>
      <c r="B76" s="119" t="s">
        <v>13</v>
      </c>
      <c r="C76" s="119" t="s">
        <v>76</v>
      </c>
      <c r="D76" s="6" t="s">
        <v>84</v>
      </c>
      <c r="F76" s="7" t="s">
        <v>85</v>
      </c>
      <c r="G76" s="7" t="s">
        <v>15</v>
      </c>
      <c r="H76" s="7" t="s">
        <v>16</v>
      </c>
      <c r="I76" s="7" t="s">
        <v>1058</v>
      </c>
      <c r="J76" s="7" t="s">
        <v>1068</v>
      </c>
      <c r="V76" s="10" t="e">
        <f t="shared" si="16"/>
        <v>#DIV/0!</v>
      </c>
      <c r="W76" s="10" t="e">
        <f t="shared" si="17"/>
        <v>#DIV/0!</v>
      </c>
      <c r="AB76" s="130"/>
    </row>
    <row r="77" spans="1:28" hidden="1">
      <c r="A77" s="119" t="s">
        <v>979</v>
      </c>
      <c r="B77" s="119" t="s">
        <v>13</v>
      </c>
      <c r="C77" s="119" t="s">
        <v>76</v>
      </c>
      <c r="D77" s="6" t="s">
        <v>86</v>
      </c>
      <c r="F77" s="7" t="s">
        <v>87</v>
      </c>
      <c r="G77" s="7" t="s">
        <v>15</v>
      </c>
      <c r="H77" s="7" t="s">
        <v>16</v>
      </c>
      <c r="J77" s="7" t="s">
        <v>1068</v>
      </c>
      <c r="V77" s="10" t="e">
        <f t="shared" si="16"/>
        <v>#DIV/0!</v>
      </c>
      <c r="W77" s="10" t="e">
        <f t="shared" si="17"/>
        <v>#DIV/0!</v>
      </c>
      <c r="AB77" s="130"/>
    </row>
    <row r="78" spans="1:28" hidden="1">
      <c r="A78" s="119" t="s">
        <v>979</v>
      </c>
      <c r="B78" s="119" t="s">
        <v>13</v>
      </c>
      <c r="C78" s="119" t="s">
        <v>76</v>
      </c>
      <c r="D78" s="6" t="s">
        <v>88</v>
      </c>
      <c r="F78" s="7" t="s">
        <v>89</v>
      </c>
      <c r="G78" s="7" t="s">
        <v>15</v>
      </c>
      <c r="H78" s="7" t="s">
        <v>16</v>
      </c>
      <c r="I78" s="7" t="s">
        <v>1058</v>
      </c>
      <c r="J78" s="7" t="s">
        <v>1068</v>
      </c>
      <c r="V78" s="10" t="e">
        <f t="shared" si="16"/>
        <v>#DIV/0!</v>
      </c>
      <c r="W78" s="10" t="e">
        <f t="shared" si="17"/>
        <v>#DIV/0!</v>
      </c>
      <c r="AB78" s="130"/>
    </row>
    <row r="79" spans="1:28" hidden="1">
      <c r="A79" s="119" t="s">
        <v>979</v>
      </c>
      <c r="B79" s="119" t="s">
        <v>13</v>
      </c>
      <c r="C79" s="119" t="s">
        <v>76</v>
      </c>
      <c r="D79" s="6" t="s">
        <v>90</v>
      </c>
      <c r="F79" s="7" t="s">
        <v>91</v>
      </c>
      <c r="G79" s="7" t="s">
        <v>15</v>
      </c>
      <c r="H79" s="7" t="s">
        <v>16</v>
      </c>
      <c r="I79" s="7" t="s">
        <v>1058</v>
      </c>
      <c r="J79" s="7" t="s">
        <v>1068</v>
      </c>
      <c r="V79" s="10" t="e">
        <f t="shared" si="16"/>
        <v>#DIV/0!</v>
      </c>
      <c r="W79" s="10" t="e">
        <f t="shared" si="17"/>
        <v>#DIV/0!</v>
      </c>
      <c r="AB79" s="130"/>
    </row>
    <row r="80" spans="1:28" hidden="1">
      <c r="A80" s="119" t="s">
        <v>979</v>
      </c>
      <c r="B80" s="119" t="s">
        <v>13</v>
      </c>
      <c r="C80" s="119" t="s">
        <v>76</v>
      </c>
      <c r="D80" s="6" t="s">
        <v>92</v>
      </c>
      <c r="F80" s="7" t="s">
        <v>93</v>
      </c>
      <c r="G80" s="7" t="s">
        <v>15</v>
      </c>
      <c r="H80" s="7" t="s">
        <v>16</v>
      </c>
      <c r="I80" s="7" t="s">
        <v>1058</v>
      </c>
      <c r="J80" s="7" t="s">
        <v>1068</v>
      </c>
      <c r="V80" s="10" t="e">
        <f t="shared" si="16"/>
        <v>#DIV/0!</v>
      </c>
      <c r="W80" s="10" t="e">
        <f t="shared" si="17"/>
        <v>#DIV/0!</v>
      </c>
      <c r="AB80" s="130"/>
    </row>
    <row r="81" spans="1:25" customFormat="1">
      <c r="A81" s="119" t="s">
        <v>979</v>
      </c>
      <c r="B81" s="6" t="s">
        <v>94</v>
      </c>
      <c r="C81" s="7"/>
      <c r="D81" s="7"/>
      <c r="E81" s="7"/>
      <c r="F81" s="7" t="s">
        <v>95</v>
      </c>
      <c r="G81" s="7" t="s">
        <v>15</v>
      </c>
      <c r="H81" s="7" t="s">
        <v>96</v>
      </c>
      <c r="I81" s="7"/>
      <c r="J81" s="7"/>
      <c r="K81" s="8"/>
      <c r="L81" s="9"/>
      <c r="M81" s="9"/>
      <c r="N81" s="9"/>
      <c r="O81" s="9"/>
      <c r="P81" s="9"/>
      <c r="Q81" s="9"/>
      <c r="R81" s="9"/>
      <c r="S81" s="9"/>
      <c r="T81" s="9"/>
      <c r="U81" s="9"/>
      <c r="V81" s="10" t="e">
        <f t="shared" si="16"/>
        <v>#DIV/0!</v>
      </c>
      <c r="W81" s="10" t="e">
        <f t="shared" si="17"/>
        <v>#DIV/0!</v>
      </c>
      <c r="X81" s="7"/>
      <c r="Y81" s="7"/>
    </row>
    <row r="82" spans="1:25" customFormat="1">
      <c r="A82" s="119" t="s">
        <v>979</v>
      </c>
      <c r="B82" s="119" t="s">
        <v>94</v>
      </c>
      <c r="C82" s="6" t="s">
        <v>97</v>
      </c>
      <c r="D82" s="7"/>
      <c r="E82" s="7"/>
      <c r="F82" s="7" t="s">
        <v>98</v>
      </c>
      <c r="G82" s="7" t="s">
        <v>15</v>
      </c>
      <c r="H82" s="7" t="s">
        <v>16</v>
      </c>
      <c r="I82" s="7"/>
      <c r="J82" s="7" t="s">
        <v>25</v>
      </c>
      <c r="K82" s="8">
        <v>2004500</v>
      </c>
      <c r="L82" s="128"/>
      <c r="M82" s="128"/>
      <c r="N82" s="128"/>
      <c r="O82" s="128"/>
      <c r="P82" s="129"/>
      <c r="Q82" s="9"/>
      <c r="R82" s="9"/>
      <c r="S82" s="9"/>
      <c r="T82" s="9"/>
      <c r="U82" s="9"/>
      <c r="V82" s="10" t="e">
        <f t="shared" si="16"/>
        <v>#DIV/0!</v>
      </c>
      <c r="W82" s="10" t="e">
        <f t="shared" si="17"/>
        <v>#DIV/0!</v>
      </c>
      <c r="X82" s="7" t="s">
        <v>1075</v>
      </c>
      <c r="Y82" s="7"/>
    </row>
    <row r="83" spans="1:25" customFormat="1">
      <c r="A83" s="119" t="s">
        <v>979</v>
      </c>
      <c r="B83" s="119" t="s">
        <v>94</v>
      </c>
      <c r="C83" s="119" t="s">
        <v>97</v>
      </c>
      <c r="D83" s="6" t="s">
        <v>1067</v>
      </c>
      <c r="E83" s="7"/>
      <c r="F83" s="7"/>
      <c r="G83" s="7" t="s">
        <v>15</v>
      </c>
      <c r="H83" s="7" t="s">
        <v>16</v>
      </c>
      <c r="I83" s="7"/>
      <c r="J83" s="7" t="s">
        <v>25</v>
      </c>
      <c r="K83" s="131"/>
      <c r="L83" s="9">
        <v>7.3879999999999999</v>
      </c>
      <c r="M83" s="9">
        <v>7.4890000000000008</v>
      </c>
      <c r="N83" s="9">
        <v>7.4830000000000005</v>
      </c>
      <c r="O83" s="9">
        <v>7.7389999999999999</v>
      </c>
      <c r="P83" s="132"/>
      <c r="Q83" s="132"/>
      <c r="R83" s="132"/>
      <c r="S83" s="132"/>
      <c r="T83" s="132"/>
      <c r="U83" s="132"/>
      <c r="V83" s="10">
        <f t="shared" si="16"/>
        <v>-1</v>
      </c>
      <c r="W83" s="10" t="e">
        <f t="shared" si="17"/>
        <v>#DIV/0!</v>
      </c>
      <c r="X83" s="122" t="s">
        <v>26</v>
      </c>
      <c r="Y83" s="7"/>
    </row>
    <row r="84" spans="1:25" customFormat="1">
      <c r="A84" s="119" t="s">
        <v>979</v>
      </c>
      <c r="B84" s="119" t="s">
        <v>94</v>
      </c>
      <c r="C84" s="119" t="s">
        <v>97</v>
      </c>
      <c r="D84" s="6" t="s">
        <v>1066</v>
      </c>
      <c r="E84" s="7"/>
      <c r="F84" s="7"/>
      <c r="G84" s="7" t="s">
        <v>15</v>
      </c>
      <c r="H84" s="7" t="s">
        <v>16</v>
      </c>
      <c r="I84" s="7"/>
      <c r="J84" s="7" t="s">
        <v>25</v>
      </c>
      <c r="K84" s="8"/>
      <c r="L84" s="9">
        <v>5.9</v>
      </c>
      <c r="M84" s="9">
        <v>5.6639999999999997</v>
      </c>
      <c r="N84" s="9">
        <v>4.2699999999999996</v>
      </c>
      <c r="O84" s="9">
        <v>4.8179999999999996</v>
      </c>
      <c r="P84" s="9"/>
      <c r="Q84" s="9"/>
      <c r="R84" s="9"/>
      <c r="S84" s="9"/>
      <c r="T84" s="9"/>
      <c r="U84" s="9"/>
      <c r="V84" s="10">
        <f t="shared" si="16"/>
        <v>-1</v>
      </c>
      <c r="W84" s="10" t="e">
        <f t="shared" si="17"/>
        <v>#DIV/0!</v>
      </c>
      <c r="X84" s="7"/>
      <c r="Y84" s="7"/>
    </row>
    <row r="85" spans="1:25" customFormat="1">
      <c r="A85" s="119" t="s">
        <v>979</v>
      </c>
      <c r="B85" s="119" t="s">
        <v>94</v>
      </c>
      <c r="C85" s="119" t="s">
        <v>97</v>
      </c>
      <c r="D85" s="6" t="s">
        <v>1065</v>
      </c>
      <c r="E85" s="7"/>
      <c r="F85" s="7"/>
      <c r="G85" s="7" t="s">
        <v>15</v>
      </c>
      <c r="H85" s="7" t="s">
        <v>16</v>
      </c>
      <c r="I85" s="7"/>
      <c r="J85" s="7" t="s">
        <v>25</v>
      </c>
      <c r="K85" s="8"/>
      <c r="L85" s="9">
        <v>8.072000000000001</v>
      </c>
      <c r="M85" s="9">
        <v>7.2080000000000002</v>
      </c>
      <c r="N85" s="9">
        <v>6.6710000000000003</v>
      </c>
      <c r="O85" s="9">
        <v>6.8869999999999996</v>
      </c>
      <c r="P85" s="9"/>
      <c r="Q85" s="9"/>
      <c r="R85" s="9"/>
      <c r="S85" s="9"/>
      <c r="T85" s="9"/>
      <c r="U85" s="9"/>
      <c r="V85" s="10">
        <f t="shared" si="16"/>
        <v>-1</v>
      </c>
      <c r="W85" s="10" t="e">
        <f t="shared" si="17"/>
        <v>#DIV/0!</v>
      </c>
      <c r="X85" s="7"/>
      <c r="Y85" s="7"/>
    </row>
    <row r="86" spans="1:25" customFormat="1">
      <c r="A86" s="119" t="s">
        <v>979</v>
      </c>
      <c r="B86" s="119" t="s">
        <v>94</v>
      </c>
      <c r="C86" s="119" t="s">
        <v>97</v>
      </c>
      <c r="D86" s="6" t="s">
        <v>1064</v>
      </c>
      <c r="E86" s="7"/>
      <c r="F86" s="7"/>
      <c r="G86" s="7" t="s">
        <v>15</v>
      </c>
      <c r="H86" s="7" t="s">
        <v>16</v>
      </c>
      <c r="I86" s="7"/>
      <c r="J86" s="7" t="s">
        <v>25</v>
      </c>
      <c r="K86" s="8"/>
      <c r="L86" s="9">
        <v>10.451000000000001</v>
      </c>
      <c r="M86" s="9">
        <v>9.7839999999999989</v>
      </c>
      <c r="N86" s="9">
        <v>9.31</v>
      </c>
      <c r="O86" s="9">
        <v>11.361000000000001</v>
      </c>
      <c r="P86" s="9"/>
      <c r="Q86" s="9"/>
      <c r="R86" s="9"/>
      <c r="S86" s="9"/>
      <c r="T86" s="9"/>
      <c r="U86" s="9"/>
      <c r="V86" s="10">
        <f t="shared" si="16"/>
        <v>-1</v>
      </c>
      <c r="W86" s="10" t="e">
        <f t="shared" si="17"/>
        <v>#DIV/0!</v>
      </c>
      <c r="X86" s="7"/>
      <c r="Y86" s="7"/>
    </row>
    <row r="87" spans="1:25" customFormat="1">
      <c r="A87" s="119" t="s">
        <v>979</v>
      </c>
      <c r="B87" s="119" t="s">
        <v>94</v>
      </c>
      <c r="C87" s="119" t="s">
        <v>97</v>
      </c>
      <c r="D87" s="6" t="s">
        <v>1063</v>
      </c>
      <c r="E87" s="7"/>
      <c r="F87" s="7"/>
      <c r="G87" s="7" t="s">
        <v>15</v>
      </c>
      <c r="H87" s="7" t="s">
        <v>16</v>
      </c>
      <c r="I87" s="7"/>
      <c r="J87" s="7" t="s">
        <v>25</v>
      </c>
      <c r="K87" s="8"/>
      <c r="L87" s="9">
        <v>8.0340000000000007</v>
      </c>
      <c r="M87" s="9">
        <v>8.9600000000000009</v>
      </c>
      <c r="N87" s="9">
        <v>6.0200000000000005</v>
      </c>
      <c r="O87" s="9">
        <v>7.0979999999999999</v>
      </c>
      <c r="P87" s="9"/>
      <c r="Q87" s="9"/>
      <c r="R87" s="9"/>
      <c r="S87" s="9"/>
      <c r="T87" s="9"/>
      <c r="U87" s="9"/>
      <c r="V87" s="10">
        <f t="shared" si="16"/>
        <v>-1</v>
      </c>
      <c r="W87" s="10" t="e">
        <f t="shared" si="17"/>
        <v>#DIV/0!</v>
      </c>
      <c r="X87" s="7"/>
      <c r="Y87" s="7"/>
    </row>
    <row r="88" spans="1:25" customFormat="1">
      <c r="A88" s="119" t="s">
        <v>979</v>
      </c>
      <c r="B88" s="119" t="s">
        <v>94</v>
      </c>
      <c r="C88" s="6" t="s">
        <v>883</v>
      </c>
      <c r="D88" s="7"/>
      <c r="E88" s="7"/>
      <c r="F88" s="7" t="s">
        <v>884</v>
      </c>
      <c r="G88" s="7" t="s">
        <v>15</v>
      </c>
      <c r="H88" s="7" t="s">
        <v>111</v>
      </c>
      <c r="I88" s="7"/>
      <c r="J88" s="7" t="s">
        <v>25</v>
      </c>
      <c r="K88" s="8">
        <v>2004500</v>
      </c>
      <c r="L88" s="128">
        <v>16.600000000000001</v>
      </c>
      <c r="M88" s="128">
        <v>16.100000000000001</v>
      </c>
      <c r="N88" s="128">
        <v>16.399999999999999</v>
      </c>
      <c r="O88" s="128">
        <v>15.7</v>
      </c>
      <c r="P88" s="129">
        <f>P51</f>
        <v>16524</v>
      </c>
      <c r="Q88" s="9"/>
      <c r="R88" s="9"/>
      <c r="S88" s="9"/>
      <c r="T88" s="9"/>
      <c r="U88" s="9"/>
      <c r="V88" s="10">
        <f>+(P88/L89)^(1/4)-1</f>
        <v>0.44037066739729513</v>
      </c>
      <c r="W88" s="10" t="e">
        <f t="shared" si="17"/>
        <v>#DIV/0!</v>
      </c>
      <c r="X88" s="156" t="s">
        <v>26</v>
      </c>
      <c r="Y88" s="7"/>
    </row>
    <row r="89" spans="1:25" customFormat="1">
      <c r="A89" s="119" t="s">
        <v>979</v>
      </c>
      <c r="B89" s="119" t="s">
        <v>94</v>
      </c>
      <c r="C89" s="119" t="s">
        <v>883</v>
      </c>
      <c r="D89" s="6" t="s">
        <v>112</v>
      </c>
      <c r="E89" s="7"/>
      <c r="F89" s="7" t="s">
        <v>113</v>
      </c>
      <c r="G89" s="7" t="s">
        <v>15</v>
      </c>
      <c r="H89" s="7" t="s">
        <v>111</v>
      </c>
      <c r="I89" s="7" t="s">
        <v>114</v>
      </c>
      <c r="J89" s="7" t="s">
        <v>25</v>
      </c>
      <c r="K89" s="8">
        <v>494300</v>
      </c>
      <c r="L89" s="124">
        <f>Domestic!B59</f>
        <v>3839</v>
      </c>
      <c r="M89" s="124">
        <f>Domestic!C59</f>
        <v>3965.0000000000005</v>
      </c>
      <c r="N89" s="124">
        <f>Domestic!D59</f>
        <v>3556</v>
      </c>
      <c r="O89" s="124">
        <f>Domestic!E59</f>
        <v>3794</v>
      </c>
      <c r="P89" s="125">
        <f>$P$88*Domestic!F67</f>
        <v>1747.5342923722308</v>
      </c>
      <c r="Q89" s="9"/>
      <c r="R89" s="9"/>
      <c r="S89" s="9"/>
      <c r="T89" s="9"/>
      <c r="U89" s="9"/>
      <c r="V89" s="10">
        <f>+(P89/L90)^(1/4)-1</f>
        <v>-0.49981855921795559</v>
      </c>
      <c r="W89" s="10" t="e">
        <f t="shared" si="17"/>
        <v>#DIV/0!</v>
      </c>
      <c r="X89" s="7"/>
      <c r="Y89" s="7"/>
    </row>
    <row r="90" spans="1:25" customFormat="1">
      <c r="A90" s="119" t="s">
        <v>979</v>
      </c>
      <c r="B90" s="119" t="s">
        <v>94</v>
      </c>
      <c r="C90" s="119" t="s">
        <v>883</v>
      </c>
      <c r="D90" s="6" t="s">
        <v>115</v>
      </c>
      <c r="E90" s="7"/>
      <c r="F90" s="7" t="s">
        <v>116</v>
      </c>
      <c r="G90" s="7" t="s">
        <v>15</v>
      </c>
      <c r="H90" s="7" t="s">
        <v>111</v>
      </c>
      <c r="I90" s="7" t="s">
        <v>114</v>
      </c>
      <c r="J90" s="7" t="s">
        <v>25</v>
      </c>
      <c r="K90" s="8">
        <f>(K323/(K323+K324))*1510200</f>
        <v>1428567.5675675676</v>
      </c>
      <c r="L90" s="124">
        <f>Domestic!B60</f>
        <v>27920</v>
      </c>
      <c r="M90" s="124">
        <f>Domestic!C60</f>
        <v>28555.000000000007</v>
      </c>
      <c r="N90" s="124">
        <f>Domestic!D60</f>
        <v>25438.000000000004</v>
      </c>
      <c r="O90" s="124">
        <f>Domestic!E60</f>
        <v>28000</v>
      </c>
      <c r="P90" s="125">
        <f>$P$88*Domestic!F68</f>
        <v>13731.444</v>
      </c>
      <c r="Q90" s="9"/>
      <c r="R90" s="9"/>
      <c r="S90" s="9"/>
      <c r="T90" s="9"/>
      <c r="U90" s="9"/>
      <c r="V90" s="10">
        <f>+(P90/L90)^(1/4)-1</f>
        <v>-0.16256675265449594</v>
      </c>
      <c r="W90" s="10" t="e">
        <f t="shared" si="17"/>
        <v>#DIV/0!</v>
      </c>
      <c r="X90" s="7"/>
      <c r="Y90" s="7"/>
    </row>
    <row r="91" spans="1:25" customFormat="1">
      <c r="A91" s="119" t="s">
        <v>979</v>
      </c>
      <c r="B91" s="119" t="s">
        <v>94</v>
      </c>
      <c r="C91" s="119" t="s">
        <v>883</v>
      </c>
      <c r="D91" s="6" t="s">
        <v>117</v>
      </c>
      <c r="E91" s="6"/>
      <c r="F91" s="7" t="s">
        <v>118</v>
      </c>
      <c r="G91" s="7" t="s">
        <v>15</v>
      </c>
      <c r="H91" s="7" t="s">
        <v>111</v>
      </c>
      <c r="I91" s="7" t="s">
        <v>114</v>
      </c>
      <c r="J91" s="7" t="s">
        <v>25</v>
      </c>
      <c r="K91" s="8">
        <f>(K324/(K323+K324))*1510200</f>
        <v>81632.432432432441</v>
      </c>
      <c r="L91" s="124">
        <f>Domestic!B61</f>
        <v>3141</v>
      </c>
      <c r="M91" s="124">
        <f>Domestic!C61</f>
        <v>2380</v>
      </c>
      <c r="N91" s="124">
        <f>Domestic!D61</f>
        <v>1806</v>
      </c>
      <c r="O91" s="124">
        <f>Domestic!E61</f>
        <v>2106</v>
      </c>
      <c r="P91" s="125">
        <f>$P$88*Domestic!F69</f>
        <v>1045.0217076277704</v>
      </c>
      <c r="Q91" s="9"/>
      <c r="R91" s="9"/>
      <c r="S91" s="9"/>
      <c r="T91" s="9"/>
      <c r="U91" s="9"/>
      <c r="V91" s="10">
        <f>+(P91/L91)^(1/4)-1</f>
        <v>-0.24052349376671833</v>
      </c>
      <c r="W91" s="10" t="e">
        <f t="shared" si="17"/>
        <v>#DIV/0!</v>
      </c>
      <c r="X91" s="7"/>
      <c r="Y91" s="7"/>
    </row>
    <row r="92" spans="1:25" customFormat="1" hidden="1">
      <c r="A92" s="119" t="s">
        <v>979</v>
      </c>
      <c r="B92" s="119" t="s">
        <v>94</v>
      </c>
      <c r="C92" s="6" t="s">
        <v>119</v>
      </c>
      <c r="D92" s="7"/>
      <c r="E92" s="7"/>
      <c r="F92" s="7" t="s">
        <v>120</v>
      </c>
      <c r="G92" s="7" t="s">
        <v>15</v>
      </c>
      <c r="H92" s="7" t="s">
        <v>111</v>
      </c>
      <c r="I92" s="7"/>
      <c r="J92" s="7" t="s">
        <v>980</v>
      </c>
      <c r="K92" s="8">
        <f>L92/(1+[1]Drivers!C53)</f>
        <v>0</v>
      </c>
      <c r="L92" s="9"/>
      <c r="M92" s="9"/>
      <c r="N92" s="9"/>
      <c r="O92" s="9"/>
      <c r="P92" s="129">
        <f>P$88*Domestic!F71</f>
        <v>0</v>
      </c>
      <c r="Q92" s="9"/>
      <c r="R92" s="9"/>
      <c r="S92" s="9"/>
      <c r="T92" s="9"/>
      <c r="U92" s="9"/>
      <c r="V92" s="10" t="e">
        <f>+(P92/K92)^(1/4)-1</f>
        <v>#DIV/0!</v>
      </c>
      <c r="W92" s="10" t="e">
        <f t="shared" si="17"/>
        <v>#DIV/0!</v>
      </c>
      <c r="X92" s="7"/>
      <c r="Y92" s="11"/>
    </row>
    <row r="93" spans="1:25" customFormat="1" hidden="1">
      <c r="A93" s="119" t="s">
        <v>979</v>
      </c>
      <c r="B93" s="119" t="s">
        <v>94</v>
      </c>
      <c r="C93" s="119" t="s">
        <v>119</v>
      </c>
      <c r="D93" s="6" t="s">
        <v>78</v>
      </c>
      <c r="E93" s="7"/>
      <c r="F93" s="7" t="s">
        <v>121</v>
      </c>
      <c r="G93" s="7" t="s">
        <v>15</v>
      </c>
      <c r="H93" s="7" t="s">
        <v>16</v>
      </c>
      <c r="I93" s="7"/>
      <c r="J93" s="7" t="s">
        <v>980</v>
      </c>
      <c r="K93" s="131"/>
      <c r="L93" s="132"/>
      <c r="M93" s="132"/>
      <c r="N93" s="132"/>
      <c r="O93" s="132"/>
      <c r="P93" s="129">
        <f>P$88*Domestic!F72</f>
        <v>0</v>
      </c>
      <c r="Q93" s="132"/>
      <c r="R93" s="132"/>
      <c r="S93" s="132"/>
      <c r="T93" s="132"/>
      <c r="U93" s="132"/>
      <c r="V93" s="10" t="e">
        <f>+(P93/K93)^(1/4)-1</f>
        <v>#DIV/0!</v>
      </c>
      <c r="W93" s="10" t="e">
        <f t="shared" si="17"/>
        <v>#DIV/0!</v>
      </c>
      <c r="X93" s="7"/>
      <c r="Y93" s="7"/>
    </row>
    <row r="94" spans="1:25" customFormat="1" hidden="1">
      <c r="A94" s="119" t="s">
        <v>979</v>
      </c>
      <c r="B94" s="119" t="s">
        <v>94</v>
      </c>
      <c r="C94" s="119" t="s">
        <v>119</v>
      </c>
      <c r="D94" s="6" t="s">
        <v>80</v>
      </c>
      <c r="E94" s="7"/>
      <c r="F94" s="7" t="s">
        <v>122</v>
      </c>
      <c r="G94" s="7" t="s">
        <v>15</v>
      </c>
      <c r="H94" s="7" t="s">
        <v>16</v>
      </c>
      <c r="I94" s="7" t="s">
        <v>1058</v>
      </c>
      <c r="J94" s="7" t="s">
        <v>980</v>
      </c>
      <c r="K94" s="8"/>
      <c r="L94" s="9"/>
      <c r="M94" s="9"/>
      <c r="N94" s="9"/>
      <c r="O94" s="9"/>
      <c r="P94" s="129">
        <f>P$88*Domestic!F73</f>
        <v>0</v>
      </c>
      <c r="Q94" s="9"/>
      <c r="R94" s="9"/>
      <c r="S94" s="9"/>
      <c r="T94" s="9"/>
      <c r="U94" s="9"/>
      <c r="V94" s="10" t="e">
        <f>+(P94/K94)^(1/4)-1</f>
        <v>#DIV/0!</v>
      </c>
      <c r="W94" s="10" t="e">
        <f t="shared" si="17"/>
        <v>#DIV/0!</v>
      </c>
      <c r="X94" s="7"/>
      <c r="Y94" s="7"/>
    </row>
    <row r="95" spans="1:25" customFormat="1" hidden="1">
      <c r="A95" s="119" t="s">
        <v>979</v>
      </c>
      <c r="B95" s="119" t="s">
        <v>94</v>
      </c>
      <c r="C95" s="119" t="s">
        <v>119</v>
      </c>
      <c r="D95" s="6" t="s">
        <v>82</v>
      </c>
      <c r="E95" s="7"/>
      <c r="F95" s="7" t="s">
        <v>123</v>
      </c>
      <c r="G95" s="7" t="s">
        <v>15</v>
      </c>
      <c r="H95" s="7" t="s">
        <v>16</v>
      </c>
      <c r="I95" s="7" t="s">
        <v>1058</v>
      </c>
      <c r="J95" s="7" t="s">
        <v>980</v>
      </c>
      <c r="K95" s="8"/>
      <c r="L95" s="9"/>
      <c r="M95" s="9"/>
      <c r="N95" s="9"/>
      <c r="O95" s="9"/>
      <c r="P95" s="129">
        <f>P$88*Domestic!F74</f>
        <v>0</v>
      </c>
      <c r="Q95" s="9"/>
      <c r="R95" s="9"/>
      <c r="S95" s="9"/>
      <c r="T95" s="9"/>
      <c r="U95" s="9"/>
      <c r="V95" s="10" t="e">
        <f>+(P95/L95)^(1/4)-1</f>
        <v>#DIV/0!</v>
      </c>
      <c r="W95" s="10" t="e">
        <f t="shared" si="17"/>
        <v>#DIV/0!</v>
      </c>
      <c r="X95" s="7"/>
      <c r="Y95" s="7"/>
    </row>
    <row r="96" spans="1:25" customFormat="1" hidden="1">
      <c r="A96" s="119" t="s">
        <v>979</v>
      </c>
      <c r="B96" s="119" t="s">
        <v>94</v>
      </c>
      <c r="C96" s="119" t="s">
        <v>119</v>
      </c>
      <c r="D96" s="6" t="s">
        <v>84</v>
      </c>
      <c r="E96" s="7"/>
      <c r="F96" s="7" t="s">
        <v>124</v>
      </c>
      <c r="G96" s="7" t="s">
        <v>15</v>
      </c>
      <c r="H96" s="7" t="s">
        <v>16</v>
      </c>
      <c r="I96" s="7" t="s">
        <v>1058</v>
      </c>
      <c r="J96" s="7" t="s">
        <v>980</v>
      </c>
      <c r="K96" s="8"/>
      <c r="L96" s="9"/>
      <c r="M96" s="9"/>
      <c r="N96" s="9"/>
      <c r="O96" s="9"/>
      <c r="P96" s="129">
        <f>P$88*Domestic!F75</f>
        <v>0</v>
      </c>
      <c r="Q96" s="9"/>
      <c r="R96" s="9"/>
      <c r="S96" s="9"/>
      <c r="T96" s="9"/>
      <c r="U96" s="9"/>
      <c r="V96" s="10" t="e">
        <f>+(P96/L96)^(1/4)-1</f>
        <v>#DIV/0!</v>
      </c>
      <c r="W96" s="10" t="e">
        <f t="shared" si="17"/>
        <v>#DIV/0!</v>
      </c>
      <c r="X96" s="7"/>
      <c r="Y96" s="7"/>
    </row>
    <row r="97" spans="1:25" customFormat="1" hidden="1">
      <c r="A97" s="119" t="s">
        <v>979</v>
      </c>
      <c r="B97" s="119" t="s">
        <v>94</v>
      </c>
      <c r="C97" s="119" t="s">
        <v>119</v>
      </c>
      <c r="D97" s="6" t="s">
        <v>86</v>
      </c>
      <c r="E97" s="7"/>
      <c r="F97" s="7" t="s">
        <v>125</v>
      </c>
      <c r="G97" s="7" t="s">
        <v>15</v>
      </c>
      <c r="H97" s="7" t="s">
        <v>16</v>
      </c>
      <c r="I97" s="7" t="s">
        <v>1058</v>
      </c>
      <c r="J97" s="7" t="s">
        <v>980</v>
      </c>
      <c r="K97" s="8"/>
      <c r="L97" s="9"/>
      <c r="M97" s="9"/>
      <c r="N97" s="9"/>
      <c r="O97" s="9"/>
      <c r="P97" s="129">
        <f>P$88*Domestic!F76</f>
        <v>0</v>
      </c>
      <c r="Q97" s="9"/>
      <c r="R97" s="9"/>
      <c r="S97" s="9"/>
      <c r="T97" s="9"/>
      <c r="U97" s="9"/>
      <c r="V97" s="10" t="e">
        <f>+(P97/L97)^(1/4)-1</f>
        <v>#DIV/0!</v>
      </c>
      <c r="W97" s="10" t="e">
        <f t="shared" si="17"/>
        <v>#DIV/0!</v>
      </c>
      <c r="X97" s="7"/>
      <c r="Y97" s="7"/>
    </row>
    <row r="98" spans="1:25" customFormat="1" hidden="1">
      <c r="A98" s="119" t="s">
        <v>979</v>
      </c>
      <c r="B98" s="119" t="s">
        <v>94</v>
      </c>
      <c r="C98" s="119" t="s">
        <v>119</v>
      </c>
      <c r="D98" s="6" t="s">
        <v>90</v>
      </c>
      <c r="E98" s="7"/>
      <c r="F98" s="7" t="s">
        <v>126</v>
      </c>
      <c r="G98" s="7" t="s">
        <v>15</v>
      </c>
      <c r="H98" s="7" t="s">
        <v>16</v>
      </c>
      <c r="I98" s="7" t="s">
        <v>1058</v>
      </c>
      <c r="J98" s="7" t="s">
        <v>980</v>
      </c>
      <c r="K98" s="8"/>
      <c r="L98" s="9"/>
      <c r="M98" s="9"/>
      <c r="N98" s="9"/>
      <c r="O98" s="9"/>
      <c r="P98" s="129">
        <f>P$88*Domestic!F77</f>
        <v>0</v>
      </c>
      <c r="Q98" s="9"/>
      <c r="R98" s="9"/>
      <c r="S98" s="9"/>
      <c r="T98" s="9"/>
      <c r="U98" s="9"/>
      <c r="V98" s="10" t="e">
        <f>+(P98/L98)^(1/4)-1</f>
        <v>#DIV/0!</v>
      </c>
      <c r="W98" s="10" t="e">
        <f t="shared" si="17"/>
        <v>#DIV/0!</v>
      </c>
      <c r="X98" s="7"/>
      <c r="Y98" s="7"/>
    </row>
    <row r="99" spans="1:25" customFormat="1" hidden="1">
      <c r="A99" s="119" t="s">
        <v>979</v>
      </c>
      <c r="B99" s="119" t="s">
        <v>94</v>
      </c>
      <c r="C99" s="119" t="s">
        <v>119</v>
      </c>
      <c r="D99" s="6" t="s">
        <v>92</v>
      </c>
      <c r="E99" s="7"/>
      <c r="F99" s="7" t="s">
        <v>127</v>
      </c>
      <c r="G99" s="7" t="s">
        <v>15</v>
      </c>
      <c r="H99" s="7" t="s">
        <v>16</v>
      </c>
      <c r="I99" s="7" t="s">
        <v>1058</v>
      </c>
      <c r="J99" s="7" t="s">
        <v>980</v>
      </c>
      <c r="K99" s="8"/>
      <c r="L99" s="9"/>
      <c r="M99" s="9"/>
      <c r="N99" s="9"/>
      <c r="O99" s="9"/>
      <c r="P99" s="129">
        <f>P$88*Domestic!F78</f>
        <v>0</v>
      </c>
      <c r="Q99" s="9"/>
      <c r="R99" s="9"/>
      <c r="S99" s="9"/>
      <c r="T99" s="9"/>
      <c r="U99" s="9"/>
      <c r="V99" s="10" t="e">
        <f>+(P99/L99)^(1/4)-1</f>
        <v>#DIV/0!</v>
      </c>
      <c r="W99" s="10" t="e">
        <f t="shared" si="17"/>
        <v>#DIV/0!</v>
      </c>
      <c r="X99" s="7"/>
      <c r="Y99" s="7"/>
    </row>
    <row r="100" spans="1:25" customFormat="1">
      <c r="A100" s="119" t="s">
        <v>979</v>
      </c>
      <c r="B100" s="119" t="s">
        <v>94</v>
      </c>
      <c r="C100" s="6" t="s">
        <v>128</v>
      </c>
      <c r="D100" s="7"/>
      <c r="E100" s="7"/>
      <c r="F100" s="7" t="s">
        <v>129</v>
      </c>
      <c r="G100" s="7" t="s">
        <v>15</v>
      </c>
      <c r="H100" s="7" t="s">
        <v>16</v>
      </c>
      <c r="I100" s="7"/>
      <c r="J100" s="7" t="s">
        <v>99</v>
      </c>
      <c r="K100" s="8"/>
      <c r="L100" s="9"/>
      <c r="M100" s="9"/>
      <c r="N100" s="9"/>
      <c r="O100" s="133"/>
      <c r="P100" s="129"/>
      <c r="Q100" s="132"/>
      <c r="R100" s="132"/>
      <c r="S100" s="132"/>
      <c r="T100" s="132"/>
      <c r="U100" s="132"/>
      <c r="V100" s="10" t="e">
        <f>+(P100/#REF!)^(1/4)-1</f>
        <v>#REF!</v>
      </c>
      <c r="W100" s="10" t="e">
        <f t="shared" si="17"/>
        <v>#DIV/0!</v>
      </c>
      <c r="X100" s="7"/>
      <c r="Y100" s="7"/>
    </row>
    <row r="101" spans="1:25" customFormat="1">
      <c r="A101" s="119" t="s">
        <v>979</v>
      </c>
      <c r="B101" s="119" t="s">
        <v>94</v>
      </c>
      <c r="C101" s="119" t="s">
        <v>128</v>
      </c>
      <c r="D101" s="6" t="s">
        <v>982</v>
      </c>
      <c r="E101" s="7"/>
      <c r="F101" s="7"/>
      <c r="G101" s="7" t="s">
        <v>15</v>
      </c>
      <c r="H101" s="7" t="s">
        <v>16</v>
      </c>
      <c r="I101" s="134"/>
      <c r="J101" s="7" t="s">
        <v>99</v>
      </c>
      <c r="K101" s="8"/>
      <c r="L101" s="9"/>
      <c r="M101" s="9"/>
      <c r="N101" s="9"/>
      <c r="O101" s="9"/>
      <c r="P101" s="9"/>
      <c r="Q101" s="9"/>
      <c r="R101" s="9"/>
      <c r="S101" s="9"/>
      <c r="T101" s="9"/>
      <c r="U101" s="9"/>
      <c r="V101" s="10" t="e">
        <f>+(P101/L100)^(1/4)-1</f>
        <v>#DIV/0!</v>
      </c>
      <c r="W101" s="10" t="e">
        <f t="shared" si="17"/>
        <v>#DIV/0!</v>
      </c>
      <c r="X101" s="7"/>
      <c r="Y101" s="12"/>
    </row>
    <row r="102" spans="1:25" customFormat="1">
      <c r="A102" s="119" t="s">
        <v>979</v>
      </c>
      <c r="B102" s="119" t="s">
        <v>94</v>
      </c>
      <c r="C102" s="119" t="s">
        <v>128</v>
      </c>
      <c r="D102" s="6" t="s">
        <v>983</v>
      </c>
      <c r="E102" s="7"/>
      <c r="F102" s="7"/>
      <c r="G102" s="7" t="s">
        <v>15</v>
      </c>
      <c r="H102" s="7" t="s">
        <v>16</v>
      </c>
      <c r="I102" s="134"/>
      <c r="J102" s="7" t="s">
        <v>99</v>
      </c>
      <c r="K102" s="8"/>
      <c r="P102" s="9"/>
      <c r="Q102" s="9"/>
      <c r="R102" s="9"/>
      <c r="S102" s="9"/>
      <c r="T102" s="9"/>
      <c r="U102" s="9"/>
      <c r="V102" s="10" t="e">
        <f t="shared" ref="V102:V113" si="18">+(P102/L102)^(1/4)-1</f>
        <v>#DIV/0!</v>
      </c>
      <c r="W102" s="10" t="e">
        <f t="shared" si="17"/>
        <v>#DIV/0!</v>
      </c>
      <c r="X102" s="7"/>
      <c r="Y102" s="12"/>
    </row>
    <row r="103" spans="1:25" customFormat="1">
      <c r="A103" s="119" t="s">
        <v>979</v>
      </c>
      <c r="B103" s="119" t="s">
        <v>94</v>
      </c>
      <c r="C103" s="119" t="s">
        <v>128</v>
      </c>
      <c r="D103" s="6" t="s">
        <v>984</v>
      </c>
      <c r="E103" s="7"/>
      <c r="F103" s="7"/>
      <c r="G103" s="7" t="s">
        <v>15</v>
      </c>
      <c r="H103" s="7" t="s">
        <v>16</v>
      </c>
      <c r="I103" s="134"/>
      <c r="J103" s="7" t="s">
        <v>99</v>
      </c>
      <c r="K103" s="8"/>
      <c r="P103" s="9"/>
      <c r="Q103" s="9"/>
      <c r="R103" s="9"/>
      <c r="S103" s="9"/>
      <c r="T103" s="9"/>
      <c r="U103" s="9"/>
      <c r="V103" s="10" t="e">
        <f t="shared" si="18"/>
        <v>#DIV/0!</v>
      </c>
      <c r="W103" s="10" t="e">
        <f t="shared" si="17"/>
        <v>#DIV/0!</v>
      </c>
      <c r="X103" s="7"/>
      <c r="Y103" s="12"/>
    </row>
    <row r="104" spans="1:25" customFormat="1">
      <c r="A104" s="119" t="s">
        <v>979</v>
      </c>
      <c r="B104" s="119" t="s">
        <v>94</v>
      </c>
      <c r="C104" s="119" t="s">
        <v>128</v>
      </c>
      <c r="D104" s="6" t="s">
        <v>985</v>
      </c>
      <c r="E104" s="7"/>
      <c r="F104" s="7"/>
      <c r="G104" s="7" t="s">
        <v>15</v>
      </c>
      <c r="H104" s="7" t="s">
        <v>16</v>
      </c>
      <c r="I104" s="134"/>
      <c r="J104" s="7" t="s">
        <v>99</v>
      </c>
      <c r="K104" s="8"/>
      <c r="P104" s="9"/>
      <c r="Q104" s="9"/>
      <c r="R104" s="9"/>
      <c r="S104" s="9"/>
      <c r="T104" s="9"/>
      <c r="U104" s="9"/>
      <c r="V104" s="10" t="e">
        <f t="shared" si="18"/>
        <v>#DIV/0!</v>
      </c>
      <c r="W104" s="10" t="e">
        <f t="shared" si="17"/>
        <v>#DIV/0!</v>
      </c>
      <c r="X104" s="7"/>
      <c r="Y104" s="12"/>
    </row>
    <row r="105" spans="1:25" customFormat="1">
      <c r="A105" s="119" t="s">
        <v>979</v>
      </c>
      <c r="B105" s="119" t="s">
        <v>94</v>
      </c>
      <c r="C105" s="119" t="s">
        <v>128</v>
      </c>
      <c r="D105" s="6" t="s">
        <v>986</v>
      </c>
      <c r="E105" s="7"/>
      <c r="F105" s="7"/>
      <c r="G105" s="7" t="s">
        <v>15</v>
      </c>
      <c r="H105" s="7" t="s">
        <v>16</v>
      </c>
      <c r="I105" s="134"/>
      <c r="J105" s="7" t="s">
        <v>99</v>
      </c>
      <c r="K105" s="8"/>
      <c r="P105" s="9"/>
      <c r="Q105" s="9"/>
      <c r="R105" s="9"/>
      <c r="S105" s="9"/>
      <c r="T105" s="9"/>
      <c r="U105" s="9"/>
      <c r="V105" s="10" t="e">
        <f t="shared" si="18"/>
        <v>#DIV/0!</v>
      </c>
      <c r="W105" s="10" t="e">
        <f t="shared" si="17"/>
        <v>#DIV/0!</v>
      </c>
      <c r="X105" s="7"/>
      <c r="Y105" s="12"/>
    </row>
    <row r="106" spans="1:25" customFormat="1">
      <c r="A106" s="119" t="s">
        <v>979</v>
      </c>
      <c r="B106" s="119" t="s">
        <v>94</v>
      </c>
      <c r="C106" s="119" t="s">
        <v>128</v>
      </c>
      <c r="D106" s="6" t="s">
        <v>987</v>
      </c>
      <c r="E106" s="7"/>
      <c r="F106" s="7"/>
      <c r="G106" s="7" t="s">
        <v>15</v>
      </c>
      <c r="H106" s="7" t="s">
        <v>16</v>
      </c>
      <c r="I106" s="134"/>
      <c r="J106" s="7" t="s">
        <v>99</v>
      </c>
      <c r="K106" s="8"/>
      <c r="P106" s="9"/>
      <c r="Q106" s="9"/>
      <c r="R106" s="9"/>
      <c r="S106" s="9"/>
      <c r="T106" s="9"/>
      <c r="U106" s="9"/>
      <c r="V106" s="10" t="e">
        <f t="shared" si="18"/>
        <v>#DIV/0!</v>
      </c>
      <c r="W106" s="10" t="e">
        <f t="shared" ref="W106:W137" si="19">+(U106/Q106)^(1/4)-1</f>
        <v>#DIV/0!</v>
      </c>
      <c r="X106" s="7"/>
      <c r="Y106" s="12"/>
    </row>
    <row r="107" spans="1:25" customFormat="1">
      <c r="A107" s="119" t="s">
        <v>979</v>
      </c>
      <c r="B107" s="119" t="s">
        <v>94</v>
      </c>
      <c r="C107" s="119" t="s">
        <v>128</v>
      </c>
      <c r="D107" s="6" t="s">
        <v>988</v>
      </c>
      <c r="E107" s="7"/>
      <c r="F107" s="7"/>
      <c r="G107" s="7" t="s">
        <v>15</v>
      </c>
      <c r="H107" s="7" t="s">
        <v>16</v>
      </c>
      <c r="I107" s="134"/>
      <c r="J107" s="7" t="s">
        <v>99</v>
      </c>
      <c r="K107" s="8"/>
      <c r="P107" s="9"/>
      <c r="Q107" s="9"/>
      <c r="R107" s="9"/>
      <c r="S107" s="9"/>
      <c r="T107" s="9"/>
      <c r="U107" s="9"/>
      <c r="V107" s="10" t="e">
        <f t="shared" si="18"/>
        <v>#DIV/0!</v>
      </c>
      <c r="W107" s="10" t="e">
        <f t="shared" si="19"/>
        <v>#DIV/0!</v>
      </c>
      <c r="X107" s="7"/>
      <c r="Y107" s="12"/>
    </row>
    <row r="108" spans="1:25" customFormat="1">
      <c r="A108" s="119" t="s">
        <v>979</v>
      </c>
      <c r="B108" s="119" t="s">
        <v>94</v>
      </c>
      <c r="C108" s="119" t="s">
        <v>128</v>
      </c>
      <c r="D108" s="6" t="s">
        <v>989</v>
      </c>
      <c r="E108" s="7"/>
      <c r="F108" s="7"/>
      <c r="G108" s="7" t="s">
        <v>15</v>
      </c>
      <c r="H108" s="7" t="s">
        <v>16</v>
      </c>
      <c r="I108" s="134"/>
      <c r="J108" s="7" t="s">
        <v>99</v>
      </c>
      <c r="K108" s="8"/>
      <c r="P108" s="9"/>
      <c r="Q108" s="9"/>
      <c r="R108" s="9"/>
      <c r="S108" s="9"/>
      <c r="T108" s="9"/>
      <c r="U108" s="9"/>
      <c r="V108" s="10" t="e">
        <f t="shared" si="18"/>
        <v>#DIV/0!</v>
      </c>
      <c r="W108" s="10" t="e">
        <f t="shared" si="19"/>
        <v>#DIV/0!</v>
      </c>
      <c r="X108" s="7"/>
      <c r="Y108" s="12"/>
    </row>
    <row r="109" spans="1:25" customFormat="1">
      <c r="A109" s="119" t="s">
        <v>979</v>
      </c>
      <c r="B109" s="119" t="s">
        <v>94</v>
      </c>
      <c r="C109" s="119" t="s">
        <v>128</v>
      </c>
      <c r="D109" s="6" t="s">
        <v>990</v>
      </c>
      <c r="E109" s="7"/>
      <c r="F109" s="7"/>
      <c r="G109" s="7" t="s">
        <v>15</v>
      </c>
      <c r="H109" s="7" t="s">
        <v>16</v>
      </c>
      <c r="I109" s="134"/>
      <c r="J109" s="7" t="s">
        <v>99</v>
      </c>
      <c r="K109" s="8"/>
      <c r="P109" s="9"/>
      <c r="Q109" s="9"/>
      <c r="R109" s="9"/>
      <c r="S109" s="9"/>
      <c r="T109" s="9"/>
      <c r="U109" s="9"/>
      <c r="V109" s="10" t="e">
        <f t="shared" si="18"/>
        <v>#DIV/0!</v>
      </c>
      <c r="W109" s="10" t="e">
        <f t="shared" si="19"/>
        <v>#DIV/0!</v>
      </c>
      <c r="X109" s="7"/>
      <c r="Y109" s="12"/>
    </row>
    <row r="110" spans="1:25" customFormat="1">
      <c r="A110" s="119" t="s">
        <v>979</v>
      </c>
      <c r="B110" s="119" t="s">
        <v>94</v>
      </c>
      <c r="C110" s="119" t="s">
        <v>128</v>
      </c>
      <c r="D110" s="6" t="s">
        <v>991</v>
      </c>
      <c r="E110" s="7"/>
      <c r="F110" s="7"/>
      <c r="G110" s="7" t="s">
        <v>15</v>
      </c>
      <c r="H110" s="7" t="s">
        <v>16</v>
      </c>
      <c r="I110" s="134"/>
      <c r="J110" s="7" t="s">
        <v>99</v>
      </c>
      <c r="K110" s="8"/>
      <c r="P110" s="9"/>
      <c r="Q110" s="9"/>
      <c r="R110" s="9"/>
      <c r="S110" s="9"/>
      <c r="T110" s="9"/>
      <c r="U110" s="9"/>
      <c r="V110" s="10" t="e">
        <f t="shared" si="18"/>
        <v>#DIV/0!</v>
      </c>
      <c r="W110" s="10" t="e">
        <f t="shared" si="19"/>
        <v>#DIV/0!</v>
      </c>
      <c r="X110" s="7"/>
      <c r="Y110" s="12"/>
    </row>
    <row r="111" spans="1:25" customFormat="1">
      <c r="A111" s="119" t="s">
        <v>979</v>
      </c>
      <c r="B111" s="119" t="s">
        <v>94</v>
      </c>
      <c r="C111" s="119" t="s">
        <v>128</v>
      </c>
      <c r="D111" s="6" t="s">
        <v>110</v>
      </c>
      <c r="E111" s="7"/>
      <c r="F111" s="7"/>
      <c r="G111" s="7" t="s">
        <v>15</v>
      </c>
      <c r="H111" s="7" t="s">
        <v>16</v>
      </c>
      <c r="I111" s="134"/>
      <c r="J111" s="7" t="s">
        <v>99</v>
      </c>
      <c r="K111" s="8"/>
      <c r="P111" s="9"/>
      <c r="Q111" s="9"/>
      <c r="R111" s="9"/>
      <c r="S111" s="9"/>
      <c r="T111" s="9"/>
      <c r="U111" s="9"/>
      <c r="V111" s="10" t="e">
        <f t="shared" si="18"/>
        <v>#DIV/0!</v>
      </c>
      <c r="W111" s="10" t="e">
        <f t="shared" si="19"/>
        <v>#DIV/0!</v>
      </c>
      <c r="X111" s="7"/>
      <c r="Y111" s="12"/>
    </row>
    <row r="112" spans="1:25" customFormat="1">
      <c r="A112" s="119" t="s">
        <v>979</v>
      </c>
      <c r="B112" s="119" t="s">
        <v>94</v>
      </c>
      <c r="C112" s="6" t="s">
        <v>130</v>
      </c>
      <c r="D112" s="7"/>
      <c r="E112" s="7"/>
      <c r="F112" s="7" t="s">
        <v>131</v>
      </c>
      <c r="G112" s="7" t="s">
        <v>15</v>
      </c>
      <c r="H112" s="7" t="s">
        <v>96</v>
      </c>
      <c r="I112" s="7"/>
      <c r="J112" s="7" t="s">
        <v>99</v>
      </c>
      <c r="K112" s="111">
        <f>SUM(K113,K169,K215,K261,K277,K281,K319)</f>
        <v>49211.333000000006</v>
      </c>
      <c r="L112" s="133">
        <v>14975</v>
      </c>
      <c r="M112" s="137">
        <f>'Inbound by region'!B25</f>
        <v>10938.800000000001</v>
      </c>
      <c r="N112" s="137">
        <f>'Inbound by region'!C25</f>
        <v>11890.1</v>
      </c>
      <c r="O112" s="137">
        <f>'Inbound by region'!D25</f>
        <v>12470.4</v>
      </c>
      <c r="P112" s="187">
        <f>AVERAGE(L112:O112)</f>
        <v>12568.575000000001</v>
      </c>
      <c r="Q112" s="128"/>
      <c r="R112" s="128"/>
      <c r="S112" s="128"/>
      <c r="T112" s="128"/>
      <c r="U112" s="128"/>
      <c r="V112" s="10">
        <f t="shared" si="18"/>
        <v>-4.2850443395355597E-2</v>
      </c>
      <c r="W112" s="10" t="e">
        <f t="shared" si="19"/>
        <v>#DIV/0!</v>
      </c>
      <c r="X112" s="7" t="s">
        <v>1074</v>
      </c>
      <c r="Y112" s="7"/>
    </row>
    <row r="113" spans="1:25" customFormat="1">
      <c r="A113" s="119" t="s">
        <v>979</v>
      </c>
      <c r="B113" s="119" t="s">
        <v>94</v>
      </c>
      <c r="C113" s="119" t="s">
        <v>130</v>
      </c>
      <c r="D113" s="6" t="s">
        <v>65</v>
      </c>
      <c r="E113" s="7"/>
      <c r="F113" s="7" t="s">
        <v>132</v>
      </c>
      <c r="G113" s="7" t="s">
        <v>15</v>
      </c>
      <c r="H113" s="7" t="s">
        <v>16</v>
      </c>
      <c r="I113" s="7"/>
      <c r="J113" s="7" t="s">
        <v>99</v>
      </c>
      <c r="K113" s="111">
        <f>SUM(K114:K167)</f>
        <v>89.016999999999996</v>
      </c>
      <c r="P113">
        <f t="shared" ref="P113" si="20">SUM(P114:P168)</f>
        <v>0</v>
      </c>
      <c r="R113" s="128"/>
      <c r="S113" s="128"/>
      <c r="T113" s="128"/>
      <c r="U113" s="128"/>
      <c r="V113" s="10" t="e">
        <f t="shared" si="18"/>
        <v>#DIV/0!</v>
      </c>
      <c r="W113" s="10" t="e">
        <f t="shared" si="19"/>
        <v>#DIV/0!</v>
      </c>
      <c r="X113" s="7"/>
      <c r="Y113" s="11"/>
    </row>
    <row r="114" spans="1:25" customFormat="1">
      <c r="A114" s="119" t="s">
        <v>979</v>
      </c>
      <c r="B114" s="119" t="s">
        <v>94</v>
      </c>
      <c r="C114" s="119" t="s">
        <v>130</v>
      </c>
      <c r="D114" s="119" t="s">
        <v>65</v>
      </c>
      <c r="E114" s="6" t="s">
        <v>133</v>
      </c>
      <c r="F114" s="7" t="s">
        <v>134</v>
      </c>
      <c r="G114" s="7" t="s">
        <v>15</v>
      </c>
      <c r="H114" s="7" t="s">
        <v>16</v>
      </c>
      <c r="I114" s="7"/>
      <c r="J114" s="7" t="s">
        <v>99</v>
      </c>
      <c r="K114" s="8"/>
      <c r="O114" s="158"/>
      <c r="P114" s="9"/>
      <c r="Q114" s="9"/>
      <c r="R114" s="9"/>
      <c r="S114" s="9"/>
      <c r="T114" s="9"/>
      <c r="U114" s="9"/>
      <c r="V114" s="10" t="e">
        <f>+(P114/M113)^(1/4)-1</f>
        <v>#DIV/0!</v>
      </c>
      <c r="W114" s="10" t="e">
        <f t="shared" si="19"/>
        <v>#DIV/0!</v>
      </c>
      <c r="X114" s="7"/>
      <c r="Y114" s="7"/>
    </row>
    <row r="115" spans="1:25" customFormat="1">
      <c r="A115" s="119" t="s">
        <v>979</v>
      </c>
      <c r="B115" s="119" t="s">
        <v>94</v>
      </c>
      <c r="C115" s="119" t="s">
        <v>130</v>
      </c>
      <c r="D115" s="119" t="s">
        <v>65</v>
      </c>
      <c r="E115" s="6" t="s">
        <v>135</v>
      </c>
      <c r="F115" s="7" t="s">
        <v>136</v>
      </c>
      <c r="G115" s="7" t="s">
        <v>15</v>
      </c>
      <c r="H115" s="7" t="s">
        <v>16</v>
      </c>
      <c r="I115" s="7"/>
      <c r="J115" s="7" t="s">
        <v>99</v>
      </c>
      <c r="K115" s="8"/>
      <c r="O115" s="158"/>
      <c r="P115" s="9"/>
      <c r="Q115" s="9"/>
      <c r="R115" s="9"/>
      <c r="S115" s="9"/>
      <c r="T115" s="9"/>
      <c r="U115" s="9"/>
      <c r="V115" s="10" t="e">
        <f t="shared" ref="V115:V146" si="21">+(P115/L115)^(1/4)-1</f>
        <v>#DIV/0!</v>
      </c>
      <c r="W115" s="10" t="e">
        <f t="shared" si="19"/>
        <v>#DIV/0!</v>
      </c>
      <c r="X115" s="7"/>
      <c r="Y115" s="7"/>
    </row>
    <row r="116" spans="1:25" customFormat="1">
      <c r="A116" s="119" t="s">
        <v>979</v>
      </c>
      <c r="B116" s="119" t="s">
        <v>94</v>
      </c>
      <c r="C116" s="119" t="s">
        <v>130</v>
      </c>
      <c r="D116" s="119" t="s">
        <v>65</v>
      </c>
      <c r="E116" s="6" t="s">
        <v>137</v>
      </c>
      <c r="F116" s="7" t="s">
        <v>138</v>
      </c>
      <c r="G116" s="7" t="s">
        <v>15</v>
      </c>
      <c r="H116" s="7" t="s">
        <v>16</v>
      </c>
      <c r="I116" s="7"/>
      <c r="J116" s="7" t="s">
        <v>99</v>
      </c>
      <c r="K116" s="8"/>
      <c r="O116" s="158"/>
      <c r="P116" s="9"/>
      <c r="Q116" s="9"/>
      <c r="R116" s="9"/>
      <c r="S116" s="9"/>
      <c r="T116" s="9"/>
      <c r="U116" s="9"/>
      <c r="V116" s="10" t="e">
        <f t="shared" si="21"/>
        <v>#DIV/0!</v>
      </c>
      <c r="W116" s="10" t="e">
        <f t="shared" si="19"/>
        <v>#DIV/0!</v>
      </c>
      <c r="X116" s="7"/>
      <c r="Y116" s="7"/>
    </row>
    <row r="117" spans="1:25" customFormat="1">
      <c r="A117" s="119" t="s">
        <v>979</v>
      </c>
      <c r="B117" s="119" t="s">
        <v>94</v>
      </c>
      <c r="C117" s="119" t="s">
        <v>130</v>
      </c>
      <c r="D117" s="119" t="s">
        <v>65</v>
      </c>
      <c r="E117" s="6" t="s">
        <v>139</v>
      </c>
      <c r="F117" s="7" t="s">
        <v>140</v>
      </c>
      <c r="G117" s="7" t="s">
        <v>15</v>
      </c>
      <c r="H117" s="7" t="s">
        <v>16</v>
      </c>
      <c r="I117" s="7"/>
      <c r="J117" s="7" t="s">
        <v>99</v>
      </c>
      <c r="K117" s="8"/>
      <c r="O117" s="158"/>
      <c r="P117" s="9"/>
      <c r="Q117" s="9"/>
      <c r="R117" s="9"/>
      <c r="S117" s="9"/>
      <c r="T117" s="9"/>
      <c r="U117" s="9"/>
      <c r="V117" s="10" t="e">
        <f t="shared" si="21"/>
        <v>#DIV/0!</v>
      </c>
      <c r="W117" s="10" t="e">
        <f t="shared" si="19"/>
        <v>#DIV/0!</v>
      </c>
      <c r="X117" s="7"/>
      <c r="Y117" s="7"/>
    </row>
    <row r="118" spans="1:25" customFormat="1">
      <c r="A118" s="119" t="s">
        <v>979</v>
      </c>
      <c r="B118" s="119" t="s">
        <v>94</v>
      </c>
      <c r="C118" s="119" t="s">
        <v>130</v>
      </c>
      <c r="D118" s="119" t="s">
        <v>65</v>
      </c>
      <c r="E118" s="6" t="s">
        <v>141</v>
      </c>
      <c r="F118" s="7" t="s">
        <v>142</v>
      </c>
      <c r="G118" s="7" t="s">
        <v>15</v>
      </c>
      <c r="H118" s="7" t="s">
        <v>16</v>
      </c>
      <c r="I118" s="7"/>
      <c r="J118" s="7" t="s">
        <v>99</v>
      </c>
      <c r="K118" s="8"/>
      <c r="O118" s="158"/>
      <c r="P118" s="9"/>
      <c r="Q118" s="9"/>
      <c r="R118" s="9"/>
      <c r="S118" s="9"/>
      <c r="T118" s="9"/>
      <c r="U118" s="9"/>
      <c r="V118" s="10" t="e">
        <f t="shared" si="21"/>
        <v>#DIV/0!</v>
      </c>
      <c r="W118" s="10" t="e">
        <f t="shared" si="19"/>
        <v>#DIV/0!</v>
      </c>
      <c r="X118" s="7"/>
      <c r="Y118" s="7"/>
    </row>
    <row r="119" spans="1:25" customFormat="1">
      <c r="A119" s="119" t="s">
        <v>979</v>
      </c>
      <c r="B119" s="119" t="s">
        <v>94</v>
      </c>
      <c r="C119" s="119" t="s">
        <v>130</v>
      </c>
      <c r="D119" s="119" t="s">
        <v>65</v>
      </c>
      <c r="E119" s="6" t="s">
        <v>143</v>
      </c>
      <c r="F119" s="7" t="s">
        <v>144</v>
      </c>
      <c r="G119" s="7" t="s">
        <v>15</v>
      </c>
      <c r="H119" s="7" t="s">
        <v>16</v>
      </c>
      <c r="I119" s="7"/>
      <c r="J119" s="7" t="s">
        <v>99</v>
      </c>
      <c r="K119" s="8"/>
      <c r="O119" s="158"/>
      <c r="P119" s="9"/>
      <c r="Q119" s="9"/>
      <c r="R119" s="9"/>
      <c r="S119" s="9"/>
      <c r="T119" s="9"/>
      <c r="U119" s="9"/>
      <c r="V119" s="10" t="e">
        <f t="shared" si="21"/>
        <v>#DIV/0!</v>
      </c>
      <c r="W119" s="10" t="e">
        <f t="shared" si="19"/>
        <v>#DIV/0!</v>
      </c>
      <c r="X119" s="7"/>
      <c r="Y119" s="7"/>
    </row>
    <row r="120" spans="1:25" customFormat="1">
      <c r="A120" s="119" t="s">
        <v>979</v>
      </c>
      <c r="B120" s="119" t="s">
        <v>94</v>
      </c>
      <c r="C120" s="119" t="s">
        <v>130</v>
      </c>
      <c r="D120" s="119" t="s">
        <v>65</v>
      </c>
      <c r="E120" s="6" t="s">
        <v>145</v>
      </c>
      <c r="F120" s="7" t="s">
        <v>146</v>
      </c>
      <c r="G120" s="7" t="s">
        <v>15</v>
      </c>
      <c r="H120" s="7" t="s">
        <v>16</v>
      </c>
      <c r="I120" s="7"/>
      <c r="J120" s="7" t="s">
        <v>99</v>
      </c>
      <c r="K120" s="8"/>
      <c r="O120" s="158"/>
      <c r="P120" s="9"/>
      <c r="Q120" s="9"/>
      <c r="R120" s="9"/>
      <c r="S120" s="9"/>
      <c r="T120" s="9"/>
      <c r="U120" s="9"/>
      <c r="V120" s="10" t="e">
        <f t="shared" si="21"/>
        <v>#DIV/0!</v>
      </c>
      <c r="W120" s="10" t="e">
        <f t="shared" si="19"/>
        <v>#DIV/0!</v>
      </c>
      <c r="X120" s="7"/>
      <c r="Y120" s="7"/>
    </row>
    <row r="121" spans="1:25" customFormat="1">
      <c r="A121" s="119" t="s">
        <v>979</v>
      </c>
      <c r="B121" s="119" t="s">
        <v>94</v>
      </c>
      <c r="C121" s="119" t="s">
        <v>130</v>
      </c>
      <c r="D121" s="119" t="s">
        <v>65</v>
      </c>
      <c r="E121" s="6" t="s">
        <v>147</v>
      </c>
      <c r="F121" s="7" t="s">
        <v>148</v>
      </c>
      <c r="G121" s="7" t="s">
        <v>15</v>
      </c>
      <c r="H121" s="7" t="s">
        <v>16</v>
      </c>
      <c r="I121" s="7"/>
      <c r="J121" s="7" t="s">
        <v>99</v>
      </c>
      <c r="K121" s="8"/>
      <c r="O121" s="158"/>
      <c r="P121" s="9"/>
      <c r="Q121" s="9"/>
      <c r="R121" s="9"/>
      <c r="S121" s="9"/>
      <c r="T121" s="9"/>
      <c r="U121" s="9"/>
      <c r="V121" s="10" t="e">
        <f t="shared" si="21"/>
        <v>#DIV/0!</v>
      </c>
      <c r="W121" s="10" t="e">
        <f t="shared" si="19"/>
        <v>#DIV/0!</v>
      </c>
      <c r="X121" s="7"/>
      <c r="Y121" s="7"/>
    </row>
    <row r="122" spans="1:25" customFormat="1">
      <c r="A122" s="119" t="s">
        <v>979</v>
      </c>
      <c r="B122" s="119" t="s">
        <v>94</v>
      </c>
      <c r="C122" s="119" t="s">
        <v>130</v>
      </c>
      <c r="D122" s="119" t="s">
        <v>65</v>
      </c>
      <c r="E122" s="6" t="s">
        <v>149</v>
      </c>
      <c r="F122" s="7" t="s">
        <v>150</v>
      </c>
      <c r="G122" s="7" t="s">
        <v>15</v>
      </c>
      <c r="H122" s="7" t="s">
        <v>16</v>
      </c>
      <c r="I122" s="7"/>
      <c r="J122" s="7" t="s">
        <v>99</v>
      </c>
      <c r="K122" s="8"/>
      <c r="O122" s="158"/>
      <c r="P122" s="9"/>
      <c r="Q122" s="9"/>
      <c r="R122" s="9"/>
      <c r="S122" s="9"/>
      <c r="T122" s="9"/>
      <c r="U122" s="9"/>
      <c r="V122" s="10" t="e">
        <f t="shared" si="21"/>
        <v>#DIV/0!</v>
      </c>
      <c r="W122" s="10" t="e">
        <f t="shared" si="19"/>
        <v>#DIV/0!</v>
      </c>
      <c r="X122" s="7"/>
      <c r="Y122" s="7"/>
    </row>
    <row r="123" spans="1:25" customFormat="1">
      <c r="A123" s="119" t="s">
        <v>979</v>
      </c>
      <c r="B123" s="119" t="s">
        <v>94</v>
      </c>
      <c r="C123" s="119" t="s">
        <v>130</v>
      </c>
      <c r="D123" s="119" t="s">
        <v>65</v>
      </c>
      <c r="E123" s="6" t="s">
        <v>151</v>
      </c>
      <c r="F123" s="7" t="s">
        <v>152</v>
      </c>
      <c r="G123" s="7" t="s">
        <v>15</v>
      </c>
      <c r="H123" s="7" t="s">
        <v>16</v>
      </c>
      <c r="I123" s="7"/>
      <c r="J123" s="7" t="s">
        <v>99</v>
      </c>
      <c r="K123" s="8"/>
      <c r="O123" s="158"/>
      <c r="P123" s="9"/>
      <c r="Q123" s="9"/>
      <c r="R123" s="9"/>
      <c r="S123" s="9"/>
      <c r="T123" s="9"/>
      <c r="U123" s="9"/>
      <c r="V123" s="10" t="e">
        <f t="shared" si="21"/>
        <v>#DIV/0!</v>
      </c>
      <c r="W123" s="10" t="e">
        <f t="shared" si="19"/>
        <v>#DIV/0!</v>
      </c>
      <c r="X123" s="7"/>
      <c r="Y123" s="7"/>
    </row>
    <row r="124" spans="1:25" customFormat="1">
      <c r="A124" s="119" t="s">
        <v>979</v>
      </c>
      <c r="B124" s="119" t="s">
        <v>94</v>
      </c>
      <c r="C124" s="119" t="s">
        <v>130</v>
      </c>
      <c r="D124" s="119" t="s">
        <v>65</v>
      </c>
      <c r="E124" s="6" t="s">
        <v>153</v>
      </c>
      <c r="F124" s="7" t="s">
        <v>154</v>
      </c>
      <c r="G124" s="7" t="s">
        <v>15</v>
      </c>
      <c r="H124" s="7" t="s">
        <v>16</v>
      </c>
      <c r="I124" s="7"/>
      <c r="J124" s="7" t="s">
        <v>99</v>
      </c>
      <c r="K124" s="8"/>
      <c r="O124" s="158"/>
      <c r="P124" s="9"/>
      <c r="Q124" s="9"/>
      <c r="R124" s="9"/>
      <c r="S124" s="9"/>
      <c r="T124" s="9"/>
      <c r="U124" s="9"/>
      <c r="V124" s="10" t="e">
        <f t="shared" si="21"/>
        <v>#DIV/0!</v>
      </c>
      <c r="W124" s="10" t="e">
        <f t="shared" si="19"/>
        <v>#DIV/0!</v>
      </c>
      <c r="X124" s="7"/>
      <c r="Y124" s="7"/>
    </row>
    <row r="125" spans="1:25" customFormat="1">
      <c r="A125" s="119" t="s">
        <v>979</v>
      </c>
      <c r="B125" s="119" t="s">
        <v>94</v>
      </c>
      <c r="C125" s="119" t="s">
        <v>130</v>
      </c>
      <c r="D125" s="119" t="s">
        <v>65</v>
      </c>
      <c r="E125" s="6" t="s">
        <v>155</v>
      </c>
      <c r="F125" s="7" t="s">
        <v>156</v>
      </c>
      <c r="G125" s="7" t="s">
        <v>15</v>
      </c>
      <c r="H125" s="7" t="s">
        <v>16</v>
      </c>
      <c r="I125" s="7"/>
      <c r="J125" s="7" t="s">
        <v>99</v>
      </c>
      <c r="K125" s="8"/>
      <c r="O125" s="158"/>
      <c r="P125" s="9"/>
      <c r="Q125" s="9"/>
      <c r="R125" s="9"/>
      <c r="S125" s="9"/>
      <c r="T125" s="9"/>
      <c r="U125" s="9"/>
      <c r="V125" s="10" t="e">
        <f t="shared" si="21"/>
        <v>#DIV/0!</v>
      </c>
      <c r="W125" s="10" t="e">
        <f t="shared" si="19"/>
        <v>#DIV/0!</v>
      </c>
      <c r="X125" s="7"/>
      <c r="Y125" s="7"/>
    </row>
    <row r="126" spans="1:25" customFormat="1">
      <c r="A126" s="119" t="s">
        <v>979</v>
      </c>
      <c r="B126" s="119" t="s">
        <v>94</v>
      </c>
      <c r="C126" s="119" t="s">
        <v>130</v>
      </c>
      <c r="D126" s="119" t="s">
        <v>65</v>
      </c>
      <c r="E126" s="6" t="s">
        <v>157</v>
      </c>
      <c r="F126" s="7" t="s">
        <v>158</v>
      </c>
      <c r="G126" s="7" t="s">
        <v>15</v>
      </c>
      <c r="H126" s="7" t="s">
        <v>16</v>
      </c>
      <c r="I126" s="7"/>
      <c r="J126" s="7" t="s">
        <v>99</v>
      </c>
      <c r="K126" s="8"/>
      <c r="O126" s="158"/>
      <c r="P126" s="9"/>
      <c r="Q126" s="9"/>
      <c r="R126" s="9"/>
      <c r="S126" s="9"/>
      <c r="T126" s="9"/>
      <c r="U126" s="9"/>
      <c r="V126" s="10" t="e">
        <f t="shared" si="21"/>
        <v>#DIV/0!</v>
      </c>
      <c r="W126" s="10" t="e">
        <f t="shared" si="19"/>
        <v>#DIV/0!</v>
      </c>
      <c r="X126" s="7"/>
      <c r="Y126" s="7"/>
    </row>
    <row r="127" spans="1:25" customFormat="1">
      <c r="A127" s="119" t="s">
        <v>979</v>
      </c>
      <c r="B127" s="119" t="s">
        <v>94</v>
      </c>
      <c r="C127" s="119" t="s">
        <v>130</v>
      </c>
      <c r="D127" s="119" t="s">
        <v>65</v>
      </c>
      <c r="E127" s="6" t="s">
        <v>159</v>
      </c>
      <c r="F127" s="7" t="s">
        <v>160</v>
      </c>
      <c r="G127" s="7" t="s">
        <v>15</v>
      </c>
      <c r="H127" s="7" t="s">
        <v>16</v>
      </c>
      <c r="I127" s="7"/>
      <c r="J127" s="7" t="s">
        <v>99</v>
      </c>
      <c r="K127" s="8"/>
      <c r="O127" s="158"/>
      <c r="P127" s="9"/>
      <c r="Q127" s="9"/>
      <c r="R127" s="9"/>
      <c r="S127" s="9"/>
      <c r="T127" s="9"/>
      <c r="U127" s="9"/>
      <c r="V127" s="10" t="e">
        <f t="shared" si="21"/>
        <v>#DIV/0!</v>
      </c>
      <c r="W127" s="10" t="e">
        <f t="shared" si="19"/>
        <v>#DIV/0!</v>
      </c>
      <c r="X127" s="7"/>
      <c r="Y127" s="7"/>
    </row>
    <row r="128" spans="1:25" customFormat="1">
      <c r="A128" s="119" t="s">
        <v>979</v>
      </c>
      <c r="B128" s="119" t="s">
        <v>94</v>
      </c>
      <c r="C128" s="119" t="s">
        <v>130</v>
      </c>
      <c r="D128" s="119" t="s">
        <v>65</v>
      </c>
      <c r="E128" s="6" t="s">
        <v>161</v>
      </c>
      <c r="F128" s="7" t="s">
        <v>162</v>
      </c>
      <c r="G128" s="7" t="s">
        <v>15</v>
      </c>
      <c r="H128" s="7" t="s">
        <v>16</v>
      </c>
      <c r="I128" s="7"/>
      <c r="J128" s="7" t="s">
        <v>99</v>
      </c>
      <c r="K128" s="8"/>
      <c r="O128" s="158"/>
      <c r="P128" s="9"/>
      <c r="Q128" s="9"/>
      <c r="R128" s="9"/>
      <c r="S128" s="9"/>
      <c r="T128" s="9"/>
      <c r="U128" s="9"/>
      <c r="V128" s="10" t="e">
        <f t="shared" si="21"/>
        <v>#DIV/0!</v>
      </c>
      <c r="W128" s="10" t="e">
        <f t="shared" si="19"/>
        <v>#DIV/0!</v>
      </c>
      <c r="X128" s="7"/>
      <c r="Y128" s="7"/>
    </row>
    <row r="129" spans="1:23" customFormat="1">
      <c r="A129" s="119" t="s">
        <v>979</v>
      </c>
      <c r="B129" s="119" t="s">
        <v>94</v>
      </c>
      <c r="C129" s="119" t="s">
        <v>130</v>
      </c>
      <c r="D129" s="119" t="s">
        <v>65</v>
      </c>
      <c r="E129" s="6" t="s">
        <v>163</v>
      </c>
      <c r="F129" s="7" t="s">
        <v>164</v>
      </c>
      <c r="G129" s="7" t="s">
        <v>15</v>
      </c>
      <c r="H129" s="7" t="s">
        <v>16</v>
      </c>
      <c r="I129" s="7"/>
      <c r="J129" s="7" t="s">
        <v>99</v>
      </c>
      <c r="K129" s="8"/>
      <c r="O129" s="158"/>
      <c r="P129" s="129"/>
      <c r="Q129" s="9"/>
      <c r="R129" s="9"/>
      <c r="S129" s="9"/>
      <c r="T129" s="9"/>
      <c r="U129" s="9"/>
      <c r="V129" s="10" t="e">
        <f t="shared" si="21"/>
        <v>#DIV/0!</v>
      </c>
      <c r="W129" s="10" t="e">
        <f t="shared" si="19"/>
        <v>#DIV/0!</v>
      </c>
    </row>
    <row r="130" spans="1:23" customFormat="1">
      <c r="A130" s="119" t="s">
        <v>979</v>
      </c>
      <c r="B130" s="119" t="s">
        <v>94</v>
      </c>
      <c r="C130" s="119" t="s">
        <v>130</v>
      </c>
      <c r="D130" s="119" t="s">
        <v>65</v>
      </c>
      <c r="E130" s="6" t="s">
        <v>165</v>
      </c>
      <c r="F130" s="7" t="s">
        <v>166</v>
      </c>
      <c r="G130" s="7" t="s">
        <v>15</v>
      </c>
      <c r="H130" s="7" t="s">
        <v>16</v>
      </c>
      <c r="I130" s="7"/>
      <c r="J130" s="7" t="s">
        <v>99</v>
      </c>
      <c r="K130" s="8"/>
      <c r="O130" s="158"/>
      <c r="P130" s="9"/>
      <c r="Q130" s="9"/>
      <c r="R130" s="9"/>
      <c r="S130" s="9"/>
      <c r="T130" s="9"/>
      <c r="U130" s="9"/>
      <c r="V130" s="10" t="e">
        <f t="shared" si="21"/>
        <v>#DIV/0!</v>
      </c>
      <c r="W130" s="10" t="e">
        <f t="shared" si="19"/>
        <v>#DIV/0!</v>
      </c>
    </row>
    <row r="131" spans="1:23" customFormat="1">
      <c r="A131" s="119" t="s">
        <v>979</v>
      </c>
      <c r="B131" s="119" t="s">
        <v>94</v>
      </c>
      <c r="C131" s="119" t="s">
        <v>130</v>
      </c>
      <c r="D131" s="119" t="s">
        <v>65</v>
      </c>
      <c r="E131" s="6" t="s">
        <v>167</v>
      </c>
      <c r="F131" s="7" t="s">
        <v>168</v>
      </c>
      <c r="G131" s="7" t="s">
        <v>15</v>
      </c>
      <c r="H131" s="7" t="s">
        <v>16</v>
      </c>
      <c r="I131" s="7"/>
      <c r="J131" s="7" t="s">
        <v>99</v>
      </c>
      <c r="K131" s="8"/>
      <c r="O131" s="158"/>
      <c r="P131" s="9"/>
      <c r="Q131" s="9"/>
      <c r="R131" s="9"/>
      <c r="S131" s="9"/>
      <c r="T131" s="9"/>
      <c r="U131" s="9"/>
      <c r="V131" s="10" t="e">
        <f t="shared" si="21"/>
        <v>#DIV/0!</v>
      </c>
      <c r="W131" s="10" t="e">
        <f t="shared" si="19"/>
        <v>#DIV/0!</v>
      </c>
    </row>
    <row r="132" spans="1:23" customFormat="1">
      <c r="A132" s="119" t="s">
        <v>979</v>
      </c>
      <c r="B132" s="119" t="s">
        <v>94</v>
      </c>
      <c r="C132" s="119" t="s">
        <v>130</v>
      </c>
      <c r="D132" s="119" t="s">
        <v>65</v>
      </c>
      <c r="E132" s="6" t="s">
        <v>169</v>
      </c>
      <c r="F132" s="7" t="s">
        <v>170</v>
      </c>
      <c r="G132" s="7" t="s">
        <v>15</v>
      </c>
      <c r="H132" s="7" t="s">
        <v>16</v>
      </c>
      <c r="I132" s="7"/>
      <c r="J132" s="7" t="s">
        <v>99</v>
      </c>
      <c r="K132" s="8"/>
      <c r="O132" s="158"/>
      <c r="P132" s="9"/>
      <c r="Q132" s="9"/>
      <c r="R132" s="9"/>
      <c r="S132" s="9"/>
      <c r="T132" s="9"/>
      <c r="U132" s="9"/>
      <c r="V132" s="10" t="e">
        <f t="shared" si="21"/>
        <v>#DIV/0!</v>
      </c>
      <c r="W132" s="10" t="e">
        <f t="shared" si="19"/>
        <v>#DIV/0!</v>
      </c>
    </row>
    <row r="133" spans="1:23" customFormat="1">
      <c r="A133" s="119" t="s">
        <v>979</v>
      </c>
      <c r="B133" s="119" t="s">
        <v>94</v>
      </c>
      <c r="C133" s="119" t="s">
        <v>130</v>
      </c>
      <c r="D133" s="119" t="s">
        <v>65</v>
      </c>
      <c r="E133" s="6" t="s">
        <v>171</v>
      </c>
      <c r="F133" s="7" t="s">
        <v>172</v>
      </c>
      <c r="G133" s="7" t="s">
        <v>15</v>
      </c>
      <c r="H133" s="7" t="s">
        <v>16</v>
      </c>
      <c r="I133" s="7"/>
      <c r="J133" s="7" t="s">
        <v>99</v>
      </c>
      <c r="K133" s="8"/>
      <c r="O133" s="158"/>
      <c r="P133" s="9"/>
      <c r="Q133" s="9"/>
      <c r="R133" s="9"/>
      <c r="S133" s="9"/>
      <c r="T133" s="9"/>
      <c r="U133" s="9"/>
      <c r="V133" s="10" t="e">
        <f t="shared" si="21"/>
        <v>#DIV/0!</v>
      </c>
      <c r="W133" s="10" t="e">
        <f t="shared" si="19"/>
        <v>#DIV/0!</v>
      </c>
    </row>
    <row r="134" spans="1:23" customFormat="1">
      <c r="A134" s="119" t="s">
        <v>979</v>
      </c>
      <c r="B134" s="119" t="s">
        <v>94</v>
      </c>
      <c r="C134" s="119" t="s">
        <v>130</v>
      </c>
      <c r="D134" s="119" t="s">
        <v>65</v>
      </c>
      <c r="E134" s="6" t="s">
        <v>173</v>
      </c>
      <c r="F134" s="7" t="s">
        <v>174</v>
      </c>
      <c r="G134" s="7" t="s">
        <v>15</v>
      </c>
      <c r="H134" s="7" t="s">
        <v>16</v>
      </c>
      <c r="I134" s="7"/>
      <c r="J134" s="7" t="s">
        <v>99</v>
      </c>
      <c r="K134" s="8"/>
      <c r="O134" s="158"/>
      <c r="P134" s="9"/>
      <c r="Q134" s="9"/>
      <c r="R134" s="9"/>
      <c r="S134" s="9"/>
      <c r="T134" s="9"/>
      <c r="U134" s="9"/>
      <c r="V134" s="10" t="e">
        <f t="shared" si="21"/>
        <v>#DIV/0!</v>
      </c>
      <c r="W134" s="10" t="e">
        <f t="shared" si="19"/>
        <v>#DIV/0!</v>
      </c>
    </row>
    <row r="135" spans="1:23" customFormat="1">
      <c r="A135" s="119" t="s">
        <v>979</v>
      </c>
      <c r="B135" s="119" t="s">
        <v>94</v>
      </c>
      <c r="C135" s="119" t="s">
        <v>130</v>
      </c>
      <c r="D135" s="119" t="s">
        <v>65</v>
      </c>
      <c r="E135" s="6" t="s">
        <v>175</v>
      </c>
      <c r="F135" s="7" t="s">
        <v>176</v>
      </c>
      <c r="G135" s="7" t="s">
        <v>15</v>
      </c>
      <c r="H135" s="7" t="s">
        <v>16</v>
      </c>
      <c r="I135" s="7"/>
      <c r="J135" s="7" t="s">
        <v>99</v>
      </c>
      <c r="K135" s="8"/>
      <c r="O135" s="158"/>
      <c r="P135" s="9"/>
      <c r="Q135" s="9"/>
      <c r="R135" s="9"/>
      <c r="S135" s="9"/>
      <c r="T135" s="9"/>
      <c r="U135" s="9"/>
      <c r="V135" s="10" t="e">
        <f t="shared" si="21"/>
        <v>#DIV/0!</v>
      </c>
      <c r="W135" s="10" t="e">
        <f t="shared" si="19"/>
        <v>#DIV/0!</v>
      </c>
    </row>
    <row r="136" spans="1:23" customFormat="1">
      <c r="A136" s="119" t="s">
        <v>979</v>
      </c>
      <c r="B136" s="119" t="s">
        <v>94</v>
      </c>
      <c r="C136" s="119" t="s">
        <v>130</v>
      </c>
      <c r="D136" s="119" t="s">
        <v>65</v>
      </c>
      <c r="E136" s="6" t="s">
        <v>177</v>
      </c>
      <c r="F136" s="7" t="s">
        <v>178</v>
      </c>
      <c r="G136" s="7" t="s">
        <v>15</v>
      </c>
      <c r="H136" s="7" t="s">
        <v>16</v>
      </c>
      <c r="I136" s="7"/>
      <c r="J136" s="7" t="s">
        <v>99</v>
      </c>
      <c r="K136" s="8"/>
      <c r="O136" s="158"/>
      <c r="P136" s="9"/>
      <c r="Q136" s="9"/>
      <c r="R136" s="9"/>
      <c r="S136" s="9"/>
      <c r="T136" s="9"/>
      <c r="U136" s="9"/>
      <c r="V136" s="10" t="e">
        <f t="shared" si="21"/>
        <v>#DIV/0!</v>
      </c>
      <c r="W136" s="10" t="e">
        <f t="shared" si="19"/>
        <v>#DIV/0!</v>
      </c>
    </row>
    <row r="137" spans="1:23" customFormat="1">
      <c r="A137" s="119" t="s">
        <v>979</v>
      </c>
      <c r="B137" s="119" t="s">
        <v>94</v>
      </c>
      <c r="C137" s="119" t="s">
        <v>130</v>
      </c>
      <c r="D137" s="119" t="s">
        <v>65</v>
      </c>
      <c r="E137" s="6" t="s">
        <v>179</v>
      </c>
      <c r="F137" s="7" t="s">
        <v>180</v>
      </c>
      <c r="G137" s="7" t="s">
        <v>15</v>
      </c>
      <c r="H137" s="7" t="s">
        <v>16</v>
      </c>
      <c r="I137" s="7"/>
      <c r="J137" s="7" t="s">
        <v>99</v>
      </c>
      <c r="K137" s="8"/>
      <c r="O137" s="158"/>
      <c r="P137" s="9"/>
      <c r="Q137" s="9"/>
      <c r="R137" s="9"/>
      <c r="S137" s="9"/>
      <c r="T137" s="9"/>
      <c r="U137" s="9"/>
      <c r="V137" s="10" t="e">
        <f t="shared" si="21"/>
        <v>#DIV/0!</v>
      </c>
      <c r="W137" s="10" t="e">
        <f t="shared" si="19"/>
        <v>#DIV/0!</v>
      </c>
    </row>
    <row r="138" spans="1:23" customFormat="1">
      <c r="A138" s="119" t="s">
        <v>979</v>
      </c>
      <c r="B138" s="119" t="s">
        <v>94</v>
      </c>
      <c r="C138" s="119" t="s">
        <v>130</v>
      </c>
      <c r="D138" s="119" t="s">
        <v>65</v>
      </c>
      <c r="E138" s="6" t="s">
        <v>181</v>
      </c>
      <c r="F138" s="7" t="s">
        <v>182</v>
      </c>
      <c r="G138" s="7" t="s">
        <v>15</v>
      </c>
      <c r="H138" s="7" t="s">
        <v>16</v>
      </c>
      <c r="I138" s="7"/>
      <c r="J138" s="7" t="s">
        <v>99</v>
      </c>
      <c r="K138" s="8"/>
      <c r="O138" s="158"/>
      <c r="P138" s="9"/>
      <c r="Q138" s="9"/>
      <c r="R138" s="9"/>
      <c r="S138" s="9"/>
      <c r="T138" s="9"/>
      <c r="U138" s="9"/>
      <c r="V138" s="10" t="e">
        <f t="shared" si="21"/>
        <v>#DIV/0!</v>
      </c>
      <c r="W138" s="10" t="e">
        <f t="shared" ref="W138:W167" si="22">+(U138/Q138)^(1/4)-1</f>
        <v>#DIV/0!</v>
      </c>
    </row>
    <row r="139" spans="1:23" customFormat="1">
      <c r="A139" s="119" t="s">
        <v>979</v>
      </c>
      <c r="B139" s="119" t="s">
        <v>94</v>
      </c>
      <c r="C139" s="119" t="s">
        <v>130</v>
      </c>
      <c r="D139" s="119" t="s">
        <v>65</v>
      </c>
      <c r="E139" s="6" t="s">
        <v>183</v>
      </c>
      <c r="F139" s="7" t="s">
        <v>184</v>
      </c>
      <c r="G139" s="7" t="s">
        <v>15</v>
      </c>
      <c r="H139" s="7" t="s">
        <v>16</v>
      </c>
      <c r="I139" s="7"/>
      <c r="J139" s="7" t="s">
        <v>99</v>
      </c>
      <c r="K139" s="8"/>
      <c r="O139" s="158"/>
      <c r="P139" s="9"/>
      <c r="Q139" s="9"/>
      <c r="R139" s="9"/>
      <c r="S139" s="9"/>
      <c r="T139" s="9"/>
      <c r="U139" s="9"/>
      <c r="V139" s="10" t="e">
        <f t="shared" si="21"/>
        <v>#DIV/0!</v>
      </c>
      <c r="W139" s="10" t="e">
        <f t="shared" si="22"/>
        <v>#DIV/0!</v>
      </c>
    </row>
    <row r="140" spans="1:23" customFormat="1">
      <c r="A140" s="119" t="s">
        <v>979</v>
      </c>
      <c r="B140" s="119" t="s">
        <v>94</v>
      </c>
      <c r="C140" s="119" t="s">
        <v>130</v>
      </c>
      <c r="D140" s="119" t="s">
        <v>65</v>
      </c>
      <c r="E140" s="6" t="s">
        <v>185</v>
      </c>
      <c r="F140" s="7" t="s">
        <v>186</v>
      </c>
      <c r="G140" s="7" t="s">
        <v>15</v>
      </c>
      <c r="H140" s="7" t="s">
        <v>16</v>
      </c>
      <c r="I140" s="7"/>
      <c r="J140" s="7" t="s">
        <v>99</v>
      </c>
      <c r="K140" s="8"/>
      <c r="O140" s="158"/>
      <c r="P140" s="9"/>
      <c r="Q140" s="9"/>
      <c r="R140" s="9"/>
      <c r="S140" s="9"/>
      <c r="T140" s="9"/>
      <c r="U140" s="9"/>
      <c r="V140" s="10" t="e">
        <f t="shared" si="21"/>
        <v>#DIV/0!</v>
      </c>
      <c r="W140" s="10" t="e">
        <f t="shared" si="22"/>
        <v>#DIV/0!</v>
      </c>
    </row>
    <row r="141" spans="1:23" customFormat="1">
      <c r="A141" s="119" t="s">
        <v>979</v>
      </c>
      <c r="B141" s="119" t="s">
        <v>94</v>
      </c>
      <c r="C141" s="119" t="s">
        <v>130</v>
      </c>
      <c r="D141" s="119" t="s">
        <v>65</v>
      </c>
      <c r="E141" s="6" t="s">
        <v>187</v>
      </c>
      <c r="F141" s="7" t="s">
        <v>188</v>
      </c>
      <c r="G141" s="7" t="s">
        <v>15</v>
      </c>
      <c r="H141" s="7" t="s">
        <v>16</v>
      </c>
      <c r="I141" s="7"/>
      <c r="J141" s="7" t="s">
        <v>99</v>
      </c>
      <c r="K141" s="8"/>
      <c r="O141" s="158"/>
      <c r="P141" s="9"/>
      <c r="Q141" s="9"/>
      <c r="R141" s="9"/>
      <c r="S141" s="9"/>
      <c r="T141" s="9"/>
      <c r="U141" s="9"/>
      <c r="V141" s="10" t="e">
        <f t="shared" si="21"/>
        <v>#DIV/0!</v>
      </c>
      <c r="W141" s="10" t="e">
        <f t="shared" si="22"/>
        <v>#DIV/0!</v>
      </c>
    </row>
    <row r="142" spans="1:23" customFormat="1">
      <c r="A142" s="119" t="s">
        <v>979</v>
      </c>
      <c r="B142" s="119" t="s">
        <v>94</v>
      </c>
      <c r="C142" s="119" t="s">
        <v>130</v>
      </c>
      <c r="D142" s="119" t="s">
        <v>65</v>
      </c>
      <c r="E142" s="6" t="s">
        <v>189</v>
      </c>
      <c r="F142" s="7" t="s">
        <v>190</v>
      </c>
      <c r="G142" s="7" t="s">
        <v>15</v>
      </c>
      <c r="H142" s="7" t="s">
        <v>16</v>
      </c>
      <c r="I142" s="7"/>
      <c r="J142" s="7" t="s">
        <v>99</v>
      </c>
      <c r="K142" s="8"/>
      <c r="O142" s="158"/>
      <c r="P142" s="9"/>
      <c r="Q142" s="9"/>
      <c r="R142" s="9"/>
      <c r="S142" s="9"/>
      <c r="T142" s="9"/>
      <c r="U142" s="9"/>
      <c r="V142" s="10" t="e">
        <f t="shared" si="21"/>
        <v>#DIV/0!</v>
      </c>
      <c r="W142" s="10" t="e">
        <f t="shared" si="22"/>
        <v>#DIV/0!</v>
      </c>
    </row>
    <row r="143" spans="1:23" customFormat="1">
      <c r="A143" s="119" t="s">
        <v>979</v>
      </c>
      <c r="B143" s="119" t="s">
        <v>94</v>
      </c>
      <c r="C143" s="119" t="s">
        <v>130</v>
      </c>
      <c r="D143" s="119" t="s">
        <v>65</v>
      </c>
      <c r="E143" s="6" t="s">
        <v>191</v>
      </c>
      <c r="F143" s="7" t="s">
        <v>192</v>
      </c>
      <c r="G143" s="7" t="s">
        <v>15</v>
      </c>
      <c r="H143" s="7" t="s">
        <v>16</v>
      </c>
      <c r="I143" s="7"/>
      <c r="J143" s="7" t="s">
        <v>99</v>
      </c>
      <c r="K143" s="8"/>
      <c r="O143" s="158"/>
      <c r="P143" s="9"/>
      <c r="Q143" s="9"/>
      <c r="R143" s="9"/>
      <c r="S143" s="9"/>
      <c r="T143" s="9"/>
      <c r="U143" s="9"/>
      <c r="V143" s="10" t="e">
        <f t="shared" si="21"/>
        <v>#DIV/0!</v>
      </c>
      <c r="W143" s="10" t="e">
        <f t="shared" si="22"/>
        <v>#DIV/0!</v>
      </c>
    </row>
    <row r="144" spans="1:23" customFormat="1">
      <c r="A144" s="119" t="s">
        <v>979</v>
      </c>
      <c r="B144" s="119" t="s">
        <v>94</v>
      </c>
      <c r="C144" s="119" t="s">
        <v>130</v>
      </c>
      <c r="D144" s="119" t="s">
        <v>65</v>
      </c>
      <c r="E144" s="6" t="s">
        <v>193</v>
      </c>
      <c r="F144" s="7" t="s">
        <v>194</v>
      </c>
      <c r="G144" s="7" t="s">
        <v>15</v>
      </c>
      <c r="H144" s="7" t="s">
        <v>16</v>
      </c>
      <c r="I144" s="7"/>
      <c r="J144" s="7" t="s">
        <v>99</v>
      </c>
      <c r="K144" s="8"/>
      <c r="O144" s="158"/>
      <c r="P144" s="9"/>
      <c r="Q144" s="9"/>
      <c r="R144" s="9"/>
      <c r="S144" s="9"/>
      <c r="T144" s="9"/>
      <c r="U144" s="9"/>
      <c r="V144" s="10" t="e">
        <f t="shared" si="21"/>
        <v>#DIV/0!</v>
      </c>
      <c r="W144" s="10" t="e">
        <f t="shared" si="22"/>
        <v>#DIV/0!</v>
      </c>
    </row>
    <row r="145" spans="1:26" customFormat="1">
      <c r="A145" s="119" t="s">
        <v>979</v>
      </c>
      <c r="B145" s="119" t="s">
        <v>94</v>
      </c>
      <c r="C145" s="119" t="s">
        <v>130</v>
      </c>
      <c r="D145" s="119" t="s">
        <v>65</v>
      </c>
      <c r="E145" s="6" t="s">
        <v>195</v>
      </c>
      <c r="F145" s="7" t="s">
        <v>196</v>
      </c>
      <c r="G145" s="7" t="s">
        <v>15</v>
      </c>
      <c r="H145" s="7" t="s">
        <v>16</v>
      </c>
      <c r="I145" s="7"/>
      <c r="J145" s="7" t="s">
        <v>99</v>
      </c>
      <c r="K145" s="8"/>
      <c r="O145" s="158"/>
      <c r="P145" s="9"/>
      <c r="Q145" s="9"/>
      <c r="R145" s="9"/>
      <c r="S145" s="9"/>
      <c r="T145" s="9"/>
      <c r="U145" s="9"/>
      <c r="V145" s="10" t="e">
        <f t="shared" si="21"/>
        <v>#DIV/0!</v>
      </c>
      <c r="W145" s="10" t="e">
        <f t="shared" si="22"/>
        <v>#DIV/0!</v>
      </c>
      <c r="X145" s="7"/>
      <c r="Y145" s="7"/>
      <c r="Z145" s="7"/>
    </row>
    <row r="146" spans="1:26" customFormat="1">
      <c r="A146" s="119" t="s">
        <v>979</v>
      </c>
      <c r="B146" s="119" t="s">
        <v>94</v>
      </c>
      <c r="C146" s="119" t="s">
        <v>130</v>
      </c>
      <c r="D146" s="119" t="s">
        <v>65</v>
      </c>
      <c r="E146" s="6" t="s">
        <v>197</v>
      </c>
      <c r="F146" s="7" t="s">
        <v>198</v>
      </c>
      <c r="G146" s="7" t="s">
        <v>15</v>
      </c>
      <c r="H146" s="7" t="s">
        <v>16</v>
      </c>
      <c r="I146" s="7"/>
      <c r="J146" s="7" t="s">
        <v>99</v>
      </c>
      <c r="K146" s="8"/>
      <c r="O146" s="158"/>
      <c r="P146" s="9"/>
      <c r="Q146" s="9"/>
      <c r="R146" s="9"/>
      <c r="S146" s="9"/>
      <c r="T146" s="9"/>
      <c r="U146" s="9"/>
      <c r="V146" s="10" t="e">
        <f t="shared" si="21"/>
        <v>#DIV/0!</v>
      </c>
      <c r="W146" s="10" t="e">
        <f t="shared" si="22"/>
        <v>#DIV/0!</v>
      </c>
      <c r="X146" s="7"/>
      <c r="Y146" s="7"/>
      <c r="Z146" s="7"/>
    </row>
    <row r="147" spans="1:26" customFormat="1">
      <c r="A147" s="119" t="s">
        <v>979</v>
      </c>
      <c r="B147" s="119" t="s">
        <v>94</v>
      </c>
      <c r="C147" s="119" t="s">
        <v>130</v>
      </c>
      <c r="D147" s="119" t="s">
        <v>65</v>
      </c>
      <c r="E147" s="6" t="s">
        <v>199</v>
      </c>
      <c r="F147" s="7" t="s">
        <v>200</v>
      </c>
      <c r="G147" s="7" t="s">
        <v>15</v>
      </c>
      <c r="H147" s="7" t="s">
        <v>16</v>
      </c>
      <c r="I147" s="7"/>
      <c r="J147" s="7" t="s">
        <v>99</v>
      </c>
      <c r="K147" s="8"/>
      <c r="O147" s="158"/>
      <c r="P147" s="129"/>
      <c r="Q147" s="9"/>
      <c r="R147" s="9"/>
      <c r="S147" s="9"/>
      <c r="T147" s="9"/>
      <c r="U147" s="9"/>
      <c r="V147" s="10" t="e">
        <f t="shared" ref="V147:V167" si="23">+(P147/L147)^(1/4)-1</f>
        <v>#DIV/0!</v>
      </c>
      <c r="W147" s="10" t="e">
        <f t="shared" si="22"/>
        <v>#DIV/0!</v>
      </c>
      <c r="X147" s="7"/>
      <c r="Y147" s="7"/>
      <c r="Z147" s="7"/>
    </row>
    <row r="148" spans="1:26" customFormat="1">
      <c r="A148" s="119" t="s">
        <v>979</v>
      </c>
      <c r="B148" s="119" t="s">
        <v>94</v>
      </c>
      <c r="C148" s="119" t="s">
        <v>130</v>
      </c>
      <c r="D148" s="119" t="s">
        <v>65</v>
      </c>
      <c r="E148" s="6" t="s">
        <v>201</v>
      </c>
      <c r="F148" s="7" t="s">
        <v>202</v>
      </c>
      <c r="G148" s="7" t="s">
        <v>15</v>
      </c>
      <c r="H148" s="7" t="s">
        <v>16</v>
      </c>
      <c r="I148" s="7"/>
      <c r="J148" s="7" t="s">
        <v>99</v>
      </c>
      <c r="K148" s="8"/>
      <c r="O148" s="158"/>
      <c r="P148" s="9"/>
      <c r="Q148" s="9"/>
      <c r="R148" s="9"/>
      <c r="S148" s="9"/>
      <c r="T148" s="9"/>
      <c r="U148" s="9"/>
      <c r="V148" s="10" t="e">
        <f t="shared" si="23"/>
        <v>#DIV/0!</v>
      </c>
      <c r="W148" s="10" t="e">
        <f t="shared" si="22"/>
        <v>#DIV/0!</v>
      </c>
      <c r="X148" s="7"/>
      <c r="Y148" s="7"/>
      <c r="Z148" s="7"/>
    </row>
    <row r="149" spans="1:26" customFormat="1">
      <c r="A149" s="119" t="s">
        <v>979</v>
      </c>
      <c r="B149" s="119" t="s">
        <v>94</v>
      </c>
      <c r="C149" s="119" t="s">
        <v>130</v>
      </c>
      <c r="D149" s="119" t="s">
        <v>65</v>
      </c>
      <c r="E149" s="6" t="s">
        <v>203</v>
      </c>
      <c r="F149" s="7" t="s">
        <v>204</v>
      </c>
      <c r="G149" s="7" t="s">
        <v>15</v>
      </c>
      <c r="H149" s="7" t="s">
        <v>16</v>
      </c>
      <c r="I149" s="7"/>
      <c r="J149" s="7" t="s">
        <v>99</v>
      </c>
      <c r="K149" s="8"/>
      <c r="O149" s="158"/>
      <c r="P149" s="9"/>
      <c r="Q149" s="9"/>
      <c r="R149" s="9"/>
      <c r="S149" s="9"/>
      <c r="T149" s="9"/>
      <c r="U149" s="9"/>
      <c r="V149" s="10" t="e">
        <f t="shared" si="23"/>
        <v>#DIV/0!</v>
      </c>
      <c r="W149" s="10" t="e">
        <f t="shared" si="22"/>
        <v>#DIV/0!</v>
      </c>
      <c r="X149" s="7"/>
      <c r="Y149" s="7"/>
      <c r="Z149" s="7"/>
    </row>
    <row r="150" spans="1:26" customFormat="1">
      <c r="A150" s="119" t="s">
        <v>979</v>
      </c>
      <c r="B150" s="119" t="s">
        <v>94</v>
      </c>
      <c r="C150" s="119" t="s">
        <v>130</v>
      </c>
      <c r="D150" s="119" t="s">
        <v>65</v>
      </c>
      <c r="E150" s="6" t="s">
        <v>205</v>
      </c>
      <c r="F150" s="7" t="s">
        <v>206</v>
      </c>
      <c r="G150" s="7" t="s">
        <v>15</v>
      </c>
      <c r="H150" s="7" t="s">
        <v>16</v>
      </c>
      <c r="I150" s="7"/>
      <c r="J150" s="7" t="s">
        <v>99</v>
      </c>
      <c r="K150" s="8"/>
      <c r="O150" s="158"/>
      <c r="P150" s="9"/>
      <c r="Q150" s="9"/>
      <c r="R150" s="9"/>
      <c r="S150" s="9"/>
      <c r="T150" s="9"/>
      <c r="U150" s="9"/>
      <c r="V150" s="10" t="e">
        <f t="shared" si="23"/>
        <v>#DIV/0!</v>
      </c>
      <c r="W150" s="10" t="e">
        <f t="shared" si="22"/>
        <v>#DIV/0!</v>
      </c>
      <c r="X150" s="7"/>
      <c r="Y150" s="7"/>
      <c r="Z150" s="7"/>
    </row>
    <row r="151" spans="1:26" customFormat="1">
      <c r="A151" s="119" t="s">
        <v>979</v>
      </c>
      <c r="B151" s="119" t="s">
        <v>94</v>
      </c>
      <c r="C151" s="119" t="s">
        <v>130</v>
      </c>
      <c r="D151" s="119" t="s">
        <v>65</v>
      </c>
      <c r="E151" s="6" t="s">
        <v>207</v>
      </c>
      <c r="F151" s="7" t="s">
        <v>208</v>
      </c>
      <c r="G151" s="7" t="s">
        <v>15</v>
      </c>
      <c r="H151" s="7" t="s">
        <v>16</v>
      </c>
      <c r="I151" s="7"/>
      <c r="J151" s="7" t="s">
        <v>99</v>
      </c>
      <c r="K151" s="8"/>
      <c r="O151" s="158"/>
      <c r="P151" s="129"/>
      <c r="Q151" s="9"/>
      <c r="R151" s="9"/>
      <c r="S151" s="9"/>
      <c r="T151" s="9"/>
      <c r="U151" s="9"/>
      <c r="V151" s="10" t="e">
        <f t="shared" si="23"/>
        <v>#DIV/0!</v>
      </c>
      <c r="W151" s="10" t="e">
        <f t="shared" si="22"/>
        <v>#DIV/0!</v>
      </c>
      <c r="X151" s="7"/>
      <c r="Y151" s="7"/>
      <c r="Z151" s="7"/>
    </row>
    <row r="152" spans="1:26" customFormat="1">
      <c r="A152" s="119" t="s">
        <v>979</v>
      </c>
      <c r="B152" s="119" t="s">
        <v>94</v>
      </c>
      <c r="C152" s="119" t="s">
        <v>130</v>
      </c>
      <c r="D152" s="119" t="s">
        <v>65</v>
      </c>
      <c r="E152" s="6" t="s">
        <v>209</v>
      </c>
      <c r="F152" s="7" t="s">
        <v>210</v>
      </c>
      <c r="G152" s="7" t="s">
        <v>15</v>
      </c>
      <c r="H152" s="7" t="s">
        <v>16</v>
      </c>
      <c r="I152" s="7"/>
      <c r="J152" s="7" t="s">
        <v>99</v>
      </c>
      <c r="K152" s="8"/>
      <c r="O152" s="158"/>
      <c r="P152" s="9"/>
      <c r="Q152" s="9"/>
      <c r="R152" s="9"/>
      <c r="S152" s="9"/>
      <c r="T152" s="9"/>
      <c r="U152" s="9"/>
      <c r="V152" s="10" t="e">
        <f t="shared" si="23"/>
        <v>#DIV/0!</v>
      </c>
      <c r="W152" s="10" t="e">
        <f t="shared" si="22"/>
        <v>#DIV/0!</v>
      </c>
      <c r="X152" s="7"/>
      <c r="Y152" s="7"/>
      <c r="Z152" s="7"/>
    </row>
    <row r="153" spans="1:26" customFormat="1">
      <c r="A153" s="119" t="s">
        <v>979</v>
      </c>
      <c r="B153" s="119" t="s">
        <v>94</v>
      </c>
      <c r="C153" s="119" t="s">
        <v>130</v>
      </c>
      <c r="D153" s="119" t="s">
        <v>65</v>
      </c>
      <c r="E153" s="6" t="s">
        <v>211</v>
      </c>
      <c r="F153" s="7" t="s">
        <v>212</v>
      </c>
      <c r="G153" s="7" t="s">
        <v>15</v>
      </c>
      <c r="H153" s="7" t="s">
        <v>16</v>
      </c>
      <c r="I153" s="7"/>
      <c r="J153" s="7" t="s">
        <v>99</v>
      </c>
      <c r="K153" s="8"/>
      <c r="O153" s="158"/>
      <c r="P153" s="9"/>
      <c r="Q153" s="9"/>
      <c r="R153" s="9"/>
      <c r="S153" s="9"/>
      <c r="T153" s="9"/>
      <c r="U153" s="9"/>
      <c r="V153" s="10" t="e">
        <f t="shared" si="23"/>
        <v>#DIV/0!</v>
      </c>
      <c r="W153" s="10" t="e">
        <f t="shared" si="22"/>
        <v>#DIV/0!</v>
      </c>
      <c r="X153" s="7"/>
      <c r="Y153" s="7"/>
      <c r="Z153" s="7"/>
    </row>
    <row r="154" spans="1:26" customFormat="1">
      <c r="A154" s="119" t="s">
        <v>979</v>
      </c>
      <c r="B154" s="119" t="s">
        <v>94</v>
      </c>
      <c r="C154" s="119" t="s">
        <v>130</v>
      </c>
      <c r="D154" s="119" t="s">
        <v>65</v>
      </c>
      <c r="E154" s="6" t="s">
        <v>213</v>
      </c>
      <c r="F154" s="7" t="s">
        <v>214</v>
      </c>
      <c r="G154" s="7" t="s">
        <v>15</v>
      </c>
      <c r="H154" s="7" t="s">
        <v>16</v>
      </c>
      <c r="I154" s="7"/>
      <c r="J154" s="7" t="s">
        <v>99</v>
      </c>
      <c r="K154" s="8"/>
      <c r="O154" s="158"/>
      <c r="P154" s="9"/>
      <c r="Q154" s="9"/>
      <c r="R154" s="9"/>
      <c r="S154" s="9"/>
      <c r="T154" s="9"/>
      <c r="U154" s="9"/>
      <c r="V154" s="10" t="e">
        <f t="shared" si="23"/>
        <v>#DIV/0!</v>
      </c>
      <c r="W154" s="10" t="e">
        <f t="shared" si="22"/>
        <v>#DIV/0!</v>
      </c>
      <c r="X154" s="7"/>
      <c r="Y154" s="7"/>
      <c r="Z154" s="7"/>
    </row>
    <row r="155" spans="1:26" customFormat="1">
      <c r="A155" s="119" t="s">
        <v>979</v>
      </c>
      <c r="B155" s="119" t="s">
        <v>94</v>
      </c>
      <c r="C155" s="119" t="s">
        <v>130</v>
      </c>
      <c r="D155" s="119" t="s">
        <v>65</v>
      </c>
      <c r="E155" s="6" t="s">
        <v>215</v>
      </c>
      <c r="F155" s="7" t="s">
        <v>216</v>
      </c>
      <c r="G155" s="7" t="s">
        <v>15</v>
      </c>
      <c r="H155" s="7" t="s">
        <v>16</v>
      </c>
      <c r="I155" s="7"/>
      <c r="J155" s="7" t="s">
        <v>99</v>
      </c>
      <c r="K155" s="8"/>
      <c r="O155" s="158"/>
      <c r="P155" s="9"/>
      <c r="Q155" s="9"/>
      <c r="R155" s="9"/>
      <c r="S155" s="9"/>
      <c r="T155" s="9"/>
      <c r="U155" s="9"/>
      <c r="V155" s="10" t="e">
        <f t="shared" si="23"/>
        <v>#DIV/0!</v>
      </c>
      <c r="W155" s="10" t="e">
        <f t="shared" si="22"/>
        <v>#DIV/0!</v>
      </c>
      <c r="X155" s="7"/>
      <c r="Y155" s="7"/>
      <c r="Z155" s="7"/>
    </row>
    <row r="156" spans="1:26" customFormat="1">
      <c r="A156" s="119" t="s">
        <v>979</v>
      </c>
      <c r="B156" s="119" t="s">
        <v>94</v>
      </c>
      <c r="C156" s="119" t="s">
        <v>130</v>
      </c>
      <c r="D156" s="119" t="s">
        <v>65</v>
      </c>
      <c r="E156" s="6" t="s">
        <v>217</v>
      </c>
      <c r="F156" s="7" t="s">
        <v>218</v>
      </c>
      <c r="G156" s="7" t="s">
        <v>15</v>
      </c>
      <c r="H156" s="7" t="s">
        <v>16</v>
      </c>
      <c r="I156" s="7"/>
      <c r="J156" s="7" t="s">
        <v>99</v>
      </c>
      <c r="K156" s="8"/>
      <c r="O156" s="158"/>
      <c r="P156" s="9"/>
      <c r="Q156" s="9"/>
      <c r="R156" s="9"/>
      <c r="S156" s="9"/>
      <c r="T156" s="9"/>
      <c r="U156" s="9"/>
      <c r="V156" s="10" t="e">
        <f t="shared" si="23"/>
        <v>#DIV/0!</v>
      </c>
      <c r="W156" s="10" t="e">
        <f t="shared" si="22"/>
        <v>#DIV/0!</v>
      </c>
      <c r="X156" s="7"/>
      <c r="Y156" s="7"/>
      <c r="Z156" s="7"/>
    </row>
    <row r="157" spans="1:26" customFormat="1">
      <c r="A157" s="119" t="s">
        <v>979</v>
      </c>
      <c r="B157" s="119" t="s">
        <v>94</v>
      </c>
      <c r="C157" s="119" t="s">
        <v>130</v>
      </c>
      <c r="D157" s="119" t="s">
        <v>65</v>
      </c>
      <c r="E157" s="6" t="s">
        <v>219</v>
      </c>
      <c r="F157" s="7" t="s">
        <v>220</v>
      </c>
      <c r="G157" s="7" t="s">
        <v>15</v>
      </c>
      <c r="H157" s="7" t="s">
        <v>16</v>
      </c>
      <c r="I157" s="7"/>
      <c r="J157" s="7" t="s">
        <v>99</v>
      </c>
      <c r="K157" s="8">
        <v>89.016999999999996</v>
      </c>
      <c r="O157" s="158"/>
      <c r="P157" s="129"/>
      <c r="Q157" s="9"/>
      <c r="R157" s="9"/>
      <c r="S157" s="9"/>
      <c r="T157" s="9"/>
      <c r="U157" s="9"/>
      <c r="V157" s="10" t="e">
        <f t="shared" si="23"/>
        <v>#DIV/0!</v>
      </c>
      <c r="W157" s="10" t="e">
        <f t="shared" si="22"/>
        <v>#DIV/0!</v>
      </c>
      <c r="X157" s="7"/>
      <c r="Y157" s="12"/>
      <c r="Z157" s="7" t="s">
        <v>221</v>
      </c>
    </row>
    <row r="158" spans="1:26" customFormat="1">
      <c r="A158" s="119" t="s">
        <v>979</v>
      </c>
      <c r="B158" s="119" t="s">
        <v>94</v>
      </c>
      <c r="C158" s="119" t="s">
        <v>130</v>
      </c>
      <c r="D158" s="119" t="s">
        <v>65</v>
      </c>
      <c r="E158" s="6" t="s">
        <v>222</v>
      </c>
      <c r="F158" s="7" t="s">
        <v>223</v>
      </c>
      <c r="G158" s="7" t="s">
        <v>15</v>
      </c>
      <c r="H158" s="7" t="s">
        <v>16</v>
      </c>
      <c r="I158" s="7"/>
      <c r="J158" s="7" t="s">
        <v>99</v>
      </c>
      <c r="K158" s="8"/>
      <c r="O158" s="158"/>
      <c r="P158" s="135"/>
      <c r="Q158" s="135"/>
      <c r="R158" s="135"/>
      <c r="S158" s="135"/>
      <c r="T158" s="135"/>
      <c r="U158" s="135"/>
      <c r="V158" s="10" t="e">
        <f t="shared" si="23"/>
        <v>#DIV/0!</v>
      </c>
      <c r="W158" s="10" t="e">
        <f t="shared" si="22"/>
        <v>#DIV/0!</v>
      </c>
      <c r="X158" s="7"/>
      <c r="Y158" s="7"/>
      <c r="Z158" s="7"/>
    </row>
    <row r="159" spans="1:26" customFormat="1">
      <c r="A159" s="119" t="s">
        <v>979</v>
      </c>
      <c r="B159" s="119" t="s">
        <v>94</v>
      </c>
      <c r="C159" s="119" t="s">
        <v>130</v>
      </c>
      <c r="D159" s="119" t="s">
        <v>65</v>
      </c>
      <c r="E159" s="6" t="s">
        <v>224</v>
      </c>
      <c r="F159" s="7" t="s">
        <v>225</v>
      </c>
      <c r="G159" s="7" t="s">
        <v>15</v>
      </c>
      <c r="H159" s="7" t="s">
        <v>16</v>
      </c>
      <c r="I159" s="7"/>
      <c r="J159" s="7" t="s">
        <v>99</v>
      </c>
      <c r="K159" s="8"/>
      <c r="O159" s="158"/>
      <c r="P159" s="9"/>
      <c r="Q159" s="9"/>
      <c r="R159" s="9"/>
      <c r="S159" s="9"/>
      <c r="T159" s="9"/>
      <c r="U159" s="9"/>
      <c r="V159" s="10" t="e">
        <f t="shared" si="23"/>
        <v>#DIV/0!</v>
      </c>
      <c r="W159" s="10" t="e">
        <f t="shared" si="22"/>
        <v>#DIV/0!</v>
      </c>
      <c r="X159" s="7"/>
      <c r="Y159" s="7"/>
      <c r="Z159" s="7"/>
    </row>
    <row r="160" spans="1:26" customFormat="1">
      <c r="A160" s="119" t="s">
        <v>979</v>
      </c>
      <c r="B160" s="119" t="s">
        <v>94</v>
      </c>
      <c r="C160" s="119" t="s">
        <v>130</v>
      </c>
      <c r="D160" s="119" t="s">
        <v>65</v>
      </c>
      <c r="E160" s="6" t="s">
        <v>226</v>
      </c>
      <c r="F160" s="7" t="s">
        <v>227</v>
      </c>
      <c r="G160" s="7" t="s">
        <v>15</v>
      </c>
      <c r="H160" s="7" t="s">
        <v>16</v>
      </c>
      <c r="I160" s="7"/>
      <c r="J160" s="7" t="s">
        <v>99</v>
      </c>
      <c r="K160" s="8"/>
      <c r="O160" s="158"/>
      <c r="P160" s="9"/>
      <c r="Q160" s="9"/>
      <c r="R160" s="9"/>
      <c r="S160" s="9"/>
      <c r="T160" s="9"/>
      <c r="U160" s="9"/>
      <c r="V160" s="10" t="e">
        <f t="shared" si="23"/>
        <v>#DIV/0!</v>
      </c>
      <c r="W160" s="10" t="e">
        <f t="shared" si="22"/>
        <v>#DIV/0!</v>
      </c>
      <c r="X160" s="7"/>
      <c r="Y160" s="7"/>
      <c r="Z160" s="7"/>
    </row>
    <row r="161" spans="1:26" customFormat="1">
      <c r="A161" s="119" t="s">
        <v>979</v>
      </c>
      <c r="B161" s="119" t="s">
        <v>94</v>
      </c>
      <c r="C161" s="119" t="s">
        <v>130</v>
      </c>
      <c r="D161" s="119" t="s">
        <v>65</v>
      </c>
      <c r="E161" s="6" t="s">
        <v>228</v>
      </c>
      <c r="F161" s="7" t="s">
        <v>229</v>
      </c>
      <c r="G161" s="7" t="s">
        <v>15</v>
      </c>
      <c r="H161" s="7" t="s">
        <v>16</v>
      </c>
      <c r="I161" s="7"/>
      <c r="J161" s="7" t="s">
        <v>99</v>
      </c>
      <c r="K161" s="8"/>
      <c r="O161" s="158"/>
      <c r="P161" s="9"/>
      <c r="Q161" s="9"/>
      <c r="R161" s="9"/>
      <c r="S161" s="9"/>
      <c r="T161" s="9"/>
      <c r="U161" s="9"/>
      <c r="V161" s="10" t="e">
        <f t="shared" si="23"/>
        <v>#DIV/0!</v>
      </c>
      <c r="W161" s="10" t="e">
        <f t="shared" si="22"/>
        <v>#DIV/0!</v>
      </c>
      <c r="X161" s="7"/>
      <c r="Y161" s="7"/>
      <c r="Z161" s="7"/>
    </row>
    <row r="162" spans="1:26" customFormat="1">
      <c r="A162" s="119" t="s">
        <v>979</v>
      </c>
      <c r="B162" s="119" t="s">
        <v>94</v>
      </c>
      <c r="C162" s="119" t="s">
        <v>130</v>
      </c>
      <c r="D162" s="119" t="s">
        <v>65</v>
      </c>
      <c r="E162" s="6" t="s">
        <v>230</v>
      </c>
      <c r="F162" s="7" t="s">
        <v>231</v>
      </c>
      <c r="G162" s="7" t="s">
        <v>15</v>
      </c>
      <c r="H162" s="7" t="s">
        <v>16</v>
      </c>
      <c r="I162" s="7"/>
      <c r="J162" s="7" t="s">
        <v>99</v>
      </c>
      <c r="K162" s="8"/>
      <c r="O162" s="158"/>
      <c r="P162" s="129"/>
      <c r="Q162" s="9"/>
      <c r="R162" s="9"/>
      <c r="S162" s="9"/>
      <c r="T162" s="9"/>
      <c r="U162" s="9"/>
      <c r="V162" s="10" t="e">
        <f t="shared" si="23"/>
        <v>#DIV/0!</v>
      </c>
      <c r="W162" s="10" t="e">
        <f t="shared" si="22"/>
        <v>#DIV/0!</v>
      </c>
      <c r="X162" s="7"/>
      <c r="Y162" s="7"/>
      <c r="Z162" s="7"/>
    </row>
    <row r="163" spans="1:26" customFormat="1">
      <c r="A163" s="119" t="s">
        <v>979</v>
      </c>
      <c r="B163" s="119" t="s">
        <v>94</v>
      </c>
      <c r="C163" s="119" t="s">
        <v>130</v>
      </c>
      <c r="D163" s="119" t="s">
        <v>65</v>
      </c>
      <c r="E163" s="6" t="s">
        <v>232</v>
      </c>
      <c r="F163" s="7" t="s">
        <v>233</v>
      </c>
      <c r="G163" s="7" t="s">
        <v>15</v>
      </c>
      <c r="H163" s="7" t="s">
        <v>16</v>
      </c>
      <c r="I163" s="7"/>
      <c r="J163" s="7" t="s">
        <v>99</v>
      </c>
      <c r="K163" s="8"/>
      <c r="O163" s="158"/>
      <c r="P163" s="9"/>
      <c r="Q163" s="9"/>
      <c r="R163" s="9"/>
      <c r="S163" s="9"/>
      <c r="T163" s="9"/>
      <c r="U163" s="9"/>
      <c r="V163" s="10" t="e">
        <f t="shared" si="23"/>
        <v>#DIV/0!</v>
      </c>
      <c r="W163" s="10" t="e">
        <f t="shared" si="22"/>
        <v>#DIV/0!</v>
      </c>
      <c r="X163" s="7"/>
      <c r="Y163" s="7"/>
      <c r="Z163" s="7"/>
    </row>
    <row r="164" spans="1:26" customFormat="1">
      <c r="A164" s="119" t="s">
        <v>979</v>
      </c>
      <c r="B164" s="119" t="s">
        <v>94</v>
      </c>
      <c r="C164" s="119" t="s">
        <v>130</v>
      </c>
      <c r="D164" s="119" t="s">
        <v>65</v>
      </c>
      <c r="E164" s="6" t="s">
        <v>234</v>
      </c>
      <c r="F164" s="7" t="s">
        <v>235</v>
      </c>
      <c r="G164" s="7" t="s">
        <v>15</v>
      </c>
      <c r="H164" s="7" t="s">
        <v>16</v>
      </c>
      <c r="I164" s="7"/>
      <c r="J164" s="7" t="s">
        <v>99</v>
      </c>
      <c r="K164" s="8"/>
      <c r="O164" s="158"/>
      <c r="P164" s="9"/>
      <c r="Q164" s="9"/>
      <c r="R164" s="9"/>
      <c r="S164" s="9"/>
      <c r="T164" s="9"/>
      <c r="U164" s="9"/>
      <c r="V164" s="10" t="e">
        <f t="shared" si="23"/>
        <v>#DIV/0!</v>
      </c>
      <c r="W164" s="10" t="e">
        <f t="shared" si="22"/>
        <v>#DIV/0!</v>
      </c>
      <c r="X164" s="7"/>
      <c r="Y164" s="7"/>
      <c r="Z164" s="7"/>
    </row>
    <row r="165" spans="1:26" customFormat="1">
      <c r="A165" s="119" t="s">
        <v>979</v>
      </c>
      <c r="B165" s="119" t="s">
        <v>94</v>
      </c>
      <c r="C165" s="119" t="s">
        <v>130</v>
      </c>
      <c r="D165" s="119" t="s">
        <v>65</v>
      </c>
      <c r="E165" s="6" t="s">
        <v>236</v>
      </c>
      <c r="F165" s="7" t="s">
        <v>237</v>
      </c>
      <c r="G165" s="7" t="s">
        <v>15</v>
      </c>
      <c r="H165" s="7" t="s">
        <v>16</v>
      </c>
      <c r="I165" s="7"/>
      <c r="J165" s="7" t="s">
        <v>99</v>
      </c>
      <c r="K165" s="8"/>
      <c r="O165" s="158"/>
      <c r="P165" s="9"/>
      <c r="Q165" s="9"/>
      <c r="R165" s="9"/>
      <c r="S165" s="9"/>
      <c r="T165" s="9"/>
      <c r="U165" s="9"/>
      <c r="V165" s="10" t="e">
        <f t="shared" si="23"/>
        <v>#DIV/0!</v>
      </c>
      <c r="W165" s="10" t="e">
        <f t="shared" si="22"/>
        <v>#DIV/0!</v>
      </c>
      <c r="X165" s="7"/>
      <c r="Y165" s="7"/>
      <c r="Z165" s="7"/>
    </row>
    <row r="166" spans="1:26" customFormat="1">
      <c r="A166" s="119" t="s">
        <v>979</v>
      </c>
      <c r="B166" s="119" t="s">
        <v>94</v>
      </c>
      <c r="C166" s="119" t="s">
        <v>130</v>
      </c>
      <c r="D166" s="119" t="s">
        <v>65</v>
      </c>
      <c r="E166" s="6" t="s">
        <v>238</v>
      </c>
      <c r="F166" s="7" t="s">
        <v>239</v>
      </c>
      <c r="G166" s="7" t="s">
        <v>15</v>
      </c>
      <c r="H166" s="7" t="s">
        <v>16</v>
      </c>
      <c r="I166" s="7"/>
      <c r="J166" s="7" t="s">
        <v>99</v>
      </c>
      <c r="K166" s="8"/>
      <c r="O166" s="158"/>
      <c r="P166" s="9"/>
      <c r="Q166" s="9"/>
      <c r="R166" s="9"/>
      <c r="S166" s="9"/>
      <c r="T166" s="9"/>
      <c r="U166" s="9"/>
      <c r="V166" s="10" t="e">
        <f t="shared" si="23"/>
        <v>#DIV/0!</v>
      </c>
      <c r="W166" s="10" t="e">
        <f t="shared" si="22"/>
        <v>#DIV/0!</v>
      </c>
      <c r="X166" s="7"/>
      <c r="Y166" s="7"/>
      <c r="Z166" s="7"/>
    </row>
    <row r="167" spans="1:26" customFormat="1">
      <c r="A167" s="119" t="s">
        <v>979</v>
      </c>
      <c r="B167" s="119" t="s">
        <v>94</v>
      </c>
      <c r="C167" s="119" t="s">
        <v>130</v>
      </c>
      <c r="D167" s="119" t="s">
        <v>65</v>
      </c>
      <c r="E167" s="6" t="s">
        <v>240</v>
      </c>
      <c r="F167" s="7" t="s">
        <v>241</v>
      </c>
      <c r="G167" s="7" t="s">
        <v>15</v>
      </c>
      <c r="H167" s="7" t="s">
        <v>16</v>
      </c>
      <c r="I167" s="7"/>
      <c r="J167" s="7" t="s">
        <v>99</v>
      </c>
      <c r="K167" s="8"/>
      <c r="O167" s="158"/>
      <c r="P167" s="135"/>
      <c r="Q167" s="135"/>
      <c r="R167" s="135"/>
      <c r="S167" s="135"/>
      <c r="T167" s="135"/>
      <c r="U167" s="135"/>
      <c r="V167" s="10" t="e">
        <f t="shared" si="23"/>
        <v>#DIV/0!</v>
      </c>
      <c r="W167" s="10" t="e">
        <f t="shared" si="22"/>
        <v>#DIV/0!</v>
      </c>
      <c r="X167" s="7"/>
      <c r="Y167" s="7"/>
      <c r="Z167" s="7"/>
    </row>
    <row r="168" spans="1:26" customFormat="1">
      <c r="A168" s="41" t="s">
        <v>979</v>
      </c>
      <c r="B168" s="41" t="s">
        <v>94</v>
      </c>
      <c r="C168" s="41" t="s">
        <v>130</v>
      </c>
      <c r="D168" s="41" t="s">
        <v>65</v>
      </c>
      <c r="E168" s="136" t="s">
        <v>877</v>
      </c>
      <c r="F168" s="41" t="s">
        <v>882</v>
      </c>
      <c r="G168" s="7"/>
      <c r="H168" s="7"/>
      <c r="I168" s="7"/>
      <c r="J168" s="7" t="s">
        <v>99</v>
      </c>
      <c r="K168" s="8"/>
      <c r="L168" s="181"/>
      <c r="M168" s="181"/>
      <c r="N168" s="181"/>
      <c r="O168" s="181"/>
      <c r="P168" s="181"/>
      <c r="Q168" s="135"/>
      <c r="R168" s="135"/>
      <c r="S168" s="135"/>
      <c r="T168" s="135"/>
      <c r="U168" s="135"/>
      <c r="V168" s="10"/>
      <c r="W168" s="10"/>
      <c r="X168" s="7"/>
      <c r="Y168" s="7"/>
      <c r="Z168" s="7"/>
    </row>
    <row r="169" spans="1:26" customFormat="1">
      <c r="A169" s="119" t="s">
        <v>979</v>
      </c>
      <c r="B169" s="119" t="s">
        <v>94</v>
      </c>
      <c r="C169" s="119" t="s">
        <v>130</v>
      </c>
      <c r="D169" s="6" t="s">
        <v>67</v>
      </c>
      <c r="E169" s="7"/>
      <c r="F169" s="7" t="s">
        <v>242</v>
      </c>
      <c r="G169" s="7" t="s">
        <v>15</v>
      </c>
      <c r="H169" s="7" t="s">
        <v>16</v>
      </c>
      <c r="I169" s="7"/>
      <c r="J169" s="7" t="s">
        <v>99</v>
      </c>
      <c r="K169" s="111">
        <f>SUM(K170:K213)</f>
        <v>6313.5209999999997</v>
      </c>
      <c r="P169">
        <f>SUM(P170:P214)</f>
        <v>0</v>
      </c>
      <c r="R169" s="128"/>
      <c r="S169" s="128"/>
      <c r="T169" s="128"/>
      <c r="U169" s="128"/>
      <c r="V169" s="10" t="e">
        <f t="shared" ref="V169:V179" si="24">+(P169/L169)^(1/4)-1</f>
        <v>#DIV/0!</v>
      </c>
      <c r="W169" s="10" t="e">
        <f t="shared" ref="W169:W213" si="25">+(U169/Q169)^(1/4)-1</f>
        <v>#DIV/0!</v>
      </c>
      <c r="X169" s="7"/>
      <c r="Y169" s="12"/>
      <c r="Z169" s="7" t="s">
        <v>243</v>
      </c>
    </row>
    <row r="170" spans="1:26" customFormat="1">
      <c r="A170" s="119" t="s">
        <v>979</v>
      </c>
      <c r="B170" s="119" t="s">
        <v>94</v>
      </c>
      <c r="C170" s="119" t="s">
        <v>130</v>
      </c>
      <c r="D170" s="119" t="s">
        <v>67</v>
      </c>
      <c r="E170" s="6" t="s">
        <v>244</v>
      </c>
      <c r="F170" s="7" t="s">
        <v>245</v>
      </c>
      <c r="G170" s="7" t="s">
        <v>15</v>
      </c>
      <c r="H170" s="7" t="s">
        <v>16</v>
      </c>
      <c r="I170" s="7"/>
      <c r="J170" s="7" t="s">
        <v>99</v>
      </c>
      <c r="K170" s="8"/>
      <c r="O170" s="158"/>
      <c r="P170" s="9"/>
      <c r="Q170" s="9"/>
      <c r="R170" s="9"/>
      <c r="S170" s="9"/>
      <c r="T170" s="9"/>
      <c r="U170" s="9"/>
      <c r="V170" s="10" t="e">
        <f t="shared" si="24"/>
        <v>#DIV/0!</v>
      </c>
      <c r="W170" s="10" t="e">
        <f t="shared" si="25"/>
        <v>#DIV/0!</v>
      </c>
      <c r="X170" s="7"/>
      <c r="Y170" s="7"/>
      <c r="Z170" s="7"/>
    </row>
    <row r="171" spans="1:26" customFormat="1">
      <c r="A171" s="119" t="s">
        <v>979</v>
      </c>
      <c r="B171" s="119" t="s">
        <v>94</v>
      </c>
      <c r="C171" s="119" t="s">
        <v>130</v>
      </c>
      <c r="D171" s="119" t="s">
        <v>67</v>
      </c>
      <c r="E171" s="6" t="s">
        <v>246</v>
      </c>
      <c r="F171" s="7" t="s">
        <v>247</v>
      </c>
      <c r="G171" s="7" t="s">
        <v>15</v>
      </c>
      <c r="H171" s="7" t="s">
        <v>16</v>
      </c>
      <c r="I171" s="7"/>
      <c r="J171" s="7" t="s">
        <v>99</v>
      </c>
      <c r="K171" s="8">
        <v>603.27499999999998</v>
      </c>
      <c r="O171" s="189"/>
      <c r="P171" s="189"/>
      <c r="Q171" s="9"/>
      <c r="R171" s="9"/>
      <c r="S171" s="9"/>
      <c r="T171" s="9"/>
      <c r="U171" s="9"/>
      <c r="V171" s="10" t="e">
        <f t="shared" si="24"/>
        <v>#DIV/0!</v>
      </c>
      <c r="W171" s="10" t="e">
        <f t="shared" si="25"/>
        <v>#DIV/0!</v>
      </c>
      <c r="X171" s="7"/>
      <c r="Y171" s="12"/>
      <c r="Z171" s="7"/>
    </row>
    <row r="172" spans="1:26" customFormat="1">
      <c r="A172" s="119" t="s">
        <v>979</v>
      </c>
      <c r="B172" s="119" t="s">
        <v>94</v>
      </c>
      <c r="C172" s="119" t="s">
        <v>130</v>
      </c>
      <c r="D172" s="119" t="s">
        <v>67</v>
      </c>
      <c r="E172" s="6" t="s">
        <v>248</v>
      </c>
      <c r="F172" s="7" t="s">
        <v>249</v>
      </c>
      <c r="G172" s="7" t="s">
        <v>15</v>
      </c>
      <c r="H172" s="7" t="s">
        <v>16</v>
      </c>
      <c r="I172" s="7"/>
      <c r="J172" s="7" t="s">
        <v>99</v>
      </c>
      <c r="K172" s="8"/>
      <c r="O172" s="158"/>
      <c r="P172" s="132"/>
      <c r="Q172" s="132"/>
      <c r="R172" s="132"/>
      <c r="S172" s="132"/>
      <c r="T172" s="132"/>
      <c r="U172" s="132"/>
      <c r="V172" s="10" t="e">
        <f t="shared" si="24"/>
        <v>#DIV/0!</v>
      </c>
      <c r="W172" s="10" t="e">
        <f t="shared" si="25"/>
        <v>#DIV/0!</v>
      </c>
      <c r="X172" s="7"/>
      <c r="Y172" s="7"/>
      <c r="Z172" s="7"/>
    </row>
    <row r="173" spans="1:26" customFormat="1">
      <c r="A173" s="119" t="s">
        <v>979</v>
      </c>
      <c r="B173" s="119" t="s">
        <v>94</v>
      </c>
      <c r="C173" s="119" t="s">
        <v>130</v>
      </c>
      <c r="D173" s="119" t="s">
        <v>67</v>
      </c>
      <c r="E173" s="6" t="s">
        <v>250</v>
      </c>
      <c r="F173" s="7" t="s">
        <v>251</v>
      </c>
      <c r="G173" s="7" t="s">
        <v>15</v>
      </c>
      <c r="H173" s="7" t="s">
        <v>16</v>
      </c>
      <c r="I173" s="7"/>
      <c r="J173" s="7" t="s">
        <v>99</v>
      </c>
      <c r="K173" s="8"/>
      <c r="O173" s="158"/>
      <c r="P173" s="9"/>
      <c r="Q173" s="9"/>
      <c r="R173" s="9"/>
      <c r="S173" s="9"/>
      <c r="T173" s="9"/>
      <c r="U173" s="9"/>
      <c r="V173" s="10" t="e">
        <f t="shared" si="24"/>
        <v>#DIV/0!</v>
      </c>
      <c r="W173" s="10" t="e">
        <f t="shared" si="25"/>
        <v>#DIV/0!</v>
      </c>
      <c r="X173" s="7"/>
      <c r="Y173" s="7"/>
      <c r="Z173" s="7"/>
    </row>
    <row r="174" spans="1:26" customFormat="1">
      <c r="A174" s="119" t="s">
        <v>979</v>
      </c>
      <c r="B174" s="119" t="s">
        <v>94</v>
      </c>
      <c r="C174" s="119" t="s">
        <v>130</v>
      </c>
      <c r="D174" s="119" t="s">
        <v>67</v>
      </c>
      <c r="E174" s="6" t="s">
        <v>252</v>
      </c>
      <c r="F174" s="7" t="s">
        <v>253</v>
      </c>
      <c r="G174" s="7" t="s">
        <v>15</v>
      </c>
      <c r="H174" s="7" t="s">
        <v>16</v>
      </c>
      <c r="I174" s="7"/>
      <c r="J174" s="7" t="s">
        <v>99</v>
      </c>
      <c r="K174" s="8"/>
      <c r="O174" s="158"/>
      <c r="P174" s="9"/>
      <c r="Q174" s="9"/>
      <c r="R174" s="9"/>
      <c r="S174" s="9"/>
      <c r="T174" s="9"/>
      <c r="U174" s="9"/>
      <c r="V174" s="10" t="e">
        <f t="shared" si="24"/>
        <v>#DIV/0!</v>
      </c>
      <c r="W174" s="10" t="e">
        <f t="shared" si="25"/>
        <v>#DIV/0!</v>
      </c>
      <c r="X174" s="7"/>
      <c r="Y174" s="7"/>
      <c r="Z174" s="7"/>
    </row>
    <row r="175" spans="1:26" customFormat="1">
      <c r="A175" s="119" t="s">
        <v>979</v>
      </c>
      <c r="B175" s="119" t="s">
        <v>94</v>
      </c>
      <c r="C175" s="119" t="s">
        <v>130</v>
      </c>
      <c r="D175" s="119" t="s">
        <v>67</v>
      </c>
      <c r="E175" s="6" t="s">
        <v>254</v>
      </c>
      <c r="F175" s="7" t="s">
        <v>255</v>
      </c>
      <c r="G175" s="7" t="s">
        <v>15</v>
      </c>
      <c r="H175" s="7" t="s">
        <v>16</v>
      </c>
      <c r="I175" s="7"/>
      <c r="J175" s="7" t="s">
        <v>99</v>
      </c>
      <c r="K175" s="8"/>
      <c r="O175" s="158"/>
      <c r="P175" s="9"/>
      <c r="Q175" s="9"/>
      <c r="R175" s="9"/>
      <c r="S175" s="9"/>
      <c r="T175" s="9"/>
      <c r="U175" s="9"/>
      <c r="V175" s="10" t="e">
        <f t="shared" si="24"/>
        <v>#DIV/0!</v>
      </c>
      <c r="W175" s="10" t="e">
        <f t="shared" si="25"/>
        <v>#DIV/0!</v>
      </c>
      <c r="X175" s="7"/>
      <c r="Y175" s="7"/>
      <c r="Z175" s="7"/>
    </row>
    <row r="176" spans="1:26" customFormat="1">
      <c r="A176" s="119" t="s">
        <v>979</v>
      </c>
      <c r="B176" s="119" t="s">
        <v>94</v>
      </c>
      <c r="C176" s="119" t="s">
        <v>130</v>
      </c>
      <c r="D176" s="119" t="s">
        <v>67</v>
      </c>
      <c r="E176" s="6" t="s">
        <v>256</v>
      </c>
      <c r="F176" s="7" t="s">
        <v>257</v>
      </c>
      <c r="G176" s="7" t="s">
        <v>15</v>
      </c>
      <c r="H176" s="7" t="s">
        <v>16</v>
      </c>
      <c r="I176" s="7"/>
      <c r="J176" s="7" t="s">
        <v>99</v>
      </c>
      <c r="K176" s="8"/>
      <c r="O176" s="158"/>
      <c r="P176" s="9"/>
      <c r="Q176" s="9"/>
      <c r="R176" s="9"/>
      <c r="S176" s="9"/>
      <c r="T176" s="9"/>
      <c r="U176" s="9"/>
      <c r="V176" s="10" t="e">
        <f t="shared" si="24"/>
        <v>#DIV/0!</v>
      </c>
      <c r="W176" s="10" t="e">
        <f t="shared" si="25"/>
        <v>#DIV/0!</v>
      </c>
      <c r="X176" s="7"/>
      <c r="Y176" s="7"/>
      <c r="Z176" s="7"/>
    </row>
    <row r="177" spans="1:25" customFormat="1">
      <c r="A177" s="119" t="s">
        <v>979</v>
      </c>
      <c r="B177" s="119" t="s">
        <v>94</v>
      </c>
      <c r="C177" s="119" t="s">
        <v>130</v>
      </c>
      <c r="D177" s="119" t="s">
        <v>67</v>
      </c>
      <c r="E177" s="6" t="s">
        <v>258</v>
      </c>
      <c r="F177" s="7" t="s">
        <v>259</v>
      </c>
      <c r="G177" s="7" t="s">
        <v>15</v>
      </c>
      <c r="H177" s="7" t="s">
        <v>16</v>
      </c>
      <c r="I177" s="7"/>
      <c r="J177" s="7" t="s">
        <v>99</v>
      </c>
      <c r="K177" s="8">
        <v>320.45</v>
      </c>
      <c r="O177" s="158"/>
      <c r="P177" s="9"/>
      <c r="Q177" s="9"/>
      <c r="R177" s="9"/>
      <c r="S177" s="9"/>
      <c r="T177" s="9"/>
      <c r="U177" s="9"/>
      <c r="V177" s="10" t="e">
        <f t="shared" si="24"/>
        <v>#DIV/0!</v>
      </c>
      <c r="W177" s="10" t="e">
        <f t="shared" si="25"/>
        <v>#DIV/0!</v>
      </c>
      <c r="X177" s="7"/>
      <c r="Y177" s="12"/>
    </row>
    <row r="178" spans="1:25" customFormat="1">
      <c r="A178" s="119" t="s">
        <v>979</v>
      </c>
      <c r="B178" s="119" t="s">
        <v>94</v>
      </c>
      <c r="C178" s="119" t="s">
        <v>130</v>
      </c>
      <c r="D178" s="119" t="s">
        <v>67</v>
      </c>
      <c r="E178" s="6" t="s">
        <v>260</v>
      </c>
      <c r="F178" s="7" t="s">
        <v>261</v>
      </c>
      <c r="G178" s="7" t="s">
        <v>15</v>
      </c>
      <c r="H178" s="7" t="s">
        <v>16</v>
      </c>
      <c r="I178" s="7"/>
      <c r="J178" s="7" t="s">
        <v>99</v>
      </c>
      <c r="K178" s="8">
        <v>137.27799999999999</v>
      </c>
      <c r="O178" s="158"/>
      <c r="P178" s="129"/>
      <c r="Q178" s="9"/>
      <c r="R178" s="9"/>
      <c r="S178" s="9"/>
      <c r="T178" s="9"/>
      <c r="U178" s="9"/>
      <c r="V178" s="10" t="e">
        <f t="shared" si="24"/>
        <v>#DIV/0!</v>
      </c>
      <c r="W178" s="10" t="e">
        <f t="shared" si="25"/>
        <v>#DIV/0!</v>
      </c>
      <c r="X178" s="7"/>
      <c r="Y178" s="12"/>
    </row>
    <row r="179" spans="1:25" customFormat="1">
      <c r="A179" s="119" t="s">
        <v>979</v>
      </c>
      <c r="B179" s="119" t="s">
        <v>94</v>
      </c>
      <c r="C179" s="119" t="s">
        <v>130</v>
      </c>
      <c r="D179" s="119" t="s">
        <v>67</v>
      </c>
      <c r="E179" s="6" t="s">
        <v>262</v>
      </c>
      <c r="F179" s="7" t="s">
        <v>263</v>
      </c>
      <c r="G179" s="7" t="s">
        <v>15</v>
      </c>
      <c r="H179" s="7" t="s">
        <v>16</v>
      </c>
      <c r="I179" s="7"/>
      <c r="J179" s="7" t="s">
        <v>99</v>
      </c>
      <c r="K179" s="8"/>
      <c r="O179" s="158"/>
      <c r="P179" s="132"/>
      <c r="Q179" s="132"/>
      <c r="R179" s="132"/>
      <c r="S179" s="132"/>
      <c r="T179" s="132"/>
      <c r="U179" s="132"/>
      <c r="V179" s="10" t="e">
        <f t="shared" si="24"/>
        <v>#DIV/0!</v>
      </c>
      <c r="W179" s="10" t="e">
        <f t="shared" si="25"/>
        <v>#DIV/0!</v>
      </c>
      <c r="X179" s="7"/>
      <c r="Y179" s="7"/>
    </row>
    <row r="180" spans="1:25" customFormat="1">
      <c r="A180" s="119" t="s">
        <v>979</v>
      </c>
      <c r="B180" s="119" t="s">
        <v>94</v>
      </c>
      <c r="C180" s="119" t="s">
        <v>130</v>
      </c>
      <c r="D180" s="119" t="s">
        <v>67</v>
      </c>
      <c r="E180" s="6" t="s">
        <v>264</v>
      </c>
      <c r="F180" s="7" t="s">
        <v>265</v>
      </c>
      <c r="G180" s="7" t="s">
        <v>15</v>
      </c>
      <c r="H180" s="7" t="s">
        <v>16</v>
      </c>
      <c r="I180" s="7"/>
      <c r="J180" s="7" t="s">
        <v>99</v>
      </c>
      <c r="K180" s="8"/>
      <c r="O180" s="158"/>
      <c r="P180" s="9"/>
      <c r="Q180" s="9"/>
      <c r="R180" s="9"/>
      <c r="S180" s="9"/>
      <c r="T180" s="9"/>
      <c r="U180" s="9"/>
      <c r="V180" s="10" t="e">
        <f>+(P180/#REF!)^(1/4)-1</f>
        <v>#REF!</v>
      </c>
      <c r="W180" s="10" t="e">
        <f t="shared" si="25"/>
        <v>#DIV/0!</v>
      </c>
      <c r="X180" s="7"/>
      <c r="Y180" s="7"/>
    </row>
    <row r="181" spans="1:25" customFormat="1">
      <c r="A181" s="119" t="s">
        <v>979</v>
      </c>
      <c r="B181" s="119" t="s">
        <v>94</v>
      </c>
      <c r="C181" s="119" t="s">
        <v>130</v>
      </c>
      <c r="D181" s="119" t="s">
        <v>67</v>
      </c>
      <c r="E181" s="6" t="s">
        <v>266</v>
      </c>
      <c r="F181" s="7" t="s">
        <v>267</v>
      </c>
      <c r="G181" s="7" t="s">
        <v>15</v>
      </c>
      <c r="H181" s="7" t="s">
        <v>16</v>
      </c>
      <c r="I181" s="7"/>
      <c r="J181" s="7" t="s">
        <v>99</v>
      </c>
      <c r="K181" s="8"/>
      <c r="O181" s="158"/>
      <c r="P181" s="9"/>
      <c r="Q181" s="9"/>
      <c r="R181" s="9"/>
      <c r="S181" s="9"/>
      <c r="T181" s="9"/>
      <c r="U181" s="9"/>
      <c r="V181" s="10" t="e">
        <f t="shared" ref="V181:V213" si="26">+(P181/L181)^(1/4)-1</f>
        <v>#DIV/0!</v>
      </c>
      <c r="W181" s="10" t="e">
        <f t="shared" si="25"/>
        <v>#DIV/0!</v>
      </c>
      <c r="X181" s="7"/>
      <c r="Y181" s="7"/>
    </row>
    <row r="182" spans="1:25" customFormat="1">
      <c r="A182" s="119" t="s">
        <v>979</v>
      </c>
      <c r="B182" s="119" t="s">
        <v>94</v>
      </c>
      <c r="C182" s="119" t="s">
        <v>130</v>
      </c>
      <c r="D182" s="119" t="s">
        <v>67</v>
      </c>
      <c r="E182" s="6" t="s">
        <v>268</v>
      </c>
      <c r="F182" s="7" t="s">
        <v>269</v>
      </c>
      <c r="G182" s="7" t="s">
        <v>15</v>
      </c>
      <c r="H182" s="7" t="s">
        <v>16</v>
      </c>
      <c r="I182" s="7"/>
      <c r="J182" s="7" t="s">
        <v>99</v>
      </c>
      <c r="K182" s="8"/>
      <c r="O182" s="158"/>
      <c r="P182" s="9"/>
      <c r="Q182" s="9"/>
      <c r="R182" s="9"/>
      <c r="S182" s="9"/>
      <c r="T182" s="9"/>
      <c r="U182" s="9"/>
      <c r="V182" s="10" t="e">
        <f t="shared" si="26"/>
        <v>#DIV/0!</v>
      </c>
      <c r="W182" s="10" t="e">
        <f t="shared" si="25"/>
        <v>#DIV/0!</v>
      </c>
      <c r="X182" s="7"/>
      <c r="Y182" s="7"/>
    </row>
    <row r="183" spans="1:25" customFormat="1">
      <c r="A183" s="119" t="s">
        <v>979</v>
      </c>
      <c r="B183" s="119" t="s">
        <v>94</v>
      </c>
      <c r="C183" s="119" t="s">
        <v>130</v>
      </c>
      <c r="D183" s="119" t="s">
        <v>67</v>
      </c>
      <c r="E183" s="6" t="s">
        <v>270</v>
      </c>
      <c r="F183" s="7" t="s">
        <v>271</v>
      </c>
      <c r="G183" s="7" t="s">
        <v>15</v>
      </c>
      <c r="H183" s="7" t="s">
        <v>16</v>
      </c>
      <c r="I183" s="7"/>
      <c r="J183" s="7" t="s">
        <v>99</v>
      </c>
      <c r="K183" s="8"/>
      <c r="O183" s="158"/>
      <c r="P183" s="9"/>
      <c r="Q183" s="9"/>
      <c r="R183" s="9"/>
      <c r="S183" s="9"/>
      <c r="T183" s="9"/>
      <c r="U183" s="9"/>
      <c r="V183" s="10" t="e">
        <f t="shared" si="26"/>
        <v>#DIV/0!</v>
      </c>
      <c r="W183" s="10" t="e">
        <f t="shared" si="25"/>
        <v>#DIV/0!</v>
      </c>
      <c r="X183" s="7"/>
      <c r="Y183" s="7"/>
    </row>
    <row r="184" spans="1:25" customFormat="1">
      <c r="A184" s="119" t="s">
        <v>979</v>
      </c>
      <c r="B184" s="119" t="s">
        <v>94</v>
      </c>
      <c r="C184" s="119" t="s">
        <v>130</v>
      </c>
      <c r="D184" s="119" t="s">
        <v>67</v>
      </c>
      <c r="E184" s="6" t="s">
        <v>272</v>
      </c>
      <c r="F184" s="7" t="s">
        <v>273</v>
      </c>
      <c r="G184" s="7" t="s">
        <v>15</v>
      </c>
      <c r="H184" s="7" t="s">
        <v>16</v>
      </c>
      <c r="I184" s="7"/>
      <c r="J184" s="7" t="s">
        <v>99</v>
      </c>
      <c r="K184" s="8">
        <v>406.84500000000003</v>
      </c>
      <c r="O184" s="158"/>
      <c r="P184" s="129"/>
      <c r="Q184" s="9"/>
      <c r="R184" s="9"/>
      <c r="S184" s="9"/>
      <c r="T184" s="9"/>
      <c r="U184" s="9"/>
      <c r="V184" s="10" t="e">
        <f t="shared" si="26"/>
        <v>#DIV/0!</v>
      </c>
      <c r="W184" s="10" t="e">
        <f t="shared" si="25"/>
        <v>#DIV/0!</v>
      </c>
      <c r="X184" s="7"/>
      <c r="Y184" s="12"/>
    </row>
    <row r="185" spans="1:25" customFormat="1">
      <c r="A185" s="119" t="s">
        <v>979</v>
      </c>
      <c r="B185" s="119" t="s">
        <v>94</v>
      </c>
      <c r="C185" s="119" t="s">
        <v>130</v>
      </c>
      <c r="D185" s="119" t="s">
        <v>67</v>
      </c>
      <c r="E185" s="6" t="s">
        <v>274</v>
      </c>
      <c r="F185" s="7" t="s">
        <v>275</v>
      </c>
      <c r="G185" s="7" t="s">
        <v>15</v>
      </c>
      <c r="H185" s="7" t="s">
        <v>16</v>
      </c>
      <c r="I185" s="7"/>
      <c r="J185" s="7" t="s">
        <v>99</v>
      </c>
      <c r="K185" s="8"/>
      <c r="O185" s="158"/>
      <c r="P185" s="9"/>
      <c r="Q185" s="9"/>
      <c r="R185" s="9"/>
      <c r="S185" s="9"/>
      <c r="T185" s="9"/>
      <c r="U185" s="9"/>
      <c r="V185" s="10" t="e">
        <f t="shared" si="26"/>
        <v>#DIV/0!</v>
      </c>
      <c r="W185" s="10" t="e">
        <f t="shared" si="25"/>
        <v>#DIV/0!</v>
      </c>
      <c r="X185" s="7"/>
      <c r="Y185" s="7"/>
    </row>
    <row r="186" spans="1:25" customFormat="1">
      <c r="A186" s="119" t="s">
        <v>979</v>
      </c>
      <c r="B186" s="119" t="s">
        <v>94</v>
      </c>
      <c r="C186" s="119" t="s">
        <v>130</v>
      </c>
      <c r="D186" s="119" t="s">
        <v>67</v>
      </c>
      <c r="E186" s="6" t="s">
        <v>276</v>
      </c>
      <c r="F186" s="7" t="s">
        <v>277</v>
      </c>
      <c r="G186" s="7" t="s">
        <v>15</v>
      </c>
      <c r="H186" s="7" t="s">
        <v>16</v>
      </c>
      <c r="I186" s="7"/>
      <c r="J186" s="7" t="s">
        <v>99</v>
      </c>
      <c r="K186" s="8">
        <v>3672.5839999999998</v>
      </c>
      <c r="O186" s="189"/>
      <c r="P186" s="189"/>
      <c r="R186" s="9"/>
      <c r="S186" s="9"/>
      <c r="T186" s="9"/>
      <c r="U186" s="9"/>
      <c r="V186" s="10" t="e">
        <f t="shared" si="26"/>
        <v>#DIV/0!</v>
      </c>
      <c r="W186" s="10" t="e">
        <f t="shared" si="25"/>
        <v>#DIV/0!</v>
      </c>
      <c r="X186" s="7"/>
      <c r="Y186" s="12"/>
    </row>
    <row r="187" spans="1:25" customFormat="1">
      <c r="A187" s="119" t="s">
        <v>979</v>
      </c>
      <c r="B187" s="119" t="s">
        <v>94</v>
      </c>
      <c r="C187" s="119" t="s">
        <v>130</v>
      </c>
      <c r="D187" s="119" t="s">
        <v>67</v>
      </c>
      <c r="E187" s="6" t="s">
        <v>278</v>
      </c>
      <c r="F187" s="7" t="s">
        <v>279</v>
      </c>
      <c r="G187" s="7" t="s">
        <v>15</v>
      </c>
      <c r="H187" s="7" t="s">
        <v>16</v>
      </c>
      <c r="I187" s="7"/>
      <c r="J187" s="7" t="s">
        <v>99</v>
      </c>
      <c r="K187" s="8"/>
      <c r="O187" s="158"/>
      <c r="P187" s="9"/>
      <c r="Q187" s="9"/>
      <c r="R187" s="9"/>
      <c r="S187" s="9"/>
      <c r="T187" s="9"/>
      <c r="U187" s="9"/>
      <c r="V187" s="10" t="e">
        <f t="shared" si="26"/>
        <v>#DIV/0!</v>
      </c>
      <c r="W187" s="10" t="e">
        <f t="shared" si="25"/>
        <v>#DIV/0!</v>
      </c>
      <c r="X187" s="7"/>
      <c r="Y187" s="7"/>
    </row>
    <row r="188" spans="1:25" customFormat="1">
      <c r="A188" s="119" t="s">
        <v>979</v>
      </c>
      <c r="B188" s="119" t="s">
        <v>94</v>
      </c>
      <c r="C188" s="119" t="s">
        <v>130</v>
      </c>
      <c r="D188" s="119" t="s">
        <v>67</v>
      </c>
      <c r="E188" s="6" t="s">
        <v>280</v>
      </c>
      <c r="F188" s="7" t="s">
        <v>281</v>
      </c>
      <c r="G188" s="7" t="s">
        <v>15</v>
      </c>
      <c r="H188" s="7" t="s">
        <v>16</v>
      </c>
      <c r="I188" s="7"/>
      <c r="J188" s="7" t="s">
        <v>99</v>
      </c>
      <c r="K188" s="8"/>
      <c r="O188" s="158"/>
      <c r="P188" s="9"/>
      <c r="Q188" s="9"/>
      <c r="R188" s="9"/>
      <c r="S188" s="9"/>
      <c r="T188" s="9"/>
      <c r="U188" s="9"/>
      <c r="V188" s="10" t="e">
        <f t="shared" si="26"/>
        <v>#DIV/0!</v>
      </c>
      <c r="W188" s="10" t="e">
        <f t="shared" si="25"/>
        <v>#DIV/0!</v>
      </c>
      <c r="X188" s="7"/>
      <c r="Y188" s="7"/>
    </row>
    <row r="189" spans="1:25" customFormat="1">
      <c r="A189" s="119" t="s">
        <v>979</v>
      </c>
      <c r="B189" s="119" t="s">
        <v>94</v>
      </c>
      <c r="C189" s="119" t="s">
        <v>130</v>
      </c>
      <c r="D189" s="119" t="s">
        <v>67</v>
      </c>
      <c r="E189" s="6" t="s">
        <v>282</v>
      </c>
      <c r="F189" s="7" t="s">
        <v>283</v>
      </c>
      <c r="G189" s="7" t="s">
        <v>15</v>
      </c>
      <c r="H189" s="7" t="s">
        <v>16</v>
      </c>
      <c r="I189" s="7"/>
      <c r="J189" s="7" t="s">
        <v>99</v>
      </c>
      <c r="K189" s="8"/>
      <c r="O189" s="158"/>
      <c r="P189" s="9"/>
      <c r="Q189" s="9"/>
      <c r="R189" s="9"/>
      <c r="S189" s="9"/>
      <c r="T189" s="9"/>
      <c r="U189" s="9"/>
      <c r="V189" s="10" t="e">
        <f t="shared" si="26"/>
        <v>#DIV/0!</v>
      </c>
      <c r="W189" s="10" t="e">
        <f t="shared" si="25"/>
        <v>#DIV/0!</v>
      </c>
      <c r="X189" s="7"/>
      <c r="Y189" s="7"/>
    </row>
    <row r="190" spans="1:25" customFormat="1">
      <c r="A190" s="119" t="s">
        <v>979</v>
      </c>
      <c r="B190" s="119" t="s">
        <v>94</v>
      </c>
      <c r="C190" s="119" t="s">
        <v>130</v>
      </c>
      <c r="D190" s="119" t="s">
        <v>67</v>
      </c>
      <c r="E190" s="6" t="s">
        <v>284</v>
      </c>
      <c r="F190" s="7" t="s">
        <v>285</v>
      </c>
      <c r="G190" s="7" t="s">
        <v>15</v>
      </c>
      <c r="H190" s="7" t="s">
        <v>16</v>
      </c>
      <c r="I190" s="7"/>
      <c r="J190" s="7" t="s">
        <v>99</v>
      </c>
      <c r="K190" s="8"/>
      <c r="O190" s="158"/>
      <c r="P190" s="9"/>
      <c r="Q190" s="9"/>
      <c r="R190" s="9"/>
      <c r="S190" s="9"/>
      <c r="T190" s="9"/>
      <c r="U190" s="9"/>
      <c r="V190" s="10" t="e">
        <f t="shared" si="26"/>
        <v>#DIV/0!</v>
      </c>
      <c r="W190" s="10" t="e">
        <f t="shared" si="25"/>
        <v>#DIV/0!</v>
      </c>
      <c r="X190" s="7"/>
      <c r="Y190" s="7"/>
    </row>
    <row r="191" spans="1:25" customFormat="1">
      <c r="A191" s="119" t="s">
        <v>979</v>
      </c>
      <c r="B191" s="119" t="s">
        <v>94</v>
      </c>
      <c r="C191" s="119" t="s">
        <v>130</v>
      </c>
      <c r="D191" s="119" t="s">
        <v>67</v>
      </c>
      <c r="E191" s="6" t="s">
        <v>286</v>
      </c>
      <c r="F191" s="7" t="s">
        <v>287</v>
      </c>
      <c r="G191" s="7" t="s">
        <v>15</v>
      </c>
      <c r="H191" s="7" t="s">
        <v>16</v>
      </c>
      <c r="I191" s="7"/>
      <c r="J191" s="7" t="s">
        <v>99</v>
      </c>
      <c r="K191" s="8"/>
      <c r="O191" s="158"/>
      <c r="P191" s="9"/>
      <c r="Q191" s="9"/>
      <c r="R191" s="9"/>
      <c r="S191" s="9"/>
      <c r="T191" s="9"/>
      <c r="U191" s="9"/>
      <c r="V191" s="10" t="e">
        <f t="shared" si="26"/>
        <v>#DIV/0!</v>
      </c>
      <c r="W191" s="10" t="e">
        <f t="shared" si="25"/>
        <v>#DIV/0!</v>
      </c>
      <c r="X191" s="7"/>
      <c r="Y191" s="7"/>
    </row>
    <row r="192" spans="1:25" customFormat="1">
      <c r="A192" s="119" t="s">
        <v>979</v>
      </c>
      <c r="B192" s="119" t="s">
        <v>94</v>
      </c>
      <c r="C192" s="119" t="s">
        <v>130</v>
      </c>
      <c r="D192" s="119" t="s">
        <v>67</v>
      </c>
      <c r="E192" s="6" t="s">
        <v>288</v>
      </c>
      <c r="F192" s="7" t="s">
        <v>289</v>
      </c>
      <c r="G192" s="7" t="s">
        <v>15</v>
      </c>
      <c r="H192" s="7" t="s">
        <v>16</v>
      </c>
      <c r="I192" s="7"/>
      <c r="J192" s="7" t="s">
        <v>99</v>
      </c>
      <c r="K192" s="8"/>
      <c r="O192" s="158"/>
      <c r="P192" s="9"/>
      <c r="Q192" s="9"/>
      <c r="R192" s="9"/>
      <c r="S192" s="9"/>
      <c r="T192" s="9"/>
      <c r="U192" s="9"/>
      <c r="V192" s="10" t="e">
        <f t="shared" si="26"/>
        <v>#DIV/0!</v>
      </c>
      <c r="W192" s="10" t="e">
        <f t="shared" si="25"/>
        <v>#DIV/0!</v>
      </c>
      <c r="X192" s="7"/>
      <c r="Y192" s="7"/>
    </row>
    <row r="193" spans="1:25" customFormat="1">
      <c r="A193" s="119" t="s">
        <v>979</v>
      </c>
      <c r="B193" s="119" t="s">
        <v>94</v>
      </c>
      <c r="C193" s="119" t="s">
        <v>130</v>
      </c>
      <c r="D193" s="119" t="s">
        <v>67</v>
      </c>
      <c r="E193" s="6" t="s">
        <v>290</v>
      </c>
      <c r="F193" s="7" t="s">
        <v>291</v>
      </c>
      <c r="G193" s="7" t="s">
        <v>15</v>
      </c>
      <c r="H193" s="7" t="s">
        <v>16</v>
      </c>
      <c r="I193" s="7"/>
      <c r="J193" s="7" t="s">
        <v>99</v>
      </c>
      <c r="K193" s="8"/>
      <c r="O193" s="158"/>
      <c r="P193" s="9"/>
      <c r="Q193" s="9"/>
      <c r="R193" s="9"/>
      <c r="S193" s="9"/>
      <c r="T193" s="9"/>
      <c r="U193" s="9"/>
      <c r="V193" s="10" t="e">
        <f t="shared" si="26"/>
        <v>#DIV/0!</v>
      </c>
      <c r="W193" s="10" t="e">
        <f t="shared" si="25"/>
        <v>#DIV/0!</v>
      </c>
      <c r="X193" s="7"/>
      <c r="Y193" s="7"/>
    </row>
    <row r="194" spans="1:25" customFormat="1">
      <c r="A194" s="119" t="s">
        <v>979</v>
      </c>
      <c r="B194" s="119" t="s">
        <v>94</v>
      </c>
      <c r="C194" s="119" t="s">
        <v>130</v>
      </c>
      <c r="D194" s="119" t="s">
        <v>67</v>
      </c>
      <c r="E194" s="6" t="s">
        <v>292</v>
      </c>
      <c r="F194" s="7" t="s">
        <v>293</v>
      </c>
      <c r="G194" s="7" t="s">
        <v>15</v>
      </c>
      <c r="H194" s="7" t="s">
        <v>16</v>
      </c>
      <c r="I194" s="7"/>
      <c r="J194" s="7" t="s">
        <v>99</v>
      </c>
      <c r="K194" s="8"/>
      <c r="O194" s="158"/>
      <c r="P194" s="9"/>
      <c r="Q194" s="9"/>
      <c r="R194" s="9"/>
      <c r="S194" s="9"/>
      <c r="T194" s="9"/>
      <c r="U194" s="9"/>
      <c r="V194" s="10" t="e">
        <f t="shared" si="26"/>
        <v>#DIV/0!</v>
      </c>
      <c r="W194" s="10" t="e">
        <f t="shared" si="25"/>
        <v>#DIV/0!</v>
      </c>
      <c r="X194" s="7"/>
      <c r="Y194" s="7"/>
    </row>
    <row r="195" spans="1:25" customFormat="1">
      <c r="A195" s="119" t="s">
        <v>979</v>
      </c>
      <c r="B195" s="119" t="s">
        <v>94</v>
      </c>
      <c r="C195" s="119" t="s">
        <v>130</v>
      </c>
      <c r="D195" s="119" t="s">
        <v>67</v>
      </c>
      <c r="E195" s="6" t="s">
        <v>294</v>
      </c>
      <c r="F195" s="7" t="s">
        <v>295</v>
      </c>
      <c r="G195" s="7" t="s">
        <v>15</v>
      </c>
      <c r="H195" s="7" t="s">
        <v>16</v>
      </c>
      <c r="I195" s="7"/>
      <c r="J195" s="7" t="s">
        <v>99</v>
      </c>
      <c r="K195" s="8"/>
      <c r="O195" s="158"/>
      <c r="P195" s="9"/>
      <c r="Q195" s="9"/>
      <c r="R195" s="9"/>
      <c r="S195" s="9"/>
      <c r="T195" s="9"/>
      <c r="U195" s="9"/>
      <c r="V195" s="10" t="e">
        <f t="shared" si="26"/>
        <v>#DIV/0!</v>
      </c>
      <c r="W195" s="10" t="e">
        <f t="shared" si="25"/>
        <v>#DIV/0!</v>
      </c>
      <c r="X195" s="7"/>
      <c r="Y195" s="7"/>
    </row>
    <row r="196" spans="1:25" customFormat="1">
      <c r="A196" s="119" t="s">
        <v>979</v>
      </c>
      <c r="B196" s="119" t="s">
        <v>94</v>
      </c>
      <c r="C196" s="119" t="s">
        <v>130</v>
      </c>
      <c r="D196" s="119" t="s">
        <v>67</v>
      </c>
      <c r="E196" s="6" t="s">
        <v>296</v>
      </c>
      <c r="F196" s="7" t="s">
        <v>297</v>
      </c>
      <c r="G196" s="7" t="s">
        <v>15</v>
      </c>
      <c r="H196" s="7" t="s">
        <v>16</v>
      </c>
      <c r="I196" s="7"/>
      <c r="J196" s="7" t="s">
        <v>99</v>
      </c>
      <c r="K196" s="8"/>
      <c r="O196" s="158"/>
      <c r="P196" s="9"/>
      <c r="Q196" s="9"/>
      <c r="R196" s="9"/>
      <c r="S196" s="9"/>
      <c r="T196" s="9"/>
      <c r="U196" s="9"/>
      <c r="V196" s="10" t="e">
        <f t="shared" si="26"/>
        <v>#DIV/0!</v>
      </c>
      <c r="W196" s="10" t="e">
        <f t="shared" si="25"/>
        <v>#DIV/0!</v>
      </c>
      <c r="X196" s="7"/>
      <c r="Y196" s="7"/>
    </row>
    <row r="197" spans="1:25" customFormat="1">
      <c r="A197" s="119" t="s">
        <v>979</v>
      </c>
      <c r="B197" s="119" t="s">
        <v>94</v>
      </c>
      <c r="C197" s="119" t="s">
        <v>130</v>
      </c>
      <c r="D197" s="119" t="s">
        <v>67</v>
      </c>
      <c r="E197" s="6" t="s">
        <v>298</v>
      </c>
      <c r="F197" s="7" t="s">
        <v>299</v>
      </c>
      <c r="G197" s="7" t="s">
        <v>15</v>
      </c>
      <c r="H197" s="7" t="s">
        <v>16</v>
      </c>
      <c r="I197" s="7"/>
      <c r="J197" s="7" t="s">
        <v>99</v>
      </c>
      <c r="K197" s="8"/>
      <c r="O197" s="158"/>
      <c r="P197" s="9"/>
      <c r="Q197" s="9"/>
      <c r="R197" s="9"/>
      <c r="S197" s="9"/>
      <c r="T197" s="9"/>
      <c r="U197" s="9"/>
      <c r="V197" s="10" t="e">
        <f t="shared" si="26"/>
        <v>#DIV/0!</v>
      </c>
      <c r="W197" s="10" t="e">
        <f t="shared" si="25"/>
        <v>#DIV/0!</v>
      </c>
      <c r="X197" s="7"/>
      <c r="Y197" s="7"/>
    </row>
    <row r="198" spans="1:25" customFormat="1">
      <c r="A198" s="119" t="s">
        <v>979</v>
      </c>
      <c r="B198" s="119" t="s">
        <v>94</v>
      </c>
      <c r="C198" s="119" t="s">
        <v>130</v>
      </c>
      <c r="D198" s="119" t="s">
        <v>67</v>
      </c>
      <c r="E198" s="6" t="s">
        <v>300</v>
      </c>
      <c r="F198" s="7" t="s">
        <v>301</v>
      </c>
      <c r="G198" s="7" t="s">
        <v>15</v>
      </c>
      <c r="H198" s="7" t="s">
        <v>16</v>
      </c>
      <c r="I198" s="7"/>
      <c r="J198" s="7" t="s">
        <v>99</v>
      </c>
      <c r="K198" s="8">
        <v>138.48599999999999</v>
      </c>
      <c r="O198" s="158"/>
      <c r="P198" s="129"/>
      <c r="Q198" s="9"/>
      <c r="R198" s="9"/>
      <c r="S198" s="9"/>
      <c r="T198" s="9"/>
      <c r="U198" s="9"/>
      <c r="V198" s="10" t="e">
        <f t="shared" si="26"/>
        <v>#DIV/0!</v>
      </c>
      <c r="W198" s="10" t="e">
        <f t="shared" si="25"/>
        <v>#DIV/0!</v>
      </c>
      <c r="X198" s="7"/>
      <c r="Y198" s="12"/>
    </row>
    <row r="199" spans="1:25" customFormat="1">
      <c r="A199" s="119" t="s">
        <v>979</v>
      </c>
      <c r="B199" s="119" t="s">
        <v>94</v>
      </c>
      <c r="C199" s="119" t="s">
        <v>130</v>
      </c>
      <c r="D199" s="119" t="s">
        <v>67</v>
      </c>
      <c r="E199" s="6" t="s">
        <v>302</v>
      </c>
      <c r="F199" s="7" t="s">
        <v>303</v>
      </c>
      <c r="G199" s="7" t="s">
        <v>15</v>
      </c>
      <c r="H199" s="7" t="s">
        <v>16</v>
      </c>
      <c r="I199" s="7"/>
      <c r="J199" s="7" t="s">
        <v>99</v>
      </c>
      <c r="K199" s="8"/>
      <c r="O199" s="158"/>
      <c r="P199" s="129"/>
      <c r="Q199" s="9"/>
      <c r="R199" s="9"/>
      <c r="S199" s="9"/>
      <c r="T199" s="9"/>
      <c r="U199" s="9"/>
      <c r="V199" s="10" t="e">
        <f t="shared" si="26"/>
        <v>#DIV/0!</v>
      </c>
      <c r="W199" s="10" t="e">
        <f t="shared" si="25"/>
        <v>#DIV/0!</v>
      </c>
      <c r="X199" s="7"/>
      <c r="Y199" s="7"/>
    </row>
    <row r="200" spans="1:25" customFormat="1">
      <c r="A200" s="119" t="s">
        <v>979</v>
      </c>
      <c r="B200" s="119" t="s">
        <v>94</v>
      </c>
      <c r="C200" s="119" t="s">
        <v>130</v>
      </c>
      <c r="D200" s="119" t="s">
        <v>67</v>
      </c>
      <c r="E200" s="6" t="s">
        <v>304</v>
      </c>
      <c r="F200" s="7" t="s">
        <v>305</v>
      </c>
      <c r="G200" s="7" t="s">
        <v>15</v>
      </c>
      <c r="H200" s="7" t="s">
        <v>16</v>
      </c>
      <c r="I200" s="7"/>
      <c r="J200" s="7" t="s">
        <v>99</v>
      </c>
      <c r="K200" s="8"/>
      <c r="O200" s="158"/>
      <c r="P200" s="9"/>
      <c r="Q200" s="9"/>
      <c r="R200" s="9"/>
      <c r="S200" s="9"/>
      <c r="T200" s="9"/>
      <c r="U200" s="9"/>
      <c r="V200" s="10" t="e">
        <f t="shared" si="26"/>
        <v>#DIV/0!</v>
      </c>
      <c r="W200" s="10" t="e">
        <f t="shared" si="25"/>
        <v>#DIV/0!</v>
      </c>
      <c r="X200" s="7"/>
      <c r="Y200" s="7"/>
    </row>
    <row r="201" spans="1:25" customFormat="1">
      <c r="A201" s="119" t="s">
        <v>979</v>
      </c>
      <c r="B201" s="119" t="s">
        <v>94</v>
      </c>
      <c r="C201" s="119" t="s">
        <v>130</v>
      </c>
      <c r="D201" s="119" t="s">
        <v>67</v>
      </c>
      <c r="E201" s="6" t="s">
        <v>306</v>
      </c>
      <c r="F201" s="7" t="s">
        <v>307</v>
      </c>
      <c r="G201" s="7" t="s">
        <v>15</v>
      </c>
      <c r="H201" s="7" t="s">
        <v>16</v>
      </c>
      <c r="I201" s="7"/>
      <c r="J201" s="7" t="s">
        <v>99</v>
      </c>
      <c r="K201" s="8">
        <v>153.887</v>
      </c>
      <c r="O201" s="158"/>
      <c r="P201" s="9"/>
      <c r="Q201" s="9"/>
      <c r="R201" s="9"/>
      <c r="S201" s="9"/>
      <c r="T201" s="9"/>
      <c r="U201" s="9"/>
      <c r="V201" s="10" t="e">
        <f t="shared" si="26"/>
        <v>#DIV/0!</v>
      </c>
      <c r="W201" s="10" t="e">
        <f t="shared" si="25"/>
        <v>#DIV/0!</v>
      </c>
      <c r="X201" s="7"/>
      <c r="Y201" s="12"/>
    </row>
    <row r="202" spans="1:25" customFormat="1">
      <c r="A202" s="119" t="s">
        <v>979</v>
      </c>
      <c r="B202" s="119" t="s">
        <v>94</v>
      </c>
      <c r="C202" s="119" t="s">
        <v>130</v>
      </c>
      <c r="D202" s="119" t="s">
        <v>67</v>
      </c>
      <c r="E202" s="6" t="s">
        <v>308</v>
      </c>
      <c r="F202" s="7" t="s">
        <v>309</v>
      </c>
      <c r="G202" s="7" t="s">
        <v>15</v>
      </c>
      <c r="H202" s="7" t="s">
        <v>16</v>
      </c>
      <c r="I202" s="7"/>
      <c r="J202" s="7" t="s">
        <v>99</v>
      </c>
      <c r="K202" s="8">
        <v>757.721</v>
      </c>
      <c r="O202" s="189"/>
      <c r="P202" s="189"/>
      <c r="Q202" s="9"/>
      <c r="R202" s="9"/>
      <c r="S202" s="9"/>
      <c r="T202" s="9"/>
      <c r="U202" s="9"/>
      <c r="V202" s="10" t="e">
        <f t="shared" si="26"/>
        <v>#DIV/0!</v>
      </c>
      <c r="W202" s="10" t="e">
        <f t="shared" si="25"/>
        <v>#DIV/0!</v>
      </c>
      <c r="X202" s="7"/>
      <c r="Y202" s="12"/>
    </row>
    <row r="203" spans="1:25" customFormat="1">
      <c r="A203" s="119" t="s">
        <v>979</v>
      </c>
      <c r="B203" s="119" t="s">
        <v>94</v>
      </c>
      <c r="C203" s="119" t="s">
        <v>130</v>
      </c>
      <c r="D203" s="119" t="s">
        <v>67</v>
      </c>
      <c r="E203" s="6" t="s">
        <v>310</v>
      </c>
      <c r="F203" s="7" t="s">
        <v>311</v>
      </c>
      <c r="G203" s="7" t="s">
        <v>15</v>
      </c>
      <c r="H203" s="7" t="s">
        <v>16</v>
      </c>
      <c r="I203" s="7"/>
      <c r="J203" s="7" t="s">
        <v>99</v>
      </c>
      <c r="K203" s="8"/>
      <c r="O203" s="158"/>
      <c r="P203" s="9"/>
      <c r="Q203" s="9"/>
      <c r="R203" s="9"/>
      <c r="S203" s="9"/>
      <c r="T203" s="9"/>
      <c r="U203" s="9"/>
      <c r="V203" s="10" t="e">
        <f t="shared" si="26"/>
        <v>#DIV/0!</v>
      </c>
      <c r="W203" s="10" t="e">
        <f t="shared" si="25"/>
        <v>#DIV/0!</v>
      </c>
      <c r="X203" s="7"/>
      <c r="Y203" s="7"/>
    </row>
    <row r="204" spans="1:25" customFormat="1">
      <c r="A204" s="119" t="s">
        <v>979</v>
      </c>
      <c r="B204" s="119" t="s">
        <v>94</v>
      </c>
      <c r="C204" s="119" t="s">
        <v>130</v>
      </c>
      <c r="D204" s="119" t="s">
        <v>67</v>
      </c>
      <c r="E204" s="6" t="s">
        <v>312</v>
      </c>
      <c r="F204" s="7" t="s">
        <v>313</v>
      </c>
      <c r="G204" s="7" t="s">
        <v>15</v>
      </c>
      <c r="H204" s="7" t="s">
        <v>16</v>
      </c>
      <c r="I204" s="7"/>
      <c r="J204" s="7" t="s">
        <v>99</v>
      </c>
      <c r="K204" s="8">
        <v>122.995</v>
      </c>
      <c r="O204" s="158"/>
      <c r="P204" s="9"/>
      <c r="Q204" s="9"/>
      <c r="R204" s="9"/>
      <c r="S204" s="9"/>
      <c r="T204" s="9"/>
      <c r="U204" s="9"/>
      <c r="V204" s="10" t="e">
        <f t="shared" si="26"/>
        <v>#DIV/0!</v>
      </c>
      <c r="W204" s="10" t="e">
        <f t="shared" si="25"/>
        <v>#DIV/0!</v>
      </c>
      <c r="X204" s="7"/>
      <c r="Y204" s="12"/>
    </row>
    <row r="205" spans="1:25" customFormat="1">
      <c r="A205" s="119" t="s">
        <v>979</v>
      </c>
      <c r="B205" s="119" t="s">
        <v>94</v>
      </c>
      <c r="C205" s="119" t="s">
        <v>130</v>
      </c>
      <c r="D205" s="119" t="s">
        <v>67</v>
      </c>
      <c r="E205" s="6" t="s">
        <v>314</v>
      </c>
      <c r="F205" s="7" t="s">
        <v>315</v>
      </c>
      <c r="G205" s="7" t="s">
        <v>15</v>
      </c>
      <c r="H205" s="7" t="s">
        <v>16</v>
      </c>
      <c r="I205" s="7"/>
      <c r="J205" s="7" t="s">
        <v>99</v>
      </c>
      <c r="K205" s="8"/>
      <c r="O205" s="158"/>
      <c r="P205" s="9"/>
      <c r="Q205" s="9"/>
      <c r="R205" s="9"/>
      <c r="S205" s="9"/>
      <c r="T205" s="9"/>
      <c r="U205" s="9"/>
      <c r="V205" s="10" t="e">
        <f t="shared" si="26"/>
        <v>#DIV/0!</v>
      </c>
      <c r="W205" s="10" t="e">
        <f t="shared" si="25"/>
        <v>#DIV/0!</v>
      </c>
      <c r="X205" s="7"/>
      <c r="Y205" s="7"/>
    </row>
    <row r="206" spans="1:25" customFormat="1">
      <c r="A206" s="119" t="s">
        <v>979</v>
      </c>
      <c r="B206" s="119" t="s">
        <v>94</v>
      </c>
      <c r="C206" s="119" t="s">
        <v>130</v>
      </c>
      <c r="D206" s="119" t="s">
        <v>67</v>
      </c>
      <c r="E206" s="6" t="s">
        <v>316</v>
      </c>
      <c r="F206" s="7" t="s">
        <v>317</v>
      </c>
      <c r="G206" s="7" t="s">
        <v>15</v>
      </c>
      <c r="H206" s="7" t="s">
        <v>16</v>
      </c>
      <c r="I206" s="7"/>
      <c r="J206" s="7" t="s">
        <v>99</v>
      </c>
      <c r="K206" s="8"/>
      <c r="O206" s="158"/>
      <c r="P206" s="129"/>
      <c r="Q206" s="9"/>
      <c r="R206" s="9"/>
      <c r="S206" s="9"/>
      <c r="T206" s="9"/>
      <c r="U206" s="9"/>
      <c r="V206" s="10" t="e">
        <f t="shared" si="26"/>
        <v>#DIV/0!</v>
      </c>
      <c r="W206" s="10" t="e">
        <f t="shared" si="25"/>
        <v>#DIV/0!</v>
      </c>
      <c r="X206" s="7"/>
      <c r="Y206" s="7"/>
    </row>
    <row r="207" spans="1:25" customFormat="1">
      <c r="A207" s="119" t="s">
        <v>979</v>
      </c>
      <c r="B207" s="119" t="s">
        <v>94</v>
      </c>
      <c r="C207" s="119" t="s">
        <v>130</v>
      </c>
      <c r="D207" s="119" t="s">
        <v>67</v>
      </c>
      <c r="E207" s="6" t="s">
        <v>318</v>
      </c>
      <c r="F207" s="7" t="s">
        <v>319</v>
      </c>
      <c r="G207" s="7" t="s">
        <v>15</v>
      </c>
      <c r="H207" s="7" t="s">
        <v>16</v>
      </c>
      <c r="I207" s="7"/>
      <c r="J207" s="7" t="s">
        <v>99</v>
      </c>
      <c r="K207" s="8"/>
      <c r="O207" s="158"/>
      <c r="P207" s="9"/>
      <c r="Q207" s="9"/>
      <c r="R207" s="9"/>
      <c r="S207" s="9"/>
      <c r="T207" s="9"/>
      <c r="U207" s="9"/>
      <c r="V207" s="10" t="e">
        <f t="shared" si="26"/>
        <v>#DIV/0!</v>
      </c>
      <c r="W207" s="10" t="e">
        <f t="shared" si="25"/>
        <v>#DIV/0!</v>
      </c>
      <c r="X207" s="7"/>
      <c r="Y207" s="7"/>
    </row>
    <row r="208" spans="1:25" customFormat="1">
      <c r="A208" s="119" t="s">
        <v>979</v>
      </c>
      <c r="B208" s="119" t="s">
        <v>94</v>
      </c>
      <c r="C208" s="119" t="s">
        <v>130</v>
      </c>
      <c r="D208" s="119" t="s">
        <v>67</v>
      </c>
      <c r="E208" s="6" t="s">
        <v>320</v>
      </c>
      <c r="F208" s="7" t="s">
        <v>321</v>
      </c>
      <c r="G208" s="7" t="s">
        <v>15</v>
      </c>
      <c r="H208" s="7" t="s">
        <v>16</v>
      </c>
      <c r="I208" s="7"/>
      <c r="J208" s="7" t="s">
        <v>99</v>
      </c>
      <c r="K208" s="8"/>
      <c r="O208" s="158"/>
      <c r="P208" s="129"/>
      <c r="Q208" s="9"/>
      <c r="R208" s="9"/>
      <c r="S208" s="9"/>
      <c r="T208" s="9"/>
      <c r="U208" s="9"/>
      <c r="V208" s="10" t="e">
        <f t="shared" si="26"/>
        <v>#DIV/0!</v>
      </c>
      <c r="W208" s="10" t="e">
        <f t="shared" si="25"/>
        <v>#DIV/0!</v>
      </c>
      <c r="X208" s="7"/>
      <c r="Y208" s="7"/>
    </row>
    <row r="209" spans="1:25" customFormat="1">
      <c r="A209" s="119" t="s">
        <v>979</v>
      </c>
      <c r="B209" s="119" t="s">
        <v>94</v>
      </c>
      <c r="C209" s="119" t="s">
        <v>130</v>
      </c>
      <c r="D209" s="119" t="s">
        <v>67</v>
      </c>
      <c r="E209" s="6" t="s">
        <v>322</v>
      </c>
      <c r="F209" s="7" t="s">
        <v>323</v>
      </c>
      <c r="G209" s="7" t="s">
        <v>15</v>
      </c>
      <c r="H209" s="7" t="s">
        <v>16</v>
      </c>
      <c r="I209" s="7"/>
      <c r="J209" s="7" t="s">
        <v>99</v>
      </c>
      <c r="K209" s="8"/>
      <c r="O209" s="158"/>
      <c r="P209" s="9"/>
      <c r="Q209" s="9"/>
      <c r="R209" s="9"/>
      <c r="S209" s="9"/>
      <c r="T209" s="9"/>
      <c r="U209" s="9"/>
      <c r="V209" s="10" t="e">
        <f t="shared" si="26"/>
        <v>#DIV/0!</v>
      </c>
      <c r="W209" s="10" t="e">
        <f t="shared" si="25"/>
        <v>#DIV/0!</v>
      </c>
      <c r="X209" s="7"/>
      <c r="Y209" s="7"/>
    </row>
    <row r="210" spans="1:25" customFormat="1">
      <c r="A210" s="119" t="s">
        <v>979</v>
      </c>
      <c r="B210" s="119" t="s">
        <v>94</v>
      </c>
      <c r="C210" s="119" t="s">
        <v>130</v>
      </c>
      <c r="D210" s="119" t="s">
        <v>67</v>
      </c>
      <c r="E210" s="6" t="s">
        <v>324</v>
      </c>
      <c r="F210" s="7" t="s">
        <v>325</v>
      </c>
      <c r="G210" s="7" t="s">
        <v>15</v>
      </c>
      <c r="H210" s="7" t="s">
        <v>16</v>
      </c>
      <c r="I210" s="7"/>
      <c r="J210" s="7" t="s">
        <v>99</v>
      </c>
      <c r="K210" s="8"/>
      <c r="O210" s="158"/>
      <c r="P210" s="9"/>
      <c r="Q210" s="9"/>
      <c r="R210" s="9"/>
      <c r="S210" s="9"/>
      <c r="T210" s="9"/>
      <c r="U210" s="9"/>
      <c r="V210" s="10" t="e">
        <f t="shared" si="26"/>
        <v>#DIV/0!</v>
      </c>
      <c r="W210" s="10" t="e">
        <f t="shared" si="25"/>
        <v>#DIV/0!</v>
      </c>
      <c r="X210" s="7"/>
      <c r="Y210" s="7"/>
    </row>
    <row r="211" spans="1:25" customFormat="1">
      <c r="A211" s="119" t="s">
        <v>979</v>
      </c>
      <c r="B211" s="119" t="s">
        <v>94</v>
      </c>
      <c r="C211" s="119" t="s">
        <v>130</v>
      </c>
      <c r="D211" s="119" t="s">
        <v>67</v>
      </c>
      <c r="E211" s="6" t="s">
        <v>326</v>
      </c>
      <c r="F211" s="7" t="s">
        <v>327</v>
      </c>
      <c r="G211" s="7" t="s">
        <v>15</v>
      </c>
      <c r="H211" s="7" t="s">
        <v>16</v>
      </c>
      <c r="I211" s="7"/>
      <c r="J211" s="7" t="s">
        <v>99</v>
      </c>
      <c r="K211" s="8"/>
      <c r="O211" s="158"/>
      <c r="P211" s="9"/>
      <c r="Q211" s="9"/>
      <c r="R211" s="9"/>
      <c r="S211" s="9"/>
      <c r="T211" s="9"/>
      <c r="U211" s="9"/>
      <c r="V211" s="10" t="e">
        <f t="shared" si="26"/>
        <v>#DIV/0!</v>
      </c>
      <c r="W211" s="10" t="e">
        <f t="shared" si="25"/>
        <v>#DIV/0!</v>
      </c>
      <c r="X211" s="7"/>
      <c r="Y211" s="7"/>
    </row>
    <row r="212" spans="1:25" customFormat="1">
      <c r="A212" s="119" t="s">
        <v>979</v>
      </c>
      <c r="B212" s="119" t="s">
        <v>94</v>
      </c>
      <c r="C212" s="119" t="s">
        <v>130</v>
      </c>
      <c r="D212" s="119" t="s">
        <v>67</v>
      </c>
      <c r="E212" s="6" t="s">
        <v>328</v>
      </c>
      <c r="F212" s="7" t="s">
        <v>329</v>
      </c>
      <c r="G212" s="7" t="s">
        <v>15</v>
      </c>
      <c r="H212" s="7" t="s">
        <v>16</v>
      </c>
      <c r="I212" s="7"/>
      <c r="J212" s="7" t="s">
        <v>99</v>
      </c>
      <c r="K212" s="8"/>
      <c r="O212" s="158"/>
      <c r="P212" s="9"/>
      <c r="Q212" s="9"/>
      <c r="R212" s="9"/>
      <c r="S212" s="9"/>
      <c r="T212" s="9"/>
      <c r="U212" s="9"/>
      <c r="V212" s="10" t="e">
        <f t="shared" si="26"/>
        <v>#DIV/0!</v>
      </c>
      <c r="W212" s="10" t="e">
        <f t="shared" si="25"/>
        <v>#DIV/0!</v>
      </c>
      <c r="X212" s="7"/>
      <c r="Y212" s="7"/>
    </row>
    <row r="213" spans="1:25" customFormat="1">
      <c r="A213" s="119" t="s">
        <v>979</v>
      </c>
      <c r="B213" s="119" t="s">
        <v>94</v>
      </c>
      <c r="C213" s="119" t="s">
        <v>130</v>
      </c>
      <c r="D213" s="119" t="s">
        <v>67</v>
      </c>
      <c r="E213" s="6" t="s">
        <v>330</v>
      </c>
      <c r="F213" s="7" t="s">
        <v>331</v>
      </c>
      <c r="G213" s="7" t="s">
        <v>15</v>
      </c>
      <c r="H213" s="7" t="s">
        <v>16</v>
      </c>
      <c r="I213" s="7"/>
      <c r="J213" s="7" t="s">
        <v>99</v>
      </c>
      <c r="K213" s="8"/>
      <c r="O213" s="158"/>
      <c r="P213" s="132"/>
      <c r="Q213" s="132"/>
      <c r="R213" s="132"/>
      <c r="S213" s="132"/>
      <c r="T213" s="132"/>
      <c r="U213" s="132"/>
      <c r="V213" s="10" t="e">
        <f t="shared" si="26"/>
        <v>#DIV/0!</v>
      </c>
      <c r="W213" s="10" t="e">
        <f t="shared" si="25"/>
        <v>#DIV/0!</v>
      </c>
      <c r="X213" s="7"/>
      <c r="Y213" s="7"/>
    </row>
    <row r="214" spans="1:25" customFormat="1">
      <c r="A214" s="41" t="s">
        <v>979</v>
      </c>
      <c r="B214" s="41" t="s">
        <v>94</v>
      </c>
      <c r="C214" s="41" t="s">
        <v>130</v>
      </c>
      <c r="D214" s="41" t="s">
        <v>67</v>
      </c>
      <c r="E214" s="136" t="s">
        <v>878</v>
      </c>
      <c r="F214" s="41" t="s">
        <v>882</v>
      </c>
      <c r="G214" s="7"/>
      <c r="H214" s="7"/>
      <c r="I214" s="7"/>
      <c r="J214" s="7" t="s">
        <v>99</v>
      </c>
      <c r="K214" s="8"/>
      <c r="L214" s="181"/>
      <c r="M214" s="181"/>
      <c r="N214" s="181"/>
      <c r="O214" s="181"/>
      <c r="P214" s="181"/>
      <c r="Q214" s="132"/>
      <c r="R214" s="132"/>
      <c r="S214" s="132"/>
      <c r="T214" s="132"/>
      <c r="U214" s="132"/>
      <c r="V214" s="10"/>
      <c r="W214" s="10"/>
      <c r="X214" s="7"/>
      <c r="Y214" s="7"/>
    </row>
    <row r="215" spans="1:25" customFormat="1">
      <c r="A215" s="119" t="s">
        <v>979</v>
      </c>
      <c r="B215" s="119" t="s">
        <v>94</v>
      </c>
      <c r="C215" s="119" t="s">
        <v>130</v>
      </c>
      <c r="D215" s="6" t="s">
        <v>1060</v>
      </c>
      <c r="E215" s="7"/>
      <c r="F215" s="7" t="s">
        <v>1062</v>
      </c>
      <c r="G215" s="7" t="s">
        <v>15</v>
      </c>
      <c r="H215" s="7" t="s">
        <v>16</v>
      </c>
      <c r="I215" s="7"/>
      <c r="J215" s="7" t="s">
        <v>99</v>
      </c>
      <c r="K215" s="111">
        <f>SUM(K216:K259)</f>
        <v>9844.2710000000006</v>
      </c>
      <c r="Q215" s="128"/>
      <c r="R215" s="128"/>
      <c r="S215" s="128"/>
      <c r="T215" s="128"/>
      <c r="U215" s="128"/>
      <c r="V215" s="10" t="e">
        <f t="shared" ref="V215:V259" si="27">+(P215/L215)^(1/4)-1</f>
        <v>#DIV/0!</v>
      </c>
      <c r="W215" s="10" t="e">
        <f t="shared" ref="W215:W259" si="28">+(U215/Q215)^(1/4)-1</f>
        <v>#DIV/0!</v>
      </c>
      <c r="X215" s="7"/>
      <c r="Y215" s="7"/>
    </row>
    <row r="216" spans="1:25" customFormat="1">
      <c r="A216" s="119" t="s">
        <v>979</v>
      </c>
      <c r="B216" s="119" t="s">
        <v>94</v>
      </c>
      <c r="C216" s="119" t="s">
        <v>130</v>
      </c>
      <c r="D216" s="119" t="s">
        <v>1060</v>
      </c>
      <c r="E216" s="6" t="s">
        <v>333</v>
      </c>
      <c r="F216" s="7" t="s">
        <v>334</v>
      </c>
      <c r="G216" s="7" t="s">
        <v>15</v>
      </c>
      <c r="H216" s="7" t="s">
        <v>16</v>
      </c>
      <c r="I216" s="7"/>
      <c r="J216" s="7" t="s">
        <v>99</v>
      </c>
      <c r="K216" s="8"/>
      <c r="O216" s="158"/>
      <c r="P216" s="9"/>
      <c r="Q216" s="9"/>
      <c r="R216" s="9"/>
      <c r="S216" s="9"/>
      <c r="T216" s="9"/>
      <c r="U216" s="9"/>
      <c r="V216" s="10" t="e">
        <f t="shared" si="27"/>
        <v>#DIV/0!</v>
      </c>
      <c r="W216" s="10" t="e">
        <f t="shared" si="28"/>
        <v>#DIV/0!</v>
      </c>
      <c r="X216" s="7"/>
      <c r="Y216" s="7"/>
    </row>
    <row r="217" spans="1:25" customFormat="1">
      <c r="A217" s="119" t="s">
        <v>979</v>
      </c>
      <c r="B217" s="119" t="s">
        <v>94</v>
      </c>
      <c r="C217" s="119" t="s">
        <v>130</v>
      </c>
      <c r="D217" s="119" t="s">
        <v>1060</v>
      </c>
      <c r="E217" s="6" t="s">
        <v>335</v>
      </c>
      <c r="F217" s="7" t="s">
        <v>336</v>
      </c>
      <c r="G217" s="7" t="s">
        <v>15</v>
      </c>
      <c r="H217" s="7" t="s">
        <v>16</v>
      </c>
      <c r="I217" s="7"/>
      <c r="J217" s="7" t="s">
        <v>99</v>
      </c>
      <c r="K217" s="8"/>
      <c r="O217" s="158"/>
      <c r="P217" s="9"/>
      <c r="Q217" s="9"/>
      <c r="R217" s="9"/>
      <c r="S217" s="9"/>
      <c r="T217" s="9"/>
      <c r="U217" s="9"/>
      <c r="V217" s="10" t="e">
        <f t="shared" si="27"/>
        <v>#DIV/0!</v>
      </c>
      <c r="W217" s="10" t="e">
        <f t="shared" si="28"/>
        <v>#DIV/0!</v>
      </c>
      <c r="X217" s="7"/>
      <c r="Y217" s="7"/>
    </row>
    <row r="218" spans="1:25" customFormat="1">
      <c r="A218" s="119" t="s">
        <v>979</v>
      </c>
      <c r="B218" s="119" t="s">
        <v>94</v>
      </c>
      <c r="C218" s="119" t="s">
        <v>130</v>
      </c>
      <c r="D218" s="119" t="s">
        <v>1060</v>
      </c>
      <c r="E218" s="6" t="s">
        <v>337</v>
      </c>
      <c r="F218" s="7" t="s">
        <v>338</v>
      </c>
      <c r="G218" s="7" t="s">
        <v>15</v>
      </c>
      <c r="H218" s="7" t="s">
        <v>16</v>
      </c>
      <c r="I218" s="7"/>
      <c r="J218" s="7" t="s">
        <v>99</v>
      </c>
      <c r="K218" s="8">
        <v>117.191</v>
      </c>
      <c r="M218" s="227">
        <v>291.2</v>
      </c>
      <c r="N218">
        <v>280</v>
      </c>
      <c r="O218">
        <v>310</v>
      </c>
      <c r="P218" s="189">
        <f>AVERAGE(M218:O218)*1.1</f>
        <v>323.10666666666668</v>
      </c>
      <c r="Q218" s="189"/>
      <c r="R218" s="9"/>
      <c r="S218" s="9"/>
      <c r="T218" s="9"/>
      <c r="U218" s="9"/>
      <c r="V218" s="10" t="e">
        <f t="shared" si="27"/>
        <v>#DIV/0!</v>
      </c>
      <c r="W218" s="10" t="e">
        <f t="shared" si="28"/>
        <v>#DIV/0!</v>
      </c>
      <c r="X218" s="7"/>
      <c r="Y218" s="12"/>
    </row>
    <row r="219" spans="1:25" customFormat="1">
      <c r="A219" s="119" t="s">
        <v>979</v>
      </c>
      <c r="B219" s="119" t="s">
        <v>94</v>
      </c>
      <c r="C219" s="119" t="s">
        <v>130</v>
      </c>
      <c r="D219" s="119" t="s">
        <v>1060</v>
      </c>
      <c r="E219" s="6" t="s">
        <v>339</v>
      </c>
      <c r="F219" s="7" t="s">
        <v>340</v>
      </c>
      <c r="G219" s="7" t="s">
        <v>15</v>
      </c>
      <c r="H219" s="7" t="s">
        <v>16</v>
      </c>
      <c r="I219" s="7"/>
      <c r="J219" s="7" t="s">
        <v>99</v>
      </c>
      <c r="K219" s="8"/>
      <c r="M219" s="227">
        <v>856.35</v>
      </c>
      <c r="N219">
        <v>865</v>
      </c>
      <c r="O219">
        <v>970</v>
      </c>
      <c r="P219" s="189">
        <f>AVERAGE(M219:O219)*1.3</f>
        <v>1166.2516666666668</v>
      </c>
      <c r="Q219" s="189"/>
      <c r="R219" s="132"/>
      <c r="S219" s="132"/>
      <c r="T219" s="132"/>
      <c r="U219" s="132"/>
      <c r="V219" s="10" t="e">
        <f t="shared" si="27"/>
        <v>#DIV/0!</v>
      </c>
      <c r="W219" s="10" t="e">
        <f t="shared" si="28"/>
        <v>#DIV/0!</v>
      </c>
      <c r="X219" s="7"/>
      <c r="Y219" s="7"/>
    </row>
    <row r="220" spans="1:25" customFormat="1">
      <c r="A220" s="119" t="s">
        <v>979</v>
      </c>
      <c r="B220" s="119" t="s">
        <v>94</v>
      </c>
      <c r="C220" s="119" t="s">
        <v>130</v>
      </c>
      <c r="D220" s="119" t="s">
        <v>1060</v>
      </c>
      <c r="E220" s="6" t="s">
        <v>341</v>
      </c>
      <c r="F220" s="7" t="s">
        <v>342</v>
      </c>
      <c r="G220" s="7" t="s">
        <v>15</v>
      </c>
      <c r="H220" s="7" t="s">
        <v>16</v>
      </c>
      <c r="I220" s="7"/>
      <c r="J220" s="7" t="s">
        <v>99</v>
      </c>
      <c r="K220" s="8">
        <v>188.31100000000001</v>
      </c>
      <c r="O220" s="189"/>
      <c r="P220" s="189" t="e">
        <f>AVERAGE(M220:O220)*1.15</f>
        <v>#DIV/0!</v>
      </c>
      <c r="R220" s="9"/>
      <c r="S220" s="9"/>
      <c r="T220" s="9"/>
      <c r="U220" s="9"/>
      <c r="V220" s="10" t="e">
        <f t="shared" si="27"/>
        <v>#DIV/0!</v>
      </c>
      <c r="W220" s="10" t="e">
        <f t="shared" si="28"/>
        <v>#DIV/0!</v>
      </c>
      <c r="X220" s="7"/>
      <c r="Y220" s="12"/>
    </row>
    <row r="221" spans="1:25" customFormat="1">
      <c r="A221" s="119" t="s">
        <v>979</v>
      </c>
      <c r="B221" s="119" t="s">
        <v>94</v>
      </c>
      <c r="C221" s="119" t="s">
        <v>130</v>
      </c>
      <c r="D221" s="119" t="s">
        <v>1060</v>
      </c>
      <c r="E221" s="6" t="s">
        <v>343</v>
      </c>
      <c r="F221" s="7" t="s">
        <v>344</v>
      </c>
      <c r="G221" s="7" t="s">
        <v>15</v>
      </c>
      <c r="H221" s="7" t="s">
        <v>16</v>
      </c>
      <c r="I221" s="7"/>
      <c r="J221" s="7" t="s">
        <v>99</v>
      </c>
      <c r="K221" s="8"/>
      <c r="O221" s="188"/>
      <c r="P221" s="132"/>
      <c r="Q221" s="132"/>
      <c r="R221" s="132"/>
      <c r="S221" s="132"/>
      <c r="T221" s="132"/>
      <c r="U221" s="132"/>
      <c r="V221" s="10" t="e">
        <f t="shared" si="27"/>
        <v>#DIV/0!</v>
      </c>
      <c r="W221" s="10" t="e">
        <f t="shared" si="28"/>
        <v>#DIV/0!</v>
      </c>
      <c r="X221" s="7"/>
      <c r="Y221" s="7"/>
    </row>
    <row r="222" spans="1:25" customFormat="1">
      <c r="A222" s="119" t="s">
        <v>979</v>
      </c>
      <c r="B222" s="119" t="s">
        <v>94</v>
      </c>
      <c r="C222" s="119" t="s">
        <v>130</v>
      </c>
      <c r="D222" s="119" t="s">
        <v>1060</v>
      </c>
      <c r="E222" s="6" t="s">
        <v>345</v>
      </c>
      <c r="F222" s="7" t="s">
        <v>346</v>
      </c>
      <c r="G222" s="7" t="s">
        <v>15</v>
      </c>
      <c r="H222" s="7" t="s">
        <v>16</v>
      </c>
      <c r="I222" s="7"/>
      <c r="J222" s="7" t="s">
        <v>99</v>
      </c>
      <c r="K222" s="8"/>
      <c r="O222" s="189"/>
      <c r="P222" s="189" t="e">
        <f>AVERAGE(M222:O222)*1.15</f>
        <v>#DIV/0!</v>
      </c>
      <c r="Q222" s="9"/>
      <c r="R222" s="9"/>
      <c r="S222" s="9"/>
      <c r="T222" s="9"/>
      <c r="U222" s="9"/>
      <c r="V222" s="10" t="e">
        <f>+(P222/L222)^(1/4)-1</f>
        <v>#DIV/0!</v>
      </c>
      <c r="W222" s="10" t="e">
        <f t="shared" si="28"/>
        <v>#DIV/0!</v>
      </c>
      <c r="X222" s="7"/>
      <c r="Y222" s="7"/>
    </row>
    <row r="223" spans="1:25" customFormat="1">
      <c r="A223" s="119" t="s">
        <v>979</v>
      </c>
      <c r="B223" s="119" t="s">
        <v>94</v>
      </c>
      <c r="C223" s="119" t="s">
        <v>130</v>
      </c>
      <c r="D223" s="119" t="s">
        <v>1060</v>
      </c>
      <c r="E223" s="6" t="s">
        <v>347</v>
      </c>
      <c r="F223" s="7" t="s">
        <v>348</v>
      </c>
      <c r="G223" s="7" t="s">
        <v>15</v>
      </c>
      <c r="H223" s="7" t="s">
        <v>16</v>
      </c>
      <c r="I223" s="7"/>
      <c r="J223" s="7" t="s">
        <v>99</v>
      </c>
      <c r="K223" s="8"/>
      <c r="O223" s="188"/>
      <c r="P223" s="9"/>
      <c r="Q223" s="9"/>
      <c r="R223" s="9"/>
      <c r="S223" s="9"/>
      <c r="T223" s="9"/>
      <c r="U223" s="9"/>
      <c r="V223" s="10" t="e">
        <f t="shared" si="27"/>
        <v>#DIV/0!</v>
      </c>
      <c r="W223" s="10" t="e">
        <f t="shared" si="28"/>
        <v>#DIV/0!</v>
      </c>
      <c r="X223" s="7"/>
      <c r="Y223" s="7"/>
    </row>
    <row r="224" spans="1:25" customFormat="1">
      <c r="A224" s="119" t="s">
        <v>979</v>
      </c>
      <c r="B224" s="119" t="s">
        <v>94</v>
      </c>
      <c r="C224" s="119" t="s">
        <v>130</v>
      </c>
      <c r="D224" s="119" t="s">
        <v>1060</v>
      </c>
      <c r="E224" s="6" t="s">
        <v>349</v>
      </c>
      <c r="F224" s="7" t="s">
        <v>350</v>
      </c>
      <c r="G224" s="7" t="s">
        <v>15</v>
      </c>
      <c r="H224" s="7" t="s">
        <v>16</v>
      </c>
      <c r="I224" s="7"/>
      <c r="J224" s="7" t="s">
        <v>99</v>
      </c>
      <c r="K224" s="8"/>
      <c r="O224" s="188"/>
      <c r="P224" s="9"/>
      <c r="Q224" s="9"/>
      <c r="R224" s="9"/>
      <c r="S224" s="9"/>
      <c r="T224" s="9"/>
      <c r="U224" s="9"/>
      <c r="V224" s="10" t="e">
        <f t="shared" si="27"/>
        <v>#DIV/0!</v>
      </c>
      <c r="W224" s="10" t="e">
        <f t="shared" si="28"/>
        <v>#DIV/0!</v>
      </c>
      <c r="X224" s="7"/>
      <c r="Y224" s="7"/>
    </row>
    <row r="225" spans="1:25" customFormat="1">
      <c r="A225" s="119" t="s">
        <v>979</v>
      </c>
      <c r="B225" s="119" t="s">
        <v>94</v>
      </c>
      <c r="C225" s="119" t="s">
        <v>130</v>
      </c>
      <c r="D225" s="119" t="s">
        <v>1060</v>
      </c>
      <c r="E225" s="6" t="s">
        <v>351</v>
      </c>
      <c r="F225" s="7" t="s">
        <v>352</v>
      </c>
      <c r="G225" s="7" t="s">
        <v>15</v>
      </c>
      <c r="H225" s="7" t="s">
        <v>16</v>
      </c>
      <c r="I225" s="7"/>
      <c r="J225" s="7" t="s">
        <v>99</v>
      </c>
      <c r="K225" s="8"/>
      <c r="O225" s="188"/>
      <c r="P225" s="129"/>
      <c r="Q225" s="9"/>
      <c r="R225" s="9"/>
      <c r="S225" s="9"/>
      <c r="T225" s="9"/>
      <c r="U225" s="9"/>
      <c r="V225" s="10" t="e">
        <f t="shared" si="27"/>
        <v>#DIV/0!</v>
      </c>
      <c r="W225" s="10" t="e">
        <f t="shared" si="28"/>
        <v>#DIV/0!</v>
      </c>
      <c r="X225" s="7"/>
      <c r="Y225" s="7"/>
    </row>
    <row r="226" spans="1:25" customFormat="1">
      <c r="A226" s="119" t="s">
        <v>979</v>
      </c>
      <c r="B226" s="119" t="s">
        <v>94</v>
      </c>
      <c r="C226" s="119" t="s">
        <v>130</v>
      </c>
      <c r="D226" s="119" t="s">
        <v>1060</v>
      </c>
      <c r="E226" s="6" t="s">
        <v>353</v>
      </c>
      <c r="F226" s="7" t="s">
        <v>354</v>
      </c>
      <c r="G226" s="7" t="s">
        <v>15</v>
      </c>
      <c r="H226" s="7" t="s">
        <v>16</v>
      </c>
      <c r="I226" s="7"/>
      <c r="J226" s="7" t="s">
        <v>99</v>
      </c>
      <c r="K226" s="8"/>
      <c r="M226" s="227">
        <v>169.75</v>
      </c>
      <c r="N226">
        <v>175</v>
      </c>
      <c r="O226">
        <v>175</v>
      </c>
      <c r="P226" s="189">
        <f>AVERAGE(M226:O226)*1.1</f>
        <v>190.57500000000002</v>
      </c>
      <c r="Q226" s="9"/>
      <c r="R226" s="9"/>
      <c r="S226" s="9"/>
      <c r="T226" s="9"/>
      <c r="U226" s="9"/>
      <c r="V226" s="10" t="e">
        <f t="shared" si="27"/>
        <v>#DIV/0!</v>
      </c>
      <c r="W226" s="10" t="e">
        <f t="shared" si="28"/>
        <v>#DIV/0!</v>
      </c>
      <c r="X226" s="7"/>
      <c r="Y226" s="7"/>
    </row>
    <row r="227" spans="1:25" customFormat="1">
      <c r="A227" s="119" t="s">
        <v>979</v>
      </c>
      <c r="B227" s="119" t="s">
        <v>94</v>
      </c>
      <c r="C227" s="119" t="s">
        <v>130</v>
      </c>
      <c r="D227" s="119" t="s">
        <v>1060</v>
      </c>
      <c r="E227" s="6" t="s">
        <v>355</v>
      </c>
      <c r="F227" s="7" t="s">
        <v>356</v>
      </c>
      <c r="G227" s="7" t="s">
        <v>15</v>
      </c>
      <c r="H227" s="7" t="s">
        <v>16</v>
      </c>
      <c r="I227" s="7"/>
      <c r="J227" s="7" t="s">
        <v>99</v>
      </c>
      <c r="K227" s="8">
        <v>185.33699999999999</v>
      </c>
      <c r="O227" s="189"/>
      <c r="P227" s="189" t="e">
        <f>AVERAGE(M227:O227)*1.19</f>
        <v>#DIV/0!</v>
      </c>
      <c r="Q227" s="9"/>
      <c r="R227" s="9"/>
      <c r="S227" s="9"/>
      <c r="T227" s="9"/>
      <c r="U227" s="9"/>
      <c r="V227" s="10" t="e">
        <f t="shared" si="27"/>
        <v>#DIV/0!</v>
      </c>
      <c r="W227" s="10" t="e">
        <f t="shared" si="28"/>
        <v>#DIV/0!</v>
      </c>
      <c r="X227" s="7"/>
      <c r="Y227" s="12"/>
    </row>
    <row r="228" spans="1:25" customFormat="1">
      <c r="A228" s="119" t="s">
        <v>979</v>
      </c>
      <c r="B228" s="119" t="s">
        <v>94</v>
      </c>
      <c r="C228" s="119" t="s">
        <v>130</v>
      </c>
      <c r="D228" s="119" t="s">
        <v>1060</v>
      </c>
      <c r="E228" s="6" t="s">
        <v>357</v>
      </c>
      <c r="F228" s="7" t="s">
        <v>358</v>
      </c>
      <c r="G228" s="7" t="s">
        <v>15</v>
      </c>
      <c r="H228" s="7" t="s">
        <v>16</v>
      </c>
      <c r="I228" s="7"/>
      <c r="J228" s="7" t="s">
        <v>99</v>
      </c>
      <c r="K228" s="8"/>
      <c r="O228" s="189"/>
      <c r="P228" s="189" t="e">
        <f>AVERAGE(M228:O228)*1.1</f>
        <v>#DIV/0!</v>
      </c>
      <c r="Q228" s="132"/>
      <c r="R228" s="132"/>
      <c r="S228" s="132"/>
      <c r="T228" s="132"/>
      <c r="U228" s="132"/>
      <c r="V228" s="10" t="e">
        <f t="shared" si="27"/>
        <v>#DIV/0!</v>
      </c>
      <c r="W228" s="10" t="e">
        <f t="shared" si="28"/>
        <v>#DIV/0!</v>
      </c>
      <c r="X228" s="7"/>
      <c r="Y228" s="7"/>
    </row>
    <row r="229" spans="1:25" customFormat="1">
      <c r="A229" s="119" t="s">
        <v>979</v>
      </c>
      <c r="B229" s="119" t="s">
        <v>94</v>
      </c>
      <c r="C229" s="119" t="s">
        <v>130</v>
      </c>
      <c r="D229" s="119" t="s">
        <v>1060</v>
      </c>
      <c r="E229" s="6" t="s">
        <v>359</v>
      </c>
      <c r="F229" s="7" t="s">
        <v>360</v>
      </c>
      <c r="G229" s="7" t="s">
        <v>15</v>
      </c>
      <c r="H229" s="7" t="s">
        <v>16</v>
      </c>
      <c r="I229" s="7"/>
      <c r="J229" s="7" t="s">
        <v>99</v>
      </c>
      <c r="K229" s="8">
        <v>87.903999999999996</v>
      </c>
      <c r="O229" s="189"/>
      <c r="P229" s="189" t="e">
        <f>AVERAGE(M229:O229)*1.15</f>
        <v>#DIV/0!</v>
      </c>
      <c r="Q229" s="9"/>
      <c r="R229" s="128"/>
      <c r="S229" s="9"/>
      <c r="T229" s="9"/>
      <c r="U229" s="9"/>
      <c r="V229" s="10" t="e">
        <f t="shared" si="27"/>
        <v>#DIV/0!</v>
      </c>
      <c r="W229" s="10" t="e">
        <f t="shared" si="28"/>
        <v>#DIV/0!</v>
      </c>
      <c r="X229" s="7"/>
      <c r="Y229" s="12"/>
    </row>
    <row r="230" spans="1:25" customFormat="1">
      <c r="A230" s="119" t="s">
        <v>979</v>
      </c>
      <c r="B230" s="119" t="s">
        <v>94</v>
      </c>
      <c r="C230" s="119" t="s">
        <v>130</v>
      </c>
      <c r="D230" s="119" t="s">
        <v>1060</v>
      </c>
      <c r="E230" s="6" t="s">
        <v>361</v>
      </c>
      <c r="F230" s="7" t="s">
        <v>362</v>
      </c>
      <c r="G230" s="7" t="s">
        <v>15</v>
      </c>
      <c r="H230" s="7" t="s">
        <v>16</v>
      </c>
      <c r="I230" s="7"/>
      <c r="J230" s="7" t="s">
        <v>99</v>
      </c>
      <c r="K230" s="8">
        <v>789.81500000000005</v>
      </c>
      <c r="M230" s="227">
        <v>215</v>
      </c>
      <c r="N230">
        <v>215</v>
      </c>
      <c r="O230">
        <v>225</v>
      </c>
      <c r="P230" s="189">
        <f>AVERAGE(M230:O230)*1.11</f>
        <v>242.35000000000002</v>
      </c>
      <c r="Q230" s="9"/>
      <c r="R230" s="9"/>
      <c r="S230" s="9"/>
      <c r="T230" s="9"/>
      <c r="U230" s="9"/>
      <c r="V230" s="10" t="e">
        <f t="shared" si="27"/>
        <v>#DIV/0!</v>
      </c>
      <c r="W230" s="10" t="e">
        <f t="shared" si="28"/>
        <v>#DIV/0!</v>
      </c>
      <c r="X230" s="7"/>
      <c r="Y230" s="12"/>
    </row>
    <row r="231" spans="1:25" customFormat="1">
      <c r="A231" s="119" t="s">
        <v>979</v>
      </c>
      <c r="B231" s="119" t="s">
        <v>94</v>
      </c>
      <c r="C231" s="119" t="s">
        <v>130</v>
      </c>
      <c r="D231" s="119" t="s">
        <v>1060</v>
      </c>
      <c r="E231" s="6" t="s">
        <v>363</v>
      </c>
      <c r="F231" s="7" t="s">
        <v>364</v>
      </c>
      <c r="G231" s="7" t="s">
        <v>15</v>
      </c>
      <c r="H231" s="7" t="s">
        <v>16</v>
      </c>
      <c r="I231" s="7"/>
      <c r="J231" s="7" t="s">
        <v>99</v>
      </c>
      <c r="K231" s="8"/>
      <c r="O231" s="188"/>
      <c r="P231" s="132"/>
      <c r="Q231" s="132"/>
      <c r="R231" s="132"/>
      <c r="S231" s="132"/>
      <c r="T231" s="132"/>
      <c r="U231" s="132"/>
      <c r="V231" s="10" t="e">
        <f t="shared" si="27"/>
        <v>#DIV/0!</v>
      </c>
      <c r="W231" s="10" t="e">
        <f t="shared" si="28"/>
        <v>#DIV/0!</v>
      </c>
      <c r="X231" s="7"/>
      <c r="Y231" s="7"/>
    </row>
    <row r="232" spans="1:25" customFormat="1">
      <c r="A232" s="119" t="s">
        <v>979</v>
      </c>
      <c r="B232" s="119" t="s">
        <v>94</v>
      </c>
      <c r="C232" s="119" t="s">
        <v>130</v>
      </c>
      <c r="D232" s="119" t="s">
        <v>1060</v>
      </c>
      <c r="E232" s="6" t="s">
        <v>365</v>
      </c>
      <c r="F232" s="7" t="s">
        <v>366</v>
      </c>
      <c r="G232" s="7" t="s">
        <v>15</v>
      </c>
      <c r="H232" s="7" t="s">
        <v>16</v>
      </c>
      <c r="I232" s="7"/>
      <c r="J232" s="7" t="s">
        <v>99</v>
      </c>
      <c r="K232" s="8">
        <v>1385.52</v>
      </c>
      <c r="M232" s="227">
        <v>4332</v>
      </c>
      <c r="N232">
        <v>4560</v>
      </c>
      <c r="O232">
        <v>4520</v>
      </c>
      <c r="P232" s="189">
        <f>AVERAGE(M232:O232)*0.93</f>
        <v>4157.72</v>
      </c>
      <c r="Q232" s="9"/>
      <c r="R232" s="9"/>
      <c r="S232" s="9"/>
      <c r="T232" s="9"/>
      <c r="U232" s="9"/>
      <c r="V232" s="10" t="e">
        <f t="shared" si="27"/>
        <v>#DIV/0!</v>
      </c>
      <c r="W232" s="10" t="e">
        <f t="shared" si="28"/>
        <v>#DIV/0!</v>
      </c>
      <c r="X232" s="7"/>
      <c r="Y232" s="12"/>
    </row>
    <row r="233" spans="1:25" customFormat="1">
      <c r="A233" s="119" t="s">
        <v>979</v>
      </c>
      <c r="B233" s="119" t="s">
        <v>94</v>
      </c>
      <c r="C233" s="119" t="s">
        <v>130</v>
      </c>
      <c r="D233" s="119" t="s">
        <v>1060</v>
      </c>
      <c r="E233" s="6" t="s">
        <v>367</v>
      </c>
      <c r="F233" s="7" t="s">
        <v>368</v>
      </c>
      <c r="G233" s="7" t="s">
        <v>15</v>
      </c>
      <c r="H233" s="7" t="s">
        <v>16</v>
      </c>
      <c r="I233" s="7"/>
      <c r="J233" s="7" t="s">
        <v>99</v>
      </c>
      <c r="K233" s="8"/>
      <c r="O233" s="189"/>
      <c r="P233" s="189" t="e">
        <f>AVERAGE(M233:O233)*1.3</f>
        <v>#DIV/0!</v>
      </c>
      <c r="R233" s="9"/>
      <c r="S233" s="9"/>
      <c r="T233" s="9"/>
      <c r="U233" s="9"/>
      <c r="V233" s="10" t="e">
        <f t="shared" si="27"/>
        <v>#DIV/0!</v>
      </c>
      <c r="W233" s="10" t="e">
        <f t="shared" si="28"/>
        <v>#DIV/0!</v>
      </c>
      <c r="X233" s="7"/>
      <c r="Y233" s="7"/>
    </row>
    <row r="234" spans="1:25" customFormat="1">
      <c r="A234" s="119" t="s">
        <v>979</v>
      </c>
      <c r="B234" s="119" t="s">
        <v>94</v>
      </c>
      <c r="C234" s="119" t="s">
        <v>130</v>
      </c>
      <c r="D234" s="119" t="s">
        <v>1060</v>
      </c>
      <c r="E234" s="6" t="s">
        <v>369</v>
      </c>
      <c r="F234" s="7" t="s">
        <v>370</v>
      </c>
      <c r="G234" s="7" t="s">
        <v>15</v>
      </c>
      <c r="H234" s="7" t="s">
        <v>16</v>
      </c>
      <c r="I234" s="7"/>
      <c r="J234" s="7" t="s">
        <v>99</v>
      </c>
      <c r="K234" s="8"/>
      <c r="M234" s="227">
        <v>178</v>
      </c>
      <c r="N234">
        <v>200</v>
      </c>
      <c r="O234">
        <v>195</v>
      </c>
      <c r="P234" s="189">
        <f>AVERAGE(M234:O234)*1.05</f>
        <v>200.55</v>
      </c>
      <c r="Q234" s="9"/>
      <c r="R234" s="9"/>
      <c r="S234" s="9"/>
      <c r="T234" s="9"/>
      <c r="U234" s="9"/>
      <c r="V234" s="10" t="e">
        <f t="shared" si="27"/>
        <v>#DIV/0!</v>
      </c>
      <c r="W234" s="10" t="e">
        <f t="shared" si="28"/>
        <v>#DIV/0!</v>
      </c>
      <c r="X234" s="7"/>
      <c r="Y234" s="7"/>
    </row>
    <row r="235" spans="1:25" customFormat="1">
      <c r="A235" s="119" t="s">
        <v>979</v>
      </c>
      <c r="B235" s="119" t="s">
        <v>94</v>
      </c>
      <c r="C235" s="119" t="s">
        <v>130</v>
      </c>
      <c r="D235" s="119" t="s">
        <v>1060</v>
      </c>
      <c r="E235" s="6" t="s">
        <v>371</v>
      </c>
      <c r="F235" s="7" t="s">
        <v>372</v>
      </c>
      <c r="G235" s="7" t="s">
        <v>15</v>
      </c>
      <c r="H235" s="7" t="s">
        <v>16</v>
      </c>
      <c r="I235" s="7"/>
      <c r="J235" s="7" t="s">
        <v>99</v>
      </c>
      <c r="K235" s="8"/>
      <c r="O235" s="188"/>
      <c r="P235" s="132"/>
      <c r="Q235" s="132"/>
      <c r="R235" s="132"/>
      <c r="S235" s="132"/>
      <c r="T235" s="132"/>
      <c r="U235" s="132"/>
      <c r="V235" s="10" t="e">
        <f t="shared" si="27"/>
        <v>#DIV/0!</v>
      </c>
      <c r="W235" s="10" t="e">
        <f t="shared" si="28"/>
        <v>#DIV/0!</v>
      </c>
      <c r="X235" s="7"/>
      <c r="Y235" s="7"/>
    </row>
    <row r="236" spans="1:25" customFormat="1">
      <c r="A236" s="119" t="s">
        <v>979</v>
      </c>
      <c r="B236" s="119" t="s">
        <v>94</v>
      </c>
      <c r="C236" s="119" t="s">
        <v>130</v>
      </c>
      <c r="D236" s="119" t="s">
        <v>1060</v>
      </c>
      <c r="E236" s="6" t="s">
        <v>373</v>
      </c>
      <c r="F236" s="7" t="s">
        <v>374</v>
      </c>
      <c r="G236" s="7" t="s">
        <v>15</v>
      </c>
      <c r="H236" s="7" t="s">
        <v>16</v>
      </c>
      <c r="I236" s="7"/>
      <c r="J236" s="7" t="s">
        <v>99</v>
      </c>
      <c r="K236" s="8">
        <v>414.423</v>
      </c>
      <c r="O236" s="189"/>
      <c r="P236" s="189" t="e">
        <f>AVERAGE(M236:O236)*1.1</f>
        <v>#DIV/0!</v>
      </c>
      <c r="Q236" s="9"/>
      <c r="R236" s="9"/>
      <c r="S236" s="9"/>
      <c r="T236" s="9"/>
      <c r="U236" s="9"/>
      <c r="V236" s="10" t="e">
        <f t="shared" si="27"/>
        <v>#DIV/0!</v>
      </c>
      <c r="W236" s="10" t="e">
        <f t="shared" si="28"/>
        <v>#DIV/0!</v>
      </c>
      <c r="X236" s="7"/>
      <c r="Y236" s="12"/>
    </row>
    <row r="237" spans="1:25" customFormat="1">
      <c r="A237" s="119" t="s">
        <v>979</v>
      </c>
      <c r="B237" s="119" t="s">
        <v>94</v>
      </c>
      <c r="C237" s="119" t="s">
        <v>130</v>
      </c>
      <c r="D237" s="119" t="s">
        <v>1060</v>
      </c>
      <c r="E237" s="6" t="s">
        <v>375</v>
      </c>
      <c r="F237" s="7" t="s">
        <v>376</v>
      </c>
      <c r="G237" s="7" t="s">
        <v>15</v>
      </c>
      <c r="H237" s="7" t="s">
        <v>16</v>
      </c>
      <c r="I237" s="7"/>
      <c r="J237" s="7" t="s">
        <v>99</v>
      </c>
      <c r="K237" s="8">
        <v>532.82899999999995</v>
      </c>
      <c r="M237" s="227">
        <v>230.29999999999998</v>
      </c>
      <c r="N237">
        <v>245</v>
      </c>
      <c r="O237">
        <v>265</v>
      </c>
      <c r="P237" s="189">
        <f>AVERAGE(M237:O237)*1.08</f>
        <v>266.50799999999998</v>
      </c>
      <c r="R237" s="9"/>
      <c r="S237" s="9"/>
      <c r="T237" s="9"/>
      <c r="U237" s="9"/>
      <c r="V237" s="10" t="e">
        <f t="shared" si="27"/>
        <v>#DIV/0!</v>
      </c>
      <c r="W237" s="10" t="e">
        <f t="shared" si="28"/>
        <v>#DIV/0!</v>
      </c>
      <c r="X237" s="7"/>
      <c r="Y237" s="12"/>
    </row>
    <row r="238" spans="1:25" customFormat="1">
      <c r="A238" s="119" t="s">
        <v>979</v>
      </c>
      <c r="B238" s="119" t="s">
        <v>94</v>
      </c>
      <c r="C238" s="119" t="s">
        <v>130</v>
      </c>
      <c r="D238" s="119" t="s">
        <v>1060</v>
      </c>
      <c r="E238" s="6" t="s">
        <v>377</v>
      </c>
      <c r="F238" s="7" t="s">
        <v>378</v>
      </c>
      <c r="G238" s="7" t="s">
        <v>15</v>
      </c>
      <c r="H238" s="7" t="s">
        <v>16</v>
      </c>
      <c r="I238" s="7"/>
      <c r="J238" s="7" t="s">
        <v>99</v>
      </c>
      <c r="K238" s="8"/>
      <c r="M238" s="227">
        <v>156.39999999999998</v>
      </c>
      <c r="N238">
        <v>230</v>
      </c>
      <c r="O238">
        <v>270</v>
      </c>
      <c r="P238" s="189">
        <f>AVERAGE(M238:O238)*0.96</f>
        <v>210.04799999999997</v>
      </c>
      <c r="Q238" s="132"/>
      <c r="R238" s="132"/>
      <c r="S238" s="132"/>
      <c r="T238" s="132"/>
      <c r="U238" s="132"/>
      <c r="V238" s="10" t="e">
        <f t="shared" si="27"/>
        <v>#DIV/0!</v>
      </c>
      <c r="W238" s="10" t="e">
        <f t="shared" si="28"/>
        <v>#DIV/0!</v>
      </c>
      <c r="X238" s="7"/>
      <c r="Y238" s="7"/>
    </row>
    <row r="239" spans="1:25" customFormat="1">
      <c r="A239" s="119" t="s">
        <v>979</v>
      </c>
      <c r="B239" s="119" t="s">
        <v>94</v>
      </c>
      <c r="C239" s="119" t="s">
        <v>130</v>
      </c>
      <c r="D239" s="119" t="s">
        <v>1060</v>
      </c>
      <c r="E239" s="6" t="s">
        <v>379</v>
      </c>
      <c r="F239" s="7" t="s">
        <v>380</v>
      </c>
      <c r="G239" s="7" t="s">
        <v>15</v>
      </c>
      <c r="H239" s="7" t="s">
        <v>16</v>
      </c>
      <c r="I239" s="7"/>
      <c r="J239" s="7" t="s">
        <v>99</v>
      </c>
      <c r="K239" s="8"/>
      <c r="M239" s="227">
        <v>551.79999999999995</v>
      </c>
      <c r="N239">
        <v>620</v>
      </c>
      <c r="O239">
        <v>620</v>
      </c>
      <c r="P239" s="189">
        <f>AVERAGE(M239:O239)*1.12</f>
        <v>668.93866666666668</v>
      </c>
      <c r="Q239" s="9"/>
      <c r="R239" s="9"/>
      <c r="S239" s="9"/>
      <c r="T239" s="9"/>
      <c r="U239" s="9"/>
      <c r="V239" s="10" t="e">
        <f t="shared" si="27"/>
        <v>#DIV/0!</v>
      </c>
      <c r="W239" s="10" t="e">
        <f t="shared" si="28"/>
        <v>#DIV/0!</v>
      </c>
      <c r="X239" s="7"/>
      <c r="Y239" s="7"/>
    </row>
    <row r="240" spans="1:25" customFormat="1">
      <c r="A240" s="119" t="s">
        <v>979</v>
      </c>
      <c r="B240" s="119" t="s">
        <v>94</v>
      </c>
      <c r="C240" s="119" t="s">
        <v>130</v>
      </c>
      <c r="D240" s="119" t="s">
        <v>1060</v>
      </c>
      <c r="E240" s="6" t="s">
        <v>381</v>
      </c>
      <c r="F240" s="7" t="s">
        <v>382</v>
      </c>
      <c r="G240" s="7" t="s">
        <v>15</v>
      </c>
      <c r="H240" s="7" t="s">
        <v>16</v>
      </c>
      <c r="I240" s="7"/>
      <c r="J240" s="7" t="s">
        <v>99</v>
      </c>
      <c r="K240" s="8"/>
      <c r="P240">
        <v>0</v>
      </c>
      <c r="Q240" s="9"/>
      <c r="R240" s="9"/>
      <c r="S240" s="9"/>
      <c r="T240" s="9"/>
      <c r="U240" s="9"/>
      <c r="V240" s="10" t="e">
        <f t="shared" si="27"/>
        <v>#DIV/0!</v>
      </c>
      <c r="W240" s="10" t="e">
        <f t="shared" si="28"/>
        <v>#DIV/0!</v>
      </c>
      <c r="X240" s="7"/>
      <c r="Y240" s="7"/>
    </row>
    <row r="241" spans="1:25" customFormat="1">
      <c r="A241" s="119" t="s">
        <v>979</v>
      </c>
      <c r="B241" s="119" t="s">
        <v>94</v>
      </c>
      <c r="C241" s="119" t="s">
        <v>130</v>
      </c>
      <c r="D241" s="119" t="s">
        <v>1060</v>
      </c>
      <c r="E241" s="6" t="s">
        <v>383</v>
      </c>
      <c r="F241" s="7" t="s">
        <v>384</v>
      </c>
      <c r="G241" s="7" t="s">
        <v>15</v>
      </c>
      <c r="H241" s="7" t="s">
        <v>16</v>
      </c>
      <c r="I241" s="7"/>
      <c r="J241" s="7" t="s">
        <v>99</v>
      </c>
      <c r="K241" s="8"/>
      <c r="O241" s="188"/>
      <c r="P241" s="129"/>
      <c r="Q241" s="9"/>
      <c r="R241" s="9"/>
      <c r="S241" s="9"/>
      <c r="T241" s="9"/>
      <c r="U241" s="9"/>
      <c r="V241" s="10" t="e">
        <f t="shared" si="27"/>
        <v>#DIV/0!</v>
      </c>
      <c r="W241" s="10" t="e">
        <f t="shared" si="28"/>
        <v>#DIV/0!</v>
      </c>
      <c r="X241" s="7"/>
      <c r="Y241" s="7"/>
    </row>
    <row r="242" spans="1:25" customFormat="1">
      <c r="A242" s="119" t="s">
        <v>979</v>
      </c>
      <c r="B242" s="119" t="s">
        <v>94</v>
      </c>
      <c r="C242" s="119" t="s">
        <v>130</v>
      </c>
      <c r="D242" s="119" t="s">
        <v>1060</v>
      </c>
      <c r="E242" s="6" t="s">
        <v>385</v>
      </c>
      <c r="F242" s="7" t="s">
        <v>386</v>
      </c>
      <c r="G242" s="7" t="s">
        <v>15</v>
      </c>
      <c r="H242" s="7" t="s">
        <v>16</v>
      </c>
      <c r="I242" s="7"/>
      <c r="J242" s="7" t="s">
        <v>99</v>
      </c>
      <c r="K242" s="8"/>
      <c r="O242" s="188"/>
      <c r="P242" s="132"/>
      <c r="Q242" s="132"/>
      <c r="R242" s="132"/>
      <c r="S242" s="132"/>
      <c r="T242" s="132"/>
      <c r="U242" s="132"/>
      <c r="V242" s="10" t="e">
        <f t="shared" si="27"/>
        <v>#DIV/0!</v>
      </c>
      <c r="W242" s="10" t="e">
        <f t="shared" si="28"/>
        <v>#DIV/0!</v>
      </c>
      <c r="X242" s="7"/>
      <c r="Y242" s="7"/>
    </row>
    <row r="243" spans="1:25" customFormat="1">
      <c r="A243" s="119" t="s">
        <v>979</v>
      </c>
      <c r="B243" s="119" t="s">
        <v>94</v>
      </c>
      <c r="C243" s="119" t="s">
        <v>130</v>
      </c>
      <c r="D243" s="119" t="s">
        <v>1060</v>
      </c>
      <c r="E243" s="6" t="s">
        <v>387</v>
      </c>
      <c r="F243" s="7" t="s">
        <v>388</v>
      </c>
      <c r="G243" s="7" t="s">
        <v>15</v>
      </c>
      <c r="H243" s="7" t="s">
        <v>16</v>
      </c>
      <c r="I243" s="7"/>
      <c r="J243" s="7" t="s">
        <v>99</v>
      </c>
      <c r="K243" s="8">
        <v>446.78500000000003</v>
      </c>
      <c r="M243" s="227">
        <v>285</v>
      </c>
      <c r="N243">
        <v>300</v>
      </c>
      <c r="O243">
        <v>335</v>
      </c>
      <c r="P243" s="189">
        <f>AVERAGE(M243:O243)*1.12</f>
        <v>343.4666666666667</v>
      </c>
      <c r="R243" s="9"/>
      <c r="S243" s="9"/>
      <c r="T243" s="9"/>
      <c r="U243" s="9"/>
      <c r="V243" s="10" t="e">
        <f t="shared" si="27"/>
        <v>#DIV/0!</v>
      </c>
      <c r="W243" s="10" t="e">
        <f t="shared" si="28"/>
        <v>#DIV/0!</v>
      </c>
      <c r="X243" s="7"/>
      <c r="Y243" s="12"/>
    </row>
    <row r="244" spans="1:25" customFormat="1">
      <c r="A244" s="119" t="s">
        <v>979</v>
      </c>
      <c r="B244" s="119" t="s">
        <v>94</v>
      </c>
      <c r="C244" s="119" t="s">
        <v>130</v>
      </c>
      <c r="D244" s="119" t="s">
        <v>1060</v>
      </c>
      <c r="E244" s="6" t="s">
        <v>389</v>
      </c>
      <c r="F244" s="7" t="s">
        <v>390</v>
      </c>
      <c r="G244" s="7" t="s">
        <v>15</v>
      </c>
      <c r="H244" s="7" t="s">
        <v>16</v>
      </c>
      <c r="I244" s="7"/>
      <c r="J244" s="7" t="s">
        <v>99</v>
      </c>
      <c r="K244" s="8">
        <v>145.35900000000001</v>
      </c>
      <c r="O244" s="189"/>
      <c r="P244" s="189" t="e">
        <f>AVERAGE(M244:O244)*1.12</f>
        <v>#DIV/0!</v>
      </c>
      <c r="Q244" s="9"/>
      <c r="R244" s="9"/>
      <c r="S244" s="9"/>
      <c r="T244" s="9"/>
      <c r="U244" s="9"/>
      <c r="V244" s="10" t="e">
        <f t="shared" si="27"/>
        <v>#DIV/0!</v>
      </c>
      <c r="W244" s="10" t="e">
        <f t="shared" si="28"/>
        <v>#DIV/0!</v>
      </c>
      <c r="X244" s="7"/>
      <c r="Y244" s="12"/>
    </row>
    <row r="245" spans="1:25" customFormat="1">
      <c r="A245" s="119" t="s">
        <v>979</v>
      </c>
      <c r="B245" s="119" t="s">
        <v>94</v>
      </c>
      <c r="C245" s="119" t="s">
        <v>130</v>
      </c>
      <c r="D245" s="119" t="s">
        <v>1060</v>
      </c>
      <c r="E245" s="6" t="s">
        <v>391</v>
      </c>
      <c r="F245" s="7" t="s">
        <v>392</v>
      </c>
      <c r="G245" s="7" t="s">
        <v>15</v>
      </c>
      <c r="H245" s="7" t="s">
        <v>16</v>
      </c>
      <c r="I245" s="7"/>
      <c r="J245" s="7" t="s">
        <v>99</v>
      </c>
      <c r="K245" s="8">
        <v>137.58799999999999</v>
      </c>
      <c r="O245" s="188"/>
      <c r="P245" s="129"/>
      <c r="Q245" s="9"/>
      <c r="R245" s="9"/>
      <c r="S245" s="9"/>
      <c r="T245" s="9"/>
      <c r="U245" s="9"/>
      <c r="V245" s="10" t="e">
        <f t="shared" si="27"/>
        <v>#DIV/0!</v>
      </c>
      <c r="W245" s="10" t="e">
        <f t="shared" si="28"/>
        <v>#DIV/0!</v>
      </c>
      <c r="X245" s="7"/>
      <c r="Y245" s="12"/>
    </row>
    <row r="246" spans="1:25" customFormat="1">
      <c r="A246" s="119" t="s">
        <v>979</v>
      </c>
      <c r="B246" s="119" t="s">
        <v>94</v>
      </c>
      <c r="C246" s="119" t="s">
        <v>130</v>
      </c>
      <c r="D246" s="119" t="s">
        <v>1060</v>
      </c>
      <c r="E246" s="6" t="s">
        <v>393</v>
      </c>
      <c r="F246" s="7" t="s">
        <v>394</v>
      </c>
      <c r="G246" s="7" t="s">
        <v>15</v>
      </c>
      <c r="H246" s="7" t="s">
        <v>16</v>
      </c>
      <c r="I246" s="7"/>
      <c r="J246" s="7" t="s">
        <v>99</v>
      </c>
      <c r="K246" s="8">
        <v>71.406000000000006</v>
      </c>
      <c r="O246" s="189"/>
      <c r="P246" s="189" t="e">
        <f>AVERAGE(M246:O246)*1.12</f>
        <v>#DIV/0!</v>
      </c>
      <c r="R246" s="9"/>
      <c r="S246" s="9"/>
      <c r="T246" s="9"/>
      <c r="U246" s="9"/>
      <c r="V246" s="10" t="e">
        <f t="shared" si="27"/>
        <v>#DIV/0!</v>
      </c>
      <c r="W246" s="10" t="e">
        <f t="shared" si="28"/>
        <v>#DIV/0!</v>
      </c>
      <c r="X246" s="7"/>
      <c r="Y246" s="12"/>
    </row>
    <row r="247" spans="1:25" customFormat="1">
      <c r="A247" s="119" t="s">
        <v>979</v>
      </c>
      <c r="B247" s="119" t="s">
        <v>94</v>
      </c>
      <c r="C247" s="119" t="s">
        <v>130</v>
      </c>
      <c r="D247" s="119" t="s">
        <v>1060</v>
      </c>
      <c r="E247" s="6" t="s">
        <v>395</v>
      </c>
      <c r="F247" s="7" t="s">
        <v>396</v>
      </c>
      <c r="G247" s="7" t="s">
        <v>15</v>
      </c>
      <c r="H247" s="7" t="s">
        <v>16</v>
      </c>
      <c r="I247" s="7"/>
      <c r="J247" s="7" t="s">
        <v>99</v>
      </c>
      <c r="K247" s="8"/>
      <c r="O247" s="188"/>
      <c r="P247" s="132"/>
      <c r="Q247" s="132"/>
      <c r="R247" s="132"/>
      <c r="S247" s="132"/>
      <c r="T247" s="132"/>
      <c r="U247" s="132"/>
      <c r="V247" s="10" t="e">
        <f t="shared" si="27"/>
        <v>#DIV/0!</v>
      </c>
      <c r="W247" s="10" t="e">
        <f t="shared" si="28"/>
        <v>#DIV/0!</v>
      </c>
      <c r="X247" s="7"/>
      <c r="Y247" s="7"/>
    </row>
    <row r="248" spans="1:25" customFormat="1">
      <c r="A248" s="119" t="s">
        <v>979</v>
      </c>
      <c r="B248" s="119" t="s">
        <v>94</v>
      </c>
      <c r="C248" s="119" t="s">
        <v>130</v>
      </c>
      <c r="D248" s="119" t="s">
        <v>1060</v>
      </c>
      <c r="E248" s="6" t="s">
        <v>397</v>
      </c>
      <c r="F248" s="7" t="s">
        <v>398</v>
      </c>
      <c r="G248" s="7" t="s">
        <v>15</v>
      </c>
      <c r="H248" s="7" t="s">
        <v>16</v>
      </c>
      <c r="I248" s="7"/>
      <c r="J248" s="7" t="s">
        <v>99</v>
      </c>
      <c r="K248" s="8"/>
      <c r="O248" s="189"/>
      <c r="P248" s="189" t="e">
        <f>AVERAGE(M248:O248)*1.02</f>
        <v>#DIV/0!</v>
      </c>
      <c r="Q248" s="9"/>
      <c r="R248" s="9"/>
      <c r="S248" s="9"/>
      <c r="T248" s="9"/>
      <c r="U248" s="9"/>
      <c r="V248" s="10" t="e">
        <f t="shared" si="27"/>
        <v>#DIV/0!</v>
      </c>
      <c r="W248" s="10" t="e">
        <f t="shared" si="28"/>
        <v>#DIV/0!</v>
      </c>
      <c r="X248" s="7"/>
      <c r="Y248" s="7"/>
    </row>
    <row r="249" spans="1:25" customFormat="1">
      <c r="A249" s="119" t="s">
        <v>979</v>
      </c>
      <c r="B249" s="119" t="s">
        <v>94</v>
      </c>
      <c r="C249" s="119" t="s">
        <v>130</v>
      </c>
      <c r="D249" s="119" t="s">
        <v>1060</v>
      </c>
      <c r="E249" s="6" t="s">
        <v>399</v>
      </c>
      <c r="F249" s="7" t="s">
        <v>400</v>
      </c>
      <c r="G249" s="7" t="s">
        <v>15</v>
      </c>
      <c r="H249" s="7" t="s">
        <v>16</v>
      </c>
      <c r="I249" s="7"/>
      <c r="J249" s="7" t="s">
        <v>99</v>
      </c>
      <c r="K249" s="8">
        <v>94.680999999999997</v>
      </c>
      <c r="M249" s="227">
        <v>249.60000000000002</v>
      </c>
      <c r="N249">
        <v>320</v>
      </c>
      <c r="O249">
        <v>400</v>
      </c>
      <c r="P249" s="189">
        <f>AVERAGE(M249:O249)*1.01</f>
        <v>326.43200000000002</v>
      </c>
      <c r="Q249" s="9"/>
      <c r="R249" s="9"/>
      <c r="S249" s="9"/>
      <c r="T249" s="9"/>
      <c r="U249" s="9"/>
      <c r="V249" s="10" t="e">
        <f t="shared" si="27"/>
        <v>#DIV/0!</v>
      </c>
      <c r="W249" s="10" t="e">
        <f t="shared" si="28"/>
        <v>#DIV/0!</v>
      </c>
      <c r="X249" s="7"/>
      <c r="Y249" s="12"/>
    </row>
    <row r="250" spans="1:25" customFormat="1">
      <c r="A250" s="119" t="s">
        <v>979</v>
      </c>
      <c r="B250" s="119" t="s">
        <v>94</v>
      </c>
      <c r="C250" s="119" t="s">
        <v>130</v>
      </c>
      <c r="D250" s="119" t="s">
        <v>1060</v>
      </c>
      <c r="E250" s="6" t="s">
        <v>401</v>
      </c>
      <c r="F250" s="7" t="s">
        <v>402</v>
      </c>
      <c r="G250" s="7" t="s">
        <v>15</v>
      </c>
      <c r="H250" s="7" t="s">
        <v>16</v>
      </c>
      <c r="I250" s="7"/>
      <c r="J250" s="7" t="s">
        <v>99</v>
      </c>
      <c r="K250" s="8"/>
      <c r="O250" s="188"/>
      <c r="P250" s="132"/>
      <c r="Q250" s="132"/>
      <c r="R250" s="132"/>
      <c r="S250" s="132"/>
      <c r="T250" s="132"/>
      <c r="U250" s="132"/>
      <c r="V250" s="10" t="e">
        <f t="shared" si="27"/>
        <v>#DIV/0!</v>
      </c>
      <c r="W250" s="10" t="e">
        <f t="shared" si="28"/>
        <v>#DIV/0!</v>
      </c>
      <c r="X250" s="7"/>
      <c r="Y250" s="7"/>
    </row>
    <row r="251" spans="1:25" customFormat="1">
      <c r="A251" s="119" t="s">
        <v>979</v>
      </c>
      <c r="B251" s="119" t="s">
        <v>94</v>
      </c>
      <c r="C251" s="119" t="s">
        <v>130</v>
      </c>
      <c r="D251" s="119" t="s">
        <v>1060</v>
      </c>
      <c r="E251" s="6" t="s">
        <v>403</v>
      </c>
      <c r="F251" s="7" t="s">
        <v>404</v>
      </c>
      <c r="G251" s="7" t="s">
        <v>15</v>
      </c>
      <c r="H251" s="7" t="s">
        <v>16</v>
      </c>
      <c r="I251" s="7"/>
      <c r="J251" s="7" t="s">
        <v>99</v>
      </c>
      <c r="K251" s="8"/>
      <c r="M251" s="227">
        <v>90.100000000000009</v>
      </c>
      <c r="N251">
        <v>85</v>
      </c>
      <c r="O251">
        <v>95</v>
      </c>
      <c r="P251" s="189">
        <f>AVERAGE(M251:O251)*1.27</f>
        <v>114.34233333333336</v>
      </c>
      <c r="Q251" s="9"/>
      <c r="R251" s="9"/>
      <c r="S251" s="9"/>
      <c r="T251" s="9"/>
      <c r="U251" s="9"/>
      <c r="V251" s="10" t="e">
        <f t="shared" si="27"/>
        <v>#DIV/0!</v>
      </c>
      <c r="W251" s="10" t="e">
        <f t="shared" si="28"/>
        <v>#DIV/0!</v>
      </c>
      <c r="X251" s="7"/>
      <c r="Y251" s="7"/>
    </row>
    <row r="252" spans="1:25" customFormat="1">
      <c r="A252" s="119" t="s">
        <v>979</v>
      </c>
      <c r="B252" s="119" t="s">
        <v>94</v>
      </c>
      <c r="C252" s="119" t="s">
        <v>130</v>
      </c>
      <c r="D252" s="119" t="s">
        <v>1060</v>
      </c>
      <c r="E252" s="6" t="s">
        <v>405</v>
      </c>
      <c r="F252" s="7" t="s">
        <v>406</v>
      </c>
      <c r="G252" s="7" t="s">
        <v>15</v>
      </c>
      <c r="H252" s="7" t="s">
        <v>16</v>
      </c>
      <c r="I252" s="7"/>
      <c r="J252" s="7" t="s">
        <v>99</v>
      </c>
      <c r="K252" s="8"/>
      <c r="O252" s="189"/>
      <c r="P252" s="189" t="e">
        <f>AVERAGE(M252:O252)*1.09</f>
        <v>#DIV/0!</v>
      </c>
      <c r="Q252" s="132"/>
      <c r="R252" s="132"/>
      <c r="S252" s="132"/>
      <c r="T252" s="132"/>
      <c r="U252" s="132"/>
      <c r="V252" s="10" t="e">
        <f t="shared" si="27"/>
        <v>#DIV/0!</v>
      </c>
      <c r="W252" s="10" t="e">
        <f t="shared" si="28"/>
        <v>#DIV/0!</v>
      </c>
      <c r="X252" s="7"/>
      <c r="Y252" s="7"/>
    </row>
    <row r="253" spans="1:25" customFormat="1">
      <c r="A253" s="119" t="s">
        <v>979</v>
      </c>
      <c r="B253" s="119" t="s">
        <v>94</v>
      </c>
      <c r="C253" s="119" t="s">
        <v>130</v>
      </c>
      <c r="D253" s="119" t="s">
        <v>1060</v>
      </c>
      <c r="E253" s="6" t="s">
        <v>407</v>
      </c>
      <c r="F253" s="7" t="s">
        <v>408</v>
      </c>
      <c r="G253" s="7" t="s">
        <v>15</v>
      </c>
      <c r="H253" s="7" t="s">
        <v>16</v>
      </c>
      <c r="I253" s="7"/>
      <c r="J253" s="7" t="s">
        <v>99</v>
      </c>
      <c r="K253" s="8">
        <v>424.22399999999999</v>
      </c>
      <c r="O253" s="189"/>
      <c r="P253" s="189" t="e">
        <f>AVERAGE(M253:O253)*1.09</f>
        <v>#DIV/0!</v>
      </c>
      <c r="R253" s="9"/>
      <c r="S253" s="9"/>
      <c r="T253" s="9"/>
      <c r="U253" s="9"/>
      <c r="V253" s="10" t="e">
        <f t="shared" si="27"/>
        <v>#DIV/0!</v>
      </c>
      <c r="W253" s="10" t="e">
        <f t="shared" si="28"/>
        <v>#DIV/0!</v>
      </c>
      <c r="X253" s="7"/>
      <c r="Y253" s="12"/>
    </row>
    <row r="254" spans="1:25" customFormat="1">
      <c r="A254" s="119" t="s">
        <v>979</v>
      </c>
      <c r="B254" s="119" t="s">
        <v>94</v>
      </c>
      <c r="C254" s="119" t="s">
        <v>130</v>
      </c>
      <c r="D254" s="119" t="s">
        <v>1060</v>
      </c>
      <c r="E254" s="6" t="s">
        <v>409</v>
      </c>
      <c r="F254" s="7" t="s">
        <v>410</v>
      </c>
      <c r="G254" s="7" t="s">
        <v>15</v>
      </c>
      <c r="H254" s="7" t="s">
        <v>16</v>
      </c>
      <c r="I254" s="7"/>
      <c r="J254" s="7" t="s">
        <v>99</v>
      </c>
      <c r="K254" s="8">
        <v>285.99400000000003</v>
      </c>
      <c r="M254" s="227">
        <v>141.05000000000001</v>
      </c>
      <c r="N254">
        <v>155</v>
      </c>
      <c r="O254">
        <v>150</v>
      </c>
      <c r="P254" s="189">
        <f>AVERAGE(M254:O254)*1.01</f>
        <v>150.17016666666666</v>
      </c>
      <c r="R254" s="9"/>
      <c r="S254" s="9"/>
      <c r="T254" s="9"/>
      <c r="U254" s="9"/>
      <c r="V254" s="10" t="e">
        <f t="shared" si="27"/>
        <v>#DIV/0!</v>
      </c>
      <c r="W254" s="10" t="e">
        <f t="shared" si="28"/>
        <v>#DIV/0!</v>
      </c>
      <c r="X254" s="7"/>
      <c r="Y254" s="12"/>
    </row>
    <row r="255" spans="1:25" customFormat="1">
      <c r="A255" s="119" t="s">
        <v>979</v>
      </c>
      <c r="B255" s="119" t="s">
        <v>94</v>
      </c>
      <c r="C255" s="119" t="s">
        <v>130</v>
      </c>
      <c r="D255" s="119" t="s">
        <v>1060</v>
      </c>
      <c r="E255" s="6" t="s">
        <v>411</v>
      </c>
      <c r="F255" s="7" t="s">
        <v>412</v>
      </c>
      <c r="G255" s="7" t="s">
        <v>15</v>
      </c>
      <c r="H255" s="7" t="s">
        <v>16</v>
      </c>
      <c r="I255" s="7"/>
      <c r="J255" s="7" t="s">
        <v>99</v>
      </c>
      <c r="K255" s="8">
        <v>270.57100000000003</v>
      </c>
      <c r="O255" s="189"/>
      <c r="P255" s="189" t="e">
        <f>AVERAGE(M255:O255)*1.01</f>
        <v>#DIV/0!</v>
      </c>
      <c r="R255" s="9"/>
      <c r="S255" s="9"/>
      <c r="T255" s="9"/>
      <c r="U255" s="9"/>
      <c r="V255" s="10" t="e">
        <f t="shared" si="27"/>
        <v>#DIV/0!</v>
      </c>
      <c r="W255" s="10" t="e">
        <f t="shared" si="28"/>
        <v>#DIV/0!</v>
      </c>
      <c r="X255" s="7"/>
      <c r="Y255" s="12"/>
    </row>
    <row r="256" spans="1:25" customFormat="1">
      <c r="A256" s="119" t="s">
        <v>979</v>
      </c>
      <c r="B256" s="119" t="s">
        <v>94</v>
      </c>
      <c r="C256" s="119" t="s">
        <v>130</v>
      </c>
      <c r="D256" s="119" t="s">
        <v>1060</v>
      </c>
      <c r="E256" s="6" t="s">
        <v>413</v>
      </c>
      <c r="F256" s="7" t="s">
        <v>414</v>
      </c>
      <c r="G256" s="7" t="s">
        <v>15</v>
      </c>
      <c r="H256" s="7" t="s">
        <v>16</v>
      </c>
      <c r="I256" s="7"/>
      <c r="J256" s="7" t="s">
        <v>99</v>
      </c>
      <c r="K256" s="8"/>
      <c r="O256" s="188"/>
      <c r="P256" s="132"/>
      <c r="Q256" s="132"/>
      <c r="R256" s="132"/>
      <c r="S256" s="132"/>
      <c r="T256" s="132"/>
      <c r="U256" s="132"/>
      <c r="V256" s="10" t="e">
        <f t="shared" si="27"/>
        <v>#DIV/0!</v>
      </c>
      <c r="W256" s="10" t="e">
        <f t="shared" si="28"/>
        <v>#DIV/0!</v>
      </c>
      <c r="X256" s="7"/>
      <c r="Y256" s="7"/>
    </row>
    <row r="257" spans="1:25" customFormat="1">
      <c r="A257" s="119" t="s">
        <v>979</v>
      </c>
      <c r="B257" s="119" t="s">
        <v>94</v>
      </c>
      <c r="C257" s="119" t="s">
        <v>130</v>
      </c>
      <c r="D257" s="119" t="s">
        <v>1060</v>
      </c>
      <c r="E257" s="6" t="s">
        <v>415</v>
      </c>
      <c r="F257" s="7" t="s">
        <v>416</v>
      </c>
      <c r="G257" s="7" t="s">
        <v>15</v>
      </c>
      <c r="H257" s="7" t="s">
        <v>16</v>
      </c>
      <c r="I257" s="7"/>
      <c r="J257" s="7" t="s">
        <v>99</v>
      </c>
      <c r="K257" s="8">
        <v>90.122</v>
      </c>
      <c r="O257" s="189"/>
      <c r="P257" s="189" t="e">
        <f>AVERAGE(M257:O257)*1.01</f>
        <v>#DIV/0!</v>
      </c>
      <c r="Q257" s="9"/>
      <c r="R257" s="9"/>
      <c r="S257" s="9"/>
      <c r="T257" s="9"/>
      <c r="U257" s="9"/>
      <c r="V257" s="10" t="e">
        <f t="shared" si="27"/>
        <v>#DIV/0!</v>
      </c>
      <c r="W257" s="10" t="e">
        <f t="shared" si="28"/>
        <v>#DIV/0!</v>
      </c>
      <c r="X257" s="7"/>
      <c r="Y257" s="12"/>
    </row>
    <row r="258" spans="1:25" customFormat="1">
      <c r="A258" s="119" t="s">
        <v>979</v>
      </c>
      <c r="B258" s="119" t="s">
        <v>94</v>
      </c>
      <c r="C258" s="119" t="s">
        <v>130</v>
      </c>
      <c r="D258" s="119" t="s">
        <v>1060</v>
      </c>
      <c r="E258" s="6" t="s">
        <v>417</v>
      </c>
      <c r="F258" s="7" t="s">
        <v>418</v>
      </c>
      <c r="G258" s="7" t="s">
        <v>15</v>
      </c>
      <c r="H258" s="7" t="s">
        <v>16</v>
      </c>
      <c r="I258" s="7"/>
      <c r="J258" s="7" t="s">
        <v>99</v>
      </c>
      <c r="K258" s="8"/>
      <c r="M258" s="227">
        <v>1087.8</v>
      </c>
      <c r="N258">
        <v>1295</v>
      </c>
      <c r="O258">
        <v>1350</v>
      </c>
      <c r="P258" s="189">
        <f>AVERAGE(M258:O258)*1.27</f>
        <v>1580.2186666666666</v>
      </c>
      <c r="Q258" s="132"/>
      <c r="R258" s="132"/>
      <c r="S258" s="132"/>
      <c r="T258" s="132"/>
      <c r="U258" s="132"/>
      <c r="V258" s="10" t="e">
        <f t="shared" si="27"/>
        <v>#DIV/0!</v>
      </c>
      <c r="W258" s="10" t="e">
        <f t="shared" si="28"/>
        <v>#DIV/0!</v>
      </c>
      <c r="X258" s="7"/>
      <c r="Y258" s="7"/>
    </row>
    <row r="259" spans="1:25" customFormat="1">
      <c r="A259" s="119" t="s">
        <v>979</v>
      </c>
      <c r="B259" s="119" t="s">
        <v>94</v>
      </c>
      <c r="C259" s="119" t="s">
        <v>130</v>
      </c>
      <c r="D259" s="119" t="s">
        <v>1060</v>
      </c>
      <c r="E259" s="6" t="s">
        <v>419</v>
      </c>
      <c r="F259" s="7" t="s">
        <v>420</v>
      </c>
      <c r="G259" s="7" t="s">
        <v>15</v>
      </c>
      <c r="H259" s="7" t="s">
        <v>16</v>
      </c>
      <c r="I259" s="7"/>
      <c r="J259" s="7" t="s">
        <v>99</v>
      </c>
      <c r="K259" s="8">
        <v>4176.2110000000002</v>
      </c>
      <c r="O259" s="188"/>
      <c r="R259" s="9"/>
      <c r="S259" s="9"/>
      <c r="T259" s="9"/>
      <c r="U259" s="9"/>
      <c r="V259" s="10" t="e">
        <f t="shared" si="27"/>
        <v>#DIV/0!</v>
      </c>
      <c r="W259" s="10" t="e">
        <f t="shared" si="28"/>
        <v>#DIV/0!</v>
      </c>
      <c r="X259" s="7"/>
      <c r="Y259" s="12"/>
    </row>
    <row r="260" spans="1:25" customFormat="1">
      <c r="A260" s="41" t="s">
        <v>979</v>
      </c>
      <c r="B260" s="41" t="s">
        <v>94</v>
      </c>
      <c r="C260" s="41" t="s">
        <v>130</v>
      </c>
      <c r="D260" s="41" t="s">
        <v>1060</v>
      </c>
      <c r="E260" s="136" t="s">
        <v>1059</v>
      </c>
      <c r="F260" s="41" t="s">
        <v>882</v>
      </c>
      <c r="G260" s="7"/>
      <c r="H260" s="7"/>
      <c r="I260" s="7"/>
      <c r="J260" s="7" t="s">
        <v>99</v>
      </c>
      <c r="K260" s="8"/>
      <c r="O260" s="188"/>
      <c r="P260" s="9"/>
      <c r="Q260" s="9"/>
      <c r="R260" s="9"/>
      <c r="S260" s="9"/>
      <c r="T260" s="9"/>
      <c r="U260" s="9"/>
      <c r="V260" s="10"/>
      <c r="W260" s="10"/>
      <c r="X260" s="7"/>
      <c r="Y260" s="12"/>
    </row>
    <row r="261" spans="1:25" customFormat="1">
      <c r="A261" s="119" t="s">
        <v>979</v>
      </c>
      <c r="B261" s="119" t="s">
        <v>94</v>
      </c>
      <c r="C261" s="119" t="s">
        <v>130</v>
      </c>
      <c r="D261" s="6" t="s">
        <v>70</v>
      </c>
      <c r="E261" s="7"/>
      <c r="F261" s="7" t="s">
        <v>421</v>
      </c>
      <c r="G261" s="7" t="s">
        <v>15</v>
      </c>
      <c r="H261" s="7" t="s">
        <v>16</v>
      </c>
      <c r="I261" s="7"/>
      <c r="J261" s="7" t="s">
        <v>99</v>
      </c>
      <c r="K261" s="111">
        <f>SUM(K262:K275)</f>
        <v>315.40000000000003</v>
      </c>
      <c r="O261" s="181"/>
      <c r="P261" s="181" t="e">
        <f t="shared" ref="P261" si="29">SUM(P262:P276)</f>
        <v>#DIV/0!</v>
      </c>
      <c r="R261" s="128"/>
      <c r="S261" s="128"/>
      <c r="T261" s="128"/>
      <c r="U261" s="128"/>
      <c r="V261" s="10" t="e">
        <f t="shared" ref="V261:V275" si="30">+(P261/L261)^(1/4)-1</f>
        <v>#DIV/0!</v>
      </c>
      <c r="W261" s="10" t="e">
        <f t="shared" ref="W261:W275" si="31">+(U261/Q261)^(1/4)-1</f>
        <v>#DIV/0!</v>
      </c>
      <c r="X261" s="7"/>
      <c r="Y261" s="7"/>
    </row>
    <row r="262" spans="1:25" customFormat="1">
      <c r="A262" s="119" t="s">
        <v>979</v>
      </c>
      <c r="B262" s="119" t="s">
        <v>94</v>
      </c>
      <c r="C262" s="119" t="s">
        <v>130</v>
      </c>
      <c r="D262" s="119" t="s">
        <v>70</v>
      </c>
      <c r="E262" s="6" t="s">
        <v>422</v>
      </c>
      <c r="F262" s="7" t="s">
        <v>423</v>
      </c>
      <c r="G262" s="7" t="s">
        <v>15</v>
      </c>
      <c r="H262" s="7" t="s">
        <v>16</v>
      </c>
      <c r="I262" s="7"/>
      <c r="J262" s="7" t="s">
        <v>99</v>
      </c>
      <c r="K262" s="8"/>
      <c r="O262" s="188"/>
      <c r="P262" s="9"/>
      <c r="Q262" s="9"/>
      <c r="R262" s="9"/>
      <c r="S262" s="9"/>
      <c r="T262" s="9"/>
      <c r="U262" s="9"/>
      <c r="V262" s="10" t="e">
        <f t="shared" si="30"/>
        <v>#DIV/0!</v>
      </c>
      <c r="W262" s="10" t="e">
        <f t="shared" si="31"/>
        <v>#DIV/0!</v>
      </c>
      <c r="X262" s="7"/>
      <c r="Y262" s="7"/>
    </row>
    <row r="263" spans="1:25" customFormat="1">
      <c r="A263" s="119" t="s">
        <v>979</v>
      </c>
      <c r="B263" s="119" t="s">
        <v>94</v>
      </c>
      <c r="C263" s="119" t="s">
        <v>130</v>
      </c>
      <c r="D263" s="119" t="s">
        <v>70</v>
      </c>
      <c r="E263" s="6" t="s">
        <v>424</v>
      </c>
      <c r="F263" s="7" t="s">
        <v>425</v>
      </c>
      <c r="G263" s="7" t="s">
        <v>15</v>
      </c>
      <c r="H263" s="7" t="s">
        <v>16</v>
      </c>
      <c r="I263" s="7"/>
      <c r="J263" s="7" t="s">
        <v>99</v>
      </c>
      <c r="K263" s="8"/>
      <c r="O263" s="188"/>
      <c r="P263" s="9"/>
      <c r="Q263" s="9"/>
      <c r="R263" s="9"/>
      <c r="S263" s="9"/>
      <c r="T263" s="9"/>
      <c r="U263" s="9"/>
      <c r="V263" s="10" t="e">
        <f t="shared" si="30"/>
        <v>#DIV/0!</v>
      </c>
      <c r="W263" s="10" t="e">
        <f t="shared" si="31"/>
        <v>#DIV/0!</v>
      </c>
      <c r="X263" s="7"/>
      <c r="Y263" s="7"/>
    </row>
    <row r="264" spans="1:25" customFormat="1">
      <c r="A264" s="119" t="s">
        <v>979</v>
      </c>
      <c r="B264" s="119" t="s">
        <v>94</v>
      </c>
      <c r="C264" s="119" t="s">
        <v>130</v>
      </c>
      <c r="D264" s="119" t="s">
        <v>70</v>
      </c>
      <c r="E264" s="6" t="s">
        <v>426</v>
      </c>
      <c r="F264" s="7" t="s">
        <v>427</v>
      </c>
      <c r="G264" s="7" t="s">
        <v>15</v>
      </c>
      <c r="H264" s="7" t="s">
        <v>16</v>
      </c>
      <c r="I264" s="7"/>
      <c r="J264" s="7" t="s">
        <v>99</v>
      </c>
      <c r="K264" s="8"/>
      <c r="O264" s="188"/>
      <c r="P264" s="9"/>
      <c r="Q264" s="9"/>
      <c r="R264" s="9"/>
      <c r="S264" s="9"/>
      <c r="T264" s="9"/>
      <c r="U264" s="9"/>
      <c r="V264" s="10" t="e">
        <f t="shared" si="30"/>
        <v>#DIV/0!</v>
      </c>
      <c r="W264" s="10" t="e">
        <f t="shared" si="31"/>
        <v>#DIV/0!</v>
      </c>
      <c r="X264" s="7"/>
      <c r="Y264" s="7"/>
    </row>
    <row r="265" spans="1:25" customFormat="1">
      <c r="A265" s="119" t="s">
        <v>979</v>
      </c>
      <c r="B265" s="119" t="s">
        <v>94</v>
      </c>
      <c r="C265" s="119" t="s">
        <v>130</v>
      </c>
      <c r="D265" s="119" t="s">
        <v>70</v>
      </c>
      <c r="E265" s="6" t="s">
        <v>428</v>
      </c>
      <c r="F265" s="7" t="s">
        <v>429</v>
      </c>
      <c r="G265" s="7" t="s">
        <v>15</v>
      </c>
      <c r="H265" s="7" t="s">
        <v>16</v>
      </c>
      <c r="I265" s="7"/>
      <c r="J265" s="7" t="s">
        <v>99</v>
      </c>
      <c r="K265" s="8">
        <v>283.88900000000001</v>
      </c>
      <c r="O265" s="189"/>
      <c r="P265" s="189" t="e">
        <f>AVERAGE(M265:O265)*1.08</f>
        <v>#DIV/0!</v>
      </c>
      <c r="Q265" s="9"/>
      <c r="R265" s="9"/>
      <c r="S265" s="9"/>
      <c r="T265" s="9"/>
      <c r="U265" s="9"/>
      <c r="V265" s="10" t="e">
        <f t="shared" si="30"/>
        <v>#DIV/0!</v>
      </c>
      <c r="W265" s="10" t="e">
        <f t="shared" si="31"/>
        <v>#DIV/0!</v>
      </c>
      <c r="X265" s="7"/>
      <c r="Y265" s="12"/>
    </row>
    <row r="266" spans="1:25" customFormat="1">
      <c r="A266" s="119" t="s">
        <v>979</v>
      </c>
      <c r="B266" s="119" t="s">
        <v>94</v>
      </c>
      <c r="C266" s="119" t="s">
        <v>130</v>
      </c>
      <c r="D266" s="119" t="s">
        <v>70</v>
      </c>
      <c r="E266" s="6" t="s">
        <v>430</v>
      </c>
      <c r="F266" s="7" t="s">
        <v>431</v>
      </c>
      <c r="G266" s="7" t="s">
        <v>15</v>
      </c>
      <c r="H266" s="7" t="s">
        <v>16</v>
      </c>
      <c r="I266" s="7"/>
      <c r="J266" s="7" t="s">
        <v>99</v>
      </c>
      <c r="K266" s="8"/>
      <c r="O266" s="188"/>
      <c r="P266" s="132"/>
      <c r="Q266" s="132"/>
      <c r="R266" s="132"/>
      <c r="S266" s="132"/>
      <c r="T266" s="132"/>
      <c r="U266" s="132"/>
      <c r="V266" s="10" t="e">
        <f t="shared" si="30"/>
        <v>#DIV/0!</v>
      </c>
      <c r="W266" s="10" t="e">
        <f t="shared" si="31"/>
        <v>#DIV/0!</v>
      </c>
      <c r="X266" s="7"/>
      <c r="Y266" s="7"/>
    </row>
    <row r="267" spans="1:25" customFormat="1">
      <c r="A267" s="119" t="s">
        <v>979</v>
      </c>
      <c r="B267" s="119" t="s">
        <v>94</v>
      </c>
      <c r="C267" s="119" t="s">
        <v>130</v>
      </c>
      <c r="D267" s="119" t="s">
        <v>70</v>
      </c>
      <c r="E267" s="6" t="s">
        <v>432</v>
      </c>
      <c r="F267" s="7" t="s">
        <v>433</v>
      </c>
      <c r="G267" s="7" t="s">
        <v>15</v>
      </c>
      <c r="H267" s="7" t="s">
        <v>16</v>
      </c>
      <c r="I267" s="7"/>
      <c r="J267" s="7" t="s">
        <v>99</v>
      </c>
      <c r="K267" s="8"/>
      <c r="O267" s="188"/>
      <c r="P267" s="9"/>
      <c r="Q267" s="9"/>
      <c r="R267" s="9"/>
      <c r="S267" s="9"/>
      <c r="T267" s="9"/>
      <c r="U267" s="9"/>
      <c r="V267" s="10" t="e">
        <f t="shared" si="30"/>
        <v>#DIV/0!</v>
      </c>
      <c r="W267" s="10" t="e">
        <f t="shared" si="31"/>
        <v>#DIV/0!</v>
      </c>
      <c r="X267" s="7"/>
      <c r="Y267" s="7"/>
    </row>
    <row r="268" spans="1:25" customFormat="1">
      <c r="A268" s="119" t="s">
        <v>979</v>
      </c>
      <c r="B268" s="119" t="s">
        <v>94</v>
      </c>
      <c r="C268" s="119" t="s">
        <v>130</v>
      </c>
      <c r="D268" s="119" t="s">
        <v>70</v>
      </c>
      <c r="E268" s="6" t="s">
        <v>434</v>
      </c>
      <c r="F268" s="7" t="s">
        <v>435</v>
      </c>
      <c r="G268" s="7" t="s">
        <v>15</v>
      </c>
      <c r="H268" s="7" t="s">
        <v>16</v>
      </c>
      <c r="I268" s="7"/>
      <c r="J268" s="7" t="s">
        <v>99</v>
      </c>
      <c r="K268" s="8"/>
      <c r="O268" s="188"/>
      <c r="P268" s="9"/>
      <c r="Q268" s="9"/>
      <c r="R268" s="9"/>
      <c r="S268" s="9"/>
      <c r="T268" s="9"/>
      <c r="U268" s="9"/>
      <c r="V268" s="10" t="e">
        <f t="shared" si="30"/>
        <v>#DIV/0!</v>
      </c>
      <c r="W268" s="10" t="e">
        <f t="shared" si="31"/>
        <v>#DIV/0!</v>
      </c>
      <c r="X268" s="7"/>
      <c r="Y268" s="7"/>
    </row>
    <row r="269" spans="1:25" customFormat="1">
      <c r="A269" s="119" t="s">
        <v>979</v>
      </c>
      <c r="B269" s="119" t="s">
        <v>94</v>
      </c>
      <c r="C269" s="119" t="s">
        <v>130</v>
      </c>
      <c r="D269" s="119" t="s">
        <v>70</v>
      </c>
      <c r="E269" s="6" t="s">
        <v>436</v>
      </c>
      <c r="F269" s="7" t="s">
        <v>437</v>
      </c>
      <c r="G269" s="7" t="s">
        <v>15</v>
      </c>
      <c r="H269" s="7" t="s">
        <v>16</v>
      </c>
      <c r="I269" s="7"/>
      <c r="J269" s="7" t="s">
        <v>99</v>
      </c>
      <c r="K269" s="8"/>
      <c r="O269" s="188"/>
      <c r="P269" s="9"/>
      <c r="Q269" s="9"/>
      <c r="R269" s="9"/>
      <c r="S269" s="9"/>
      <c r="T269" s="9"/>
      <c r="U269" s="9"/>
      <c r="V269" s="10" t="e">
        <f t="shared" si="30"/>
        <v>#DIV/0!</v>
      </c>
      <c r="W269" s="10" t="e">
        <f t="shared" si="31"/>
        <v>#DIV/0!</v>
      </c>
      <c r="X269" s="7"/>
      <c r="Y269" s="7"/>
    </row>
    <row r="270" spans="1:25" customFormat="1">
      <c r="A270" s="119" t="s">
        <v>979</v>
      </c>
      <c r="B270" s="119" t="s">
        <v>94</v>
      </c>
      <c r="C270" s="119" t="s">
        <v>130</v>
      </c>
      <c r="D270" s="119" t="s">
        <v>70</v>
      </c>
      <c r="E270" s="6" t="s">
        <v>438</v>
      </c>
      <c r="F270" s="7" t="s">
        <v>439</v>
      </c>
      <c r="G270" s="7" t="s">
        <v>15</v>
      </c>
      <c r="H270" s="7" t="s">
        <v>16</v>
      </c>
      <c r="I270" s="7"/>
      <c r="J270" s="7" t="s">
        <v>99</v>
      </c>
      <c r="K270" s="8"/>
      <c r="O270" s="188"/>
      <c r="P270" s="9"/>
      <c r="Q270" s="9"/>
      <c r="R270" s="9"/>
      <c r="S270" s="9"/>
      <c r="T270" s="9"/>
      <c r="U270" s="9"/>
      <c r="V270" s="10" t="e">
        <f t="shared" si="30"/>
        <v>#DIV/0!</v>
      </c>
      <c r="W270" s="10" t="e">
        <f t="shared" si="31"/>
        <v>#DIV/0!</v>
      </c>
      <c r="X270" s="7"/>
      <c r="Y270" s="7"/>
    </row>
    <row r="271" spans="1:25" customFormat="1">
      <c r="A271" s="119" t="s">
        <v>979</v>
      </c>
      <c r="B271" s="119" t="s">
        <v>94</v>
      </c>
      <c r="C271" s="119" t="s">
        <v>130</v>
      </c>
      <c r="D271" s="119" t="s">
        <v>70</v>
      </c>
      <c r="E271" s="6" t="s">
        <v>440</v>
      </c>
      <c r="F271" s="7" t="s">
        <v>441</v>
      </c>
      <c r="G271" s="7" t="s">
        <v>15</v>
      </c>
      <c r="H271" s="7" t="s">
        <v>16</v>
      </c>
      <c r="I271" s="7"/>
      <c r="J271" s="7" t="s">
        <v>99</v>
      </c>
      <c r="K271" s="8"/>
      <c r="O271" s="188"/>
      <c r="P271" s="9"/>
      <c r="Q271" s="9"/>
      <c r="R271" s="9"/>
      <c r="S271" s="9"/>
      <c r="T271" s="9"/>
      <c r="U271" s="9"/>
      <c r="V271" s="10" t="e">
        <f t="shared" si="30"/>
        <v>#DIV/0!</v>
      </c>
      <c r="W271" s="10" t="e">
        <f t="shared" si="31"/>
        <v>#DIV/0!</v>
      </c>
      <c r="X271" s="7"/>
      <c r="Y271" s="7"/>
    </row>
    <row r="272" spans="1:25" customFormat="1">
      <c r="A272" s="119" t="s">
        <v>979</v>
      </c>
      <c r="B272" s="119" t="s">
        <v>94</v>
      </c>
      <c r="C272" s="119" t="s">
        <v>130</v>
      </c>
      <c r="D272" s="119" t="s">
        <v>70</v>
      </c>
      <c r="E272" s="6" t="s">
        <v>442</v>
      </c>
      <c r="F272" s="7" t="s">
        <v>443</v>
      </c>
      <c r="G272" s="7" t="s">
        <v>15</v>
      </c>
      <c r="H272" s="7" t="s">
        <v>16</v>
      </c>
      <c r="I272" s="7"/>
      <c r="J272" s="7" t="s">
        <v>99</v>
      </c>
      <c r="K272" s="8">
        <v>31.510999999999999</v>
      </c>
      <c r="O272" s="188"/>
      <c r="P272" s="9"/>
      <c r="Q272" s="9"/>
      <c r="R272" s="9"/>
      <c r="S272" s="9"/>
      <c r="T272" s="9"/>
      <c r="U272" s="9"/>
      <c r="V272" s="10" t="e">
        <f t="shared" si="30"/>
        <v>#DIV/0!</v>
      </c>
      <c r="W272" s="10" t="e">
        <f t="shared" si="31"/>
        <v>#DIV/0!</v>
      </c>
      <c r="X272" s="7"/>
      <c r="Y272" s="12"/>
    </row>
    <row r="273" spans="1:27">
      <c r="A273" s="119" t="s">
        <v>979</v>
      </c>
      <c r="B273" s="119" t="s">
        <v>94</v>
      </c>
      <c r="C273" s="119" t="s">
        <v>130</v>
      </c>
      <c r="D273" s="119" t="s">
        <v>70</v>
      </c>
      <c r="E273" s="6" t="s">
        <v>444</v>
      </c>
      <c r="F273" s="7" t="s">
        <v>445</v>
      </c>
      <c r="G273" s="7" t="s">
        <v>15</v>
      </c>
      <c r="H273" s="7" t="s">
        <v>16</v>
      </c>
      <c r="J273" s="7" t="s">
        <v>99</v>
      </c>
      <c r="L273"/>
      <c r="M273"/>
      <c r="N273"/>
      <c r="O273" s="188"/>
      <c r="P273" s="132"/>
      <c r="Q273" s="132"/>
      <c r="R273" s="132"/>
      <c r="S273" s="132"/>
      <c r="T273" s="132"/>
      <c r="U273" s="132"/>
      <c r="V273" s="10" t="e">
        <f t="shared" si="30"/>
        <v>#DIV/0!</v>
      </c>
      <c r="W273" s="10" t="e">
        <f t="shared" si="31"/>
        <v>#DIV/0!</v>
      </c>
    </row>
    <row r="274" spans="1:27">
      <c r="A274" s="119" t="s">
        <v>979</v>
      </c>
      <c r="B274" s="119" t="s">
        <v>94</v>
      </c>
      <c r="C274" s="119" t="s">
        <v>130</v>
      </c>
      <c r="D274" s="119" t="s">
        <v>70</v>
      </c>
      <c r="E274" s="6" t="s">
        <v>446</v>
      </c>
      <c r="F274" s="7" t="s">
        <v>447</v>
      </c>
      <c r="G274" s="7" t="s">
        <v>15</v>
      </c>
      <c r="H274" s="7" t="s">
        <v>16</v>
      </c>
      <c r="J274" s="7" t="s">
        <v>99</v>
      </c>
      <c r="L274"/>
      <c r="M274"/>
      <c r="N274"/>
      <c r="O274" s="188"/>
      <c r="P274" s="129"/>
      <c r="V274" s="10" t="e">
        <f t="shared" si="30"/>
        <v>#DIV/0!</v>
      </c>
      <c r="W274" s="10" t="e">
        <f t="shared" si="31"/>
        <v>#DIV/0!</v>
      </c>
    </row>
    <row r="275" spans="1:27">
      <c r="A275" s="119" t="s">
        <v>979</v>
      </c>
      <c r="B275" s="119" t="s">
        <v>94</v>
      </c>
      <c r="C275" s="119" t="s">
        <v>130</v>
      </c>
      <c r="D275" s="119" t="s">
        <v>70</v>
      </c>
      <c r="E275" s="6" t="s">
        <v>448</v>
      </c>
      <c r="F275" s="7" t="s">
        <v>449</v>
      </c>
      <c r="G275" s="7" t="s">
        <v>15</v>
      </c>
      <c r="H275" s="7" t="s">
        <v>16</v>
      </c>
      <c r="J275" s="7" t="s">
        <v>99</v>
      </c>
      <c r="L275"/>
      <c r="M275"/>
      <c r="N275"/>
      <c r="O275" s="188"/>
      <c r="P275" s="132"/>
      <c r="Q275" s="132"/>
      <c r="R275" s="132"/>
      <c r="S275" s="132"/>
      <c r="T275" s="132"/>
      <c r="U275" s="132"/>
      <c r="V275" s="10" t="e">
        <f t="shared" si="30"/>
        <v>#DIV/0!</v>
      </c>
      <c r="W275" s="10" t="e">
        <f t="shared" si="31"/>
        <v>#DIV/0!</v>
      </c>
    </row>
    <row r="276" spans="1:27" s="43" customFormat="1">
      <c r="A276" s="41" t="s">
        <v>979</v>
      </c>
      <c r="B276" s="41" t="s">
        <v>94</v>
      </c>
      <c r="C276" s="41" t="s">
        <v>130</v>
      </c>
      <c r="D276" s="41" t="s">
        <v>70</v>
      </c>
      <c r="E276" s="136" t="s">
        <v>880</v>
      </c>
      <c r="F276" s="41" t="s">
        <v>882</v>
      </c>
      <c r="G276" s="41"/>
      <c r="H276" s="41"/>
      <c r="I276" s="41"/>
      <c r="J276" s="7" t="s">
        <v>99</v>
      </c>
      <c r="K276" s="138"/>
      <c r="L276" s="181"/>
      <c r="M276" s="181"/>
      <c r="N276" s="181"/>
      <c r="O276" s="181"/>
      <c r="P276" s="181">
        <f>Domestic!F163</f>
        <v>0</v>
      </c>
      <c r="Q276" s="181"/>
      <c r="R276" s="132"/>
      <c r="S276" s="132"/>
      <c r="T276" s="132"/>
      <c r="U276" s="132"/>
      <c r="V276" s="139"/>
      <c r="W276" s="139"/>
      <c r="X276" s="41"/>
      <c r="Y276" s="41"/>
      <c r="Z276" s="41"/>
      <c r="AA276" s="42"/>
    </row>
    <row r="277" spans="1:27">
      <c r="A277" s="119" t="s">
        <v>979</v>
      </c>
      <c r="B277" s="119" t="s">
        <v>94</v>
      </c>
      <c r="C277" s="119" t="s">
        <v>130</v>
      </c>
      <c r="D277" s="6" t="s">
        <v>72</v>
      </c>
      <c r="F277" s="7" t="s">
        <v>450</v>
      </c>
      <c r="G277" s="7" t="s">
        <v>15</v>
      </c>
      <c r="H277" s="7" t="s">
        <v>16</v>
      </c>
      <c r="J277" s="7" t="s">
        <v>99</v>
      </c>
      <c r="K277" s="111">
        <f>SUM(K278:K280)</f>
        <v>29309</v>
      </c>
      <c r="L277"/>
      <c r="M277"/>
      <c r="N277"/>
      <c r="O277"/>
      <c r="P277" t="e">
        <f t="shared" ref="P277" si="32">SUM(P278:P280)</f>
        <v>#DIV/0!</v>
      </c>
      <c r="Q277" s="128"/>
      <c r="R277" s="128"/>
      <c r="S277" s="128"/>
      <c r="T277" s="128"/>
      <c r="U277" s="128"/>
      <c r="V277" s="10" t="e">
        <f t="shared" ref="V277:V319" si="33">+(P277/L277)^(1/4)-1</f>
        <v>#DIV/0!</v>
      </c>
      <c r="W277" s="10" t="e">
        <f t="shared" ref="W277:W308" si="34">+(U277/Q277)^(1/4)-1</f>
        <v>#DIV/0!</v>
      </c>
    </row>
    <row r="278" spans="1:27">
      <c r="A278" s="119" t="s">
        <v>979</v>
      </c>
      <c r="B278" s="119" t="s">
        <v>94</v>
      </c>
      <c r="C278" s="119" t="s">
        <v>130</v>
      </c>
      <c r="D278" s="119" t="s">
        <v>72</v>
      </c>
      <c r="E278" s="6" t="s">
        <v>451</v>
      </c>
      <c r="F278" s="7" t="s">
        <v>452</v>
      </c>
      <c r="G278" s="7" t="s">
        <v>15</v>
      </c>
      <c r="H278" s="7" t="s">
        <v>16</v>
      </c>
      <c r="J278" s="7" t="s">
        <v>99</v>
      </c>
      <c r="K278" s="8">
        <v>15992</v>
      </c>
      <c r="L278"/>
      <c r="M278"/>
      <c r="N278"/>
      <c r="O278" s="189"/>
      <c r="P278" s="189" t="e">
        <f>AVERAGE(M278:O278)*0.99</f>
        <v>#DIV/0!</v>
      </c>
      <c r="Q278"/>
      <c r="V278" s="10" t="e">
        <f t="shared" si="33"/>
        <v>#DIV/0!</v>
      </c>
      <c r="W278" s="10" t="e">
        <f t="shared" si="34"/>
        <v>#DIV/0!</v>
      </c>
      <c r="Y278" s="12"/>
    </row>
    <row r="279" spans="1:27">
      <c r="A279" s="119" t="s">
        <v>979</v>
      </c>
      <c r="B279" s="119" t="s">
        <v>94</v>
      </c>
      <c r="C279" s="119" t="s">
        <v>130</v>
      </c>
      <c r="D279" s="119" t="s">
        <v>72</v>
      </c>
      <c r="E279" s="6" t="s">
        <v>453</v>
      </c>
      <c r="F279" s="7" t="s">
        <v>454</v>
      </c>
      <c r="G279" s="7" t="s">
        <v>15</v>
      </c>
      <c r="H279" s="7" t="s">
        <v>16</v>
      </c>
      <c r="J279" s="7" t="s">
        <v>99</v>
      </c>
      <c r="K279" s="8">
        <v>13317</v>
      </c>
      <c r="L279"/>
      <c r="M279"/>
      <c r="N279"/>
      <c r="O279" s="188"/>
      <c r="P279" s="129"/>
      <c r="V279" s="10" t="e">
        <f t="shared" si="33"/>
        <v>#DIV/0!</v>
      </c>
      <c r="W279" s="10" t="e">
        <f t="shared" si="34"/>
        <v>#DIV/0!</v>
      </c>
      <c r="Y279" s="12"/>
    </row>
    <row r="280" spans="1:27">
      <c r="A280" s="119" t="s">
        <v>979</v>
      </c>
      <c r="B280" s="119" t="s">
        <v>94</v>
      </c>
      <c r="C280" s="119" t="s">
        <v>130</v>
      </c>
      <c r="D280" s="119" t="s">
        <v>72</v>
      </c>
      <c r="E280" s="6" t="s">
        <v>455</v>
      </c>
      <c r="F280" s="7" t="s">
        <v>456</v>
      </c>
      <c r="G280" s="7" t="s">
        <v>15</v>
      </c>
      <c r="H280" s="7" t="s">
        <v>16</v>
      </c>
      <c r="J280" s="7" t="s">
        <v>99</v>
      </c>
      <c r="L280"/>
      <c r="M280" s="227">
        <v>182.75</v>
      </c>
      <c r="N280">
        <v>215</v>
      </c>
      <c r="O280">
        <v>240</v>
      </c>
      <c r="P280" s="189">
        <f>AVERAGE(M280:O280)*1.1</f>
        <v>233.8416666666667</v>
      </c>
      <c r="Q280"/>
      <c r="R280" s="132"/>
      <c r="S280" s="132"/>
      <c r="T280" s="132"/>
      <c r="U280" s="132"/>
      <c r="V280" s="10" t="e">
        <f t="shared" si="33"/>
        <v>#DIV/0!</v>
      </c>
      <c r="W280" s="10" t="e">
        <f t="shared" si="34"/>
        <v>#DIV/0!</v>
      </c>
    </row>
    <row r="281" spans="1:27">
      <c r="A281" s="119" t="s">
        <v>979</v>
      </c>
      <c r="B281" s="119" t="s">
        <v>94</v>
      </c>
      <c r="C281" s="119" t="s">
        <v>130</v>
      </c>
      <c r="D281" s="6" t="s">
        <v>74</v>
      </c>
      <c r="F281" s="7" t="s">
        <v>457</v>
      </c>
      <c r="G281" s="7" t="s">
        <v>15</v>
      </c>
      <c r="H281" s="7" t="s">
        <v>16</v>
      </c>
      <c r="J281" s="7" t="s">
        <v>99</v>
      </c>
      <c r="K281" s="111">
        <f>SUM(K282:K318)</f>
        <v>3340.1240000000003</v>
      </c>
      <c r="L281"/>
      <c r="M281"/>
      <c r="N281"/>
      <c r="O281"/>
      <c r="P281" s="143">
        <f>SUM(P282:P319)</f>
        <v>0</v>
      </c>
      <c r="Q281" s="128"/>
      <c r="R281" s="128"/>
      <c r="S281" s="128"/>
      <c r="T281" s="128"/>
      <c r="U281" s="128"/>
      <c r="V281" s="10" t="e">
        <f t="shared" si="33"/>
        <v>#DIV/0!</v>
      </c>
      <c r="W281" s="10" t="e">
        <f t="shared" si="34"/>
        <v>#DIV/0!</v>
      </c>
    </row>
    <row r="282" spans="1:27">
      <c r="A282" s="119" t="s">
        <v>979</v>
      </c>
      <c r="B282" s="119" t="s">
        <v>94</v>
      </c>
      <c r="C282" s="119" t="s">
        <v>130</v>
      </c>
      <c r="D282" s="119" t="s">
        <v>74</v>
      </c>
      <c r="E282" s="6" t="s">
        <v>458</v>
      </c>
      <c r="F282" s="7" t="s">
        <v>459</v>
      </c>
      <c r="G282" s="7" t="s">
        <v>15</v>
      </c>
      <c r="H282" s="7" t="s">
        <v>16</v>
      </c>
      <c r="J282" s="7" t="s">
        <v>99</v>
      </c>
      <c r="K282" s="8">
        <v>212.096</v>
      </c>
      <c r="L282"/>
      <c r="M282"/>
      <c r="N282"/>
      <c r="O282" s="188"/>
      <c r="V282" s="10" t="e">
        <f t="shared" si="33"/>
        <v>#DIV/0!</v>
      </c>
      <c r="W282" s="10" t="e">
        <f t="shared" si="34"/>
        <v>#DIV/0!</v>
      </c>
      <c r="Y282" s="12"/>
    </row>
    <row r="283" spans="1:27">
      <c r="A283" s="119" t="s">
        <v>979</v>
      </c>
      <c r="B283" s="119" t="s">
        <v>94</v>
      </c>
      <c r="C283" s="119" t="s">
        <v>130</v>
      </c>
      <c r="D283" s="119" t="s">
        <v>74</v>
      </c>
      <c r="E283" s="6" t="s">
        <v>460</v>
      </c>
      <c r="F283" s="7" t="s">
        <v>461</v>
      </c>
      <c r="G283" s="7" t="s">
        <v>15</v>
      </c>
      <c r="H283" s="7" t="s">
        <v>16</v>
      </c>
      <c r="J283" s="7" t="s">
        <v>99</v>
      </c>
      <c r="L283"/>
      <c r="M283"/>
      <c r="N283"/>
      <c r="O283" s="188"/>
      <c r="P283" s="132"/>
      <c r="Q283" s="132"/>
      <c r="R283" s="132"/>
      <c r="S283" s="132"/>
      <c r="T283" s="132"/>
      <c r="U283" s="132"/>
      <c r="V283" s="10" t="e">
        <f t="shared" si="33"/>
        <v>#DIV/0!</v>
      </c>
      <c r="W283" s="10" t="e">
        <f t="shared" si="34"/>
        <v>#DIV/0!</v>
      </c>
    </row>
    <row r="284" spans="1:27">
      <c r="A284" s="119" t="s">
        <v>979</v>
      </c>
      <c r="B284" s="119" t="s">
        <v>94</v>
      </c>
      <c r="C284" s="119" t="s">
        <v>130</v>
      </c>
      <c r="D284" s="119" t="s">
        <v>74</v>
      </c>
      <c r="E284" s="6" t="s">
        <v>462</v>
      </c>
      <c r="F284" s="7" t="s">
        <v>463</v>
      </c>
      <c r="G284" s="7" t="s">
        <v>15</v>
      </c>
      <c r="H284" s="7" t="s">
        <v>16</v>
      </c>
      <c r="J284" s="7" t="s">
        <v>99</v>
      </c>
      <c r="K284" s="8">
        <v>243.3</v>
      </c>
      <c r="L284"/>
      <c r="M284"/>
      <c r="N284"/>
      <c r="O284" s="188"/>
      <c r="V284" s="10" t="e">
        <f t="shared" si="33"/>
        <v>#DIV/0!</v>
      </c>
      <c r="W284" s="10" t="e">
        <f t="shared" si="34"/>
        <v>#DIV/0!</v>
      </c>
      <c r="Y284" s="12"/>
    </row>
    <row r="285" spans="1:27">
      <c r="A285" s="119" t="s">
        <v>979</v>
      </c>
      <c r="B285" s="119" t="s">
        <v>94</v>
      </c>
      <c r="C285" s="119" t="s">
        <v>130</v>
      </c>
      <c r="D285" s="119" t="s">
        <v>74</v>
      </c>
      <c r="E285" s="6" t="s">
        <v>464</v>
      </c>
      <c r="F285" s="7" t="s">
        <v>465</v>
      </c>
      <c r="G285" s="7" t="s">
        <v>15</v>
      </c>
      <c r="H285" s="7" t="s">
        <v>16</v>
      </c>
      <c r="J285" s="7" t="s">
        <v>99</v>
      </c>
      <c r="L285"/>
      <c r="M285"/>
      <c r="N285"/>
      <c r="O285" s="188"/>
      <c r="P285" s="129"/>
      <c r="Q285" s="132"/>
      <c r="R285" s="132"/>
      <c r="S285" s="132"/>
      <c r="T285" s="132"/>
      <c r="U285" s="132"/>
      <c r="V285" s="10" t="e">
        <f t="shared" si="33"/>
        <v>#DIV/0!</v>
      </c>
      <c r="W285" s="10" t="e">
        <f t="shared" si="34"/>
        <v>#DIV/0!</v>
      </c>
    </row>
    <row r="286" spans="1:27">
      <c r="A286" s="119" t="s">
        <v>979</v>
      </c>
      <c r="B286" s="119" t="s">
        <v>94</v>
      </c>
      <c r="C286" s="119" t="s">
        <v>130</v>
      </c>
      <c r="D286" s="119" t="s">
        <v>74</v>
      </c>
      <c r="E286" s="6" t="s">
        <v>466</v>
      </c>
      <c r="F286" s="7" t="s">
        <v>467</v>
      </c>
      <c r="G286" s="7" t="s">
        <v>15</v>
      </c>
      <c r="H286" s="7" t="s">
        <v>16</v>
      </c>
      <c r="J286" s="7" t="s">
        <v>99</v>
      </c>
      <c r="L286"/>
      <c r="M286"/>
      <c r="N286"/>
      <c r="O286" s="188"/>
      <c r="V286" s="10" t="e">
        <f t="shared" si="33"/>
        <v>#DIV/0!</v>
      </c>
      <c r="W286" s="10" t="e">
        <f t="shared" si="34"/>
        <v>#DIV/0!</v>
      </c>
    </row>
    <row r="287" spans="1:27">
      <c r="A287" s="119" t="s">
        <v>979</v>
      </c>
      <c r="B287" s="119" t="s">
        <v>94</v>
      </c>
      <c r="C287" s="119" t="s">
        <v>130</v>
      </c>
      <c r="D287" s="119" t="s">
        <v>74</v>
      </c>
      <c r="E287" s="6" t="s">
        <v>468</v>
      </c>
      <c r="F287" s="7" t="s">
        <v>469</v>
      </c>
      <c r="G287" s="7" t="s">
        <v>15</v>
      </c>
      <c r="H287" s="7" t="s">
        <v>16</v>
      </c>
      <c r="J287" s="7" t="s">
        <v>99</v>
      </c>
      <c r="L287"/>
      <c r="M287"/>
      <c r="N287"/>
      <c r="O287" s="188"/>
      <c r="P287" s="132"/>
      <c r="Q287" s="132"/>
      <c r="R287" s="132"/>
      <c r="S287" s="132"/>
      <c r="T287" s="132"/>
      <c r="U287" s="132"/>
      <c r="V287" s="10" t="e">
        <f t="shared" si="33"/>
        <v>#DIV/0!</v>
      </c>
      <c r="W287" s="10" t="e">
        <f t="shared" si="34"/>
        <v>#DIV/0!</v>
      </c>
    </row>
    <row r="288" spans="1:27">
      <c r="A288" s="119" t="s">
        <v>979</v>
      </c>
      <c r="B288" s="119" t="s">
        <v>94</v>
      </c>
      <c r="C288" s="119" t="s">
        <v>130</v>
      </c>
      <c r="D288" s="119" t="s">
        <v>74</v>
      </c>
      <c r="E288" s="6" t="s">
        <v>470</v>
      </c>
      <c r="F288" s="7" t="s">
        <v>471</v>
      </c>
      <c r="G288" s="7" t="s">
        <v>15</v>
      </c>
      <c r="H288" s="7" t="s">
        <v>16</v>
      </c>
      <c r="J288" s="7" t="s">
        <v>99</v>
      </c>
      <c r="K288" s="8">
        <v>525.27099999999996</v>
      </c>
      <c r="L288"/>
      <c r="M288"/>
      <c r="N288"/>
      <c r="O288" s="188"/>
      <c r="P288" s="129"/>
      <c r="V288" s="10" t="e">
        <f t="shared" si="33"/>
        <v>#DIV/0!</v>
      </c>
      <c r="W288" s="10" t="e">
        <f t="shared" si="34"/>
        <v>#DIV/0!</v>
      </c>
      <c r="Y288" s="12"/>
    </row>
    <row r="289" spans="1:25" customFormat="1">
      <c r="A289" s="119" t="s">
        <v>979</v>
      </c>
      <c r="B289" s="119" t="s">
        <v>94</v>
      </c>
      <c r="C289" s="119" t="s">
        <v>130</v>
      </c>
      <c r="D289" s="119" t="s">
        <v>74</v>
      </c>
      <c r="E289" s="6" t="s">
        <v>472</v>
      </c>
      <c r="F289" s="7" t="s">
        <v>473</v>
      </c>
      <c r="G289" s="7" t="s">
        <v>15</v>
      </c>
      <c r="H289" s="7" t="s">
        <v>16</v>
      </c>
      <c r="I289" s="7"/>
      <c r="J289" s="7" t="s">
        <v>99</v>
      </c>
      <c r="K289" s="8">
        <v>110.143</v>
      </c>
      <c r="O289" s="188"/>
      <c r="P289" s="9"/>
      <c r="Q289" s="9"/>
      <c r="R289" s="9"/>
      <c r="S289" s="9"/>
      <c r="T289" s="9"/>
      <c r="U289" s="9"/>
      <c r="V289" s="10" t="e">
        <f t="shared" si="33"/>
        <v>#DIV/0!</v>
      </c>
      <c r="W289" s="10" t="e">
        <f t="shared" si="34"/>
        <v>#DIV/0!</v>
      </c>
      <c r="X289" s="7"/>
      <c r="Y289" s="12"/>
    </row>
    <row r="290" spans="1:25" customFormat="1">
      <c r="A290" s="119" t="s">
        <v>979</v>
      </c>
      <c r="B290" s="119" t="s">
        <v>94</v>
      </c>
      <c r="C290" s="119" t="s">
        <v>130</v>
      </c>
      <c r="D290" s="119" t="s">
        <v>74</v>
      </c>
      <c r="E290" s="6" t="s">
        <v>474</v>
      </c>
      <c r="F290" s="7" t="s">
        <v>475</v>
      </c>
      <c r="G290" s="7" t="s">
        <v>15</v>
      </c>
      <c r="H290" s="7" t="s">
        <v>16</v>
      </c>
      <c r="I290" s="7"/>
      <c r="J290" s="7" t="s">
        <v>99</v>
      </c>
      <c r="K290" s="8">
        <v>348.38799999999998</v>
      </c>
      <c r="O290" s="188"/>
      <c r="P290" s="9"/>
      <c r="Q290" s="9"/>
      <c r="R290" s="9"/>
      <c r="S290" s="9"/>
      <c r="T290" s="9"/>
      <c r="U290" s="9"/>
      <c r="V290" s="10" t="e">
        <f t="shared" si="33"/>
        <v>#DIV/0!</v>
      </c>
      <c r="W290" s="10" t="e">
        <f t="shared" si="34"/>
        <v>#DIV/0!</v>
      </c>
      <c r="X290" s="7"/>
      <c r="Y290" s="12"/>
    </row>
    <row r="291" spans="1:25" customFormat="1">
      <c r="A291" s="119" t="s">
        <v>979</v>
      </c>
      <c r="B291" s="119" t="s">
        <v>94</v>
      </c>
      <c r="C291" s="119" t="s">
        <v>130</v>
      </c>
      <c r="D291" s="119" t="s">
        <v>74</v>
      </c>
      <c r="E291" s="6" t="s">
        <v>476</v>
      </c>
      <c r="F291" s="7" t="s">
        <v>477</v>
      </c>
      <c r="G291" s="7" t="s">
        <v>15</v>
      </c>
      <c r="H291" s="7" t="s">
        <v>16</v>
      </c>
      <c r="I291" s="7"/>
      <c r="J291" s="7" t="s">
        <v>99</v>
      </c>
      <c r="K291" s="8">
        <v>130.702</v>
      </c>
      <c r="O291" s="188"/>
      <c r="P291" s="9"/>
      <c r="Q291" s="9"/>
      <c r="R291" s="9"/>
      <c r="S291" s="9"/>
      <c r="T291" s="9"/>
      <c r="U291" s="9"/>
      <c r="V291" s="10" t="e">
        <f t="shared" si="33"/>
        <v>#DIV/0!</v>
      </c>
      <c r="W291" s="10" t="e">
        <f t="shared" si="34"/>
        <v>#DIV/0!</v>
      </c>
      <c r="X291" s="7"/>
      <c r="Y291" s="12"/>
    </row>
    <row r="292" spans="1:25" customFormat="1">
      <c r="A292" s="119" t="s">
        <v>979</v>
      </c>
      <c r="B292" s="119" t="s">
        <v>94</v>
      </c>
      <c r="C292" s="119" t="s">
        <v>130</v>
      </c>
      <c r="D292" s="119" t="s">
        <v>74</v>
      </c>
      <c r="E292" s="6" t="s">
        <v>478</v>
      </c>
      <c r="F292" s="7" t="s">
        <v>479</v>
      </c>
      <c r="G292" s="7" t="s">
        <v>15</v>
      </c>
      <c r="H292" s="7" t="s">
        <v>16</v>
      </c>
      <c r="I292" s="7"/>
      <c r="J292" s="7" t="s">
        <v>99</v>
      </c>
      <c r="K292" s="8"/>
      <c r="O292" s="188"/>
      <c r="P292" s="132"/>
      <c r="Q292" s="132"/>
      <c r="R292" s="132"/>
      <c r="S292" s="132"/>
      <c r="T292" s="132"/>
      <c r="U292" s="132"/>
      <c r="V292" s="10" t="e">
        <f t="shared" si="33"/>
        <v>#DIV/0!</v>
      </c>
      <c r="W292" s="10" t="e">
        <f t="shared" si="34"/>
        <v>#DIV/0!</v>
      </c>
      <c r="X292" s="7"/>
      <c r="Y292" s="7"/>
    </row>
    <row r="293" spans="1:25" customFormat="1">
      <c r="A293" s="119" t="s">
        <v>979</v>
      </c>
      <c r="B293" s="119" t="s">
        <v>94</v>
      </c>
      <c r="C293" s="119" t="s">
        <v>130</v>
      </c>
      <c r="D293" s="119" t="s">
        <v>74</v>
      </c>
      <c r="E293" s="6" t="s">
        <v>480</v>
      </c>
      <c r="F293" s="7" t="s">
        <v>481</v>
      </c>
      <c r="G293" s="7" t="s">
        <v>15</v>
      </c>
      <c r="H293" s="7" t="s">
        <v>16</v>
      </c>
      <c r="I293" s="7"/>
      <c r="J293" s="7" t="s">
        <v>99</v>
      </c>
      <c r="K293" s="8">
        <v>221.44900000000001</v>
      </c>
      <c r="O293" s="188"/>
      <c r="P293" s="9"/>
      <c r="Q293" s="9"/>
      <c r="R293" s="9"/>
      <c r="S293" s="9"/>
      <c r="T293" s="9"/>
      <c r="U293" s="9"/>
      <c r="V293" s="10" t="e">
        <f t="shared" si="33"/>
        <v>#DIV/0!</v>
      </c>
      <c r="W293" s="10" t="e">
        <f t="shared" si="34"/>
        <v>#DIV/0!</v>
      </c>
      <c r="X293" s="7"/>
      <c r="Y293" s="12"/>
    </row>
    <row r="294" spans="1:25" customFormat="1">
      <c r="A294" s="119" t="s">
        <v>979</v>
      </c>
      <c r="B294" s="119" t="s">
        <v>94</v>
      </c>
      <c r="C294" s="119" t="s">
        <v>130</v>
      </c>
      <c r="D294" s="119" t="s">
        <v>74</v>
      </c>
      <c r="E294" s="6" t="s">
        <v>482</v>
      </c>
      <c r="F294" s="7" t="s">
        <v>483</v>
      </c>
      <c r="G294" s="7" t="s">
        <v>15</v>
      </c>
      <c r="H294" s="7" t="s">
        <v>16</v>
      </c>
      <c r="I294" s="7"/>
      <c r="J294" s="7" t="s">
        <v>99</v>
      </c>
      <c r="K294" s="8">
        <v>147.173</v>
      </c>
      <c r="O294" s="188"/>
      <c r="P294" s="9"/>
      <c r="Q294" s="9"/>
      <c r="R294" s="9"/>
      <c r="S294" s="9"/>
      <c r="T294" s="9"/>
      <c r="U294" s="9"/>
      <c r="V294" s="10" t="e">
        <f t="shared" si="33"/>
        <v>#DIV/0!</v>
      </c>
      <c r="W294" s="10" t="e">
        <f t="shared" si="34"/>
        <v>#DIV/0!</v>
      </c>
      <c r="X294" s="7"/>
      <c r="Y294" s="12"/>
    </row>
    <row r="295" spans="1:25" customFormat="1">
      <c r="A295" s="119" t="s">
        <v>979</v>
      </c>
      <c r="B295" s="119" t="s">
        <v>94</v>
      </c>
      <c r="C295" s="119" t="s">
        <v>130</v>
      </c>
      <c r="D295" s="119" t="s">
        <v>74</v>
      </c>
      <c r="E295" s="6" t="s">
        <v>484</v>
      </c>
      <c r="F295" s="7" t="s">
        <v>485</v>
      </c>
      <c r="G295" s="7" t="s">
        <v>15</v>
      </c>
      <c r="H295" s="7" t="s">
        <v>16</v>
      </c>
      <c r="I295" s="7"/>
      <c r="J295" s="7" t="s">
        <v>99</v>
      </c>
      <c r="K295" s="8">
        <v>153.83500000000001</v>
      </c>
      <c r="O295" s="188"/>
      <c r="P295" s="9"/>
      <c r="Q295" s="9"/>
      <c r="R295" s="9"/>
      <c r="S295" s="9"/>
      <c r="T295" s="9"/>
      <c r="U295" s="9"/>
      <c r="V295" s="10" t="e">
        <f t="shared" si="33"/>
        <v>#DIV/0!</v>
      </c>
      <c r="W295" s="10" t="e">
        <f t="shared" si="34"/>
        <v>#DIV/0!</v>
      </c>
      <c r="X295" s="7"/>
      <c r="Y295" s="12"/>
    </row>
    <row r="296" spans="1:25" customFormat="1">
      <c r="A296" s="119" t="s">
        <v>979</v>
      </c>
      <c r="B296" s="119" t="s">
        <v>94</v>
      </c>
      <c r="C296" s="119" t="s">
        <v>130</v>
      </c>
      <c r="D296" s="119" t="s">
        <v>74</v>
      </c>
      <c r="E296" s="6" t="s">
        <v>486</v>
      </c>
      <c r="F296" s="7" t="s">
        <v>487</v>
      </c>
      <c r="G296" s="7" t="s">
        <v>15</v>
      </c>
      <c r="H296" s="7" t="s">
        <v>16</v>
      </c>
      <c r="I296" s="7"/>
      <c r="J296" s="7" t="s">
        <v>99</v>
      </c>
      <c r="K296" s="8"/>
      <c r="O296" s="188"/>
      <c r="P296" s="9"/>
      <c r="Q296" s="9"/>
      <c r="R296" s="9"/>
      <c r="S296" s="9"/>
      <c r="T296" s="9"/>
      <c r="U296" s="9"/>
      <c r="V296" s="10" t="e">
        <f t="shared" si="33"/>
        <v>#DIV/0!</v>
      </c>
      <c r="W296" s="10" t="e">
        <f t="shared" si="34"/>
        <v>#DIV/0!</v>
      </c>
      <c r="X296" s="7"/>
      <c r="Y296" s="7"/>
    </row>
    <row r="297" spans="1:25" customFormat="1">
      <c r="A297" s="119" t="s">
        <v>979</v>
      </c>
      <c r="B297" s="119" t="s">
        <v>94</v>
      </c>
      <c r="C297" s="119" t="s">
        <v>130</v>
      </c>
      <c r="D297" s="119" t="s">
        <v>74</v>
      </c>
      <c r="E297" s="6" t="s">
        <v>488</v>
      </c>
      <c r="F297" s="7" t="s">
        <v>489</v>
      </c>
      <c r="G297" s="7" t="s">
        <v>15</v>
      </c>
      <c r="H297" s="7" t="s">
        <v>16</v>
      </c>
      <c r="I297" s="7"/>
      <c r="J297" s="7" t="s">
        <v>99</v>
      </c>
      <c r="K297" s="8"/>
      <c r="O297" s="188"/>
      <c r="P297" s="9"/>
      <c r="Q297" s="9"/>
      <c r="R297" s="9"/>
      <c r="S297" s="9"/>
      <c r="T297" s="9"/>
      <c r="U297" s="9"/>
      <c r="V297" s="10" t="e">
        <f t="shared" si="33"/>
        <v>#DIV/0!</v>
      </c>
      <c r="W297" s="10" t="e">
        <f t="shared" si="34"/>
        <v>#DIV/0!</v>
      </c>
      <c r="X297" s="7"/>
      <c r="Y297" s="7"/>
    </row>
    <row r="298" spans="1:25" customFormat="1">
      <c r="A298" s="119" t="s">
        <v>979</v>
      </c>
      <c r="B298" s="119" t="s">
        <v>94</v>
      </c>
      <c r="C298" s="119" t="s">
        <v>130</v>
      </c>
      <c r="D298" s="119" t="s">
        <v>74</v>
      </c>
      <c r="E298" s="6" t="s">
        <v>490</v>
      </c>
      <c r="F298" s="7" t="s">
        <v>491</v>
      </c>
      <c r="G298" s="7" t="s">
        <v>15</v>
      </c>
      <c r="H298" s="7" t="s">
        <v>16</v>
      </c>
      <c r="I298" s="7"/>
      <c r="J298" s="7" t="s">
        <v>99</v>
      </c>
      <c r="K298" s="8"/>
      <c r="O298" s="188"/>
      <c r="P298" s="132"/>
      <c r="Q298" s="132"/>
      <c r="R298" s="132"/>
      <c r="S298" s="132"/>
      <c r="T298" s="132"/>
      <c r="U298" s="132"/>
      <c r="V298" s="10" t="e">
        <f t="shared" si="33"/>
        <v>#DIV/0!</v>
      </c>
      <c r="W298" s="10" t="e">
        <f t="shared" si="34"/>
        <v>#DIV/0!</v>
      </c>
      <c r="X298" s="7"/>
      <c r="Y298" s="7"/>
    </row>
    <row r="299" spans="1:25" customFormat="1">
      <c r="A299" s="119" t="s">
        <v>979</v>
      </c>
      <c r="B299" s="119" t="s">
        <v>94</v>
      </c>
      <c r="C299" s="119" t="s">
        <v>130</v>
      </c>
      <c r="D299" s="119" t="s">
        <v>74</v>
      </c>
      <c r="E299" s="6" t="s">
        <v>492</v>
      </c>
      <c r="F299" s="7" t="s">
        <v>493</v>
      </c>
      <c r="G299" s="7" t="s">
        <v>15</v>
      </c>
      <c r="H299" s="7" t="s">
        <v>16</v>
      </c>
      <c r="I299" s="7"/>
      <c r="J299" s="7" t="s">
        <v>99</v>
      </c>
      <c r="K299" s="8">
        <v>173.79300000000001</v>
      </c>
      <c r="O299" s="188"/>
      <c r="P299" s="9"/>
      <c r="Q299" s="9"/>
      <c r="R299" s="9"/>
      <c r="S299" s="9"/>
      <c r="T299" s="9"/>
      <c r="U299" s="9"/>
      <c r="V299" s="10" t="e">
        <f t="shared" si="33"/>
        <v>#DIV/0!</v>
      </c>
      <c r="W299" s="10" t="e">
        <f t="shared" si="34"/>
        <v>#DIV/0!</v>
      </c>
      <c r="X299" s="7"/>
      <c r="Y299" s="12"/>
    </row>
    <row r="300" spans="1:25" customFormat="1">
      <c r="A300" s="119" t="s">
        <v>979</v>
      </c>
      <c r="B300" s="119" t="s">
        <v>94</v>
      </c>
      <c r="C300" s="119" t="s">
        <v>130</v>
      </c>
      <c r="D300" s="119" t="s">
        <v>74</v>
      </c>
      <c r="E300" s="6" t="s">
        <v>494</v>
      </c>
      <c r="F300" s="7" t="s">
        <v>495</v>
      </c>
      <c r="G300" s="7" t="s">
        <v>15</v>
      </c>
      <c r="H300" s="7" t="s">
        <v>16</v>
      </c>
      <c r="I300" s="7"/>
      <c r="J300" s="7" t="s">
        <v>99</v>
      </c>
      <c r="K300" s="8"/>
      <c r="O300" s="188"/>
      <c r="P300" s="132"/>
      <c r="Q300" s="132"/>
      <c r="R300" s="132"/>
      <c r="S300" s="132"/>
      <c r="T300" s="132"/>
      <c r="U300" s="132"/>
      <c r="V300" s="10" t="e">
        <f t="shared" si="33"/>
        <v>#DIV/0!</v>
      </c>
      <c r="W300" s="10" t="e">
        <f t="shared" si="34"/>
        <v>#DIV/0!</v>
      </c>
      <c r="X300" s="7"/>
      <c r="Y300" s="7"/>
    </row>
    <row r="301" spans="1:25" customFormat="1">
      <c r="A301" s="119" t="s">
        <v>979</v>
      </c>
      <c r="B301" s="119" t="s">
        <v>94</v>
      </c>
      <c r="C301" s="119" t="s">
        <v>130</v>
      </c>
      <c r="D301" s="119" t="s">
        <v>74</v>
      </c>
      <c r="E301" s="6" t="s">
        <v>496</v>
      </c>
      <c r="F301" s="7" t="s">
        <v>497</v>
      </c>
      <c r="G301" s="7" t="s">
        <v>15</v>
      </c>
      <c r="H301" s="7" t="s">
        <v>16</v>
      </c>
      <c r="I301" s="7"/>
      <c r="J301" s="7" t="s">
        <v>99</v>
      </c>
      <c r="K301" s="8">
        <v>58.917999999999999</v>
      </c>
      <c r="O301" s="188"/>
      <c r="P301" s="9"/>
      <c r="Q301" s="9"/>
      <c r="R301" s="9"/>
      <c r="S301" s="9"/>
      <c r="T301" s="9"/>
      <c r="U301" s="9"/>
      <c r="V301" s="10" t="e">
        <f t="shared" si="33"/>
        <v>#DIV/0!</v>
      </c>
      <c r="W301" s="10" t="e">
        <f t="shared" si="34"/>
        <v>#DIV/0!</v>
      </c>
      <c r="X301" s="7"/>
      <c r="Y301" s="12"/>
    </row>
    <row r="302" spans="1:25" customFormat="1">
      <c r="A302" s="119" t="s">
        <v>979</v>
      </c>
      <c r="B302" s="119" t="s">
        <v>94</v>
      </c>
      <c r="C302" s="119" t="s">
        <v>130</v>
      </c>
      <c r="D302" s="119" t="s">
        <v>74</v>
      </c>
      <c r="E302" s="6" t="s">
        <v>498</v>
      </c>
      <c r="F302" s="7" t="s">
        <v>499</v>
      </c>
      <c r="G302" s="7" t="s">
        <v>15</v>
      </c>
      <c r="H302" s="7" t="s">
        <v>16</v>
      </c>
      <c r="I302" s="7"/>
      <c r="J302" s="7" t="s">
        <v>99</v>
      </c>
      <c r="K302" s="8">
        <v>92.444999999999993</v>
      </c>
      <c r="O302" s="188"/>
      <c r="P302" s="9"/>
      <c r="Q302" s="9"/>
      <c r="R302" s="9"/>
      <c r="S302" s="9"/>
      <c r="T302" s="9"/>
      <c r="U302" s="9"/>
      <c r="V302" s="10" t="e">
        <f t="shared" si="33"/>
        <v>#DIV/0!</v>
      </c>
      <c r="W302" s="10" t="e">
        <f t="shared" si="34"/>
        <v>#DIV/0!</v>
      </c>
      <c r="X302" s="7"/>
      <c r="Y302" s="12"/>
    </row>
    <row r="303" spans="1:25" customFormat="1">
      <c r="A303" s="119" t="s">
        <v>979</v>
      </c>
      <c r="B303" s="119" t="s">
        <v>94</v>
      </c>
      <c r="C303" s="119" t="s">
        <v>130</v>
      </c>
      <c r="D303" s="119" t="s">
        <v>74</v>
      </c>
      <c r="E303" s="6" t="s">
        <v>500</v>
      </c>
      <c r="F303" s="7" t="s">
        <v>501</v>
      </c>
      <c r="G303" s="7" t="s">
        <v>15</v>
      </c>
      <c r="H303" s="7" t="s">
        <v>16</v>
      </c>
      <c r="I303" s="7"/>
      <c r="J303" s="7" t="s">
        <v>99</v>
      </c>
      <c r="K303" s="8">
        <v>204.91200000000001</v>
      </c>
      <c r="O303" s="188"/>
      <c r="P303" s="129"/>
      <c r="Q303" s="9"/>
      <c r="R303" s="9"/>
      <c r="S303" s="9"/>
      <c r="T303" s="9"/>
      <c r="U303" s="9"/>
      <c r="V303" s="10" t="e">
        <f t="shared" si="33"/>
        <v>#DIV/0!</v>
      </c>
      <c r="W303" s="10" t="e">
        <f t="shared" si="34"/>
        <v>#DIV/0!</v>
      </c>
      <c r="X303" s="7"/>
      <c r="Y303" s="12"/>
    </row>
    <row r="304" spans="1:25" customFormat="1">
      <c r="A304" s="119" t="s">
        <v>979</v>
      </c>
      <c r="B304" s="119" t="s">
        <v>94</v>
      </c>
      <c r="C304" s="119" t="s">
        <v>130</v>
      </c>
      <c r="D304" s="119" t="s">
        <v>74</v>
      </c>
      <c r="E304" s="6" t="s">
        <v>502</v>
      </c>
      <c r="F304" s="7" t="s">
        <v>503</v>
      </c>
      <c r="G304" s="7" t="s">
        <v>15</v>
      </c>
      <c r="H304" s="7" t="s">
        <v>16</v>
      </c>
      <c r="I304" s="7"/>
      <c r="J304" s="7" t="s">
        <v>99</v>
      </c>
      <c r="K304" s="8"/>
      <c r="O304" s="188"/>
      <c r="P304" s="9"/>
      <c r="Q304" s="9"/>
      <c r="R304" s="9"/>
      <c r="S304" s="9"/>
      <c r="T304" s="9"/>
      <c r="U304" s="9"/>
      <c r="V304" s="10" t="e">
        <f t="shared" si="33"/>
        <v>#DIV/0!</v>
      </c>
      <c r="W304" s="10" t="e">
        <f t="shared" si="34"/>
        <v>#DIV/0!</v>
      </c>
      <c r="X304" s="7"/>
      <c r="Y304" s="7"/>
    </row>
    <row r="305" spans="1:27">
      <c r="A305" s="119" t="s">
        <v>979</v>
      </c>
      <c r="B305" s="119" t="s">
        <v>94</v>
      </c>
      <c r="C305" s="119" t="s">
        <v>130</v>
      </c>
      <c r="D305" s="119" t="s">
        <v>74</v>
      </c>
      <c r="E305" s="6" t="s">
        <v>504</v>
      </c>
      <c r="F305" s="7" t="s">
        <v>505</v>
      </c>
      <c r="G305" s="7" t="s">
        <v>15</v>
      </c>
      <c r="H305" s="7" t="s">
        <v>16</v>
      </c>
      <c r="J305" s="7" t="s">
        <v>99</v>
      </c>
      <c r="L305"/>
      <c r="M305"/>
      <c r="N305"/>
      <c r="O305" s="188"/>
      <c r="V305" s="10" t="e">
        <f t="shared" si="33"/>
        <v>#DIV/0!</v>
      </c>
      <c r="W305" s="10" t="e">
        <f t="shared" si="34"/>
        <v>#DIV/0!</v>
      </c>
    </row>
    <row r="306" spans="1:27">
      <c r="A306" s="119" t="s">
        <v>979</v>
      </c>
      <c r="B306" s="119" t="s">
        <v>94</v>
      </c>
      <c r="C306" s="119" t="s">
        <v>130</v>
      </c>
      <c r="D306" s="119" t="s">
        <v>74</v>
      </c>
      <c r="E306" s="6" t="s">
        <v>506</v>
      </c>
      <c r="F306" s="7" t="s">
        <v>507</v>
      </c>
      <c r="G306" s="7" t="s">
        <v>15</v>
      </c>
      <c r="H306" s="7" t="s">
        <v>16</v>
      </c>
      <c r="J306" s="7" t="s">
        <v>99</v>
      </c>
      <c r="L306"/>
      <c r="M306"/>
      <c r="N306"/>
      <c r="O306" s="188"/>
      <c r="P306" s="132"/>
      <c r="Q306" s="132"/>
      <c r="R306" s="132"/>
      <c r="S306" s="132"/>
      <c r="T306" s="132"/>
      <c r="U306" s="132"/>
      <c r="V306" s="10" t="e">
        <f t="shared" si="33"/>
        <v>#DIV/0!</v>
      </c>
      <c r="W306" s="10" t="e">
        <f t="shared" si="34"/>
        <v>#DIV/0!</v>
      </c>
    </row>
    <row r="307" spans="1:27">
      <c r="A307" s="119" t="s">
        <v>979</v>
      </c>
      <c r="B307" s="119" t="s">
        <v>94</v>
      </c>
      <c r="C307" s="119" t="s">
        <v>130</v>
      </c>
      <c r="D307" s="119" t="s">
        <v>74</v>
      </c>
      <c r="E307" s="6" t="s">
        <v>508</v>
      </c>
      <c r="F307" s="7" t="s">
        <v>509</v>
      </c>
      <c r="G307" s="7" t="s">
        <v>15</v>
      </c>
      <c r="H307" s="7" t="s">
        <v>16</v>
      </c>
      <c r="J307" s="7" t="s">
        <v>99</v>
      </c>
      <c r="K307" s="8">
        <v>81.358000000000004</v>
      </c>
      <c r="L307"/>
      <c r="M307"/>
      <c r="N307"/>
      <c r="O307" s="188"/>
      <c r="V307" s="10" t="e">
        <f t="shared" si="33"/>
        <v>#DIV/0!</v>
      </c>
      <c r="W307" s="10" t="e">
        <f t="shared" si="34"/>
        <v>#DIV/0!</v>
      </c>
      <c r="Y307" s="12"/>
    </row>
    <row r="308" spans="1:27">
      <c r="A308" s="119" t="s">
        <v>979</v>
      </c>
      <c r="B308" s="119" t="s">
        <v>94</v>
      </c>
      <c r="C308" s="119" t="s">
        <v>130</v>
      </c>
      <c r="D308" s="119" t="s">
        <v>74</v>
      </c>
      <c r="E308" s="6" t="s">
        <v>510</v>
      </c>
      <c r="F308" s="7" t="s">
        <v>511</v>
      </c>
      <c r="G308" s="7" t="s">
        <v>15</v>
      </c>
      <c r="H308" s="7" t="s">
        <v>16</v>
      </c>
      <c r="J308" s="7" t="s">
        <v>99</v>
      </c>
      <c r="L308"/>
      <c r="M308"/>
      <c r="N308"/>
      <c r="O308" s="188"/>
      <c r="P308" s="132"/>
      <c r="Q308" s="132"/>
      <c r="R308" s="132"/>
      <c r="S308" s="132"/>
      <c r="T308" s="132"/>
      <c r="U308" s="132"/>
      <c r="V308" s="10" t="e">
        <f t="shared" si="33"/>
        <v>#DIV/0!</v>
      </c>
      <c r="W308" s="10" t="e">
        <f t="shared" si="34"/>
        <v>#DIV/0!</v>
      </c>
    </row>
    <row r="309" spans="1:27">
      <c r="A309" s="119" t="s">
        <v>979</v>
      </c>
      <c r="B309" s="119" t="s">
        <v>94</v>
      </c>
      <c r="C309" s="119" t="s">
        <v>130</v>
      </c>
      <c r="D309" s="119" t="s">
        <v>74</v>
      </c>
      <c r="E309" s="6" t="s">
        <v>512</v>
      </c>
      <c r="F309" s="7" t="s">
        <v>513</v>
      </c>
      <c r="G309" s="7" t="s">
        <v>15</v>
      </c>
      <c r="H309" s="7" t="s">
        <v>16</v>
      </c>
      <c r="J309" s="7" t="s">
        <v>99</v>
      </c>
      <c r="K309" s="8">
        <v>133.398</v>
      </c>
      <c r="L309"/>
      <c r="M309"/>
      <c r="N309"/>
      <c r="O309" s="188"/>
      <c r="V309" s="10" t="e">
        <f t="shared" si="33"/>
        <v>#DIV/0!</v>
      </c>
      <c r="W309" s="10" t="e">
        <f t="shared" ref="W309:W340" si="35">+(U309/Q309)^(1/4)-1</f>
        <v>#DIV/0!</v>
      </c>
      <c r="Y309" s="12"/>
    </row>
    <row r="310" spans="1:27">
      <c r="A310" s="119" t="s">
        <v>979</v>
      </c>
      <c r="B310" s="119" t="s">
        <v>94</v>
      </c>
      <c r="C310" s="119" t="s">
        <v>130</v>
      </c>
      <c r="D310" s="119" t="s">
        <v>74</v>
      </c>
      <c r="E310" s="6" t="s">
        <v>514</v>
      </c>
      <c r="F310" s="7" t="s">
        <v>515</v>
      </c>
      <c r="G310" s="7" t="s">
        <v>15</v>
      </c>
      <c r="H310" s="7" t="s">
        <v>16</v>
      </c>
      <c r="J310" s="7" t="s">
        <v>99</v>
      </c>
      <c r="L310"/>
      <c r="M310"/>
      <c r="N310"/>
      <c r="O310" s="188"/>
      <c r="V310" s="10" t="e">
        <f t="shared" si="33"/>
        <v>#DIV/0!</v>
      </c>
      <c r="W310" s="10" t="e">
        <f t="shared" si="35"/>
        <v>#DIV/0!</v>
      </c>
    </row>
    <row r="311" spans="1:27">
      <c r="A311" s="119" t="s">
        <v>979</v>
      </c>
      <c r="B311" s="119" t="s">
        <v>94</v>
      </c>
      <c r="C311" s="119" t="s">
        <v>130</v>
      </c>
      <c r="D311" s="119" t="s">
        <v>74</v>
      </c>
      <c r="E311" s="6" t="s">
        <v>516</v>
      </c>
      <c r="F311" s="7" t="s">
        <v>517</v>
      </c>
      <c r="G311" s="7" t="s">
        <v>15</v>
      </c>
      <c r="H311" s="7" t="s">
        <v>16</v>
      </c>
      <c r="J311" s="7" t="s">
        <v>99</v>
      </c>
      <c r="L311"/>
      <c r="M311"/>
      <c r="N311"/>
      <c r="O311" s="188"/>
      <c r="V311" s="10" t="e">
        <f t="shared" si="33"/>
        <v>#DIV/0!</v>
      </c>
      <c r="W311" s="10" t="e">
        <f t="shared" si="35"/>
        <v>#DIV/0!</v>
      </c>
    </row>
    <row r="312" spans="1:27">
      <c r="A312" s="119" t="s">
        <v>979</v>
      </c>
      <c r="B312" s="119" t="s">
        <v>94</v>
      </c>
      <c r="C312" s="119" t="s">
        <v>130</v>
      </c>
      <c r="D312" s="119" t="s">
        <v>74</v>
      </c>
      <c r="E312" s="6" t="s">
        <v>518</v>
      </c>
      <c r="F312" s="7" t="s">
        <v>519</v>
      </c>
      <c r="G312" s="7" t="s">
        <v>15</v>
      </c>
      <c r="H312" s="7" t="s">
        <v>16</v>
      </c>
      <c r="J312" s="7" t="s">
        <v>99</v>
      </c>
      <c r="L312"/>
      <c r="M312"/>
      <c r="N312"/>
      <c r="O312" s="188"/>
      <c r="V312" s="10" t="e">
        <f t="shared" si="33"/>
        <v>#DIV/0!</v>
      </c>
      <c r="W312" s="10" t="e">
        <f t="shared" si="35"/>
        <v>#DIV/0!</v>
      </c>
    </row>
    <row r="313" spans="1:27">
      <c r="A313" s="119" t="s">
        <v>979</v>
      </c>
      <c r="B313" s="119" t="s">
        <v>94</v>
      </c>
      <c r="C313" s="119" t="s">
        <v>130</v>
      </c>
      <c r="D313" s="119" t="s">
        <v>74</v>
      </c>
      <c r="E313" s="6" t="s">
        <v>520</v>
      </c>
      <c r="F313" s="7" t="s">
        <v>521</v>
      </c>
      <c r="G313" s="7" t="s">
        <v>15</v>
      </c>
      <c r="H313" s="7" t="s">
        <v>16</v>
      </c>
      <c r="J313" s="7" t="s">
        <v>99</v>
      </c>
      <c r="L313"/>
      <c r="M313"/>
      <c r="N313"/>
      <c r="O313" s="188"/>
      <c r="V313" s="10" t="e">
        <f t="shared" si="33"/>
        <v>#DIV/0!</v>
      </c>
      <c r="W313" s="10" t="e">
        <f t="shared" si="35"/>
        <v>#DIV/0!</v>
      </c>
    </row>
    <row r="314" spans="1:27">
      <c r="A314" s="119" t="s">
        <v>979</v>
      </c>
      <c r="B314" s="119" t="s">
        <v>94</v>
      </c>
      <c r="C314" s="119" t="s">
        <v>130</v>
      </c>
      <c r="D314" s="119" t="s">
        <v>74</v>
      </c>
      <c r="E314" s="6" t="s">
        <v>522</v>
      </c>
      <c r="F314" s="7" t="s">
        <v>523</v>
      </c>
      <c r="G314" s="7" t="s">
        <v>15</v>
      </c>
      <c r="H314" s="7" t="s">
        <v>16</v>
      </c>
      <c r="J314" s="7" t="s">
        <v>99</v>
      </c>
      <c r="L314"/>
      <c r="M314"/>
      <c r="N314"/>
      <c r="O314" s="188"/>
      <c r="P314" s="132"/>
      <c r="Q314" s="132"/>
      <c r="R314" s="132"/>
      <c r="S314" s="132"/>
      <c r="T314" s="132"/>
      <c r="U314" s="132"/>
      <c r="V314" s="10" t="e">
        <f t="shared" si="33"/>
        <v>#DIV/0!</v>
      </c>
      <c r="W314" s="10" t="e">
        <f t="shared" si="35"/>
        <v>#DIV/0!</v>
      </c>
    </row>
    <row r="315" spans="1:27">
      <c r="A315" s="119" t="s">
        <v>979</v>
      </c>
      <c r="B315" s="119" t="s">
        <v>94</v>
      </c>
      <c r="C315" s="119" t="s">
        <v>130</v>
      </c>
      <c r="D315" s="119" t="s">
        <v>74</v>
      </c>
      <c r="E315" s="6" t="s">
        <v>524</v>
      </c>
      <c r="F315" s="7" t="s">
        <v>525</v>
      </c>
      <c r="G315" s="7" t="s">
        <v>15</v>
      </c>
      <c r="H315" s="7" t="s">
        <v>16</v>
      </c>
      <c r="J315" s="7" t="s">
        <v>99</v>
      </c>
      <c r="K315" s="8">
        <v>133.90600000000001</v>
      </c>
      <c r="L315"/>
      <c r="M315"/>
      <c r="N315"/>
      <c r="O315" s="188"/>
      <c r="V315" s="10" t="e">
        <f t="shared" si="33"/>
        <v>#DIV/0!</v>
      </c>
      <c r="W315" s="10" t="e">
        <f t="shared" si="35"/>
        <v>#DIV/0!</v>
      </c>
      <c r="Y315" s="12"/>
    </row>
    <row r="316" spans="1:27">
      <c r="A316" s="119" t="s">
        <v>979</v>
      </c>
      <c r="B316" s="119" t="s">
        <v>94</v>
      </c>
      <c r="C316" s="119" t="s">
        <v>130</v>
      </c>
      <c r="D316" s="119" t="s">
        <v>74</v>
      </c>
      <c r="E316" s="6" t="s">
        <v>526</v>
      </c>
      <c r="F316" s="7" t="s">
        <v>527</v>
      </c>
      <c r="G316" s="7" t="s">
        <v>15</v>
      </c>
      <c r="H316" s="7" t="s">
        <v>16</v>
      </c>
      <c r="J316" s="7" t="s">
        <v>99</v>
      </c>
      <c r="L316"/>
      <c r="M316"/>
      <c r="N316"/>
      <c r="O316" s="188"/>
      <c r="V316" s="10" t="e">
        <f t="shared" si="33"/>
        <v>#DIV/0!</v>
      </c>
      <c r="W316" s="10" t="e">
        <f t="shared" si="35"/>
        <v>#DIV/0!</v>
      </c>
    </row>
    <row r="317" spans="1:27">
      <c r="A317" s="119" t="s">
        <v>979</v>
      </c>
      <c r="B317" s="119" t="s">
        <v>94</v>
      </c>
      <c r="C317" s="119" t="s">
        <v>130</v>
      </c>
      <c r="D317" s="119" t="s">
        <v>74</v>
      </c>
      <c r="E317" s="6" t="s">
        <v>528</v>
      </c>
      <c r="F317" s="7" t="s">
        <v>529</v>
      </c>
      <c r="G317" s="7" t="s">
        <v>15</v>
      </c>
      <c r="H317" s="7" t="s">
        <v>16</v>
      </c>
      <c r="J317" s="7" t="s">
        <v>99</v>
      </c>
      <c r="L317"/>
      <c r="M317"/>
      <c r="N317"/>
      <c r="O317" s="188"/>
      <c r="P317" s="132"/>
      <c r="Q317" s="132"/>
      <c r="R317" s="132"/>
      <c r="S317" s="132"/>
      <c r="T317" s="132"/>
      <c r="U317" s="132"/>
      <c r="V317" s="10" t="e">
        <f t="shared" si="33"/>
        <v>#DIV/0!</v>
      </c>
      <c r="W317" s="10" t="e">
        <f t="shared" si="35"/>
        <v>#DIV/0!</v>
      </c>
    </row>
    <row r="318" spans="1:27">
      <c r="A318" s="119" t="s">
        <v>979</v>
      </c>
      <c r="B318" s="119" t="s">
        <v>94</v>
      </c>
      <c r="C318" s="119" t="s">
        <v>130</v>
      </c>
      <c r="D318" s="119" t="s">
        <v>74</v>
      </c>
      <c r="E318" s="6" t="s">
        <v>530</v>
      </c>
      <c r="F318" s="7" t="s">
        <v>531</v>
      </c>
      <c r="G318" s="7" t="s">
        <v>15</v>
      </c>
      <c r="H318" s="7" t="s">
        <v>16</v>
      </c>
      <c r="J318" s="7" t="s">
        <v>99</v>
      </c>
      <c r="K318" s="8">
        <v>369.03699999999998</v>
      </c>
      <c r="L318"/>
      <c r="M318"/>
      <c r="N318"/>
      <c r="O318" s="188"/>
      <c r="V318" s="10" t="e">
        <f t="shared" si="33"/>
        <v>#DIV/0!</v>
      </c>
      <c r="W318" s="10" t="e">
        <f t="shared" si="35"/>
        <v>#DIV/0!</v>
      </c>
      <c r="Y318" s="12"/>
    </row>
    <row r="319" spans="1:27" s="43" customFormat="1">
      <c r="A319" s="41" t="s">
        <v>979</v>
      </c>
      <c r="B319" s="41" t="s">
        <v>94</v>
      </c>
      <c r="C319" s="41" t="s">
        <v>130</v>
      </c>
      <c r="D319" s="41" t="s">
        <v>74</v>
      </c>
      <c r="E319" s="136" t="s">
        <v>881</v>
      </c>
      <c r="F319" s="41" t="s">
        <v>882</v>
      </c>
      <c r="G319" s="41" t="s">
        <v>15</v>
      </c>
      <c r="H319" s="41" t="s">
        <v>16</v>
      </c>
      <c r="I319" s="41"/>
      <c r="J319" s="7" t="s">
        <v>99</v>
      </c>
      <c r="K319" s="140"/>
      <c r="L319" s="181"/>
      <c r="M319" s="181"/>
      <c r="N319" s="181"/>
      <c r="O319" s="181"/>
      <c r="P319" s="181">
        <f>(((SUM(Domestic!F164:F165))+2.1647695952488)+44.4392859603104)+-46.6040555555592</f>
        <v>0</v>
      </c>
      <c r="Q319" s="126"/>
      <c r="R319" s="126"/>
      <c r="S319" s="126"/>
      <c r="T319" s="126"/>
      <c r="U319" s="126"/>
      <c r="V319" s="139" t="e">
        <f t="shared" si="33"/>
        <v>#DIV/0!</v>
      </c>
      <c r="W319" s="139" t="e">
        <f t="shared" si="35"/>
        <v>#DIV/0!</v>
      </c>
      <c r="X319" s="41"/>
      <c r="Y319" s="41"/>
      <c r="Z319" s="41"/>
      <c r="AA319" s="42"/>
    </row>
    <row r="320" spans="1:27">
      <c r="A320" s="141" t="s">
        <v>979</v>
      </c>
      <c r="B320" s="141" t="s">
        <v>94</v>
      </c>
      <c r="C320" s="141" t="s">
        <v>130</v>
      </c>
      <c r="D320" s="142" t="s">
        <v>981</v>
      </c>
      <c r="E320"/>
      <c r="F320" s="15" t="s">
        <v>992</v>
      </c>
      <c r="G320" s="15" t="s">
        <v>15</v>
      </c>
      <c r="H320" s="15" t="s">
        <v>16</v>
      </c>
      <c r="I320"/>
      <c r="J320" s="15" t="s">
        <v>993</v>
      </c>
      <c r="K320" s="133">
        <f>K103-SUM(K117:K170,K172:K215,K217:K260,K262:K276,K278:K280,K283:K319)</f>
        <v>-64553.753999999986</v>
      </c>
      <c r="L320" s="143"/>
      <c r="M320" s="143"/>
      <c r="N320" s="143"/>
      <c r="O320" s="143"/>
      <c r="P320" s="143" t="e">
        <f t="shared" ref="P320" si="36">P112-SUM(P113,P169,P215,P261,P277,P281)</f>
        <v>#DIV/0!</v>
      </c>
      <c r="Q320"/>
      <c r="R320"/>
      <c r="S320"/>
      <c r="T320"/>
      <c r="U320"/>
      <c r="V320" s="130" t="e">
        <f>+(P320/#REF!)^(1/4)-1</f>
        <v>#DIV/0!</v>
      </c>
      <c r="W320" s="130" t="e">
        <f t="shared" si="35"/>
        <v>#DIV/0!</v>
      </c>
      <c r="X320"/>
      <c r="Y320"/>
      <c r="Z320"/>
      <c r="AA320"/>
    </row>
    <row r="321" spans="1:25" customFormat="1">
      <c r="A321" s="119" t="s">
        <v>979</v>
      </c>
      <c r="B321" s="119" t="s">
        <v>94</v>
      </c>
      <c r="C321" s="6" t="s">
        <v>885</v>
      </c>
      <c r="D321" s="7"/>
      <c r="E321" s="7"/>
      <c r="F321" s="7" t="s">
        <v>532</v>
      </c>
      <c r="G321" s="7" t="s">
        <v>15</v>
      </c>
      <c r="H321" s="7" t="s">
        <v>111</v>
      </c>
      <c r="I321" s="7"/>
      <c r="J321" s="7" t="s">
        <v>99</v>
      </c>
      <c r="K321" s="8"/>
      <c r="L321" s="133">
        <f>L112</f>
        <v>14975</v>
      </c>
      <c r="M321" s="133">
        <f t="shared" ref="M321:O321" si="37">M112</f>
        <v>10938.800000000001</v>
      </c>
      <c r="N321" s="133">
        <f t="shared" si="37"/>
        <v>11890.1</v>
      </c>
      <c r="O321" s="133">
        <f t="shared" si="37"/>
        <v>12470.4</v>
      </c>
      <c r="P321" s="133">
        <f>'Secondary cum Calculation'!P177</f>
        <v>13350</v>
      </c>
      <c r="Q321" s="9"/>
      <c r="R321" s="9"/>
      <c r="S321" s="9"/>
      <c r="T321" s="9"/>
      <c r="U321" s="9"/>
      <c r="V321" s="10">
        <f>+(P321/L321)^(1/4)-1</f>
        <v>-2.8308041417842267E-2</v>
      </c>
      <c r="W321" s="10" t="e">
        <f t="shared" si="35"/>
        <v>#DIV/0!</v>
      </c>
      <c r="X321" s="7"/>
      <c r="Y321" s="7"/>
    </row>
    <row r="322" spans="1:25" customFormat="1">
      <c r="A322" s="119" t="s">
        <v>979</v>
      </c>
      <c r="B322" s="119" t="s">
        <v>94</v>
      </c>
      <c r="C322" s="119" t="s">
        <v>885</v>
      </c>
      <c r="D322" s="6" t="s">
        <v>112</v>
      </c>
      <c r="E322" s="7"/>
      <c r="F322" s="7" t="s">
        <v>533</v>
      </c>
      <c r="G322" s="7" t="s">
        <v>15</v>
      </c>
      <c r="H322" s="7" t="s">
        <v>111</v>
      </c>
      <c r="I322" s="7" t="s">
        <v>114</v>
      </c>
      <c r="J322" s="7" t="s">
        <v>99</v>
      </c>
      <c r="K322" s="8">
        <f>26%*K$112</f>
        <v>12794.946580000002</v>
      </c>
      <c r="L322" s="166">
        <f>L$321*Sheet1!C124</f>
        <v>3993.3333333333335</v>
      </c>
      <c r="M322" s="166">
        <f>M$321*Sheet1!D124</f>
        <v>3062.8640000000005</v>
      </c>
      <c r="N322" s="166">
        <f>N$321*Sheet1!E124</f>
        <v>3210.3270000000002</v>
      </c>
      <c r="O322" s="166">
        <f>O$321*Sheet1!F124</f>
        <v>3117.6</v>
      </c>
      <c r="P322" s="166">
        <f>P$321*Sheet1!G124</f>
        <v>3390.9</v>
      </c>
      <c r="Q322" s="9"/>
      <c r="R322" s="9"/>
      <c r="S322" s="9"/>
      <c r="T322" s="9"/>
      <c r="U322" s="9"/>
      <c r="V322" s="10">
        <f>+(P322/M322)^(1/4)-1</f>
        <v>2.5762498217074548E-2</v>
      </c>
      <c r="W322" s="10" t="e">
        <f t="shared" si="35"/>
        <v>#DIV/0!</v>
      </c>
      <c r="X322" s="13"/>
      <c r="Y322" s="7"/>
    </row>
    <row r="323" spans="1:25" customFormat="1">
      <c r="A323" s="119" t="s">
        <v>979</v>
      </c>
      <c r="B323" s="119" t="s">
        <v>94</v>
      </c>
      <c r="C323" s="119" t="s">
        <v>885</v>
      </c>
      <c r="D323" s="6" t="s">
        <v>115</v>
      </c>
      <c r="E323" s="7"/>
      <c r="F323" s="7" t="s">
        <v>534</v>
      </c>
      <c r="G323" s="7" t="s">
        <v>15</v>
      </c>
      <c r="H323" s="7" t="s">
        <v>111</v>
      </c>
      <c r="I323" s="7" t="s">
        <v>114</v>
      </c>
      <c r="J323" s="7" t="s">
        <v>99</v>
      </c>
      <c r="K323" s="8">
        <f>0.7*K$112</f>
        <v>34447.933100000002</v>
      </c>
      <c r="L323" s="166">
        <f>L$321*Sheet1!C125</f>
        <v>8985.0000000000018</v>
      </c>
      <c r="M323" s="166">
        <f>M$321*Sheet1!D125</f>
        <v>6563.2800000000016</v>
      </c>
      <c r="N323" s="166">
        <f>N$321*Sheet1!E125</f>
        <v>7015.1589999999997</v>
      </c>
      <c r="O323" s="166">
        <f>O$321*Sheet1!F125</f>
        <v>7606.9439999999995</v>
      </c>
      <c r="P323" s="166">
        <f>P$321*Sheet1!G125</f>
        <v>8250.2999999999993</v>
      </c>
      <c r="Q323" s="9"/>
      <c r="R323" s="9"/>
      <c r="S323" s="9"/>
      <c r="T323" s="9"/>
      <c r="U323" s="9"/>
      <c r="V323" s="10">
        <f>+(P323/M323)^(1/4)-1</f>
        <v>5.8856731981728361E-2</v>
      </c>
      <c r="W323" s="10" t="e">
        <f t="shared" si="35"/>
        <v>#DIV/0!</v>
      </c>
      <c r="X323" s="13"/>
      <c r="Y323" s="7"/>
    </row>
    <row r="324" spans="1:25" customFormat="1">
      <c r="A324" s="119" t="s">
        <v>979</v>
      </c>
      <c r="B324" s="119" t="s">
        <v>94</v>
      </c>
      <c r="C324" s="119" t="s">
        <v>885</v>
      </c>
      <c r="D324" s="6" t="s">
        <v>117</v>
      </c>
      <c r="E324" s="6"/>
      <c r="F324" s="7" t="s">
        <v>535</v>
      </c>
      <c r="G324" s="7" t="s">
        <v>15</v>
      </c>
      <c r="H324" s="7" t="s">
        <v>111</v>
      </c>
      <c r="I324" s="7" t="s">
        <v>114</v>
      </c>
      <c r="J324" s="7" t="s">
        <v>99</v>
      </c>
      <c r="K324" s="8">
        <f>0.04*K$112</f>
        <v>1968.4533200000003</v>
      </c>
      <c r="L324" s="166">
        <f>L$321*Sheet1!C126</f>
        <v>1996.6666666666667</v>
      </c>
      <c r="M324" s="166">
        <f>M$321*Sheet1!D126</f>
        <v>1312.6560000000002</v>
      </c>
      <c r="N324" s="166">
        <f>N$321*Sheet1!E126</f>
        <v>1664.6140000000003</v>
      </c>
      <c r="O324" s="166">
        <f>O$321*Sheet1!F126</f>
        <v>1745.8560000000002</v>
      </c>
      <c r="P324" s="166">
        <f>P$321*Sheet1!G126</f>
        <v>1708.8</v>
      </c>
      <c r="Q324" s="9"/>
      <c r="R324" s="9"/>
      <c r="S324" s="9"/>
      <c r="T324" s="9"/>
      <c r="U324" s="9"/>
      <c r="V324" s="10">
        <f>+(P324/M324)^(1/4)-1</f>
        <v>6.8156965365776534E-2</v>
      </c>
      <c r="W324" s="10" t="e">
        <f t="shared" si="35"/>
        <v>#DIV/0!</v>
      </c>
      <c r="X324" s="13"/>
      <c r="Y324" s="7"/>
    </row>
    <row r="325" spans="1:25" customFormat="1">
      <c r="A325" s="119" t="s">
        <v>979</v>
      </c>
      <c r="B325" s="119" t="s">
        <v>94</v>
      </c>
      <c r="C325" s="6" t="s">
        <v>536</v>
      </c>
      <c r="D325" s="7"/>
      <c r="E325" s="7"/>
      <c r="F325" s="7" t="s">
        <v>537</v>
      </c>
      <c r="G325" s="7" t="s">
        <v>15</v>
      </c>
      <c r="H325" s="7" t="s">
        <v>111</v>
      </c>
      <c r="I325" s="7"/>
      <c r="J325" s="7" t="s">
        <v>99</v>
      </c>
      <c r="K325" s="8"/>
      <c r="L325" s="128"/>
      <c r="M325" s="128"/>
      <c r="N325" s="9"/>
      <c r="O325" s="188"/>
      <c r="P325" s="128"/>
      <c r="Q325" s="128"/>
      <c r="R325" s="128"/>
      <c r="S325" s="128"/>
      <c r="T325" s="128"/>
      <c r="U325" s="128"/>
      <c r="V325" s="10" t="e">
        <f t="shared" ref="V325:V356" si="38">+(P325/L325)^(1/4)-1</f>
        <v>#DIV/0!</v>
      </c>
      <c r="W325" s="10" t="e">
        <f t="shared" si="35"/>
        <v>#DIV/0!</v>
      </c>
      <c r="X325" s="7"/>
      <c r="Y325" s="7"/>
    </row>
    <row r="326" spans="1:25" customFormat="1">
      <c r="A326" s="119" t="s">
        <v>979</v>
      </c>
      <c r="B326" s="119" t="s">
        <v>94</v>
      </c>
      <c r="C326" s="119" t="s">
        <v>536</v>
      </c>
      <c r="D326" s="6" t="s">
        <v>78</v>
      </c>
      <c r="E326" s="7"/>
      <c r="F326" s="7" t="s">
        <v>538</v>
      </c>
      <c r="G326" s="7" t="s">
        <v>15</v>
      </c>
      <c r="H326" s="7" t="s">
        <v>16</v>
      </c>
      <c r="I326" s="7"/>
      <c r="J326" s="7" t="s">
        <v>99</v>
      </c>
      <c r="K326" s="8"/>
      <c r="L326" s="9"/>
      <c r="M326" s="9"/>
      <c r="N326" s="9"/>
      <c r="O326" s="188"/>
      <c r="P326" s="9"/>
      <c r="Q326" s="9"/>
      <c r="R326" s="9"/>
      <c r="S326" s="9"/>
      <c r="T326" s="9"/>
      <c r="U326" s="9"/>
      <c r="V326" s="10" t="e">
        <f t="shared" si="38"/>
        <v>#DIV/0!</v>
      </c>
      <c r="W326" s="10" t="e">
        <f t="shared" si="35"/>
        <v>#DIV/0!</v>
      </c>
      <c r="X326" s="13"/>
      <c r="Y326" s="7"/>
    </row>
    <row r="327" spans="1:25" customFormat="1">
      <c r="A327" s="119" t="s">
        <v>979</v>
      </c>
      <c r="B327" s="119" t="s">
        <v>94</v>
      </c>
      <c r="C327" s="119" t="s">
        <v>536</v>
      </c>
      <c r="D327" s="6" t="s">
        <v>80</v>
      </c>
      <c r="E327" s="7"/>
      <c r="F327" s="7" t="s">
        <v>539</v>
      </c>
      <c r="G327" s="7" t="s">
        <v>15</v>
      </c>
      <c r="H327" s="7" t="s">
        <v>16</v>
      </c>
      <c r="I327" s="7" t="s">
        <v>1058</v>
      </c>
      <c r="J327" s="7" t="s">
        <v>99</v>
      </c>
      <c r="K327" s="8"/>
      <c r="L327" s="9"/>
      <c r="M327" s="9"/>
      <c r="N327" s="9"/>
      <c r="O327" s="188"/>
      <c r="P327" s="9"/>
      <c r="Q327" s="9"/>
      <c r="R327" s="9"/>
      <c r="S327" s="9"/>
      <c r="T327" s="9"/>
      <c r="U327" s="9"/>
      <c r="V327" s="10" t="e">
        <f t="shared" si="38"/>
        <v>#DIV/0!</v>
      </c>
      <c r="W327" s="10" t="e">
        <f t="shared" si="35"/>
        <v>#DIV/0!</v>
      </c>
      <c r="X327" s="13"/>
      <c r="Y327" s="7"/>
    </row>
    <row r="328" spans="1:25" customFormat="1">
      <c r="A328" s="119" t="s">
        <v>979</v>
      </c>
      <c r="B328" s="119" t="s">
        <v>94</v>
      </c>
      <c r="C328" s="119" t="s">
        <v>536</v>
      </c>
      <c r="D328" s="6" t="s">
        <v>82</v>
      </c>
      <c r="E328" s="7"/>
      <c r="F328" s="7" t="s">
        <v>540</v>
      </c>
      <c r="G328" s="7" t="s">
        <v>15</v>
      </c>
      <c r="H328" s="7" t="s">
        <v>16</v>
      </c>
      <c r="I328" s="7" t="s">
        <v>1058</v>
      </c>
      <c r="J328" s="7" t="s">
        <v>99</v>
      </c>
      <c r="K328" s="8"/>
      <c r="L328" s="9"/>
      <c r="M328" s="9"/>
      <c r="N328" s="9"/>
      <c r="O328" s="188"/>
      <c r="P328" s="9"/>
      <c r="Q328" s="9"/>
      <c r="R328" s="9"/>
      <c r="S328" s="9"/>
      <c r="T328" s="9"/>
      <c r="U328" s="9"/>
      <c r="V328" s="10" t="e">
        <f t="shared" si="38"/>
        <v>#DIV/0!</v>
      </c>
      <c r="W328" s="10" t="e">
        <f t="shared" si="35"/>
        <v>#DIV/0!</v>
      </c>
      <c r="X328" s="13"/>
      <c r="Y328" s="7"/>
    </row>
    <row r="329" spans="1:25" customFormat="1">
      <c r="A329" s="119" t="s">
        <v>979</v>
      </c>
      <c r="B329" s="119" t="s">
        <v>94</v>
      </c>
      <c r="C329" s="119" t="s">
        <v>536</v>
      </c>
      <c r="D329" s="6" t="s">
        <v>84</v>
      </c>
      <c r="E329" s="7"/>
      <c r="F329" s="7" t="s">
        <v>541</v>
      </c>
      <c r="G329" s="7" t="s">
        <v>15</v>
      </c>
      <c r="H329" s="7" t="s">
        <v>16</v>
      </c>
      <c r="I329" s="7" t="s">
        <v>1058</v>
      </c>
      <c r="J329" s="7" t="s">
        <v>99</v>
      </c>
      <c r="K329" s="8"/>
      <c r="L329" s="9"/>
      <c r="M329" s="9"/>
      <c r="N329" s="9"/>
      <c r="O329" s="188"/>
      <c r="P329" s="9"/>
      <c r="Q329" s="9"/>
      <c r="R329" s="9"/>
      <c r="S329" s="9"/>
      <c r="T329" s="9"/>
      <c r="U329" s="9"/>
      <c r="V329" s="10" t="e">
        <f t="shared" si="38"/>
        <v>#DIV/0!</v>
      </c>
      <c r="W329" s="10" t="e">
        <f t="shared" si="35"/>
        <v>#DIV/0!</v>
      </c>
      <c r="X329" s="13"/>
      <c r="Y329" s="7"/>
    </row>
    <row r="330" spans="1:25" customFormat="1">
      <c r="A330" s="119" t="s">
        <v>979</v>
      </c>
      <c r="B330" s="119" t="s">
        <v>94</v>
      </c>
      <c r="C330" s="119" t="s">
        <v>536</v>
      </c>
      <c r="D330" s="6" t="s">
        <v>86</v>
      </c>
      <c r="E330" s="7"/>
      <c r="F330" s="7" t="s">
        <v>542</v>
      </c>
      <c r="G330" s="7" t="s">
        <v>15</v>
      </c>
      <c r="H330" s="7" t="s">
        <v>16</v>
      </c>
      <c r="I330" s="7" t="s">
        <v>1058</v>
      </c>
      <c r="J330" s="7" t="s">
        <v>99</v>
      </c>
      <c r="K330" s="8"/>
      <c r="L330" s="9"/>
      <c r="M330" s="9"/>
      <c r="N330" s="9"/>
      <c r="O330" s="188"/>
      <c r="P330" s="9"/>
      <c r="Q330" s="9"/>
      <c r="R330" s="9"/>
      <c r="S330" s="9"/>
      <c r="T330" s="9"/>
      <c r="U330" s="9"/>
      <c r="V330" s="10" t="e">
        <f t="shared" si="38"/>
        <v>#DIV/0!</v>
      </c>
      <c r="W330" s="10" t="e">
        <f t="shared" si="35"/>
        <v>#DIV/0!</v>
      </c>
      <c r="X330" s="13"/>
      <c r="Y330" s="7"/>
    </row>
    <row r="331" spans="1:25" customFormat="1">
      <c r="A331" s="119" t="s">
        <v>979</v>
      </c>
      <c r="B331" s="119" t="s">
        <v>94</v>
      </c>
      <c r="C331" s="119" t="s">
        <v>536</v>
      </c>
      <c r="D331" s="6" t="s">
        <v>88</v>
      </c>
      <c r="E331" s="7"/>
      <c r="F331" s="7" t="s">
        <v>543</v>
      </c>
      <c r="G331" s="7" t="s">
        <v>15</v>
      </c>
      <c r="H331" s="7" t="s">
        <v>16</v>
      </c>
      <c r="I331" s="7" t="s">
        <v>1058</v>
      </c>
      <c r="J331" s="7" t="s">
        <v>99</v>
      </c>
      <c r="K331" s="8"/>
      <c r="L331" s="9"/>
      <c r="M331" s="9"/>
      <c r="N331" s="9"/>
      <c r="O331" s="188"/>
      <c r="P331" s="9"/>
      <c r="Q331" s="9"/>
      <c r="R331" s="9"/>
      <c r="S331" s="9"/>
      <c r="T331" s="9"/>
      <c r="U331" s="9"/>
      <c r="V331" s="10" t="e">
        <f t="shared" si="38"/>
        <v>#DIV/0!</v>
      </c>
      <c r="W331" s="10" t="e">
        <f t="shared" si="35"/>
        <v>#DIV/0!</v>
      </c>
      <c r="X331" s="13"/>
      <c r="Y331" s="7"/>
    </row>
    <row r="332" spans="1:25" customFormat="1">
      <c r="A332" s="119" t="s">
        <v>979</v>
      </c>
      <c r="B332" s="119" t="s">
        <v>94</v>
      </c>
      <c r="C332" s="119" t="s">
        <v>536</v>
      </c>
      <c r="D332" s="6" t="s">
        <v>90</v>
      </c>
      <c r="E332" s="7"/>
      <c r="F332" s="7" t="s">
        <v>544</v>
      </c>
      <c r="G332" s="7" t="s">
        <v>15</v>
      </c>
      <c r="H332" s="7" t="s">
        <v>16</v>
      </c>
      <c r="I332" s="7" t="s">
        <v>1058</v>
      </c>
      <c r="J332" s="7" t="s">
        <v>99</v>
      </c>
      <c r="K332" s="8"/>
      <c r="L332" s="9"/>
      <c r="M332" s="9"/>
      <c r="N332" s="9"/>
      <c r="O332" s="188"/>
      <c r="P332" s="9"/>
      <c r="Q332" s="9"/>
      <c r="R332" s="9"/>
      <c r="S332" s="9"/>
      <c r="T332" s="9"/>
      <c r="U332" s="9"/>
      <c r="V332" s="10" t="e">
        <f t="shared" si="38"/>
        <v>#DIV/0!</v>
      </c>
      <c r="W332" s="10" t="e">
        <f t="shared" si="35"/>
        <v>#DIV/0!</v>
      </c>
      <c r="X332" s="13"/>
      <c r="Y332" s="7"/>
    </row>
    <row r="333" spans="1:25" customFormat="1">
      <c r="A333" s="119" t="s">
        <v>979</v>
      </c>
      <c r="B333" s="119" t="s">
        <v>94</v>
      </c>
      <c r="C333" s="119" t="s">
        <v>536</v>
      </c>
      <c r="D333" s="6" t="s">
        <v>92</v>
      </c>
      <c r="E333" s="7"/>
      <c r="F333" s="7" t="s">
        <v>545</v>
      </c>
      <c r="G333" s="7" t="s">
        <v>15</v>
      </c>
      <c r="H333" s="7" t="s">
        <v>16</v>
      </c>
      <c r="I333" s="7" t="s">
        <v>1058</v>
      </c>
      <c r="J333" s="7" t="s">
        <v>99</v>
      </c>
      <c r="K333" s="8"/>
      <c r="L333" s="9"/>
      <c r="M333" s="9"/>
      <c r="N333" s="9"/>
      <c r="O333" s="188"/>
      <c r="P333" s="9"/>
      <c r="Q333" s="9"/>
      <c r="R333" s="9"/>
      <c r="S333" s="9"/>
      <c r="T333" s="9"/>
      <c r="U333" s="9"/>
      <c r="V333" s="10" t="e">
        <f t="shared" si="38"/>
        <v>#DIV/0!</v>
      </c>
      <c r="W333" s="10" t="e">
        <f t="shared" si="35"/>
        <v>#DIV/0!</v>
      </c>
      <c r="X333" s="13"/>
      <c r="Y333" s="7"/>
    </row>
    <row r="334" spans="1:25" customFormat="1">
      <c r="A334" s="119" t="s">
        <v>979</v>
      </c>
      <c r="B334" s="119" t="s">
        <v>94</v>
      </c>
      <c r="C334" s="6" t="s">
        <v>546</v>
      </c>
      <c r="D334" s="7"/>
      <c r="E334" s="7"/>
      <c r="F334" s="7" t="s">
        <v>547</v>
      </c>
      <c r="G334" s="7" t="s">
        <v>15</v>
      </c>
      <c r="H334" s="7" t="s">
        <v>96</v>
      </c>
      <c r="I334" s="7"/>
      <c r="J334" s="7" t="s">
        <v>99</v>
      </c>
      <c r="K334" s="111">
        <f>SUM($K$335,$K$391,$K$437,$K$483,$K$499,$K$504,$K$542)</f>
        <v>63662</v>
      </c>
      <c r="L334" s="164">
        <f>SUM(L335,L391,L437,L483,L499,L504)</f>
        <v>6900</v>
      </c>
      <c r="M334" s="164">
        <f t="shared" ref="M334:P334" si="39">SUM(M335,M391,M437,M483,M499,M504)</f>
        <v>7375</v>
      </c>
      <c r="N334" s="164">
        <f t="shared" si="39"/>
        <v>5821.5</v>
      </c>
      <c r="O334" s="164">
        <f t="shared" si="39"/>
        <v>6925</v>
      </c>
      <c r="P334" s="164">
        <f t="shared" si="39"/>
        <v>7251.8717674626923</v>
      </c>
      <c r="Q334" s="128"/>
      <c r="R334" s="128"/>
      <c r="S334" s="128"/>
      <c r="T334" s="128"/>
      <c r="U334" s="128"/>
      <c r="V334" s="10">
        <f t="shared" si="38"/>
        <v>1.2512180136967643E-2</v>
      </c>
      <c r="W334" s="10" t="e">
        <f t="shared" si="35"/>
        <v>#DIV/0!</v>
      </c>
      <c r="X334" s="156"/>
      <c r="Y334" s="11"/>
    </row>
    <row r="335" spans="1:25" customFormat="1">
      <c r="A335" s="119" t="s">
        <v>979</v>
      </c>
      <c r="B335" s="119" t="s">
        <v>94</v>
      </c>
      <c r="C335" s="119" t="s">
        <v>546</v>
      </c>
      <c r="D335" s="6" t="s">
        <v>65</v>
      </c>
      <c r="E335" s="7"/>
      <c r="F335" s="7" t="s">
        <v>548</v>
      </c>
      <c r="G335" s="7" t="s">
        <v>15</v>
      </c>
      <c r="H335" s="7" t="s">
        <v>16</v>
      </c>
      <c r="I335" s="7"/>
      <c r="J335" s="7" t="s">
        <v>99</v>
      </c>
      <c r="K335" s="111">
        <f>SUM(K336:K389)</f>
        <v>0</v>
      </c>
      <c r="L335" s="128">
        <f t="shared" ref="L335" si="40">SUM(L336:L390)</f>
        <v>150</v>
      </c>
      <c r="M335" s="128">
        <f t="shared" ref="M335" si="41">SUM(M336:M390)</f>
        <v>250</v>
      </c>
      <c r="N335" s="128">
        <f t="shared" ref="N335" si="42">SUM(N336:N390)</f>
        <v>350</v>
      </c>
      <c r="O335" s="128">
        <f t="shared" ref="O335" si="43">SUM(O336:O390)</f>
        <v>450</v>
      </c>
      <c r="P335" s="128">
        <f t="shared" ref="P335" si="44">SUM(P336:P390)</f>
        <v>440.59526299369242</v>
      </c>
      <c r="Q335" s="128"/>
      <c r="R335" s="128"/>
      <c r="S335" s="128"/>
      <c r="T335" s="128"/>
      <c r="U335" s="128"/>
      <c r="V335" s="10">
        <f t="shared" si="38"/>
        <v>0.30914316047385659</v>
      </c>
      <c r="W335" s="10" t="e">
        <f t="shared" si="35"/>
        <v>#DIV/0!</v>
      </c>
      <c r="X335" s="176" t="s">
        <v>1126</v>
      </c>
      <c r="Y335" s="11" t="s">
        <v>1196</v>
      </c>
    </row>
    <row r="336" spans="1:25" customFormat="1">
      <c r="A336" s="119" t="s">
        <v>979</v>
      </c>
      <c r="B336" s="119" t="s">
        <v>94</v>
      </c>
      <c r="C336" s="119" t="s">
        <v>546</v>
      </c>
      <c r="D336" s="119" t="s">
        <v>65</v>
      </c>
      <c r="E336" s="6" t="s">
        <v>133</v>
      </c>
      <c r="F336" s="7" t="s">
        <v>549</v>
      </c>
      <c r="G336" s="7" t="s">
        <v>15</v>
      </c>
      <c r="H336" s="7" t="s">
        <v>16</v>
      </c>
      <c r="I336" s="7"/>
      <c r="J336" s="7" t="s">
        <v>99</v>
      </c>
      <c r="K336" s="8"/>
      <c r="L336" s="164"/>
      <c r="M336" s="164"/>
      <c r="N336" s="164"/>
      <c r="O336" s="188"/>
      <c r="P336" s="128"/>
      <c r="Q336" s="128"/>
      <c r="R336" s="132"/>
      <c r="S336" s="132"/>
      <c r="T336" s="132"/>
      <c r="U336" s="132"/>
      <c r="V336" s="10" t="e">
        <f t="shared" si="38"/>
        <v>#DIV/0!</v>
      </c>
      <c r="W336" s="10" t="e">
        <f t="shared" si="35"/>
        <v>#DIV/0!</v>
      </c>
      <c r="X336" s="156"/>
      <c r="Y336" s="11"/>
    </row>
    <row r="337" spans="1:25" customFormat="1">
      <c r="A337" s="119" t="s">
        <v>979</v>
      </c>
      <c r="B337" s="119" t="s">
        <v>94</v>
      </c>
      <c r="C337" s="119" t="s">
        <v>546</v>
      </c>
      <c r="D337" s="119" t="s">
        <v>65</v>
      </c>
      <c r="E337" s="6" t="s">
        <v>135</v>
      </c>
      <c r="F337" s="7" t="s">
        <v>550</v>
      </c>
      <c r="G337" s="7" t="s">
        <v>15</v>
      </c>
      <c r="H337" s="7" t="s">
        <v>16</v>
      </c>
      <c r="I337" s="7"/>
      <c r="J337" s="7" t="s">
        <v>99</v>
      </c>
      <c r="K337" s="8"/>
      <c r="L337" s="164"/>
      <c r="M337" s="164"/>
      <c r="N337" s="164"/>
      <c r="O337" s="188"/>
      <c r="P337" s="9"/>
      <c r="Q337" s="9"/>
      <c r="R337" s="9"/>
      <c r="S337" s="9"/>
      <c r="T337" s="9"/>
      <c r="U337" s="9"/>
      <c r="V337" s="10" t="e">
        <f t="shared" si="38"/>
        <v>#DIV/0!</v>
      </c>
      <c r="W337" s="10" t="e">
        <f t="shared" si="35"/>
        <v>#DIV/0!</v>
      </c>
      <c r="X337" s="159"/>
      <c r="Y337" s="11"/>
    </row>
    <row r="338" spans="1:25" customFormat="1">
      <c r="A338" s="119" t="s">
        <v>979</v>
      </c>
      <c r="B338" s="119" t="s">
        <v>94</v>
      </c>
      <c r="C338" s="119" t="s">
        <v>546</v>
      </c>
      <c r="D338" s="119" t="s">
        <v>65</v>
      </c>
      <c r="E338" s="6" t="s">
        <v>137</v>
      </c>
      <c r="F338" s="7" t="s">
        <v>551</v>
      </c>
      <c r="G338" s="7" t="s">
        <v>15</v>
      </c>
      <c r="H338" s="7" t="s">
        <v>16</v>
      </c>
      <c r="I338" s="7"/>
      <c r="J338" s="7" t="s">
        <v>99</v>
      </c>
      <c r="K338" s="8"/>
      <c r="L338" s="164"/>
      <c r="M338" s="164"/>
      <c r="N338" s="164"/>
      <c r="O338" s="188"/>
      <c r="P338" s="9"/>
      <c r="Q338" s="9"/>
      <c r="R338" s="9"/>
      <c r="S338" s="9"/>
      <c r="T338" s="9"/>
      <c r="U338" s="9"/>
      <c r="V338" s="10" t="e">
        <f t="shared" si="38"/>
        <v>#DIV/0!</v>
      </c>
      <c r="W338" s="10" t="e">
        <f t="shared" si="35"/>
        <v>#DIV/0!</v>
      </c>
      <c r="X338" s="7"/>
      <c r="Y338" s="11"/>
    </row>
    <row r="339" spans="1:25" customFormat="1">
      <c r="A339" s="119" t="s">
        <v>979</v>
      </c>
      <c r="B339" s="119" t="s">
        <v>94</v>
      </c>
      <c r="C339" s="119" t="s">
        <v>546</v>
      </c>
      <c r="D339" s="119" t="s">
        <v>65</v>
      </c>
      <c r="E339" s="6" t="s">
        <v>139</v>
      </c>
      <c r="F339" s="7" t="s">
        <v>552</v>
      </c>
      <c r="G339" s="7" t="s">
        <v>15</v>
      </c>
      <c r="H339" s="7" t="s">
        <v>16</v>
      </c>
      <c r="I339" s="7"/>
      <c r="J339" s="7" t="s">
        <v>99</v>
      </c>
      <c r="K339" s="8"/>
      <c r="L339" s="164"/>
      <c r="M339" s="164"/>
      <c r="N339" s="164"/>
      <c r="O339" s="188"/>
      <c r="P339" s="9"/>
      <c r="Q339" s="9"/>
      <c r="R339" s="9"/>
      <c r="S339" s="9"/>
      <c r="T339" s="9"/>
      <c r="U339" s="9"/>
      <c r="V339" s="10" t="e">
        <f t="shared" si="38"/>
        <v>#DIV/0!</v>
      </c>
      <c r="W339" s="10" t="e">
        <f t="shared" si="35"/>
        <v>#DIV/0!</v>
      </c>
      <c r="X339" s="7"/>
      <c r="Y339" s="11"/>
    </row>
    <row r="340" spans="1:25" customFormat="1">
      <c r="A340" s="119" t="s">
        <v>979</v>
      </c>
      <c r="B340" s="119" t="s">
        <v>94</v>
      </c>
      <c r="C340" s="119" t="s">
        <v>546</v>
      </c>
      <c r="D340" s="119" t="s">
        <v>65</v>
      </c>
      <c r="E340" s="6" t="s">
        <v>141</v>
      </c>
      <c r="F340" s="7" t="s">
        <v>553</v>
      </c>
      <c r="G340" s="7" t="s">
        <v>15</v>
      </c>
      <c r="H340" s="7" t="s">
        <v>16</v>
      </c>
      <c r="I340" s="7"/>
      <c r="J340" s="7" t="s">
        <v>99</v>
      </c>
      <c r="K340" s="8"/>
      <c r="L340" s="164"/>
      <c r="M340" s="164"/>
      <c r="N340" s="164"/>
      <c r="O340" s="188"/>
      <c r="P340" s="9"/>
      <c r="Q340" s="9"/>
      <c r="R340" s="9"/>
      <c r="S340" s="9"/>
      <c r="T340" s="9"/>
      <c r="U340" s="9"/>
      <c r="V340" s="10" t="e">
        <f t="shared" si="38"/>
        <v>#DIV/0!</v>
      </c>
      <c r="W340" s="10" t="e">
        <f t="shared" si="35"/>
        <v>#DIV/0!</v>
      </c>
      <c r="X340" s="7"/>
      <c r="Y340" s="11"/>
    </row>
    <row r="341" spans="1:25" customFormat="1">
      <c r="A341" s="119" t="s">
        <v>979</v>
      </c>
      <c r="B341" s="119" t="s">
        <v>94</v>
      </c>
      <c r="C341" s="119" t="s">
        <v>546</v>
      </c>
      <c r="D341" s="119" t="s">
        <v>65</v>
      </c>
      <c r="E341" s="6" t="s">
        <v>143</v>
      </c>
      <c r="F341" s="7" t="s">
        <v>554</v>
      </c>
      <c r="G341" s="7" t="s">
        <v>15</v>
      </c>
      <c r="H341" s="7" t="s">
        <v>16</v>
      </c>
      <c r="I341" s="7"/>
      <c r="J341" s="7" t="s">
        <v>99</v>
      </c>
      <c r="K341" s="8"/>
      <c r="L341" s="164"/>
      <c r="M341" s="164"/>
      <c r="N341" s="164"/>
      <c r="O341" s="188"/>
      <c r="P341" s="9"/>
      <c r="Q341" s="9"/>
      <c r="R341" s="9"/>
      <c r="S341" s="9"/>
      <c r="T341" s="9"/>
      <c r="U341" s="9"/>
      <c r="V341" s="10" t="e">
        <f t="shared" si="38"/>
        <v>#DIV/0!</v>
      </c>
      <c r="W341" s="10" t="e">
        <f t="shared" ref="W341:W372" si="45">+(U341/Q341)^(1/4)-1</f>
        <v>#DIV/0!</v>
      </c>
      <c r="X341" s="7"/>
      <c r="Y341" s="11"/>
    </row>
    <row r="342" spans="1:25" customFormat="1">
      <c r="A342" s="119" t="s">
        <v>979</v>
      </c>
      <c r="B342" s="119" t="s">
        <v>94</v>
      </c>
      <c r="C342" s="119" t="s">
        <v>546</v>
      </c>
      <c r="D342" s="119" t="s">
        <v>65</v>
      </c>
      <c r="E342" s="6" t="s">
        <v>145</v>
      </c>
      <c r="F342" s="7" t="s">
        <v>555</v>
      </c>
      <c r="G342" s="7" t="s">
        <v>15</v>
      </c>
      <c r="H342" s="7" t="s">
        <v>16</v>
      </c>
      <c r="I342" s="7"/>
      <c r="J342" s="7" t="s">
        <v>99</v>
      </c>
      <c r="K342" s="8"/>
      <c r="L342" s="164"/>
      <c r="M342" s="164"/>
      <c r="N342" s="164"/>
      <c r="O342" s="188"/>
      <c r="P342" s="9"/>
      <c r="Q342" s="9"/>
      <c r="R342" s="9"/>
      <c r="S342" s="9"/>
      <c r="T342" s="9"/>
      <c r="U342" s="9"/>
      <c r="V342" s="10" t="e">
        <f t="shared" si="38"/>
        <v>#DIV/0!</v>
      </c>
      <c r="W342" s="10" t="e">
        <f t="shared" si="45"/>
        <v>#DIV/0!</v>
      </c>
      <c r="X342" s="7"/>
      <c r="Y342" s="11"/>
    </row>
    <row r="343" spans="1:25" customFormat="1">
      <c r="A343" s="119" t="s">
        <v>979</v>
      </c>
      <c r="B343" s="119" t="s">
        <v>94</v>
      </c>
      <c r="C343" s="119" t="s">
        <v>546</v>
      </c>
      <c r="D343" s="119" t="s">
        <v>65</v>
      </c>
      <c r="E343" s="6" t="s">
        <v>147</v>
      </c>
      <c r="F343" s="7" t="s">
        <v>556</v>
      </c>
      <c r="G343" s="7" t="s">
        <v>15</v>
      </c>
      <c r="H343" s="7" t="s">
        <v>16</v>
      </c>
      <c r="I343" s="7"/>
      <c r="J343" s="7" t="s">
        <v>99</v>
      </c>
      <c r="K343" s="8"/>
      <c r="L343" s="164"/>
      <c r="M343" s="164"/>
      <c r="N343" s="164"/>
      <c r="O343" s="188"/>
      <c r="P343" s="9"/>
      <c r="Q343" s="9"/>
      <c r="R343" s="9"/>
      <c r="S343" s="9"/>
      <c r="T343" s="9"/>
      <c r="U343" s="9"/>
      <c r="V343" s="10" t="e">
        <f t="shared" si="38"/>
        <v>#DIV/0!</v>
      </c>
      <c r="W343" s="10" t="e">
        <f t="shared" si="45"/>
        <v>#DIV/0!</v>
      </c>
      <c r="X343" s="7"/>
      <c r="Y343" s="11"/>
    </row>
    <row r="344" spans="1:25" customFormat="1">
      <c r="A344" s="119" t="s">
        <v>979</v>
      </c>
      <c r="B344" s="119" t="s">
        <v>94</v>
      </c>
      <c r="C344" s="119" t="s">
        <v>546</v>
      </c>
      <c r="D344" s="119" t="s">
        <v>65</v>
      </c>
      <c r="E344" s="6" t="s">
        <v>149</v>
      </c>
      <c r="F344" s="7" t="s">
        <v>557</v>
      </c>
      <c r="G344" s="7" t="s">
        <v>15</v>
      </c>
      <c r="H344" s="7" t="s">
        <v>16</v>
      </c>
      <c r="I344" s="7"/>
      <c r="J344" s="7" t="s">
        <v>99</v>
      </c>
      <c r="K344" s="8"/>
      <c r="L344" s="164"/>
      <c r="M344" s="164"/>
      <c r="N344" s="164"/>
      <c r="O344" s="188"/>
      <c r="P344" s="9"/>
      <c r="Q344" s="9"/>
      <c r="R344" s="9"/>
      <c r="S344" s="9"/>
      <c r="T344" s="9"/>
      <c r="U344" s="9"/>
      <c r="V344" s="10" t="e">
        <f t="shared" si="38"/>
        <v>#DIV/0!</v>
      </c>
      <c r="W344" s="10" t="e">
        <f t="shared" si="45"/>
        <v>#DIV/0!</v>
      </c>
      <c r="X344" s="7"/>
      <c r="Y344" s="11"/>
    </row>
    <row r="345" spans="1:25" customFormat="1">
      <c r="A345" s="119" t="s">
        <v>979</v>
      </c>
      <c r="B345" s="119" t="s">
        <v>94</v>
      </c>
      <c r="C345" s="119" t="s">
        <v>546</v>
      </c>
      <c r="D345" s="119" t="s">
        <v>65</v>
      </c>
      <c r="E345" s="6" t="s">
        <v>151</v>
      </c>
      <c r="F345" s="7" t="s">
        <v>558</v>
      </c>
      <c r="G345" s="7" t="s">
        <v>15</v>
      </c>
      <c r="H345" s="7" t="s">
        <v>16</v>
      </c>
      <c r="I345" s="7"/>
      <c r="J345" s="7" t="s">
        <v>99</v>
      </c>
      <c r="K345" s="8"/>
      <c r="L345" s="164"/>
      <c r="M345" s="164"/>
      <c r="N345" s="164"/>
      <c r="O345" s="188"/>
      <c r="P345" s="9"/>
      <c r="Q345" s="9"/>
      <c r="R345" s="9"/>
      <c r="S345" s="9"/>
      <c r="T345" s="9"/>
      <c r="U345" s="9"/>
      <c r="V345" s="10" t="e">
        <f t="shared" si="38"/>
        <v>#DIV/0!</v>
      </c>
      <c r="W345" s="10" t="e">
        <f t="shared" si="45"/>
        <v>#DIV/0!</v>
      </c>
      <c r="X345" s="7"/>
      <c r="Y345" s="11"/>
    </row>
    <row r="346" spans="1:25" customFormat="1">
      <c r="A346" s="119" t="s">
        <v>979</v>
      </c>
      <c r="B346" s="119" t="s">
        <v>94</v>
      </c>
      <c r="C346" s="119" t="s">
        <v>546</v>
      </c>
      <c r="D346" s="119" t="s">
        <v>65</v>
      </c>
      <c r="E346" s="6" t="s">
        <v>153</v>
      </c>
      <c r="F346" s="7" t="s">
        <v>559</v>
      </c>
      <c r="G346" s="7" t="s">
        <v>15</v>
      </c>
      <c r="H346" s="7" t="s">
        <v>16</v>
      </c>
      <c r="I346" s="7"/>
      <c r="J346" s="7" t="s">
        <v>99</v>
      </c>
      <c r="K346" s="8"/>
      <c r="L346" s="164"/>
      <c r="M346" s="164"/>
      <c r="N346" s="164"/>
      <c r="O346" s="188"/>
      <c r="P346" s="9"/>
      <c r="Q346" s="9"/>
      <c r="R346" s="9"/>
      <c r="S346" s="9"/>
      <c r="T346" s="9"/>
      <c r="U346" s="9"/>
      <c r="V346" s="10" t="e">
        <f t="shared" si="38"/>
        <v>#DIV/0!</v>
      </c>
      <c r="W346" s="10" t="e">
        <f t="shared" si="45"/>
        <v>#DIV/0!</v>
      </c>
      <c r="X346" s="7"/>
      <c r="Y346" s="11"/>
    </row>
    <row r="347" spans="1:25" customFormat="1">
      <c r="A347" s="119" t="s">
        <v>979</v>
      </c>
      <c r="B347" s="119" t="s">
        <v>94</v>
      </c>
      <c r="C347" s="119" t="s">
        <v>546</v>
      </c>
      <c r="D347" s="119" t="s">
        <v>65</v>
      </c>
      <c r="E347" s="6" t="s">
        <v>155</v>
      </c>
      <c r="F347" s="7" t="s">
        <v>560</v>
      </c>
      <c r="G347" s="7" t="s">
        <v>15</v>
      </c>
      <c r="H347" s="7" t="s">
        <v>16</v>
      </c>
      <c r="I347" s="7"/>
      <c r="J347" s="7" t="s">
        <v>99</v>
      </c>
      <c r="K347" s="8"/>
      <c r="L347" s="164"/>
      <c r="M347" s="164"/>
      <c r="N347" s="164"/>
      <c r="O347" s="188"/>
      <c r="P347" s="9"/>
      <c r="Q347" s="9"/>
      <c r="R347" s="9"/>
      <c r="S347" s="9"/>
      <c r="T347" s="9"/>
      <c r="U347" s="9"/>
      <c r="V347" s="10" t="e">
        <f t="shared" si="38"/>
        <v>#DIV/0!</v>
      </c>
      <c r="W347" s="10" t="e">
        <f t="shared" si="45"/>
        <v>#DIV/0!</v>
      </c>
      <c r="X347" s="7"/>
      <c r="Y347" s="11"/>
    </row>
    <row r="348" spans="1:25" customFormat="1">
      <c r="A348" s="119" t="s">
        <v>979</v>
      </c>
      <c r="B348" s="119" t="s">
        <v>94</v>
      </c>
      <c r="C348" s="119" t="s">
        <v>546</v>
      </c>
      <c r="D348" s="119" t="s">
        <v>65</v>
      </c>
      <c r="E348" s="6" t="s">
        <v>157</v>
      </c>
      <c r="F348" s="7" t="s">
        <v>561</v>
      </c>
      <c r="G348" s="7" t="s">
        <v>15</v>
      </c>
      <c r="H348" s="7" t="s">
        <v>16</v>
      </c>
      <c r="I348" s="7"/>
      <c r="J348" s="7" t="s">
        <v>99</v>
      </c>
      <c r="K348" s="8"/>
      <c r="L348" s="164"/>
      <c r="M348" s="164"/>
      <c r="N348" s="164"/>
      <c r="O348" s="188"/>
      <c r="P348" s="9"/>
      <c r="Q348" s="9"/>
      <c r="R348" s="9"/>
      <c r="S348" s="9"/>
      <c r="T348" s="9"/>
      <c r="U348" s="9"/>
      <c r="V348" s="10" t="e">
        <f t="shared" si="38"/>
        <v>#DIV/0!</v>
      </c>
      <c r="W348" s="10" t="e">
        <f t="shared" si="45"/>
        <v>#DIV/0!</v>
      </c>
      <c r="X348" s="7"/>
      <c r="Y348" s="11"/>
    </row>
    <row r="349" spans="1:25" customFormat="1">
      <c r="A349" s="119" t="s">
        <v>979</v>
      </c>
      <c r="B349" s="119" t="s">
        <v>94</v>
      </c>
      <c r="C349" s="119" t="s">
        <v>546</v>
      </c>
      <c r="D349" s="119" t="s">
        <v>65</v>
      </c>
      <c r="E349" s="6" t="s">
        <v>159</v>
      </c>
      <c r="F349" s="7" t="s">
        <v>562</v>
      </c>
      <c r="G349" s="7" t="s">
        <v>15</v>
      </c>
      <c r="H349" s="7" t="s">
        <v>16</v>
      </c>
      <c r="I349" s="7"/>
      <c r="J349" s="7" t="s">
        <v>99</v>
      </c>
      <c r="K349" s="8"/>
      <c r="L349" s="164"/>
      <c r="M349" s="164"/>
      <c r="N349" s="164"/>
      <c r="O349" s="188"/>
      <c r="P349" s="9"/>
      <c r="Q349" s="9"/>
      <c r="R349" s="9"/>
      <c r="S349" s="9"/>
      <c r="T349" s="9"/>
      <c r="U349" s="9"/>
      <c r="V349" s="10" t="e">
        <f t="shared" si="38"/>
        <v>#DIV/0!</v>
      </c>
      <c r="W349" s="10" t="e">
        <f t="shared" si="45"/>
        <v>#DIV/0!</v>
      </c>
      <c r="X349" s="7"/>
      <c r="Y349" s="11"/>
    </row>
    <row r="350" spans="1:25" customFormat="1">
      <c r="A350" s="119" t="s">
        <v>979</v>
      </c>
      <c r="B350" s="119" t="s">
        <v>94</v>
      </c>
      <c r="C350" s="119" t="s">
        <v>546</v>
      </c>
      <c r="D350" s="119" t="s">
        <v>65</v>
      </c>
      <c r="E350" s="6" t="s">
        <v>161</v>
      </c>
      <c r="F350" s="7" t="s">
        <v>563</v>
      </c>
      <c r="G350" s="7" t="s">
        <v>15</v>
      </c>
      <c r="H350" s="7" t="s">
        <v>16</v>
      </c>
      <c r="I350" s="7"/>
      <c r="J350" s="7" t="s">
        <v>99</v>
      </c>
      <c r="K350" s="8"/>
      <c r="L350" s="164"/>
      <c r="M350" s="164"/>
      <c r="N350" s="164"/>
      <c r="O350" s="188"/>
      <c r="P350" s="9"/>
      <c r="Q350" s="9"/>
      <c r="R350" s="9"/>
      <c r="S350" s="9"/>
      <c r="T350" s="9"/>
      <c r="U350" s="9"/>
      <c r="V350" s="10" t="e">
        <f t="shared" si="38"/>
        <v>#DIV/0!</v>
      </c>
      <c r="W350" s="10" t="e">
        <f t="shared" si="45"/>
        <v>#DIV/0!</v>
      </c>
      <c r="X350" s="7"/>
      <c r="Y350" s="11"/>
    </row>
    <row r="351" spans="1:25" customFormat="1">
      <c r="A351" s="119" t="s">
        <v>979</v>
      </c>
      <c r="B351" s="119" t="s">
        <v>94</v>
      </c>
      <c r="C351" s="119" t="s">
        <v>546</v>
      </c>
      <c r="D351" s="119" t="s">
        <v>65</v>
      </c>
      <c r="E351" s="6" t="s">
        <v>163</v>
      </c>
      <c r="F351" s="7" t="s">
        <v>564</v>
      </c>
      <c r="G351" s="7" t="s">
        <v>15</v>
      </c>
      <c r="H351" s="7" t="s">
        <v>16</v>
      </c>
      <c r="I351" s="7"/>
      <c r="J351" s="7" t="s">
        <v>99</v>
      </c>
      <c r="K351" s="8" t="s">
        <v>565</v>
      </c>
      <c r="L351" s="164">
        <v>150</v>
      </c>
      <c r="M351" s="164">
        <v>250</v>
      </c>
      <c r="N351" s="164">
        <v>250</v>
      </c>
      <c r="O351" s="188">
        <v>300</v>
      </c>
      <c r="P351" s="157">
        <f>O351*(1+(((O351/L351)^(1/3))-1)*0.2)</f>
        <v>315.59526299369242</v>
      </c>
      <c r="Q351" s="9"/>
      <c r="R351" s="9"/>
      <c r="S351" s="9"/>
      <c r="T351" s="9"/>
      <c r="U351" s="9"/>
      <c r="V351" s="10">
        <f t="shared" si="38"/>
        <v>0.20436965393912399</v>
      </c>
      <c r="W351" s="10" t="e">
        <f t="shared" si="45"/>
        <v>#DIV/0!</v>
      </c>
      <c r="X351" s="7"/>
      <c r="Y351" s="11"/>
    </row>
    <row r="352" spans="1:25" customFormat="1">
      <c r="A352" s="119" t="s">
        <v>979</v>
      </c>
      <c r="B352" s="119" t="s">
        <v>94</v>
      </c>
      <c r="C352" s="119" t="s">
        <v>546</v>
      </c>
      <c r="D352" s="119" t="s">
        <v>65</v>
      </c>
      <c r="E352" s="6" t="s">
        <v>165</v>
      </c>
      <c r="F352" s="7" t="s">
        <v>566</v>
      </c>
      <c r="G352" s="7" t="s">
        <v>15</v>
      </c>
      <c r="H352" s="7" t="s">
        <v>16</v>
      </c>
      <c r="I352" s="7"/>
      <c r="J352" s="7" t="s">
        <v>99</v>
      </c>
      <c r="K352" s="8"/>
      <c r="L352" s="164"/>
      <c r="M352" s="164"/>
      <c r="N352" s="164"/>
      <c r="O352" s="188"/>
      <c r="P352" s="132"/>
      <c r="Q352" s="132"/>
      <c r="R352" s="132"/>
      <c r="S352" s="132"/>
      <c r="T352" s="132"/>
      <c r="U352" s="132"/>
      <c r="V352" s="10" t="e">
        <f t="shared" si="38"/>
        <v>#DIV/0!</v>
      </c>
      <c r="W352" s="10" t="e">
        <f t="shared" si="45"/>
        <v>#DIV/0!</v>
      </c>
      <c r="X352" s="7"/>
      <c r="Y352" s="11"/>
    </row>
    <row r="353" spans="1:25" customFormat="1">
      <c r="A353" s="119" t="s">
        <v>979</v>
      </c>
      <c r="B353" s="119" t="s">
        <v>94</v>
      </c>
      <c r="C353" s="119" t="s">
        <v>546</v>
      </c>
      <c r="D353" s="119" t="s">
        <v>65</v>
      </c>
      <c r="E353" s="6" t="s">
        <v>167</v>
      </c>
      <c r="F353" s="7" t="s">
        <v>567</v>
      </c>
      <c r="G353" s="7" t="s">
        <v>15</v>
      </c>
      <c r="H353" s="7" t="s">
        <v>16</v>
      </c>
      <c r="I353" s="7"/>
      <c r="J353" s="7" t="s">
        <v>99</v>
      </c>
      <c r="K353" s="8"/>
      <c r="L353" s="164"/>
      <c r="M353" s="164"/>
      <c r="N353" s="164"/>
      <c r="O353" s="188"/>
      <c r="P353" s="9"/>
      <c r="Q353" s="9"/>
      <c r="R353" s="9"/>
      <c r="S353" s="9"/>
      <c r="T353" s="9"/>
      <c r="U353" s="9"/>
      <c r="V353" s="10" t="e">
        <f t="shared" si="38"/>
        <v>#DIV/0!</v>
      </c>
      <c r="W353" s="10" t="e">
        <f t="shared" si="45"/>
        <v>#DIV/0!</v>
      </c>
      <c r="X353" s="7"/>
      <c r="Y353" s="11"/>
    </row>
    <row r="354" spans="1:25" customFormat="1">
      <c r="A354" s="119" t="s">
        <v>979</v>
      </c>
      <c r="B354" s="119" t="s">
        <v>94</v>
      </c>
      <c r="C354" s="119" t="s">
        <v>546</v>
      </c>
      <c r="D354" s="119" t="s">
        <v>65</v>
      </c>
      <c r="E354" s="6" t="s">
        <v>169</v>
      </c>
      <c r="F354" s="7" t="s">
        <v>568</v>
      </c>
      <c r="G354" s="7" t="s">
        <v>15</v>
      </c>
      <c r="H354" s="7" t="s">
        <v>16</v>
      </c>
      <c r="I354" s="7"/>
      <c r="J354" s="7" t="s">
        <v>99</v>
      </c>
      <c r="K354" s="8"/>
      <c r="L354" s="164"/>
      <c r="M354" s="164"/>
      <c r="N354" s="164"/>
      <c r="O354" s="188"/>
      <c r="P354" s="9"/>
      <c r="Q354" s="9"/>
      <c r="R354" s="9"/>
      <c r="S354" s="9"/>
      <c r="T354" s="9"/>
      <c r="U354" s="9"/>
      <c r="V354" s="10" t="e">
        <f t="shared" si="38"/>
        <v>#DIV/0!</v>
      </c>
      <c r="W354" s="10" t="e">
        <f t="shared" si="45"/>
        <v>#DIV/0!</v>
      </c>
      <c r="X354" s="7"/>
      <c r="Y354" s="11"/>
    </row>
    <row r="355" spans="1:25" customFormat="1">
      <c r="A355" s="119" t="s">
        <v>979</v>
      </c>
      <c r="B355" s="119" t="s">
        <v>94</v>
      </c>
      <c r="C355" s="119" t="s">
        <v>546</v>
      </c>
      <c r="D355" s="119" t="s">
        <v>65</v>
      </c>
      <c r="E355" s="6" t="s">
        <v>171</v>
      </c>
      <c r="F355" s="7" t="s">
        <v>569</v>
      </c>
      <c r="G355" s="7" t="s">
        <v>15</v>
      </c>
      <c r="H355" s="7" t="s">
        <v>16</v>
      </c>
      <c r="I355" s="7"/>
      <c r="J355" s="7" t="s">
        <v>99</v>
      </c>
      <c r="K355" s="8"/>
      <c r="L355" s="164"/>
      <c r="M355" s="164"/>
      <c r="N355" s="164"/>
      <c r="O355" s="188"/>
      <c r="P355" s="9"/>
      <c r="Q355" s="9"/>
      <c r="R355" s="9"/>
      <c r="S355" s="9"/>
      <c r="T355" s="9"/>
      <c r="U355" s="9"/>
      <c r="V355" s="10" t="e">
        <f t="shared" si="38"/>
        <v>#DIV/0!</v>
      </c>
      <c r="W355" s="10" t="e">
        <f t="shared" si="45"/>
        <v>#DIV/0!</v>
      </c>
      <c r="X355" s="7"/>
      <c r="Y355" s="11"/>
    </row>
    <row r="356" spans="1:25" customFormat="1">
      <c r="A356" s="119" t="s">
        <v>979</v>
      </c>
      <c r="B356" s="119" t="s">
        <v>94</v>
      </c>
      <c r="C356" s="119" t="s">
        <v>546</v>
      </c>
      <c r="D356" s="119" t="s">
        <v>65</v>
      </c>
      <c r="E356" s="6" t="s">
        <v>173</v>
      </c>
      <c r="F356" s="7" t="s">
        <v>570</v>
      </c>
      <c r="G356" s="7" t="s">
        <v>15</v>
      </c>
      <c r="H356" s="7" t="s">
        <v>16</v>
      </c>
      <c r="I356" s="7"/>
      <c r="J356" s="7" t="s">
        <v>99</v>
      </c>
      <c r="K356" s="8"/>
      <c r="L356" s="164"/>
      <c r="M356" s="164"/>
      <c r="N356" s="164"/>
      <c r="O356" s="188"/>
      <c r="P356" s="9"/>
      <c r="Q356" s="9"/>
      <c r="R356" s="9"/>
      <c r="S356" s="9"/>
      <c r="T356" s="9"/>
      <c r="U356" s="9"/>
      <c r="V356" s="10" t="e">
        <f t="shared" si="38"/>
        <v>#DIV/0!</v>
      </c>
      <c r="W356" s="10" t="e">
        <f t="shared" si="45"/>
        <v>#DIV/0!</v>
      </c>
      <c r="X356" s="7"/>
      <c r="Y356" s="11"/>
    </row>
    <row r="357" spans="1:25" customFormat="1">
      <c r="A357" s="119" t="s">
        <v>979</v>
      </c>
      <c r="B357" s="119" t="s">
        <v>94</v>
      </c>
      <c r="C357" s="119" t="s">
        <v>546</v>
      </c>
      <c r="D357" s="119" t="s">
        <v>65</v>
      </c>
      <c r="E357" s="6" t="s">
        <v>175</v>
      </c>
      <c r="F357" s="7" t="s">
        <v>571</v>
      </c>
      <c r="G357" s="7" t="s">
        <v>15</v>
      </c>
      <c r="H357" s="7" t="s">
        <v>16</v>
      </c>
      <c r="I357" s="7"/>
      <c r="J357" s="7" t="s">
        <v>99</v>
      </c>
      <c r="K357" s="8"/>
      <c r="L357" s="164"/>
      <c r="M357" s="164"/>
      <c r="N357" s="164"/>
      <c r="O357" s="188"/>
      <c r="P357" s="9"/>
      <c r="Q357" s="9"/>
      <c r="R357" s="9"/>
      <c r="S357" s="9"/>
      <c r="T357" s="9"/>
      <c r="U357" s="9"/>
      <c r="V357" s="10" t="e">
        <f t="shared" ref="V357:V389" si="46">+(P357/L357)^(1/4)-1</f>
        <v>#DIV/0!</v>
      </c>
      <c r="W357" s="10" t="e">
        <f t="shared" si="45"/>
        <v>#DIV/0!</v>
      </c>
      <c r="X357" s="7"/>
      <c r="Y357" s="11"/>
    </row>
    <row r="358" spans="1:25" customFormat="1">
      <c r="A358" s="119" t="s">
        <v>979</v>
      </c>
      <c r="B358" s="119" t="s">
        <v>94</v>
      </c>
      <c r="C358" s="119" t="s">
        <v>546</v>
      </c>
      <c r="D358" s="119" t="s">
        <v>65</v>
      </c>
      <c r="E358" s="6" t="s">
        <v>177</v>
      </c>
      <c r="F358" s="7" t="s">
        <v>572</v>
      </c>
      <c r="G358" s="7" t="s">
        <v>15</v>
      </c>
      <c r="H358" s="7" t="s">
        <v>16</v>
      </c>
      <c r="I358" s="7"/>
      <c r="J358" s="7" t="s">
        <v>99</v>
      </c>
      <c r="K358" s="8"/>
      <c r="L358" s="164"/>
      <c r="M358" s="164"/>
      <c r="N358" s="164"/>
      <c r="O358" s="188"/>
      <c r="P358" s="9"/>
      <c r="Q358" s="9"/>
      <c r="R358" s="9"/>
      <c r="S358" s="9"/>
      <c r="T358" s="9"/>
      <c r="U358" s="9"/>
      <c r="V358" s="10" t="e">
        <f t="shared" si="46"/>
        <v>#DIV/0!</v>
      </c>
      <c r="W358" s="10" t="e">
        <f t="shared" si="45"/>
        <v>#DIV/0!</v>
      </c>
      <c r="X358" s="7"/>
      <c r="Y358" s="11"/>
    </row>
    <row r="359" spans="1:25" customFormat="1">
      <c r="A359" s="119" t="s">
        <v>979</v>
      </c>
      <c r="B359" s="119" t="s">
        <v>94</v>
      </c>
      <c r="C359" s="119" t="s">
        <v>546</v>
      </c>
      <c r="D359" s="119" t="s">
        <v>65</v>
      </c>
      <c r="E359" s="6" t="s">
        <v>179</v>
      </c>
      <c r="F359" s="7" t="s">
        <v>573</v>
      </c>
      <c r="G359" s="7" t="s">
        <v>15</v>
      </c>
      <c r="H359" s="7" t="s">
        <v>16</v>
      </c>
      <c r="I359" s="7"/>
      <c r="J359" s="7" t="s">
        <v>99</v>
      </c>
      <c r="K359" s="8"/>
      <c r="L359" s="164"/>
      <c r="M359" s="164"/>
      <c r="N359" s="164"/>
      <c r="O359" s="188"/>
      <c r="P359" s="9"/>
      <c r="Q359" s="9"/>
      <c r="R359" s="9"/>
      <c r="S359" s="9"/>
      <c r="T359" s="9"/>
      <c r="U359" s="9"/>
      <c r="V359" s="10" t="e">
        <f t="shared" si="46"/>
        <v>#DIV/0!</v>
      </c>
      <c r="W359" s="10" t="e">
        <f t="shared" si="45"/>
        <v>#DIV/0!</v>
      </c>
      <c r="X359" s="7"/>
      <c r="Y359" s="11"/>
    </row>
    <row r="360" spans="1:25" customFormat="1">
      <c r="A360" s="119" t="s">
        <v>979</v>
      </c>
      <c r="B360" s="119" t="s">
        <v>94</v>
      </c>
      <c r="C360" s="119" t="s">
        <v>546</v>
      </c>
      <c r="D360" s="119" t="s">
        <v>65</v>
      </c>
      <c r="E360" s="6" t="s">
        <v>181</v>
      </c>
      <c r="F360" s="7" t="s">
        <v>574</v>
      </c>
      <c r="G360" s="7" t="s">
        <v>15</v>
      </c>
      <c r="H360" s="7" t="s">
        <v>16</v>
      </c>
      <c r="I360" s="7"/>
      <c r="J360" s="7" t="s">
        <v>99</v>
      </c>
      <c r="K360" s="8"/>
      <c r="L360" s="164"/>
      <c r="M360" s="164"/>
      <c r="N360" s="164"/>
      <c r="O360" s="188"/>
      <c r="P360" s="9"/>
      <c r="Q360" s="9"/>
      <c r="R360" s="9"/>
      <c r="S360" s="9"/>
      <c r="T360" s="9"/>
      <c r="U360" s="9"/>
      <c r="V360" s="10" t="e">
        <f t="shared" si="46"/>
        <v>#DIV/0!</v>
      </c>
      <c r="W360" s="10" t="e">
        <f t="shared" si="45"/>
        <v>#DIV/0!</v>
      </c>
      <c r="X360" s="7"/>
      <c r="Y360" s="11"/>
    </row>
    <row r="361" spans="1:25" customFormat="1">
      <c r="A361" s="119" t="s">
        <v>979</v>
      </c>
      <c r="B361" s="119" t="s">
        <v>94</v>
      </c>
      <c r="C361" s="119" t="s">
        <v>546</v>
      </c>
      <c r="D361" s="119" t="s">
        <v>65</v>
      </c>
      <c r="E361" s="6" t="s">
        <v>183</v>
      </c>
      <c r="F361" s="7" t="s">
        <v>575</v>
      </c>
      <c r="G361" s="7" t="s">
        <v>15</v>
      </c>
      <c r="H361" s="7" t="s">
        <v>16</v>
      </c>
      <c r="I361" s="7"/>
      <c r="J361" s="7" t="s">
        <v>99</v>
      </c>
      <c r="K361" s="8"/>
      <c r="L361" s="164"/>
      <c r="M361" s="164"/>
      <c r="N361" s="164"/>
      <c r="O361" s="188"/>
      <c r="P361" s="9"/>
      <c r="Q361" s="9"/>
      <c r="R361" s="9"/>
      <c r="S361" s="9"/>
      <c r="T361" s="9"/>
      <c r="U361" s="9"/>
      <c r="V361" s="10" t="e">
        <f t="shared" si="46"/>
        <v>#DIV/0!</v>
      </c>
      <c r="W361" s="10" t="e">
        <f t="shared" si="45"/>
        <v>#DIV/0!</v>
      </c>
      <c r="X361" s="7"/>
      <c r="Y361" s="11"/>
    </row>
    <row r="362" spans="1:25" customFormat="1">
      <c r="A362" s="119" t="s">
        <v>979</v>
      </c>
      <c r="B362" s="119" t="s">
        <v>94</v>
      </c>
      <c r="C362" s="119" t="s">
        <v>546</v>
      </c>
      <c r="D362" s="119" t="s">
        <v>65</v>
      </c>
      <c r="E362" s="6" t="s">
        <v>185</v>
      </c>
      <c r="F362" s="7" t="s">
        <v>576</v>
      </c>
      <c r="G362" s="7" t="s">
        <v>15</v>
      </c>
      <c r="H362" s="7" t="s">
        <v>16</v>
      </c>
      <c r="I362" s="7"/>
      <c r="J362" s="7" t="s">
        <v>99</v>
      </c>
      <c r="K362" s="8"/>
      <c r="L362" s="164"/>
      <c r="M362" s="164"/>
      <c r="N362" s="164"/>
      <c r="O362" s="188"/>
      <c r="P362" s="9"/>
      <c r="Q362" s="9"/>
      <c r="R362" s="9"/>
      <c r="S362" s="9"/>
      <c r="T362" s="9"/>
      <c r="U362" s="9"/>
      <c r="V362" s="10" t="e">
        <f t="shared" si="46"/>
        <v>#DIV/0!</v>
      </c>
      <c r="W362" s="10" t="e">
        <f t="shared" si="45"/>
        <v>#DIV/0!</v>
      </c>
      <c r="X362" s="7"/>
      <c r="Y362" s="11"/>
    </row>
    <row r="363" spans="1:25" customFormat="1">
      <c r="A363" s="119" t="s">
        <v>979</v>
      </c>
      <c r="B363" s="119" t="s">
        <v>94</v>
      </c>
      <c r="C363" s="119" t="s">
        <v>546</v>
      </c>
      <c r="D363" s="119" t="s">
        <v>65</v>
      </c>
      <c r="E363" s="6" t="s">
        <v>187</v>
      </c>
      <c r="F363" s="7" t="s">
        <v>577</v>
      </c>
      <c r="G363" s="7" t="s">
        <v>15</v>
      </c>
      <c r="H363" s="7" t="s">
        <v>16</v>
      </c>
      <c r="I363" s="7"/>
      <c r="J363" s="7" t="s">
        <v>99</v>
      </c>
      <c r="K363" s="8"/>
      <c r="L363" s="164"/>
      <c r="M363" s="164"/>
      <c r="N363" s="164"/>
      <c r="O363" s="188"/>
      <c r="P363" s="9"/>
      <c r="Q363" s="9"/>
      <c r="R363" s="9"/>
      <c r="S363" s="9"/>
      <c r="T363" s="9"/>
      <c r="U363" s="9"/>
      <c r="V363" s="10" t="e">
        <f t="shared" si="46"/>
        <v>#DIV/0!</v>
      </c>
      <c r="W363" s="10" t="e">
        <f t="shared" si="45"/>
        <v>#DIV/0!</v>
      </c>
      <c r="X363" s="7"/>
      <c r="Y363" s="11"/>
    </row>
    <row r="364" spans="1:25" customFormat="1">
      <c r="A364" s="119" t="s">
        <v>979</v>
      </c>
      <c r="B364" s="119" t="s">
        <v>94</v>
      </c>
      <c r="C364" s="119" t="s">
        <v>546</v>
      </c>
      <c r="D364" s="119" t="s">
        <v>65</v>
      </c>
      <c r="E364" s="6" t="s">
        <v>189</v>
      </c>
      <c r="F364" s="7" t="s">
        <v>578</v>
      </c>
      <c r="G364" s="7" t="s">
        <v>15</v>
      </c>
      <c r="H364" s="7" t="s">
        <v>16</v>
      </c>
      <c r="I364" s="7"/>
      <c r="J364" s="7" t="s">
        <v>99</v>
      </c>
      <c r="K364" s="8"/>
      <c r="L364" s="164"/>
      <c r="M364" s="164"/>
      <c r="N364" s="164"/>
      <c r="O364" s="188"/>
      <c r="P364" s="9"/>
      <c r="Q364" s="9"/>
      <c r="R364" s="9"/>
      <c r="S364" s="9"/>
      <c r="T364" s="9"/>
      <c r="U364" s="9"/>
      <c r="V364" s="10" t="e">
        <f t="shared" si="46"/>
        <v>#DIV/0!</v>
      </c>
      <c r="W364" s="10" t="e">
        <f t="shared" si="45"/>
        <v>#DIV/0!</v>
      </c>
      <c r="X364" s="7"/>
      <c r="Y364" s="11"/>
    </row>
    <row r="365" spans="1:25" customFormat="1">
      <c r="A365" s="119" t="s">
        <v>979</v>
      </c>
      <c r="B365" s="119" t="s">
        <v>94</v>
      </c>
      <c r="C365" s="119" t="s">
        <v>546</v>
      </c>
      <c r="D365" s="119" t="s">
        <v>65</v>
      </c>
      <c r="E365" s="6" t="s">
        <v>191</v>
      </c>
      <c r="F365" s="7" t="s">
        <v>579</v>
      </c>
      <c r="G365" s="7" t="s">
        <v>15</v>
      </c>
      <c r="H365" s="7" t="s">
        <v>16</v>
      </c>
      <c r="I365" s="7"/>
      <c r="J365" s="7" t="s">
        <v>99</v>
      </c>
      <c r="K365" s="8"/>
      <c r="L365" s="164"/>
      <c r="M365" s="164"/>
      <c r="N365" s="164"/>
      <c r="O365" s="188"/>
      <c r="P365" s="9"/>
      <c r="Q365" s="9"/>
      <c r="R365" s="9"/>
      <c r="S365" s="9"/>
      <c r="T365" s="9"/>
      <c r="U365" s="9"/>
      <c r="V365" s="10" t="e">
        <f t="shared" si="46"/>
        <v>#DIV/0!</v>
      </c>
      <c r="W365" s="10" t="e">
        <f t="shared" si="45"/>
        <v>#DIV/0!</v>
      </c>
      <c r="X365" s="7"/>
      <c r="Y365" s="11"/>
    </row>
    <row r="366" spans="1:25" customFormat="1">
      <c r="A366" s="119" t="s">
        <v>979</v>
      </c>
      <c r="B366" s="119" t="s">
        <v>94</v>
      </c>
      <c r="C366" s="119" t="s">
        <v>546</v>
      </c>
      <c r="D366" s="119" t="s">
        <v>65</v>
      </c>
      <c r="E366" s="6" t="s">
        <v>193</v>
      </c>
      <c r="F366" s="7" t="s">
        <v>580</v>
      </c>
      <c r="G366" s="7" t="s">
        <v>15</v>
      </c>
      <c r="H366" s="7" t="s">
        <v>16</v>
      </c>
      <c r="I366" s="7"/>
      <c r="J366" s="7" t="s">
        <v>99</v>
      </c>
      <c r="K366" s="8"/>
      <c r="L366" s="164"/>
      <c r="M366" s="164"/>
      <c r="N366" s="164"/>
      <c r="O366" s="188"/>
      <c r="P366" s="9"/>
      <c r="Q366" s="9"/>
      <c r="R366" s="9"/>
      <c r="S366" s="9"/>
      <c r="T366" s="9"/>
      <c r="U366" s="9"/>
      <c r="V366" s="10" t="e">
        <f t="shared" si="46"/>
        <v>#DIV/0!</v>
      </c>
      <c r="W366" s="10" t="e">
        <f t="shared" si="45"/>
        <v>#DIV/0!</v>
      </c>
      <c r="X366" s="7"/>
      <c r="Y366" s="11"/>
    </row>
    <row r="367" spans="1:25" customFormat="1">
      <c r="A367" s="119" t="s">
        <v>979</v>
      </c>
      <c r="B367" s="119" t="s">
        <v>94</v>
      </c>
      <c r="C367" s="119" t="s">
        <v>546</v>
      </c>
      <c r="D367" s="119" t="s">
        <v>65</v>
      </c>
      <c r="E367" s="6" t="s">
        <v>195</v>
      </c>
      <c r="F367" s="7" t="s">
        <v>581</v>
      </c>
      <c r="G367" s="7" t="s">
        <v>15</v>
      </c>
      <c r="H367" s="7" t="s">
        <v>16</v>
      </c>
      <c r="I367" s="7"/>
      <c r="J367" s="7" t="s">
        <v>99</v>
      </c>
      <c r="K367" s="8"/>
      <c r="L367" s="164"/>
      <c r="M367" s="164"/>
      <c r="N367" s="164"/>
      <c r="O367" s="188"/>
      <c r="P367" s="9"/>
      <c r="Q367" s="9"/>
      <c r="R367" s="9"/>
      <c r="S367" s="9"/>
      <c r="T367" s="9"/>
      <c r="U367" s="9"/>
      <c r="V367" s="10" t="e">
        <f t="shared" si="46"/>
        <v>#DIV/0!</v>
      </c>
      <c r="W367" s="10" t="e">
        <f t="shared" si="45"/>
        <v>#DIV/0!</v>
      </c>
      <c r="X367" s="7"/>
      <c r="Y367" s="11"/>
    </row>
    <row r="368" spans="1:25" customFormat="1">
      <c r="A368" s="119" t="s">
        <v>979</v>
      </c>
      <c r="B368" s="119" t="s">
        <v>94</v>
      </c>
      <c r="C368" s="119" t="s">
        <v>546</v>
      </c>
      <c r="D368" s="119" t="s">
        <v>65</v>
      </c>
      <c r="E368" s="6" t="s">
        <v>197</v>
      </c>
      <c r="F368" s="7" t="s">
        <v>582</v>
      </c>
      <c r="G368" s="7" t="s">
        <v>15</v>
      </c>
      <c r="H368" s="7" t="s">
        <v>16</v>
      </c>
      <c r="I368" s="7"/>
      <c r="J368" s="7" t="s">
        <v>99</v>
      </c>
      <c r="K368" s="8"/>
      <c r="L368" s="164"/>
      <c r="M368" s="164"/>
      <c r="N368" s="164"/>
      <c r="O368" s="188"/>
      <c r="P368" s="9"/>
      <c r="Q368" s="9"/>
      <c r="R368" s="9"/>
      <c r="S368" s="9"/>
      <c r="T368" s="9"/>
      <c r="U368" s="9"/>
      <c r="V368" s="10" t="e">
        <f t="shared" si="46"/>
        <v>#DIV/0!</v>
      </c>
      <c r="W368" s="10" t="e">
        <f t="shared" si="45"/>
        <v>#DIV/0!</v>
      </c>
      <c r="X368" s="7"/>
      <c r="Y368" s="11"/>
    </row>
    <row r="369" spans="1:25" customFormat="1">
      <c r="A369" s="119" t="s">
        <v>979</v>
      </c>
      <c r="B369" s="119" t="s">
        <v>94</v>
      </c>
      <c r="C369" s="119" t="s">
        <v>546</v>
      </c>
      <c r="D369" s="119" t="s">
        <v>65</v>
      </c>
      <c r="E369" s="6" t="s">
        <v>199</v>
      </c>
      <c r="F369" s="7" t="s">
        <v>583</v>
      </c>
      <c r="G369" s="7" t="s">
        <v>15</v>
      </c>
      <c r="H369" s="7" t="s">
        <v>16</v>
      </c>
      <c r="I369" s="7"/>
      <c r="J369" s="7" t="s">
        <v>99</v>
      </c>
      <c r="K369" s="8"/>
      <c r="L369" s="164"/>
      <c r="M369" s="164"/>
      <c r="N369" s="164"/>
      <c r="O369" s="188"/>
      <c r="P369" s="165"/>
      <c r="Q369" s="9"/>
      <c r="R369" s="9"/>
      <c r="S369" s="9"/>
      <c r="T369" s="9"/>
      <c r="U369" s="9"/>
      <c r="V369" s="10" t="e">
        <f t="shared" si="46"/>
        <v>#DIV/0!</v>
      </c>
      <c r="W369" s="10" t="e">
        <f t="shared" si="45"/>
        <v>#DIV/0!</v>
      </c>
      <c r="X369" s="7"/>
      <c r="Y369" s="11"/>
    </row>
    <row r="370" spans="1:25" customFormat="1">
      <c r="A370" s="119" t="s">
        <v>979</v>
      </c>
      <c r="B370" s="119" t="s">
        <v>94</v>
      </c>
      <c r="C370" s="119" t="s">
        <v>546</v>
      </c>
      <c r="D370" s="119" t="s">
        <v>65</v>
      </c>
      <c r="E370" s="6" t="s">
        <v>201</v>
      </c>
      <c r="F370" s="7" t="s">
        <v>584</v>
      </c>
      <c r="G370" s="7" t="s">
        <v>15</v>
      </c>
      <c r="H370" s="7" t="s">
        <v>16</v>
      </c>
      <c r="I370" s="7"/>
      <c r="J370" s="7" t="s">
        <v>99</v>
      </c>
      <c r="K370" s="8"/>
      <c r="L370" s="164"/>
      <c r="M370" s="164"/>
      <c r="N370" s="164"/>
      <c r="O370" s="188"/>
      <c r="P370" s="132"/>
      <c r="Q370" s="132"/>
      <c r="R370" s="132"/>
      <c r="S370" s="132"/>
      <c r="T370" s="132"/>
      <c r="U370" s="132"/>
      <c r="V370" s="10" t="e">
        <f t="shared" si="46"/>
        <v>#DIV/0!</v>
      </c>
      <c r="W370" s="10" t="e">
        <f t="shared" si="45"/>
        <v>#DIV/0!</v>
      </c>
      <c r="X370" s="7"/>
      <c r="Y370" s="11"/>
    </row>
    <row r="371" spans="1:25" customFormat="1">
      <c r="A371" s="119" t="s">
        <v>979</v>
      </c>
      <c r="B371" s="119" t="s">
        <v>94</v>
      </c>
      <c r="C371" s="119" t="s">
        <v>546</v>
      </c>
      <c r="D371" s="119" t="s">
        <v>65</v>
      </c>
      <c r="E371" s="6" t="s">
        <v>203</v>
      </c>
      <c r="F371" s="7" t="s">
        <v>585</v>
      </c>
      <c r="G371" s="7" t="s">
        <v>15</v>
      </c>
      <c r="H371" s="7" t="s">
        <v>16</v>
      </c>
      <c r="I371" s="7"/>
      <c r="J371" s="7" t="s">
        <v>99</v>
      </c>
      <c r="K371" s="8"/>
      <c r="L371" s="164"/>
      <c r="M371" s="164"/>
      <c r="N371" s="164"/>
      <c r="O371" s="188"/>
      <c r="P371" s="9"/>
      <c r="Q371" s="9"/>
      <c r="R371" s="9"/>
      <c r="S371" s="9"/>
      <c r="T371" s="9"/>
      <c r="U371" s="9"/>
      <c r="V371" s="10" t="e">
        <f t="shared" si="46"/>
        <v>#DIV/0!</v>
      </c>
      <c r="W371" s="10" t="e">
        <f t="shared" si="45"/>
        <v>#DIV/0!</v>
      </c>
      <c r="X371" s="7"/>
      <c r="Y371" s="11"/>
    </row>
    <row r="372" spans="1:25" customFormat="1">
      <c r="A372" s="119" t="s">
        <v>979</v>
      </c>
      <c r="B372" s="119" t="s">
        <v>94</v>
      </c>
      <c r="C372" s="119" t="s">
        <v>546</v>
      </c>
      <c r="D372" s="119" t="s">
        <v>65</v>
      </c>
      <c r="E372" s="6" t="s">
        <v>205</v>
      </c>
      <c r="F372" s="7" t="s">
        <v>586</v>
      </c>
      <c r="G372" s="7" t="s">
        <v>15</v>
      </c>
      <c r="H372" s="7" t="s">
        <v>16</v>
      </c>
      <c r="I372" s="7"/>
      <c r="J372" s="7" t="s">
        <v>99</v>
      </c>
      <c r="K372" s="8"/>
      <c r="L372" s="164"/>
      <c r="M372" s="164"/>
      <c r="N372" s="164"/>
      <c r="O372" s="188"/>
      <c r="P372" s="9"/>
      <c r="Q372" s="9"/>
      <c r="R372" s="9"/>
      <c r="S372" s="9"/>
      <c r="T372" s="9"/>
      <c r="U372" s="9"/>
      <c r="V372" s="10" t="e">
        <f t="shared" si="46"/>
        <v>#DIV/0!</v>
      </c>
      <c r="W372" s="10" t="e">
        <f t="shared" si="45"/>
        <v>#DIV/0!</v>
      </c>
      <c r="X372" s="7"/>
      <c r="Y372" s="11"/>
    </row>
    <row r="373" spans="1:25" customFormat="1">
      <c r="A373" s="119" t="s">
        <v>979</v>
      </c>
      <c r="B373" s="119" t="s">
        <v>94</v>
      </c>
      <c r="C373" s="119" t="s">
        <v>546</v>
      </c>
      <c r="D373" s="119" t="s">
        <v>65</v>
      </c>
      <c r="E373" s="6" t="s">
        <v>207</v>
      </c>
      <c r="F373" s="7" t="s">
        <v>587</v>
      </c>
      <c r="G373" s="7" t="s">
        <v>15</v>
      </c>
      <c r="H373" s="7" t="s">
        <v>16</v>
      </c>
      <c r="I373" s="7"/>
      <c r="J373" s="7" t="s">
        <v>99</v>
      </c>
      <c r="K373" s="8"/>
      <c r="L373" s="164"/>
      <c r="M373" s="164"/>
      <c r="N373" s="164"/>
      <c r="O373" s="188"/>
      <c r="P373" s="165"/>
      <c r="Q373" s="9"/>
      <c r="R373" s="9"/>
      <c r="S373" s="9"/>
      <c r="T373" s="9"/>
      <c r="U373" s="9"/>
      <c r="V373" s="10" t="e">
        <f t="shared" si="46"/>
        <v>#DIV/0!</v>
      </c>
      <c r="W373" s="10" t="e">
        <f t="shared" ref="W373:W389" si="47">+(U373/Q373)^(1/4)-1</f>
        <v>#DIV/0!</v>
      </c>
      <c r="X373" s="7"/>
      <c r="Y373" s="11"/>
    </row>
    <row r="374" spans="1:25" customFormat="1">
      <c r="A374" s="119" t="s">
        <v>979</v>
      </c>
      <c r="B374" s="119" t="s">
        <v>94</v>
      </c>
      <c r="C374" s="119" t="s">
        <v>546</v>
      </c>
      <c r="D374" s="119" t="s">
        <v>65</v>
      </c>
      <c r="E374" s="6" t="s">
        <v>209</v>
      </c>
      <c r="F374" s="7" t="s">
        <v>588</v>
      </c>
      <c r="G374" s="7" t="s">
        <v>15</v>
      </c>
      <c r="H374" s="7" t="s">
        <v>16</v>
      </c>
      <c r="I374" s="7"/>
      <c r="J374" s="7" t="s">
        <v>99</v>
      </c>
      <c r="K374" s="8"/>
      <c r="L374" s="164"/>
      <c r="M374" s="164"/>
      <c r="N374" s="164"/>
      <c r="O374" s="188"/>
      <c r="P374" s="9"/>
      <c r="Q374" s="9"/>
      <c r="R374" s="9"/>
      <c r="S374" s="9"/>
      <c r="T374" s="9"/>
      <c r="U374" s="9"/>
      <c r="V374" s="10" t="e">
        <f t="shared" si="46"/>
        <v>#DIV/0!</v>
      </c>
      <c r="W374" s="10" t="e">
        <f t="shared" si="47"/>
        <v>#DIV/0!</v>
      </c>
      <c r="X374" s="7"/>
      <c r="Y374" s="11"/>
    </row>
    <row r="375" spans="1:25" customFormat="1">
      <c r="A375" s="119" t="s">
        <v>979</v>
      </c>
      <c r="B375" s="119" t="s">
        <v>94</v>
      </c>
      <c r="C375" s="119" t="s">
        <v>546</v>
      </c>
      <c r="D375" s="119" t="s">
        <v>65</v>
      </c>
      <c r="E375" s="6" t="s">
        <v>211</v>
      </c>
      <c r="F375" s="7" t="s">
        <v>589</v>
      </c>
      <c r="G375" s="7" t="s">
        <v>15</v>
      </c>
      <c r="H375" s="7" t="s">
        <v>16</v>
      </c>
      <c r="I375" s="7"/>
      <c r="J375" s="7" t="s">
        <v>99</v>
      </c>
      <c r="K375" s="8"/>
      <c r="L375" s="164"/>
      <c r="M375" s="164"/>
      <c r="N375" s="164"/>
      <c r="O375" s="188"/>
      <c r="P375" s="9"/>
      <c r="Q375" s="9"/>
      <c r="R375" s="9"/>
      <c r="S375" s="9"/>
      <c r="T375" s="9"/>
      <c r="U375" s="9"/>
      <c r="V375" s="10" t="e">
        <f t="shared" si="46"/>
        <v>#DIV/0!</v>
      </c>
      <c r="W375" s="10" t="e">
        <f t="shared" si="47"/>
        <v>#DIV/0!</v>
      </c>
      <c r="X375" s="7"/>
      <c r="Y375" s="11"/>
    </row>
    <row r="376" spans="1:25" customFormat="1">
      <c r="A376" s="119" t="s">
        <v>979</v>
      </c>
      <c r="B376" s="119" t="s">
        <v>94</v>
      </c>
      <c r="C376" s="119" t="s">
        <v>546</v>
      </c>
      <c r="D376" s="119" t="s">
        <v>65</v>
      </c>
      <c r="E376" s="6" t="s">
        <v>213</v>
      </c>
      <c r="F376" s="7" t="s">
        <v>590</v>
      </c>
      <c r="G376" s="7" t="s">
        <v>15</v>
      </c>
      <c r="H376" s="7" t="s">
        <v>16</v>
      </c>
      <c r="I376" s="7"/>
      <c r="J376" s="7" t="s">
        <v>99</v>
      </c>
      <c r="K376" s="8"/>
      <c r="L376" s="164"/>
      <c r="M376" s="164"/>
      <c r="N376" s="164"/>
      <c r="O376" s="188"/>
      <c r="P376" s="9"/>
      <c r="Q376" s="9"/>
      <c r="R376" s="9"/>
      <c r="S376" s="9"/>
      <c r="T376" s="9"/>
      <c r="U376" s="9"/>
      <c r="V376" s="10" t="e">
        <f t="shared" si="46"/>
        <v>#DIV/0!</v>
      </c>
      <c r="W376" s="10" t="e">
        <f t="shared" si="47"/>
        <v>#DIV/0!</v>
      </c>
      <c r="X376" s="7"/>
      <c r="Y376" s="11"/>
    </row>
    <row r="377" spans="1:25" customFormat="1">
      <c r="A377" s="119" t="s">
        <v>979</v>
      </c>
      <c r="B377" s="119" t="s">
        <v>94</v>
      </c>
      <c r="C377" s="119" t="s">
        <v>546</v>
      </c>
      <c r="D377" s="119" t="s">
        <v>65</v>
      </c>
      <c r="E377" s="6" t="s">
        <v>215</v>
      </c>
      <c r="F377" s="7" t="s">
        <v>591</v>
      </c>
      <c r="G377" s="7" t="s">
        <v>15</v>
      </c>
      <c r="H377" s="7" t="s">
        <v>16</v>
      </c>
      <c r="I377" s="7"/>
      <c r="J377" s="7" t="s">
        <v>99</v>
      </c>
      <c r="K377" s="8"/>
      <c r="L377" s="164"/>
      <c r="M377" s="164"/>
      <c r="N377" s="164"/>
      <c r="O377" s="188"/>
      <c r="P377" s="9"/>
      <c r="Q377" s="9"/>
      <c r="R377" s="9"/>
      <c r="S377" s="9"/>
      <c r="T377" s="9"/>
      <c r="U377" s="9"/>
      <c r="V377" s="10" t="e">
        <f t="shared" si="46"/>
        <v>#DIV/0!</v>
      </c>
      <c r="W377" s="10" t="e">
        <f t="shared" si="47"/>
        <v>#DIV/0!</v>
      </c>
      <c r="X377" s="7"/>
      <c r="Y377" s="11"/>
    </row>
    <row r="378" spans="1:25" customFormat="1">
      <c r="A378" s="119" t="s">
        <v>979</v>
      </c>
      <c r="B378" s="119" t="s">
        <v>94</v>
      </c>
      <c r="C378" s="119" t="s">
        <v>546</v>
      </c>
      <c r="D378" s="119" t="s">
        <v>65</v>
      </c>
      <c r="E378" s="6" t="s">
        <v>217</v>
      </c>
      <c r="F378" s="7" t="s">
        <v>592</v>
      </c>
      <c r="G378" s="7" t="s">
        <v>15</v>
      </c>
      <c r="H378" s="7" t="s">
        <v>16</v>
      </c>
      <c r="I378" s="7"/>
      <c r="J378" s="7" t="s">
        <v>99</v>
      </c>
      <c r="K378" s="8"/>
      <c r="L378" s="164"/>
      <c r="M378" s="164"/>
      <c r="N378" s="164"/>
      <c r="O378" s="188"/>
      <c r="P378" s="9"/>
      <c r="Q378" s="9"/>
      <c r="R378" s="9"/>
      <c r="S378" s="9"/>
      <c r="T378" s="9"/>
      <c r="U378" s="9"/>
      <c r="V378" s="10" t="e">
        <f t="shared" si="46"/>
        <v>#DIV/0!</v>
      </c>
      <c r="W378" s="10" t="e">
        <f t="shared" si="47"/>
        <v>#DIV/0!</v>
      </c>
      <c r="X378" s="7"/>
      <c r="Y378" s="11"/>
    </row>
    <row r="379" spans="1:25" customFormat="1">
      <c r="A379" s="119" t="s">
        <v>979</v>
      </c>
      <c r="B379" s="119" t="s">
        <v>94</v>
      </c>
      <c r="C379" s="119" t="s">
        <v>546</v>
      </c>
      <c r="D379" s="119" t="s">
        <v>65</v>
      </c>
      <c r="E379" s="6" t="s">
        <v>219</v>
      </c>
      <c r="F379" s="7" t="s">
        <v>593</v>
      </c>
      <c r="G379" s="7" t="s">
        <v>15</v>
      </c>
      <c r="H379" s="7" t="s">
        <v>16</v>
      </c>
      <c r="I379" s="7"/>
      <c r="J379" s="7" t="s">
        <v>99</v>
      </c>
      <c r="K379" s="8" t="s">
        <v>565</v>
      </c>
      <c r="L379" s="164"/>
      <c r="M379" s="164"/>
      <c r="N379" s="164"/>
      <c r="O379" s="188"/>
      <c r="P379" s="9"/>
      <c r="Q379" s="9"/>
      <c r="R379" s="9"/>
      <c r="S379" s="9"/>
      <c r="T379" s="9"/>
      <c r="U379" s="9"/>
      <c r="V379" s="10" t="e">
        <f t="shared" si="46"/>
        <v>#DIV/0!</v>
      </c>
      <c r="W379" s="10" t="e">
        <f t="shared" si="47"/>
        <v>#DIV/0!</v>
      </c>
      <c r="X379" s="7"/>
      <c r="Y379" s="11"/>
    </row>
    <row r="380" spans="1:25" customFormat="1">
      <c r="A380" s="119" t="s">
        <v>979</v>
      </c>
      <c r="B380" s="119" t="s">
        <v>94</v>
      </c>
      <c r="C380" s="119" t="s">
        <v>546</v>
      </c>
      <c r="D380" s="119" t="s">
        <v>65</v>
      </c>
      <c r="E380" s="6" t="s">
        <v>222</v>
      </c>
      <c r="F380" s="7" t="s">
        <v>594</v>
      </c>
      <c r="G380" s="7" t="s">
        <v>15</v>
      </c>
      <c r="H380" s="7" t="s">
        <v>16</v>
      </c>
      <c r="I380" s="7"/>
      <c r="J380" s="7" t="s">
        <v>99</v>
      </c>
      <c r="K380" s="8"/>
      <c r="L380" s="164"/>
      <c r="M380" s="164"/>
      <c r="N380" s="164"/>
      <c r="O380" s="188"/>
      <c r="P380" s="9"/>
      <c r="Q380" s="9"/>
      <c r="R380" s="9"/>
      <c r="S380" s="9"/>
      <c r="T380" s="9"/>
      <c r="U380" s="9"/>
      <c r="V380" s="10" t="e">
        <f t="shared" si="46"/>
        <v>#DIV/0!</v>
      </c>
      <c r="W380" s="10" t="e">
        <f t="shared" si="47"/>
        <v>#DIV/0!</v>
      </c>
      <c r="X380" s="7"/>
      <c r="Y380" s="11"/>
    </row>
    <row r="381" spans="1:25" customFormat="1">
      <c r="A381" s="119" t="s">
        <v>979</v>
      </c>
      <c r="B381" s="119" t="s">
        <v>94</v>
      </c>
      <c r="C381" s="119" t="s">
        <v>546</v>
      </c>
      <c r="D381" s="119" t="s">
        <v>65</v>
      </c>
      <c r="E381" s="6" t="s">
        <v>224</v>
      </c>
      <c r="F381" s="7" t="s">
        <v>595</v>
      </c>
      <c r="G381" s="7" t="s">
        <v>15</v>
      </c>
      <c r="H381" s="7" t="s">
        <v>16</v>
      </c>
      <c r="I381" s="7"/>
      <c r="J381" s="7" t="s">
        <v>99</v>
      </c>
      <c r="K381" s="8"/>
      <c r="L381" s="164"/>
      <c r="M381" s="164"/>
      <c r="N381" s="164"/>
      <c r="O381" s="188"/>
      <c r="P381" s="9"/>
      <c r="Q381" s="9"/>
      <c r="R381" s="9"/>
      <c r="S381" s="9"/>
      <c r="T381" s="9"/>
      <c r="U381" s="9"/>
      <c r="V381" s="10" t="e">
        <f t="shared" si="46"/>
        <v>#DIV/0!</v>
      </c>
      <c r="W381" s="10" t="e">
        <f t="shared" si="47"/>
        <v>#DIV/0!</v>
      </c>
      <c r="X381" s="7"/>
      <c r="Y381" s="11"/>
    </row>
    <row r="382" spans="1:25" customFormat="1">
      <c r="A382" s="119" t="s">
        <v>979</v>
      </c>
      <c r="B382" s="119" t="s">
        <v>94</v>
      </c>
      <c r="C382" s="119" t="s">
        <v>546</v>
      </c>
      <c r="D382" s="119" t="s">
        <v>65</v>
      </c>
      <c r="E382" s="6" t="s">
        <v>226</v>
      </c>
      <c r="F382" s="7" t="s">
        <v>596</v>
      </c>
      <c r="G382" s="7" t="s">
        <v>15</v>
      </c>
      <c r="H382" s="7" t="s">
        <v>16</v>
      </c>
      <c r="I382" s="7"/>
      <c r="J382" s="7" t="s">
        <v>99</v>
      </c>
      <c r="K382" s="8"/>
      <c r="L382" s="164"/>
      <c r="M382" s="164"/>
      <c r="N382" s="164"/>
      <c r="O382" s="188"/>
      <c r="P382" s="9"/>
      <c r="Q382" s="9"/>
      <c r="R382" s="9"/>
      <c r="S382" s="9"/>
      <c r="T382" s="9"/>
      <c r="U382" s="9"/>
      <c r="V382" s="10" t="e">
        <f t="shared" si="46"/>
        <v>#DIV/0!</v>
      </c>
      <c r="W382" s="10" t="e">
        <f t="shared" si="47"/>
        <v>#DIV/0!</v>
      </c>
      <c r="X382" s="7"/>
      <c r="Y382" s="11"/>
    </row>
    <row r="383" spans="1:25" customFormat="1">
      <c r="A383" s="119" t="s">
        <v>979</v>
      </c>
      <c r="B383" s="119" t="s">
        <v>94</v>
      </c>
      <c r="C383" s="119" t="s">
        <v>546</v>
      </c>
      <c r="D383" s="119" t="s">
        <v>65</v>
      </c>
      <c r="E383" s="6" t="s">
        <v>228</v>
      </c>
      <c r="F383" s="7" t="s">
        <v>597</v>
      </c>
      <c r="G383" s="7" t="s">
        <v>15</v>
      </c>
      <c r="H383" s="7" t="s">
        <v>16</v>
      </c>
      <c r="I383" s="7"/>
      <c r="J383" s="7" t="s">
        <v>99</v>
      </c>
      <c r="K383" s="8"/>
      <c r="L383" s="164"/>
      <c r="M383" s="164"/>
      <c r="N383" s="164"/>
      <c r="O383" s="188"/>
      <c r="P383" s="9"/>
      <c r="Q383" s="9"/>
      <c r="R383" s="9"/>
      <c r="S383" s="9"/>
      <c r="T383" s="9"/>
      <c r="U383" s="9"/>
      <c r="V383" s="10" t="e">
        <f t="shared" si="46"/>
        <v>#DIV/0!</v>
      </c>
      <c r="W383" s="10" t="e">
        <f t="shared" si="47"/>
        <v>#DIV/0!</v>
      </c>
      <c r="X383" s="7"/>
      <c r="Y383" s="11"/>
    </row>
    <row r="384" spans="1:25" customFormat="1">
      <c r="A384" s="119" t="s">
        <v>979</v>
      </c>
      <c r="B384" s="119" t="s">
        <v>94</v>
      </c>
      <c r="C384" s="119" t="s">
        <v>546</v>
      </c>
      <c r="D384" s="119" t="s">
        <v>65</v>
      </c>
      <c r="E384" s="6" t="s">
        <v>230</v>
      </c>
      <c r="F384" s="7" t="s">
        <v>598</v>
      </c>
      <c r="G384" s="7" t="s">
        <v>15</v>
      </c>
      <c r="H384" s="7" t="s">
        <v>16</v>
      </c>
      <c r="I384" s="7"/>
      <c r="J384" s="7" t="s">
        <v>99</v>
      </c>
      <c r="K384" s="8"/>
      <c r="L384" s="164" t="s">
        <v>1073</v>
      </c>
      <c r="M384" s="164" t="s">
        <v>1073</v>
      </c>
      <c r="N384" s="164">
        <v>100</v>
      </c>
      <c r="O384" s="188">
        <v>150</v>
      </c>
      <c r="P384" s="165">
        <f>AVERAGE(N384:O384)</f>
        <v>125</v>
      </c>
      <c r="Q384" s="9"/>
      <c r="R384" s="9"/>
      <c r="S384" s="9"/>
      <c r="T384" s="9"/>
      <c r="U384" s="9"/>
      <c r="V384" s="10" t="e">
        <f t="shared" si="46"/>
        <v>#VALUE!</v>
      </c>
      <c r="W384" s="10" t="e">
        <f t="shared" si="47"/>
        <v>#DIV/0!</v>
      </c>
      <c r="X384" s="7"/>
      <c r="Y384" s="11"/>
    </row>
    <row r="385" spans="1:25" customFormat="1">
      <c r="A385" s="119" t="s">
        <v>979</v>
      </c>
      <c r="B385" s="119" t="s">
        <v>94</v>
      </c>
      <c r="C385" s="119" t="s">
        <v>546</v>
      </c>
      <c r="D385" s="119" t="s">
        <v>65</v>
      </c>
      <c r="E385" s="6" t="s">
        <v>232</v>
      </c>
      <c r="F385" s="7" t="s">
        <v>599</v>
      </c>
      <c r="G385" s="7" t="s">
        <v>15</v>
      </c>
      <c r="H385" s="7" t="s">
        <v>16</v>
      </c>
      <c r="I385" s="7"/>
      <c r="J385" s="7" t="s">
        <v>99</v>
      </c>
      <c r="K385" s="8"/>
      <c r="L385" s="164"/>
      <c r="M385" s="164"/>
      <c r="N385" s="164"/>
      <c r="O385" s="188"/>
      <c r="P385" s="9"/>
      <c r="Q385" s="9"/>
      <c r="R385" s="9"/>
      <c r="S385" s="9"/>
      <c r="T385" s="9"/>
      <c r="U385" s="9"/>
      <c r="V385" s="10" t="e">
        <f t="shared" si="46"/>
        <v>#DIV/0!</v>
      </c>
      <c r="W385" s="10" t="e">
        <f t="shared" si="47"/>
        <v>#DIV/0!</v>
      </c>
      <c r="X385" s="7"/>
      <c r="Y385" s="11"/>
    </row>
    <row r="386" spans="1:25" customFormat="1">
      <c r="A386" s="119" t="s">
        <v>979</v>
      </c>
      <c r="B386" s="119" t="s">
        <v>94</v>
      </c>
      <c r="C386" s="119" t="s">
        <v>546</v>
      </c>
      <c r="D386" s="119" t="s">
        <v>65</v>
      </c>
      <c r="E386" s="6" t="s">
        <v>234</v>
      </c>
      <c r="F386" s="7" t="s">
        <v>600</v>
      </c>
      <c r="G386" s="7" t="s">
        <v>15</v>
      </c>
      <c r="H386" s="7" t="s">
        <v>16</v>
      </c>
      <c r="I386" s="7"/>
      <c r="J386" s="7" t="s">
        <v>99</v>
      </c>
      <c r="K386" s="8"/>
      <c r="L386" s="164"/>
      <c r="M386" s="164"/>
      <c r="N386" s="164"/>
      <c r="O386" s="188"/>
      <c r="P386" s="9"/>
      <c r="Q386" s="9"/>
      <c r="R386" s="9"/>
      <c r="S386" s="9"/>
      <c r="T386" s="9"/>
      <c r="U386" s="9"/>
      <c r="V386" s="10" t="e">
        <f t="shared" si="46"/>
        <v>#DIV/0!</v>
      </c>
      <c r="W386" s="10" t="e">
        <f t="shared" si="47"/>
        <v>#DIV/0!</v>
      </c>
      <c r="X386" s="7"/>
      <c r="Y386" s="11"/>
    </row>
    <row r="387" spans="1:25" customFormat="1">
      <c r="A387" s="119" t="s">
        <v>979</v>
      </c>
      <c r="B387" s="119" t="s">
        <v>94</v>
      </c>
      <c r="C387" s="119" t="s">
        <v>546</v>
      </c>
      <c r="D387" s="119" t="s">
        <v>65</v>
      </c>
      <c r="E387" s="6" t="s">
        <v>236</v>
      </c>
      <c r="F387" s="7" t="s">
        <v>601</v>
      </c>
      <c r="G387" s="7" t="s">
        <v>15</v>
      </c>
      <c r="H387" s="7" t="s">
        <v>16</v>
      </c>
      <c r="I387" s="7"/>
      <c r="J387" s="7" t="s">
        <v>99</v>
      </c>
      <c r="K387" s="8"/>
      <c r="L387" s="164"/>
      <c r="M387" s="164"/>
      <c r="N387" s="164"/>
      <c r="O387" s="188"/>
      <c r="P387" s="9"/>
      <c r="Q387" s="9"/>
      <c r="R387" s="9"/>
      <c r="S387" s="9"/>
      <c r="T387" s="9"/>
      <c r="U387" s="9"/>
      <c r="V387" s="10" t="e">
        <f t="shared" si="46"/>
        <v>#DIV/0!</v>
      </c>
      <c r="W387" s="10" t="e">
        <f t="shared" si="47"/>
        <v>#DIV/0!</v>
      </c>
      <c r="X387" s="7"/>
      <c r="Y387" s="11"/>
    </row>
    <row r="388" spans="1:25" customFormat="1">
      <c r="A388" s="119" t="s">
        <v>979</v>
      </c>
      <c r="B388" s="119" t="s">
        <v>94</v>
      </c>
      <c r="C388" s="119" t="s">
        <v>546</v>
      </c>
      <c r="D388" s="119" t="s">
        <v>65</v>
      </c>
      <c r="E388" s="6" t="s">
        <v>238</v>
      </c>
      <c r="F388" s="7" t="s">
        <v>602</v>
      </c>
      <c r="G388" s="7" t="s">
        <v>15</v>
      </c>
      <c r="H388" s="7" t="s">
        <v>16</v>
      </c>
      <c r="I388" s="7"/>
      <c r="J388" s="7" t="s">
        <v>99</v>
      </c>
      <c r="K388" s="8"/>
      <c r="L388" s="164"/>
      <c r="M388" s="164"/>
      <c r="N388" s="164"/>
      <c r="O388" s="188"/>
      <c r="P388" s="9"/>
      <c r="Q388" s="9"/>
      <c r="R388" s="9"/>
      <c r="S388" s="9"/>
      <c r="T388" s="9"/>
      <c r="U388" s="9"/>
      <c r="V388" s="10" t="e">
        <f t="shared" si="46"/>
        <v>#DIV/0!</v>
      </c>
      <c r="W388" s="10" t="e">
        <f t="shared" si="47"/>
        <v>#DIV/0!</v>
      </c>
      <c r="X388" s="7"/>
      <c r="Y388" s="11"/>
    </row>
    <row r="389" spans="1:25" customFormat="1">
      <c r="A389" s="119" t="s">
        <v>979</v>
      </c>
      <c r="B389" s="119" t="s">
        <v>94</v>
      </c>
      <c r="C389" s="119" t="s">
        <v>546</v>
      </c>
      <c r="D389" s="119" t="s">
        <v>65</v>
      </c>
      <c r="E389" s="6" t="s">
        <v>240</v>
      </c>
      <c r="F389" s="7" t="s">
        <v>603</v>
      </c>
      <c r="G389" s="7" t="s">
        <v>15</v>
      </c>
      <c r="H389" s="7" t="s">
        <v>16</v>
      </c>
      <c r="I389" s="7"/>
      <c r="J389" s="7" t="s">
        <v>99</v>
      </c>
      <c r="K389" s="8"/>
      <c r="L389" s="164"/>
      <c r="M389" s="164"/>
      <c r="N389" s="164"/>
      <c r="O389" s="188"/>
      <c r="P389" s="144"/>
      <c r="Q389" s="144"/>
      <c r="R389" s="144"/>
      <c r="S389" s="144"/>
      <c r="T389" s="144"/>
      <c r="U389" s="144"/>
      <c r="V389" s="10" t="e">
        <f t="shared" si="46"/>
        <v>#DIV/0!</v>
      </c>
      <c r="W389" s="10" t="e">
        <f t="shared" si="47"/>
        <v>#DIV/0!</v>
      </c>
      <c r="X389" s="7"/>
      <c r="Y389" s="11"/>
    </row>
    <row r="390" spans="1:25" customFormat="1">
      <c r="A390" s="119" t="s">
        <v>979</v>
      </c>
      <c r="B390" s="119" t="s">
        <v>94</v>
      </c>
      <c r="C390" s="119" t="s">
        <v>546</v>
      </c>
      <c r="D390" s="41" t="s">
        <v>65</v>
      </c>
      <c r="E390" s="136" t="s">
        <v>877</v>
      </c>
      <c r="F390" s="41" t="s">
        <v>882</v>
      </c>
      <c r="G390" s="7"/>
      <c r="H390" s="7"/>
      <c r="I390" s="7"/>
      <c r="J390" s="7" t="s">
        <v>99</v>
      </c>
      <c r="K390" s="8"/>
      <c r="L390" s="164"/>
      <c r="M390" s="164"/>
      <c r="N390" s="164"/>
      <c r="O390" s="188"/>
      <c r="P390" s="144"/>
      <c r="Q390" s="144"/>
      <c r="R390" s="144"/>
      <c r="S390" s="144"/>
      <c r="T390" s="144"/>
      <c r="U390" s="144"/>
      <c r="V390" s="10"/>
      <c r="W390" s="10"/>
      <c r="X390" s="7"/>
      <c r="Y390" s="11"/>
    </row>
    <row r="391" spans="1:25" customFormat="1">
      <c r="A391" s="119" t="s">
        <v>979</v>
      </c>
      <c r="B391" s="119" t="s">
        <v>94</v>
      </c>
      <c r="C391" s="119" t="s">
        <v>546</v>
      </c>
      <c r="D391" s="6" t="s">
        <v>67</v>
      </c>
      <c r="E391" s="7"/>
      <c r="F391" s="7" t="s">
        <v>604</v>
      </c>
      <c r="G391" s="7" t="s">
        <v>15</v>
      </c>
      <c r="H391" s="7" t="s">
        <v>16</v>
      </c>
      <c r="I391" s="7"/>
      <c r="J391" s="7" t="s">
        <v>99</v>
      </c>
      <c r="K391" s="111">
        <f>SUM(K392:K435)</f>
        <v>7687</v>
      </c>
      <c r="L391" s="164">
        <f t="shared" ref="L391" si="48">SUM(L392:L436)</f>
        <v>48</v>
      </c>
      <c r="M391" s="164">
        <f t="shared" ref="M391" si="49">SUM(M392:M436)</f>
        <v>30.25</v>
      </c>
      <c r="N391" s="164">
        <f t="shared" ref="N391" si="50">SUM(N392:N436)</f>
        <v>66.55</v>
      </c>
      <c r="O391" s="164">
        <f t="shared" ref="O391" si="51">SUM(O392:O436)</f>
        <v>82.5</v>
      </c>
      <c r="P391" s="164">
        <f t="shared" ref="P391" si="52">SUM(P392:P436)</f>
        <v>89.96278265177591</v>
      </c>
      <c r="Q391" s="128"/>
      <c r="R391" s="128"/>
      <c r="S391" s="128"/>
      <c r="T391" s="128"/>
      <c r="U391" s="128"/>
      <c r="V391" s="10">
        <f t="shared" ref="V391:V401" si="53">+(P391/L391)^(1/4)-1</f>
        <v>0.17005266656113638</v>
      </c>
      <c r="W391" s="10" t="e">
        <f t="shared" ref="W391:W435" si="54">+(U391/Q391)^(1/4)-1</f>
        <v>#DIV/0!</v>
      </c>
      <c r="X391" s="7"/>
      <c r="Y391" s="11"/>
    </row>
    <row r="392" spans="1:25" customFormat="1">
      <c r="A392" s="119" t="s">
        <v>979</v>
      </c>
      <c r="B392" s="119" t="s">
        <v>94</v>
      </c>
      <c r="C392" s="119" t="s">
        <v>546</v>
      </c>
      <c r="D392" s="119" t="s">
        <v>67</v>
      </c>
      <c r="E392" s="6" t="s">
        <v>244</v>
      </c>
      <c r="F392" s="7" t="s">
        <v>605</v>
      </c>
      <c r="G392" s="7" t="s">
        <v>15</v>
      </c>
      <c r="H392" s="7" t="s">
        <v>16</v>
      </c>
      <c r="I392" s="7"/>
      <c r="J392" s="7" t="s">
        <v>99</v>
      </c>
      <c r="K392" s="8"/>
      <c r="L392" s="164"/>
      <c r="M392" s="164"/>
      <c r="N392" s="164"/>
      <c r="O392" s="188"/>
      <c r="P392" s="9"/>
      <c r="Q392" s="9"/>
      <c r="R392" s="9"/>
      <c r="S392" s="9"/>
      <c r="T392" s="9"/>
      <c r="U392" s="9"/>
      <c r="V392" s="10" t="e">
        <f t="shared" si="53"/>
        <v>#DIV/0!</v>
      </c>
      <c r="W392" s="10" t="e">
        <f t="shared" si="54"/>
        <v>#DIV/0!</v>
      </c>
      <c r="X392" s="7"/>
      <c r="Y392" s="11"/>
    </row>
    <row r="393" spans="1:25" customFormat="1">
      <c r="A393" s="119" t="s">
        <v>979</v>
      </c>
      <c r="B393" s="119" t="s">
        <v>94</v>
      </c>
      <c r="C393" s="119" t="s">
        <v>546</v>
      </c>
      <c r="D393" s="119" t="s">
        <v>67</v>
      </c>
      <c r="E393" s="6" t="s">
        <v>246</v>
      </c>
      <c r="F393" s="7" t="s">
        <v>606</v>
      </c>
      <c r="G393" s="7" t="s">
        <v>15</v>
      </c>
      <c r="H393" s="7" t="s">
        <v>16</v>
      </c>
      <c r="I393" s="7"/>
      <c r="J393" s="7" t="s">
        <v>99</v>
      </c>
      <c r="K393" s="8">
        <v>603</v>
      </c>
      <c r="L393" s="164"/>
      <c r="M393" s="164"/>
      <c r="N393" s="164"/>
      <c r="O393" s="188"/>
      <c r="P393" s="165"/>
      <c r="Q393" s="9"/>
      <c r="R393" s="9"/>
      <c r="S393" s="9"/>
      <c r="T393" s="9"/>
      <c r="U393" s="9"/>
      <c r="V393" s="10" t="e">
        <f t="shared" si="53"/>
        <v>#DIV/0!</v>
      </c>
      <c r="W393" s="10" t="e">
        <f t="shared" si="54"/>
        <v>#DIV/0!</v>
      </c>
      <c r="X393" s="7"/>
      <c r="Y393" s="11"/>
    </row>
    <row r="394" spans="1:25" customFormat="1">
      <c r="A394" s="119" t="s">
        <v>979</v>
      </c>
      <c r="B394" s="119" t="s">
        <v>94</v>
      </c>
      <c r="C394" s="119" t="s">
        <v>546</v>
      </c>
      <c r="D394" s="119" t="s">
        <v>67</v>
      </c>
      <c r="E394" s="6" t="s">
        <v>248</v>
      </c>
      <c r="F394" s="7" t="s">
        <v>607</v>
      </c>
      <c r="G394" s="7" t="s">
        <v>15</v>
      </c>
      <c r="H394" s="7" t="s">
        <v>16</v>
      </c>
      <c r="I394" s="7"/>
      <c r="J394" s="7" t="s">
        <v>99</v>
      </c>
      <c r="K394" s="8"/>
      <c r="L394" s="164"/>
      <c r="M394" s="164"/>
      <c r="N394" s="164"/>
      <c r="O394" s="188"/>
      <c r="P394" s="132"/>
      <c r="Q394" s="132"/>
      <c r="R394" s="132"/>
      <c r="S394" s="132"/>
      <c r="T394" s="132"/>
      <c r="U394" s="132"/>
      <c r="V394" s="10" t="e">
        <f t="shared" si="53"/>
        <v>#DIV/0!</v>
      </c>
      <c r="W394" s="10" t="e">
        <f t="shared" si="54"/>
        <v>#DIV/0!</v>
      </c>
      <c r="X394" s="7"/>
      <c r="Y394" s="11"/>
    </row>
    <row r="395" spans="1:25" customFormat="1">
      <c r="A395" s="119" t="s">
        <v>979</v>
      </c>
      <c r="B395" s="119" t="s">
        <v>94</v>
      </c>
      <c r="C395" s="119" t="s">
        <v>546</v>
      </c>
      <c r="D395" s="119" t="s">
        <v>67</v>
      </c>
      <c r="E395" s="6" t="s">
        <v>250</v>
      </c>
      <c r="F395" s="7" t="s">
        <v>608</v>
      </c>
      <c r="G395" s="7" t="s">
        <v>15</v>
      </c>
      <c r="H395" s="7" t="s">
        <v>16</v>
      </c>
      <c r="I395" s="7"/>
      <c r="J395" s="7" t="s">
        <v>99</v>
      </c>
      <c r="K395" s="8"/>
      <c r="L395" s="164"/>
      <c r="M395" s="164"/>
      <c r="N395" s="164"/>
      <c r="O395" s="188"/>
      <c r="P395" s="9"/>
      <c r="Q395" s="9"/>
      <c r="R395" s="9"/>
      <c r="S395" s="9"/>
      <c r="T395" s="9"/>
      <c r="U395" s="9"/>
      <c r="V395" s="10" t="e">
        <f t="shared" si="53"/>
        <v>#DIV/0!</v>
      </c>
      <c r="W395" s="10" t="e">
        <f t="shared" si="54"/>
        <v>#DIV/0!</v>
      </c>
      <c r="X395" s="7"/>
      <c r="Y395" s="11"/>
    </row>
    <row r="396" spans="1:25" customFormat="1">
      <c r="A396" s="119" t="s">
        <v>979</v>
      </c>
      <c r="B396" s="119" t="s">
        <v>94</v>
      </c>
      <c r="C396" s="119" t="s">
        <v>546</v>
      </c>
      <c r="D396" s="119" t="s">
        <v>67</v>
      </c>
      <c r="E396" s="6" t="s">
        <v>252</v>
      </c>
      <c r="F396" s="7" t="s">
        <v>609</v>
      </c>
      <c r="G396" s="7" t="s">
        <v>15</v>
      </c>
      <c r="H396" s="7" t="s">
        <v>16</v>
      </c>
      <c r="I396" s="7"/>
      <c r="J396" s="7" t="s">
        <v>99</v>
      </c>
      <c r="K396" s="8"/>
      <c r="L396" s="164"/>
      <c r="M396" s="164"/>
      <c r="N396" s="164"/>
      <c r="O396" s="188"/>
      <c r="P396" s="9"/>
      <c r="Q396" s="9"/>
      <c r="R396" s="9"/>
      <c r="S396" s="9"/>
      <c r="T396" s="9"/>
      <c r="U396" s="9"/>
      <c r="V396" s="10" t="e">
        <f t="shared" si="53"/>
        <v>#DIV/0!</v>
      </c>
      <c r="W396" s="10" t="e">
        <f t="shared" si="54"/>
        <v>#DIV/0!</v>
      </c>
      <c r="X396" s="7"/>
      <c r="Y396" s="11"/>
    </row>
    <row r="397" spans="1:25" customFormat="1">
      <c r="A397" s="119" t="s">
        <v>979</v>
      </c>
      <c r="B397" s="119" t="s">
        <v>94</v>
      </c>
      <c r="C397" s="119" t="s">
        <v>546</v>
      </c>
      <c r="D397" s="119" t="s">
        <v>67</v>
      </c>
      <c r="E397" s="6" t="s">
        <v>254</v>
      </c>
      <c r="F397" s="7" t="s">
        <v>610</v>
      </c>
      <c r="G397" s="7" t="s">
        <v>15</v>
      </c>
      <c r="H397" s="7" t="s">
        <v>16</v>
      </c>
      <c r="I397" s="7"/>
      <c r="J397" s="7" t="s">
        <v>99</v>
      </c>
      <c r="K397" s="8"/>
      <c r="L397" s="164"/>
      <c r="M397" s="164"/>
      <c r="N397" s="164"/>
      <c r="O397" s="188"/>
      <c r="P397" s="9"/>
      <c r="Q397" s="9"/>
      <c r="R397" s="9"/>
      <c r="S397" s="9"/>
      <c r="T397" s="9"/>
      <c r="U397" s="9"/>
      <c r="V397" s="10" t="e">
        <f t="shared" si="53"/>
        <v>#DIV/0!</v>
      </c>
      <c r="W397" s="10" t="e">
        <f t="shared" si="54"/>
        <v>#DIV/0!</v>
      </c>
      <c r="X397" s="7"/>
      <c r="Y397" s="11"/>
    </row>
    <row r="398" spans="1:25" customFormat="1">
      <c r="A398" s="119" t="s">
        <v>979</v>
      </c>
      <c r="B398" s="119" t="s">
        <v>94</v>
      </c>
      <c r="C398" s="119" t="s">
        <v>546</v>
      </c>
      <c r="D398" s="119" t="s">
        <v>67</v>
      </c>
      <c r="E398" s="6" t="s">
        <v>256</v>
      </c>
      <c r="F398" s="7" t="s">
        <v>611</v>
      </c>
      <c r="G398" s="7" t="s">
        <v>15</v>
      </c>
      <c r="H398" s="7" t="s">
        <v>16</v>
      </c>
      <c r="I398" s="7"/>
      <c r="J398" s="7" t="s">
        <v>99</v>
      </c>
      <c r="K398" s="8"/>
      <c r="L398" s="164"/>
      <c r="M398" s="164"/>
      <c r="N398" s="164"/>
      <c r="O398" s="188"/>
      <c r="P398" s="144"/>
      <c r="Q398" s="144"/>
      <c r="R398" s="144"/>
      <c r="S398" s="144"/>
      <c r="T398" s="144"/>
      <c r="U398" s="144"/>
      <c r="V398" s="10" t="e">
        <f t="shared" si="53"/>
        <v>#DIV/0!</v>
      </c>
      <c r="W398" s="10" t="e">
        <f t="shared" si="54"/>
        <v>#DIV/0!</v>
      </c>
      <c r="X398" s="7"/>
      <c r="Y398" s="11"/>
    </row>
    <row r="399" spans="1:25" customFormat="1">
      <c r="A399" s="119" t="s">
        <v>979</v>
      </c>
      <c r="B399" s="119" t="s">
        <v>94</v>
      </c>
      <c r="C399" s="119" t="s">
        <v>546</v>
      </c>
      <c r="D399" s="119" t="s">
        <v>67</v>
      </c>
      <c r="E399" s="6" t="s">
        <v>258</v>
      </c>
      <c r="F399" s="7" t="s">
        <v>612</v>
      </c>
      <c r="G399" s="7" t="s">
        <v>15</v>
      </c>
      <c r="H399" s="7" t="s">
        <v>16</v>
      </c>
      <c r="I399" s="7"/>
      <c r="J399" s="7" t="s">
        <v>99</v>
      </c>
      <c r="K399" s="8">
        <v>1327</v>
      </c>
      <c r="L399" s="164"/>
      <c r="M399" s="164"/>
      <c r="N399" s="164"/>
      <c r="O399" s="188"/>
      <c r="P399" s="9"/>
      <c r="Q399" s="9"/>
      <c r="R399" s="9"/>
      <c r="S399" s="9"/>
      <c r="T399" s="9"/>
      <c r="U399" s="9"/>
      <c r="V399" s="10" t="e">
        <f t="shared" si="53"/>
        <v>#DIV/0!</v>
      </c>
      <c r="W399" s="10" t="e">
        <f t="shared" si="54"/>
        <v>#DIV/0!</v>
      </c>
      <c r="X399" s="7"/>
      <c r="Y399" s="11"/>
    </row>
    <row r="400" spans="1:25" customFormat="1">
      <c r="A400" s="119" t="s">
        <v>979</v>
      </c>
      <c r="B400" s="119" t="s">
        <v>94</v>
      </c>
      <c r="C400" s="119" t="s">
        <v>546</v>
      </c>
      <c r="D400" s="119" t="s">
        <v>67</v>
      </c>
      <c r="E400" s="6" t="s">
        <v>260</v>
      </c>
      <c r="F400" s="7" t="s">
        <v>613</v>
      </c>
      <c r="G400" s="7" t="s">
        <v>15</v>
      </c>
      <c r="H400" s="7" t="s">
        <v>16</v>
      </c>
      <c r="I400" s="7"/>
      <c r="J400" s="7" t="s">
        <v>99</v>
      </c>
      <c r="K400" s="8">
        <v>904</v>
      </c>
      <c r="L400" s="164"/>
      <c r="M400" s="164"/>
      <c r="N400" s="164"/>
      <c r="O400" s="188"/>
      <c r="P400" s="165"/>
      <c r="Q400" s="9"/>
      <c r="R400" s="9"/>
      <c r="S400" s="9"/>
      <c r="T400" s="9"/>
      <c r="U400" s="9"/>
      <c r="V400" s="10" t="e">
        <f t="shared" si="53"/>
        <v>#DIV/0!</v>
      </c>
      <c r="W400" s="10" t="e">
        <f t="shared" si="54"/>
        <v>#DIV/0!</v>
      </c>
      <c r="X400" s="7"/>
      <c r="Y400" s="11"/>
    </row>
    <row r="401" spans="1:25" customFormat="1">
      <c r="A401" s="119" t="s">
        <v>979</v>
      </c>
      <c r="B401" s="119" t="s">
        <v>94</v>
      </c>
      <c r="C401" s="119" t="s">
        <v>546</v>
      </c>
      <c r="D401" s="119" t="s">
        <v>67</v>
      </c>
      <c r="E401" s="6" t="s">
        <v>262</v>
      </c>
      <c r="F401" s="7" t="s">
        <v>614</v>
      </c>
      <c r="G401" s="7" t="s">
        <v>15</v>
      </c>
      <c r="H401" s="7" t="s">
        <v>16</v>
      </c>
      <c r="I401" s="7"/>
      <c r="J401" s="7" t="s">
        <v>99</v>
      </c>
      <c r="K401" s="8"/>
      <c r="L401" s="164"/>
      <c r="M401" s="164"/>
      <c r="N401" s="164"/>
      <c r="O401" s="188"/>
      <c r="P401" s="132"/>
      <c r="Q401" s="132"/>
      <c r="R401" s="132"/>
      <c r="S401" s="132"/>
      <c r="T401" s="132"/>
      <c r="U401" s="132"/>
      <c r="V401" s="10" t="e">
        <f t="shared" si="53"/>
        <v>#DIV/0!</v>
      </c>
      <c r="W401" s="10" t="e">
        <f t="shared" si="54"/>
        <v>#DIV/0!</v>
      </c>
      <c r="X401" s="7"/>
      <c r="Y401" s="11"/>
    </row>
    <row r="402" spans="1:25" customFormat="1">
      <c r="A402" s="119" t="s">
        <v>979</v>
      </c>
      <c r="B402" s="119" t="s">
        <v>94</v>
      </c>
      <c r="C402" s="119" t="s">
        <v>546</v>
      </c>
      <c r="D402" s="119" t="s">
        <v>67</v>
      </c>
      <c r="E402" s="6" t="s">
        <v>264</v>
      </c>
      <c r="F402" s="7" t="s">
        <v>615</v>
      </c>
      <c r="G402" s="7" t="s">
        <v>15</v>
      </c>
      <c r="H402" s="7" t="s">
        <v>16</v>
      </c>
      <c r="I402" s="7"/>
      <c r="J402" s="7" t="s">
        <v>99</v>
      </c>
      <c r="K402" s="8"/>
      <c r="L402" s="164"/>
      <c r="M402" s="164"/>
      <c r="N402" s="164"/>
      <c r="O402" s="188"/>
      <c r="P402" s="9"/>
      <c r="Q402" s="9"/>
      <c r="R402" s="9"/>
      <c r="S402" s="9"/>
      <c r="T402" s="9"/>
      <c r="U402" s="9"/>
      <c r="V402" s="10" t="e">
        <f>+(P402/L180)^(1/4)-1</f>
        <v>#DIV/0!</v>
      </c>
      <c r="W402" s="10" t="e">
        <f t="shared" si="54"/>
        <v>#DIV/0!</v>
      </c>
      <c r="X402" s="7"/>
      <c r="Y402" s="11"/>
    </row>
    <row r="403" spans="1:25" customFormat="1">
      <c r="A403" s="119" t="s">
        <v>979</v>
      </c>
      <c r="B403" s="119" t="s">
        <v>94</v>
      </c>
      <c r="C403" s="119" t="s">
        <v>546</v>
      </c>
      <c r="D403" s="119" t="s">
        <v>67</v>
      </c>
      <c r="E403" s="6" t="s">
        <v>266</v>
      </c>
      <c r="F403" s="7" t="s">
        <v>616</v>
      </c>
      <c r="G403" s="7" t="s">
        <v>15</v>
      </c>
      <c r="H403" s="7" t="s">
        <v>16</v>
      </c>
      <c r="I403" s="7"/>
      <c r="J403" s="7" t="s">
        <v>99</v>
      </c>
      <c r="K403" s="8"/>
      <c r="L403" s="164"/>
      <c r="M403" s="164"/>
      <c r="N403" s="164"/>
      <c r="O403" s="188"/>
      <c r="P403" s="9"/>
      <c r="Q403" s="9"/>
      <c r="R403" s="9"/>
      <c r="S403" s="9"/>
      <c r="T403" s="9"/>
      <c r="U403" s="9"/>
      <c r="V403" s="10" t="e">
        <f t="shared" ref="V403:V435" si="55">+(P403/L403)^(1/4)-1</f>
        <v>#DIV/0!</v>
      </c>
      <c r="W403" s="10" t="e">
        <f t="shared" si="54"/>
        <v>#DIV/0!</v>
      </c>
      <c r="X403" s="7"/>
      <c r="Y403" s="11"/>
    </row>
    <row r="404" spans="1:25" customFormat="1">
      <c r="A404" s="119" t="s">
        <v>979</v>
      </c>
      <c r="B404" s="119" t="s">
        <v>94</v>
      </c>
      <c r="C404" s="119" t="s">
        <v>546</v>
      </c>
      <c r="D404" s="119" t="s">
        <v>67</v>
      </c>
      <c r="E404" s="6" t="s">
        <v>268</v>
      </c>
      <c r="F404" s="7" t="s">
        <v>617</v>
      </c>
      <c r="G404" s="7" t="s">
        <v>15</v>
      </c>
      <c r="H404" s="7" t="s">
        <v>16</v>
      </c>
      <c r="I404" s="7"/>
      <c r="J404" s="7" t="s">
        <v>99</v>
      </c>
      <c r="K404" s="8"/>
      <c r="L404" s="164"/>
      <c r="M404" s="164"/>
      <c r="N404" s="164"/>
      <c r="O404" s="188"/>
      <c r="P404" s="9"/>
      <c r="Q404" s="9"/>
      <c r="R404" s="9"/>
      <c r="S404" s="9"/>
      <c r="T404" s="9"/>
      <c r="U404" s="9"/>
      <c r="V404" s="10" t="e">
        <f t="shared" si="55"/>
        <v>#DIV/0!</v>
      </c>
      <c r="W404" s="10" t="e">
        <f t="shared" si="54"/>
        <v>#DIV/0!</v>
      </c>
      <c r="X404" s="7"/>
      <c r="Y404" s="11"/>
    </row>
    <row r="405" spans="1:25" customFormat="1">
      <c r="A405" s="119" t="s">
        <v>979</v>
      </c>
      <c r="B405" s="119" t="s">
        <v>94</v>
      </c>
      <c r="C405" s="119" t="s">
        <v>546</v>
      </c>
      <c r="D405" s="119" t="s">
        <v>67</v>
      </c>
      <c r="E405" s="6" t="s">
        <v>270</v>
      </c>
      <c r="F405" s="7" t="s">
        <v>618</v>
      </c>
      <c r="G405" s="7" t="s">
        <v>15</v>
      </c>
      <c r="H405" s="7" t="s">
        <v>16</v>
      </c>
      <c r="I405" s="7"/>
      <c r="J405" s="7" t="s">
        <v>99</v>
      </c>
      <c r="K405" s="8"/>
      <c r="L405" s="164"/>
      <c r="M405" s="164"/>
      <c r="N405" s="164"/>
      <c r="O405" s="188"/>
      <c r="P405" s="144"/>
      <c r="Q405" s="144"/>
      <c r="R405" s="144"/>
      <c r="S405" s="144"/>
      <c r="T405" s="144"/>
      <c r="U405" s="144"/>
      <c r="V405" s="10" t="e">
        <f t="shared" si="55"/>
        <v>#DIV/0!</v>
      </c>
      <c r="W405" s="10" t="e">
        <f t="shared" si="54"/>
        <v>#DIV/0!</v>
      </c>
      <c r="X405" s="7"/>
      <c r="Y405" s="11"/>
    </row>
    <row r="406" spans="1:25" customFormat="1">
      <c r="A406" s="119" t="s">
        <v>979</v>
      </c>
      <c r="B406" s="119" t="s">
        <v>94</v>
      </c>
      <c r="C406" s="119" t="s">
        <v>546</v>
      </c>
      <c r="D406" s="119" t="s">
        <v>67</v>
      </c>
      <c r="E406" s="6" t="s">
        <v>272</v>
      </c>
      <c r="F406" s="7" t="s">
        <v>619</v>
      </c>
      <c r="G406" s="7" t="s">
        <v>15</v>
      </c>
      <c r="H406" s="7" t="s">
        <v>16</v>
      </c>
      <c r="I406" s="7"/>
      <c r="J406" s="7" t="s">
        <v>99</v>
      </c>
      <c r="K406" s="8">
        <v>904</v>
      </c>
      <c r="L406" s="164"/>
      <c r="M406" s="164"/>
      <c r="N406" s="164"/>
      <c r="O406" s="188"/>
      <c r="P406" s="165"/>
      <c r="Q406" s="9"/>
      <c r="R406" s="9"/>
      <c r="S406" s="9"/>
      <c r="T406" s="9"/>
      <c r="U406" s="9"/>
      <c r="V406" s="10" t="e">
        <f t="shared" si="55"/>
        <v>#DIV/0!</v>
      </c>
      <c r="W406" s="10" t="e">
        <f t="shared" si="54"/>
        <v>#DIV/0!</v>
      </c>
      <c r="X406" s="7"/>
      <c r="Y406" s="11"/>
    </row>
    <row r="407" spans="1:25" customFormat="1">
      <c r="A407" s="119" t="s">
        <v>979</v>
      </c>
      <c r="B407" s="119" t="s">
        <v>94</v>
      </c>
      <c r="C407" s="119" t="s">
        <v>546</v>
      </c>
      <c r="D407" s="119" t="s">
        <v>67</v>
      </c>
      <c r="E407" s="6" t="s">
        <v>274</v>
      </c>
      <c r="F407" s="7" t="s">
        <v>620</v>
      </c>
      <c r="G407" s="7" t="s">
        <v>15</v>
      </c>
      <c r="H407" s="7" t="s">
        <v>16</v>
      </c>
      <c r="I407" s="7"/>
      <c r="J407" s="7" t="s">
        <v>99</v>
      </c>
      <c r="K407" s="8"/>
      <c r="L407" s="164"/>
      <c r="M407" s="164"/>
      <c r="N407" s="164"/>
      <c r="O407" s="188"/>
      <c r="P407" s="9"/>
      <c r="Q407" s="9"/>
      <c r="R407" s="9"/>
      <c r="S407" s="9"/>
      <c r="T407" s="9"/>
      <c r="U407" s="9"/>
      <c r="V407" s="10" t="e">
        <f t="shared" si="55"/>
        <v>#DIV/0!</v>
      </c>
      <c r="W407" s="10" t="e">
        <f t="shared" si="54"/>
        <v>#DIV/0!</v>
      </c>
      <c r="X407" s="7"/>
      <c r="Y407" s="11"/>
    </row>
    <row r="408" spans="1:25" customFormat="1">
      <c r="A408" s="119" t="s">
        <v>979</v>
      </c>
      <c r="B408" s="119" t="s">
        <v>94</v>
      </c>
      <c r="C408" s="119" t="s">
        <v>546</v>
      </c>
      <c r="D408" s="119" t="s">
        <v>67</v>
      </c>
      <c r="E408" s="6" t="s">
        <v>276</v>
      </c>
      <c r="F408" s="7" t="s">
        <v>621</v>
      </c>
      <c r="G408" s="7" t="s">
        <v>15</v>
      </c>
      <c r="H408" s="7" t="s">
        <v>16</v>
      </c>
      <c r="I408" s="7"/>
      <c r="J408" s="7" t="s">
        <v>99</v>
      </c>
      <c r="K408" s="8">
        <v>1538</v>
      </c>
      <c r="L408" s="164"/>
      <c r="M408" s="164"/>
      <c r="N408" s="164"/>
      <c r="O408" s="188"/>
      <c r="P408" s="165"/>
      <c r="Q408" s="9"/>
      <c r="R408" s="9"/>
      <c r="S408" s="9"/>
      <c r="T408" s="9"/>
      <c r="U408" s="9"/>
      <c r="V408" s="10" t="e">
        <f t="shared" si="55"/>
        <v>#DIV/0!</v>
      </c>
      <c r="W408" s="10" t="e">
        <f t="shared" si="54"/>
        <v>#DIV/0!</v>
      </c>
      <c r="X408" s="7"/>
      <c r="Y408" s="11"/>
    </row>
    <row r="409" spans="1:25" customFormat="1">
      <c r="A409" s="119" t="s">
        <v>979</v>
      </c>
      <c r="B409" s="119" t="s">
        <v>94</v>
      </c>
      <c r="C409" s="119" t="s">
        <v>546</v>
      </c>
      <c r="D409" s="119" t="s">
        <v>67</v>
      </c>
      <c r="E409" s="6" t="s">
        <v>278</v>
      </c>
      <c r="F409" s="7" t="s">
        <v>622</v>
      </c>
      <c r="G409" s="7" t="s">
        <v>15</v>
      </c>
      <c r="H409" s="7" t="s">
        <v>16</v>
      </c>
      <c r="I409" s="7"/>
      <c r="J409" s="7" t="s">
        <v>99</v>
      </c>
      <c r="K409" s="8"/>
      <c r="L409" s="164"/>
      <c r="M409" s="164"/>
      <c r="N409" s="164"/>
      <c r="O409" s="188"/>
      <c r="P409" s="132"/>
      <c r="Q409" s="132"/>
      <c r="R409" s="132"/>
      <c r="S409" s="132"/>
      <c r="T409" s="132"/>
      <c r="U409" s="132"/>
      <c r="V409" s="10" t="e">
        <f t="shared" si="55"/>
        <v>#DIV/0!</v>
      </c>
      <c r="W409" s="10" t="e">
        <f t="shared" si="54"/>
        <v>#DIV/0!</v>
      </c>
      <c r="X409" s="7"/>
      <c r="Y409" s="11"/>
    </row>
    <row r="410" spans="1:25" customFormat="1">
      <c r="A410" s="119" t="s">
        <v>979</v>
      </c>
      <c r="B410" s="119" t="s">
        <v>94</v>
      </c>
      <c r="C410" s="119" t="s">
        <v>546</v>
      </c>
      <c r="D410" s="119" t="s">
        <v>67</v>
      </c>
      <c r="E410" s="6" t="s">
        <v>280</v>
      </c>
      <c r="F410" s="7" t="s">
        <v>623</v>
      </c>
      <c r="G410" s="7" t="s">
        <v>15</v>
      </c>
      <c r="H410" s="7" t="s">
        <v>16</v>
      </c>
      <c r="I410" s="7"/>
      <c r="J410" s="7" t="s">
        <v>99</v>
      </c>
      <c r="K410" s="8"/>
      <c r="L410" s="164"/>
      <c r="M410" s="164"/>
      <c r="N410" s="164"/>
      <c r="O410" s="188"/>
      <c r="P410" s="9"/>
      <c r="Q410" s="9"/>
      <c r="R410" s="9"/>
      <c r="S410" s="9"/>
      <c r="T410" s="9"/>
      <c r="U410" s="9"/>
      <c r="V410" s="10" t="e">
        <f t="shared" si="55"/>
        <v>#DIV/0!</v>
      </c>
      <c r="W410" s="10" t="e">
        <f t="shared" si="54"/>
        <v>#DIV/0!</v>
      </c>
      <c r="X410" s="7"/>
      <c r="Y410" s="11"/>
    </row>
    <row r="411" spans="1:25" customFormat="1">
      <c r="A411" s="119" t="s">
        <v>979</v>
      </c>
      <c r="B411" s="119" t="s">
        <v>94</v>
      </c>
      <c r="C411" s="119" t="s">
        <v>546</v>
      </c>
      <c r="D411" s="119" t="s">
        <v>67</v>
      </c>
      <c r="E411" s="6" t="s">
        <v>282</v>
      </c>
      <c r="F411" s="7" t="s">
        <v>624</v>
      </c>
      <c r="G411" s="7" t="s">
        <v>15</v>
      </c>
      <c r="H411" s="7" t="s">
        <v>16</v>
      </c>
      <c r="I411" s="7"/>
      <c r="J411" s="7" t="s">
        <v>99</v>
      </c>
      <c r="K411" s="8"/>
      <c r="L411" s="164"/>
      <c r="M411" s="164"/>
      <c r="N411" s="164"/>
      <c r="O411" s="188"/>
      <c r="P411" s="9"/>
      <c r="Q411" s="9"/>
      <c r="R411" s="9"/>
      <c r="S411" s="9"/>
      <c r="T411" s="9"/>
      <c r="U411" s="9"/>
      <c r="V411" s="10" t="e">
        <f t="shared" si="55"/>
        <v>#DIV/0!</v>
      </c>
      <c r="W411" s="10" t="e">
        <f t="shared" si="54"/>
        <v>#DIV/0!</v>
      </c>
      <c r="X411" s="7"/>
      <c r="Y411" s="11"/>
    </row>
    <row r="412" spans="1:25" customFormat="1">
      <c r="A412" s="119" t="s">
        <v>979</v>
      </c>
      <c r="B412" s="119" t="s">
        <v>94</v>
      </c>
      <c r="C412" s="119" t="s">
        <v>546</v>
      </c>
      <c r="D412" s="119" t="s">
        <v>67</v>
      </c>
      <c r="E412" s="6" t="s">
        <v>284</v>
      </c>
      <c r="F412" s="7" t="s">
        <v>625</v>
      </c>
      <c r="G412" s="7" t="s">
        <v>15</v>
      </c>
      <c r="H412" s="7" t="s">
        <v>16</v>
      </c>
      <c r="I412" s="7"/>
      <c r="J412" s="7" t="s">
        <v>99</v>
      </c>
      <c r="K412" s="8">
        <v>121</v>
      </c>
      <c r="L412" s="164"/>
      <c r="M412" s="164"/>
      <c r="N412" s="164"/>
      <c r="O412" s="188"/>
      <c r="P412" s="9"/>
      <c r="Q412" s="9"/>
      <c r="R412" s="9"/>
      <c r="S412" s="9"/>
      <c r="T412" s="9"/>
      <c r="U412" s="9"/>
      <c r="V412" s="10" t="e">
        <f t="shared" si="55"/>
        <v>#DIV/0!</v>
      </c>
      <c r="W412" s="10" t="e">
        <f t="shared" si="54"/>
        <v>#DIV/0!</v>
      </c>
      <c r="X412" s="7"/>
      <c r="Y412" s="11"/>
    </row>
    <row r="413" spans="1:25" customFormat="1">
      <c r="A413" s="119" t="s">
        <v>979</v>
      </c>
      <c r="B413" s="119" t="s">
        <v>94</v>
      </c>
      <c r="C413" s="119" t="s">
        <v>546</v>
      </c>
      <c r="D413" s="119" t="s">
        <v>67</v>
      </c>
      <c r="E413" s="6" t="s">
        <v>286</v>
      </c>
      <c r="F413" s="7" t="s">
        <v>626</v>
      </c>
      <c r="G413" s="7" t="s">
        <v>15</v>
      </c>
      <c r="H413" s="7" t="s">
        <v>16</v>
      </c>
      <c r="I413" s="7"/>
      <c r="J413" s="7" t="s">
        <v>99</v>
      </c>
      <c r="K413" s="8"/>
      <c r="L413" s="164"/>
      <c r="M413" s="164"/>
      <c r="N413" s="164"/>
      <c r="O413" s="188"/>
      <c r="P413" s="9"/>
      <c r="Q413" s="9"/>
      <c r="R413" s="9"/>
      <c r="S413" s="9"/>
      <c r="T413" s="9"/>
      <c r="U413" s="9"/>
      <c r="V413" s="10" t="e">
        <f t="shared" si="55"/>
        <v>#DIV/0!</v>
      </c>
      <c r="W413" s="10" t="e">
        <f t="shared" si="54"/>
        <v>#DIV/0!</v>
      </c>
      <c r="X413" s="7"/>
      <c r="Y413" s="11"/>
    </row>
    <row r="414" spans="1:25" customFormat="1">
      <c r="A414" s="119" t="s">
        <v>979</v>
      </c>
      <c r="B414" s="119" t="s">
        <v>94</v>
      </c>
      <c r="C414" s="119" t="s">
        <v>546</v>
      </c>
      <c r="D414" s="119" t="s">
        <v>67</v>
      </c>
      <c r="E414" s="6" t="s">
        <v>288</v>
      </c>
      <c r="F414" s="7" t="s">
        <v>627</v>
      </c>
      <c r="G414" s="7" t="s">
        <v>15</v>
      </c>
      <c r="H414" s="7" t="s">
        <v>16</v>
      </c>
      <c r="I414" s="7"/>
      <c r="J414" s="7" t="s">
        <v>99</v>
      </c>
      <c r="K414" s="8"/>
      <c r="L414" s="164"/>
      <c r="M414" s="164"/>
      <c r="N414" s="164"/>
      <c r="O414" s="188"/>
      <c r="P414" s="9"/>
      <c r="Q414" s="9"/>
      <c r="R414" s="9"/>
      <c r="S414" s="9"/>
      <c r="T414" s="9"/>
      <c r="U414" s="9"/>
      <c r="V414" s="10" t="e">
        <f t="shared" si="55"/>
        <v>#DIV/0!</v>
      </c>
      <c r="W414" s="10" t="e">
        <f t="shared" si="54"/>
        <v>#DIV/0!</v>
      </c>
      <c r="X414" s="7"/>
      <c r="Y414" s="11"/>
    </row>
    <row r="415" spans="1:25" customFormat="1">
      <c r="A415" s="119" t="s">
        <v>979</v>
      </c>
      <c r="B415" s="119" t="s">
        <v>94</v>
      </c>
      <c r="C415" s="119" t="s">
        <v>546</v>
      </c>
      <c r="D415" s="119" t="s">
        <v>67</v>
      </c>
      <c r="E415" s="6" t="s">
        <v>290</v>
      </c>
      <c r="F415" s="7" t="s">
        <v>628</v>
      </c>
      <c r="G415" s="7" t="s">
        <v>15</v>
      </c>
      <c r="H415" s="7" t="s">
        <v>16</v>
      </c>
      <c r="I415" s="7"/>
      <c r="J415" s="7" t="s">
        <v>99</v>
      </c>
      <c r="K415" s="8"/>
      <c r="L415" s="164"/>
      <c r="M415" s="164"/>
      <c r="N415" s="164"/>
      <c r="O415" s="188"/>
      <c r="P415" s="9"/>
      <c r="Q415" s="9"/>
      <c r="R415" s="9"/>
      <c r="S415" s="9"/>
      <c r="T415" s="9"/>
      <c r="U415" s="9"/>
      <c r="V415" s="10" t="e">
        <f t="shared" si="55"/>
        <v>#DIV/0!</v>
      </c>
      <c r="W415" s="10" t="e">
        <f t="shared" si="54"/>
        <v>#DIV/0!</v>
      </c>
      <c r="X415" s="7"/>
      <c r="Y415" s="11"/>
    </row>
    <row r="416" spans="1:25" customFormat="1">
      <c r="A416" s="119" t="s">
        <v>979</v>
      </c>
      <c r="B416" s="119" t="s">
        <v>94</v>
      </c>
      <c r="C416" s="119" t="s">
        <v>546</v>
      </c>
      <c r="D416" s="119" t="s">
        <v>67</v>
      </c>
      <c r="E416" s="6" t="s">
        <v>292</v>
      </c>
      <c r="F416" s="7" t="s">
        <v>629</v>
      </c>
      <c r="G416" s="7" t="s">
        <v>15</v>
      </c>
      <c r="H416" s="7" t="s">
        <v>16</v>
      </c>
      <c r="I416" s="7"/>
      <c r="J416" s="7" t="s">
        <v>99</v>
      </c>
      <c r="K416" s="8"/>
      <c r="L416" s="164"/>
      <c r="M416" s="164"/>
      <c r="N416" s="164"/>
      <c r="O416" s="188"/>
      <c r="P416" s="9"/>
      <c r="Q416" s="9"/>
      <c r="R416" s="9"/>
      <c r="S416" s="9"/>
      <c r="T416" s="9"/>
      <c r="U416" s="9"/>
      <c r="V416" s="10" t="e">
        <f t="shared" si="55"/>
        <v>#DIV/0!</v>
      </c>
      <c r="W416" s="10" t="e">
        <f t="shared" si="54"/>
        <v>#DIV/0!</v>
      </c>
      <c r="X416" s="7"/>
      <c r="Y416" s="11"/>
    </row>
    <row r="417" spans="1:25" customFormat="1">
      <c r="A417" s="119" t="s">
        <v>979</v>
      </c>
      <c r="B417" s="119" t="s">
        <v>94</v>
      </c>
      <c r="C417" s="119" t="s">
        <v>546</v>
      </c>
      <c r="D417" s="119" t="s">
        <v>67</v>
      </c>
      <c r="E417" s="6" t="s">
        <v>294</v>
      </c>
      <c r="F417" s="7" t="s">
        <v>630</v>
      </c>
      <c r="G417" s="7" t="s">
        <v>15</v>
      </c>
      <c r="H417" s="7" t="s">
        <v>16</v>
      </c>
      <c r="I417" s="7"/>
      <c r="J417" s="7" t="s">
        <v>99</v>
      </c>
      <c r="K417" s="8"/>
      <c r="L417" s="164"/>
      <c r="M417" s="164"/>
      <c r="N417" s="164"/>
      <c r="O417" s="188"/>
      <c r="P417" s="9"/>
      <c r="Q417" s="9"/>
      <c r="R417" s="9"/>
      <c r="S417" s="9"/>
      <c r="T417" s="9"/>
      <c r="U417" s="9"/>
      <c r="V417" s="10" t="e">
        <f t="shared" si="55"/>
        <v>#DIV/0!</v>
      </c>
      <c r="W417" s="10" t="e">
        <f t="shared" si="54"/>
        <v>#DIV/0!</v>
      </c>
      <c r="X417" s="7"/>
      <c r="Y417" s="11"/>
    </row>
    <row r="418" spans="1:25" customFormat="1">
      <c r="A418" s="119" t="s">
        <v>979</v>
      </c>
      <c r="B418" s="119" t="s">
        <v>94</v>
      </c>
      <c r="C418" s="119" t="s">
        <v>546</v>
      </c>
      <c r="D418" s="119" t="s">
        <v>67</v>
      </c>
      <c r="E418" s="6" t="s">
        <v>296</v>
      </c>
      <c r="F418" s="7" t="s">
        <v>631</v>
      </c>
      <c r="G418" s="7" t="s">
        <v>15</v>
      </c>
      <c r="H418" s="7" t="s">
        <v>16</v>
      </c>
      <c r="I418" s="7"/>
      <c r="J418" s="7" t="s">
        <v>99</v>
      </c>
      <c r="K418" s="8"/>
      <c r="L418" s="164"/>
      <c r="M418" s="164"/>
      <c r="N418" s="164"/>
      <c r="O418" s="188"/>
      <c r="P418" s="9"/>
      <c r="Q418" s="9"/>
      <c r="R418" s="9"/>
      <c r="S418" s="9"/>
      <c r="T418" s="9"/>
      <c r="U418" s="9"/>
      <c r="V418" s="10" t="e">
        <f t="shared" si="55"/>
        <v>#DIV/0!</v>
      </c>
      <c r="W418" s="10" t="e">
        <f t="shared" si="54"/>
        <v>#DIV/0!</v>
      </c>
      <c r="X418" s="7"/>
      <c r="Y418" s="11"/>
    </row>
    <row r="419" spans="1:25" customFormat="1">
      <c r="A419" s="119" t="s">
        <v>979</v>
      </c>
      <c r="B419" s="119" t="s">
        <v>94</v>
      </c>
      <c r="C419" s="119" t="s">
        <v>546</v>
      </c>
      <c r="D419" s="119" t="s">
        <v>67</v>
      </c>
      <c r="E419" s="6" t="s">
        <v>298</v>
      </c>
      <c r="F419" s="7" t="s">
        <v>632</v>
      </c>
      <c r="G419" s="7" t="s">
        <v>15</v>
      </c>
      <c r="H419" s="7" t="s">
        <v>16</v>
      </c>
      <c r="I419" s="7"/>
      <c r="J419" s="7" t="s">
        <v>99</v>
      </c>
      <c r="K419" s="8"/>
      <c r="L419" s="164"/>
      <c r="M419" s="164"/>
      <c r="N419" s="164"/>
      <c r="O419" s="188"/>
      <c r="P419" s="9"/>
      <c r="Q419" s="9"/>
      <c r="R419" s="9"/>
      <c r="S419" s="9"/>
      <c r="T419" s="9"/>
      <c r="U419" s="9"/>
      <c r="V419" s="10" t="e">
        <f t="shared" si="55"/>
        <v>#DIV/0!</v>
      </c>
      <c r="W419" s="10" t="e">
        <f t="shared" si="54"/>
        <v>#DIV/0!</v>
      </c>
      <c r="X419" s="7"/>
      <c r="Y419" s="11"/>
    </row>
    <row r="420" spans="1:25" customFormat="1">
      <c r="A420" s="119" t="s">
        <v>979</v>
      </c>
      <c r="B420" s="119" t="s">
        <v>94</v>
      </c>
      <c r="C420" s="119" t="s">
        <v>546</v>
      </c>
      <c r="D420" s="119" t="s">
        <v>67</v>
      </c>
      <c r="E420" s="6" t="s">
        <v>300</v>
      </c>
      <c r="F420" s="7" t="s">
        <v>633</v>
      </c>
      <c r="G420" s="7" t="s">
        <v>15</v>
      </c>
      <c r="H420" s="7" t="s">
        <v>16</v>
      </c>
      <c r="I420" s="7"/>
      <c r="J420" s="7" t="s">
        <v>99</v>
      </c>
      <c r="K420" s="8">
        <v>301</v>
      </c>
      <c r="L420" s="164"/>
      <c r="M420" s="164"/>
      <c r="N420" s="164"/>
      <c r="O420" s="188"/>
      <c r="P420" s="165"/>
      <c r="Q420" s="9"/>
      <c r="R420" s="9"/>
      <c r="S420" s="9"/>
      <c r="T420" s="9"/>
      <c r="U420" s="9"/>
      <c r="V420" s="10" t="e">
        <f t="shared" si="55"/>
        <v>#DIV/0!</v>
      </c>
      <c r="W420" s="10" t="e">
        <f t="shared" si="54"/>
        <v>#DIV/0!</v>
      </c>
      <c r="X420" s="7"/>
      <c r="Y420" s="11"/>
    </row>
    <row r="421" spans="1:25" customFormat="1">
      <c r="A421" s="119" t="s">
        <v>979</v>
      </c>
      <c r="B421" s="119" t="s">
        <v>94</v>
      </c>
      <c r="C421" s="119" t="s">
        <v>546</v>
      </c>
      <c r="D421" s="119" t="s">
        <v>67</v>
      </c>
      <c r="E421" s="6" t="s">
        <v>302</v>
      </c>
      <c r="F421" s="7" t="s">
        <v>634</v>
      </c>
      <c r="G421" s="7" t="s">
        <v>15</v>
      </c>
      <c r="H421" s="7" t="s">
        <v>16</v>
      </c>
      <c r="I421" s="7"/>
      <c r="J421" s="7" t="s">
        <v>99</v>
      </c>
      <c r="K421" s="8"/>
      <c r="L421" s="164"/>
      <c r="M421" s="164"/>
      <c r="N421" s="164"/>
      <c r="O421" s="188"/>
      <c r="P421" s="165"/>
      <c r="Q421" s="9"/>
      <c r="R421" s="9"/>
      <c r="S421" s="9"/>
      <c r="T421" s="9"/>
      <c r="U421" s="9"/>
      <c r="V421" s="10" t="e">
        <f t="shared" si="55"/>
        <v>#DIV/0!</v>
      </c>
      <c r="W421" s="10" t="e">
        <f t="shared" si="54"/>
        <v>#DIV/0!</v>
      </c>
      <c r="X421" s="7"/>
      <c r="Y421" s="11"/>
    </row>
    <row r="422" spans="1:25" customFormat="1">
      <c r="A422" s="119" t="s">
        <v>979</v>
      </c>
      <c r="B422" s="119" t="s">
        <v>94</v>
      </c>
      <c r="C422" s="119" t="s">
        <v>546</v>
      </c>
      <c r="D422" s="119" t="s">
        <v>67</v>
      </c>
      <c r="E422" s="6" t="s">
        <v>304</v>
      </c>
      <c r="F422" s="7" t="s">
        <v>635</v>
      </c>
      <c r="G422" s="7" t="s">
        <v>15</v>
      </c>
      <c r="H422" s="7" t="s">
        <v>16</v>
      </c>
      <c r="I422" s="7"/>
      <c r="J422" s="7" t="s">
        <v>99</v>
      </c>
      <c r="K422" s="8"/>
      <c r="L422" s="164"/>
      <c r="M422" s="164"/>
      <c r="N422" s="164"/>
      <c r="O422" s="188"/>
      <c r="P422" s="144"/>
      <c r="Q422" s="144"/>
      <c r="R422" s="144"/>
      <c r="S422" s="144"/>
      <c r="T422" s="144"/>
      <c r="U422" s="144"/>
      <c r="V422" s="10" t="e">
        <f t="shared" si="55"/>
        <v>#DIV/0!</v>
      </c>
      <c r="W422" s="10" t="e">
        <f t="shared" si="54"/>
        <v>#DIV/0!</v>
      </c>
      <c r="X422" s="7"/>
      <c r="Y422" s="11"/>
    </row>
    <row r="423" spans="1:25" customFormat="1">
      <c r="A423" s="119" t="s">
        <v>979</v>
      </c>
      <c r="B423" s="119" t="s">
        <v>94</v>
      </c>
      <c r="C423" s="119" t="s">
        <v>546</v>
      </c>
      <c r="D423" s="119" t="s">
        <v>67</v>
      </c>
      <c r="E423" s="6" t="s">
        <v>306</v>
      </c>
      <c r="F423" s="7" t="s">
        <v>636</v>
      </c>
      <c r="G423" s="7" t="s">
        <v>15</v>
      </c>
      <c r="H423" s="7" t="s">
        <v>16</v>
      </c>
      <c r="I423" s="7"/>
      <c r="J423" s="7" t="s">
        <v>99</v>
      </c>
      <c r="K423" s="8">
        <v>271</v>
      </c>
      <c r="L423" s="164"/>
      <c r="M423" s="164"/>
      <c r="N423" s="164"/>
      <c r="O423" s="188"/>
      <c r="P423" s="9"/>
      <c r="Q423" s="9"/>
      <c r="R423" s="9"/>
      <c r="S423" s="9"/>
      <c r="T423" s="9"/>
      <c r="U423" s="9"/>
      <c r="V423" s="10" t="e">
        <f t="shared" si="55"/>
        <v>#DIV/0!</v>
      </c>
      <c r="W423" s="10" t="e">
        <f t="shared" si="54"/>
        <v>#DIV/0!</v>
      </c>
      <c r="X423" s="7"/>
      <c r="Y423" s="11"/>
    </row>
    <row r="424" spans="1:25" customFormat="1">
      <c r="A424" s="119" t="s">
        <v>979</v>
      </c>
      <c r="B424" s="119" t="s">
        <v>94</v>
      </c>
      <c r="C424" s="119" t="s">
        <v>546</v>
      </c>
      <c r="D424" s="119" t="s">
        <v>67</v>
      </c>
      <c r="E424" s="6" t="s">
        <v>308</v>
      </c>
      <c r="F424" s="7" t="s">
        <v>637</v>
      </c>
      <c r="G424" s="7" t="s">
        <v>15</v>
      </c>
      <c r="H424" s="7" t="s">
        <v>16</v>
      </c>
      <c r="I424" s="7"/>
      <c r="J424" s="7" t="s">
        <v>99</v>
      </c>
      <c r="K424" s="8">
        <v>633</v>
      </c>
      <c r="L424" s="164"/>
      <c r="M424" s="164"/>
      <c r="N424" s="164"/>
      <c r="O424" s="188"/>
      <c r="P424" s="9"/>
      <c r="Q424" s="9"/>
      <c r="R424" s="9"/>
      <c r="S424" s="9"/>
      <c r="T424" s="9"/>
      <c r="U424" s="9"/>
      <c r="V424" s="10" t="e">
        <f t="shared" si="55"/>
        <v>#DIV/0!</v>
      </c>
      <c r="W424" s="10" t="e">
        <f t="shared" si="54"/>
        <v>#DIV/0!</v>
      </c>
      <c r="X424" s="7"/>
      <c r="Y424" s="11"/>
    </row>
    <row r="425" spans="1:25" customFormat="1">
      <c r="A425" s="119" t="s">
        <v>979</v>
      </c>
      <c r="B425" s="119" t="s">
        <v>94</v>
      </c>
      <c r="C425" s="119" t="s">
        <v>546</v>
      </c>
      <c r="D425" s="119" t="s">
        <v>67</v>
      </c>
      <c r="E425" s="6" t="s">
        <v>310</v>
      </c>
      <c r="F425" s="7" t="s">
        <v>638</v>
      </c>
      <c r="G425" s="7" t="s">
        <v>15</v>
      </c>
      <c r="H425" s="7" t="s">
        <v>16</v>
      </c>
      <c r="I425" s="7"/>
      <c r="J425" s="7" t="s">
        <v>99</v>
      </c>
      <c r="K425" s="8"/>
      <c r="L425" s="164"/>
      <c r="M425" s="164"/>
      <c r="N425" s="164"/>
      <c r="O425" s="188"/>
      <c r="P425" s="132"/>
      <c r="Q425" s="132"/>
      <c r="R425" s="132"/>
      <c r="S425" s="132"/>
      <c r="T425" s="132"/>
      <c r="U425" s="132"/>
      <c r="V425" s="10" t="e">
        <f t="shared" si="55"/>
        <v>#DIV/0!</v>
      </c>
      <c r="W425" s="10" t="e">
        <f t="shared" si="54"/>
        <v>#DIV/0!</v>
      </c>
      <c r="X425" s="7"/>
      <c r="Y425" s="11"/>
    </row>
    <row r="426" spans="1:25" customFormat="1">
      <c r="A426" s="119" t="s">
        <v>979</v>
      </c>
      <c r="B426" s="119" t="s">
        <v>94</v>
      </c>
      <c r="C426" s="119" t="s">
        <v>546</v>
      </c>
      <c r="D426" s="119" t="s">
        <v>67</v>
      </c>
      <c r="E426" s="6" t="s">
        <v>312</v>
      </c>
      <c r="F426" s="7" t="s">
        <v>639</v>
      </c>
      <c r="G426" s="7" t="s">
        <v>15</v>
      </c>
      <c r="H426" s="7" t="s">
        <v>16</v>
      </c>
      <c r="I426" s="7"/>
      <c r="J426" s="7" t="s">
        <v>99</v>
      </c>
      <c r="K426" s="8">
        <v>422</v>
      </c>
      <c r="L426" s="164"/>
      <c r="M426" s="164"/>
      <c r="N426" s="164"/>
      <c r="O426" s="188"/>
      <c r="P426" s="9"/>
      <c r="Q426" s="9"/>
      <c r="R426" s="9"/>
      <c r="S426" s="9"/>
      <c r="T426" s="9"/>
      <c r="U426" s="9"/>
      <c r="V426" s="10" t="e">
        <f t="shared" si="55"/>
        <v>#DIV/0!</v>
      </c>
      <c r="W426" s="10" t="e">
        <f t="shared" si="54"/>
        <v>#DIV/0!</v>
      </c>
      <c r="X426" s="7"/>
      <c r="Y426" s="11"/>
    </row>
    <row r="427" spans="1:25" customFormat="1">
      <c r="A427" s="119" t="s">
        <v>979</v>
      </c>
      <c r="B427" s="119" t="s">
        <v>94</v>
      </c>
      <c r="C427" s="119" t="s">
        <v>546</v>
      </c>
      <c r="D427" s="119" t="s">
        <v>67</v>
      </c>
      <c r="E427" s="6" t="s">
        <v>314</v>
      </c>
      <c r="F427" s="7" t="s">
        <v>640</v>
      </c>
      <c r="G427" s="7" t="s">
        <v>15</v>
      </c>
      <c r="H427" s="7" t="s">
        <v>16</v>
      </c>
      <c r="I427" s="7"/>
      <c r="J427" s="7" t="s">
        <v>99</v>
      </c>
      <c r="K427" s="8"/>
      <c r="L427" s="164"/>
      <c r="M427" s="164"/>
      <c r="N427" s="164"/>
      <c r="O427" s="188"/>
      <c r="P427" s="132"/>
      <c r="Q427" s="132"/>
      <c r="R427" s="132"/>
      <c r="S427" s="132"/>
      <c r="T427" s="132"/>
      <c r="U427" s="132"/>
      <c r="V427" s="10" t="e">
        <f t="shared" si="55"/>
        <v>#DIV/0!</v>
      </c>
      <c r="W427" s="10" t="e">
        <f t="shared" si="54"/>
        <v>#DIV/0!</v>
      </c>
      <c r="X427" s="7"/>
      <c r="Y427" s="11"/>
    </row>
    <row r="428" spans="1:25" customFormat="1">
      <c r="A428" s="119" t="s">
        <v>979</v>
      </c>
      <c r="B428" s="119" t="s">
        <v>94</v>
      </c>
      <c r="C428" s="119" t="s">
        <v>546</v>
      </c>
      <c r="D428" s="119" t="s">
        <v>67</v>
      </c>
      <c r="E428" s="6" t="s">
        <v>316</v>
      </c>
      <c r="F428" s="7" t="s">
        <v>641</v>
      </c>
      <c r="G428" s="7" t="s">
        <v>15</v>
      </c>
      <c r="H428" s="7" t="s">
        <v>16</v>
      </c>
      <c r="I428" s="7"/>
      <c r="J428" s="7" t="s">
        <v>99</v>
      </c>
      <c r="K428" s="8"/>
      <c r="L428" s="164"/>
      <c r="M428" s="164"/>
      <c r="N428" s="164"/>
      <c r="O428" s="188"/>
      <c r="P428" s="9"/>
      <c r="Q428" s="9"/>
      <c r="R428" s="9"/>
      <c r="S428" s="9"/>
      <c r="T428" s="9"/>
      <c r="U428" s="9"/>
      <c r="V428" s="10" t="e">
        <f t="shared" si="55"/>
        <v>#DIV/0!</v>
      </c>
      <c r="W428" s="10" t="e">
        <f t="shared" si="54"/>
        <v>#DIV/0!</v>
      </c>
      <c r="X428" s="7"/>
      <c r="Y428" s="11"/>
    </row>
    <row r="429" spans="1:25" customFormat="1">
      <c r="A429" s="119" t="s">
        <v>979</v>
      </c>
      <c r="B429" s="119" t="s">
        <v>94</v>
      </c>
      <c r="C429" s="119" t="s">
        <v>546</v>
      </c>
      <c r="D429" s="119" t="s">
        <v>67</v>
      </c>
      <c r="E429" s="6" t="s">
        <v>318</v>
      </c>
      <c r="F429" s="7" t="s">
        <v>642</v>
      </c>
      <c r="G429" s="7" t="s">
        <v>15</v>
      </c>
      <c r="H429" s="7" t="s">
        <v>16</v>
      </c>
      <c r="I429" s="7"/>
      <c r="J429" s="7" t="s">
        <v>99</v>
      </c>
      <c r="K429" s="8"/>
      <c r="L429" s="164"/>
      <c r="M429" s="164"/>
      <c r="N429" s="164"/>
      <c r="O429" s="188"/>
      <c r="P429" s="9"/>
      <c r="Q429" s="9"/>
      <c r="R429" s="9"/>
      <c r="S429" s="9"/>
      <c r="T429" s="9"/>
      <c r="U429" s="9"/>
      <c r="V429" s="10" t="e">
        <f t="shared" si="55"/>
        <v>#DIV/0!</v>
      </c>
      <c r="W429" s="10" t="e">
        <f t="shared" si="54"/>
        <v>#DIV/0!</v>
      </c>
      <c r="X429" s="7"/>
      <c r="Y429" s="11"/>
    </row>
    <row r="430" spans="1:25" customFormat="1">
      <c r="A430" s="119" t="s">
        <v>979</v>
      </c>
      <c r="B430" s="119" t="s">
        <v>94</v>
      </c>
      <c r="C430" s="119" t="s">
        <v>546</v>
      </c>
      <c r="D430" s="119" t="s">
        <v>67</v>
      </c>
      <c r="E430" s="6" t="s">
        <v>320</v>
      </c>
      <c r="F430" s="7" t="s">
        <v>643</v>
      </c>
      <c r="G430" s="7" t="s">
        <v>15</v>
      </c>
      <c r="H430" s="7" t="s">
        <v>16</v>
      </c>
      <c r="I430" s="7"/>
      <c r="J430" s="7" t="s">
        <v>99</v>
      </c>
      <c r="K430" s="8">
        <v>482</v>
      </c>
      <c r="L430" s="164"/>
      <c r="M430" s="164"/>
      <c r="N430" s="164"/>
      <c r="O430" s="188"/>
      <c r="P430" s="165"/>
      <c r="Q430" s="9"/>
      <c r="R430" s="9"/>
      <c r="S430" s="9"/>
      <c r="T430" s="9"/>
      <c r="U430" s="9"/>
      <c r="V430" s="10" t="e">
        <f t="shared" si="55"/>
        <v>#DIV/0!</v>
      </c>
      <c r="W430" s="10" t="e">
        <f t="shared" si="54"/>
        <v>#DIV/0!</v>
      </c>
      <c r="X430" s="7"/>
      <c r="Y430" s="11"/>
    </row>
    <row r="431" spans="1:25" customFormat="1">
      <c r="A431" s="119" t="s">
        <v>979</v>
      </c>
      <c r="B431" s="119" t="s">
        <v>94</v>
      </c>
      <c r="C431" s="119" t="s">
        <v>546</v>
      </c>
      <c r="D431" s="119" t="s">
        <v>67</v>
      </c>
      <c r="E431" s="6" t="s">
        <v>322</v>
      </c>
      <c r="F431" s="7" t="s">
        <v>644</v>
      </c>
      <c r="G431" s="7" t="s">
        <v>15</v>
      </c>
      <c r="H431" s="7" t="s">
        <v>16</v>
      </c>
      <c r="I431" s="7"/>
      <c r="J431" s="7" t="s">
        <v>99</v>
      </c>
      <c r="K431" s="8"/>
      <c r="L431" s="164"/>
      <c r="M431" s="164"/>
      <c r="N431" s="164"/>
      <c r="O431" s="188"/>
      <c r="P431" s="132"/>
      <c r="Q431" s="132"/>
      <c r="R431" s="132"/>
      <c r="S431" s="132"/>
      <c r="T431" s="132"/>
      <c r="U431" s="132"/>
      <c r="V431" s="10" t="e">
        <f t="shared" si="55"/>
        <v>#DIV/0!</v>
      </c>
      <c r="W431" s="10" t="e">
        <f t="shared" si="54"/>
        <v>#DIV/0!</v>
      </c>
      <c r="X431" s="7"/>
      <c r="Y431" s="11"/>
    </row>
    <row r="432" spans="1:25" customFormat="1">
      <c r="A432" s="119" t="s">
        <v>979</v>
      </c>
      <c r="B432" s="119" t="s">
        <v>94</v>
      </c>
      <c r="C432" s="119" t="s">
        <v>546</v>
      </c>
      <c r="D432" s="119" t="s">
        <v>67</v>
      </c>
      <c r="E432" s="6" t="s">
        <v>324</v>
      </c>
      <c r="F432" s="7" t="s">
        <v>645</v>
      </c>
      <c r="G432" s="7" t="s">
        <v>15</v>
      </c>
      <c r="H432" s="7" t="s">
        <v>16</v>
      </c>
      <c r="I432" s="7"/>
      <c r="J432" s="7" t="s">
        <v>99</v>
      </c>
      <c r="K432" s="8"/>
      <c r="L432" s="164"/>
      <c r="M432" s="164"/>
      <c r="N432" s="164"/>
      <c r="O432" s="188"/>
      <c r="P432" s="9"/>
      <c r="Q432" s="9"/>
      <c r="R432" s="9"/>
      <c r="S432" s="9"/>
      <c r="T432" s="9"/>
      <c r="U432" s="9"/>
      <c r="V432" s="10" t="e">
        <f t="shared" si="55"/>
        <v>#DIV/0!</v>
      </c>
      <c r="W432" s="10" t="e">
        <f t="shared" si="54"/>
        <v>#DIV/0!</v>
      </c>
      <c r="X432" s="7"/>
      <c r="Y432" s="11"/>
    </row>
    <row r="433" spans="1:25" customFormat="1">
      <c r="A433" s="119" t="s">
        <v>979</v>
      </c>
      <c r="B433" s="119" t="s">
        <v>94</v>
      </c>
      <c r="C433" s="119" t="s">
        <v>546</v>
      </c>
      <c r="D433" s="119" t="s">
        <v>67</v>
      </c>
      <c r="E433" s="6" t="s">
        <v>326</v>
      </c>
      <c r="F433" s="7" t="s">
        <v>646</v>
      </c>
      <c r="G433" s="7" t="s">
        <v>15</v>
      </c>
      <c r="H433" s="7" t="s">
        <v>16</v>
      </c>
      <c r="I433" s="7"/>
      <c r="J433" s="7" t="s">
        <v>99</v>
      </c>
      <c r="K433" s="8"/>
      <c r="L433" s="164"/>
      <c r="M433" s="164"/>
      <c r="N433" s="164"/>
      <c r="O433" s="188"/>
      <c r="P433" s="9"/>
      <c r="Q433" s="9"/>
      <c r="R433" s="9"/>
      <c r="S433" s="9"/>
      <c r="T433" s="9"/>
      <c r="U433" s="9"/>
      <c r="V433" s="10" t="e">
        <f t="shared" si="55"/>
        <v>#DIV/0!</v>
      </c>
      <c r="W433" s="10" t="e">
        <f t="shared" si="54"/>
        <v>#DIV/0!</v>
      </c>
      <c r="X433" s="7"/>
      <c r="Y433" s="11"/>
    </row>
    <row r="434" spans="1:25" customFormat="1">
      <c r="A434" s="119" t="s">
        <v>979</v>
      </c>
      <c r="B434" s="119" t="s">
        <v>94</v>
      </c>
      <c r="C434" s="119" t="s">
        <v>546</v>
      </c>
      <c r="D434" s="119" t="s">
        <v>67</v>
      </c>
      <c r="E434" s="6" t="s">
        <v>328</v>
      </c>
      <c r="F434" s="7" t="s">
        <v>647</v>
      </c>
      <c r="G434" s="7" t="s">
        <v>15</v>
      </c>
      <c r="H434" s="7" t="s">
        <v>16</v>
      </c>
      <c r="I434" s="7"/>
      <c r="J434" s="7" t="s">
        <v>99</v>
      </c>
      <c r="K434" s="8"/>
      <c r="L434" s="164"/>
      <c r="M434" s="164"/>
      <c r="N434" s="164"/>
      <c r="O434" s="188"/>
      <c r="P434" s="144"/>
      <c r="Q434" s="144"/>
      <c r="R434" s="144"/>
      <c r="S434" s="144"/>
      <c r="T434" s="144"/>
      <c r="U434" s="144"/>
      <c r="V434" s="10" t="e">
        <f t="shared" si="55"/>
        <v>#DIV/0!</v>
      </c>
      <c r="W434" s="10" t="e">
        <f t="shared" si="54"/>
        <v>#DIV/0!</v>
      </c>
      <c r="X434" s="7"/>
      <c r="Y434" s="11"/>
    </row>
    <row r="435" spans="1:25" customFormat="1">
      <c r="A435" s="119" t="s">
        <v>979</v>
      </c>
      <c r="B435" s="119" t="s">
        <v>94</v>
      </c>
      <c r="C435" s="119" t="s">
        <v>546</v>
      </c>
      <c r="D435" s="119" t="s">
        <v>67</v>
      </c>
      <c r="E435" s="6" t="s">
        <v>330</v>
      </c>
      <c r="F435" s="7" t="s">
        <v>648</v>
      </c>
      <c r="G435" s="7" t="s">
        <v>15</v>
      </c>
      <c r="H435" s="7" t="s">
        <v>16</v>
      </c>
      <c r="I435" s="7"/>
      <c r="J435" s="7" t="s">
        <v>99</v>
      </c>
      <c r="K435" s="8">
        <v>181</v>
      </c>
      <c r="L435" s="164"/>
      <c r="M435" s="164"/>
      <c r="N435" s="164"/>
      <c r="O435" s="188"/>
      <c r="P435" s="9"/>
      <c r="Q435" s="9"/>
      <c r="R435" s="9"/>
      <c r="S435" s="9"/>
      <c r="T435" s="9"/>
      <c r="U435" s="9"/>
      <c r="V435" s="10" t="e">
        <f t="shared" si="55"/>
        <v>#DIV/0!</v>
      </c>
      <c r="W435" s="10" t="e">
        <f t="shared" si="54"/>
        <v>#DIV/0!</v>
      </c>
      <c r="X435" s="7"/>
      <c r="Y435" s="11"/>
    </row>
    <row r="436" spans="1:25" customFormat="1">
      <c r="A436" s="119" t="s">
        <v>979</v>
      </c>
      <c r="B436" s="119" t="s">
        <v>94</v>
      </c>
      <c r="C436" s="119" t="s">
        <v>546</v>
      </c>
      <c r="D436" s="41" t="s">
        <v>67</v>
      </c>
      <c r="E436" s="136" t="s">
        <v>878</v>
      </c>
      <c r="F436" s="41" t="s">
        <v>882</v>
      </c>
      <c r="G436" s="7"/>
      <c r="H436" s="7"/>
      <c r="I436" s="7"/>
      <c r="J436" s="7" t="s">
        <v>99</v>
      </c>
      <c r="K436" s="8"/>
      <c r="L436" s="164">
        <f>Sheet1!B175</f>
        <v>48</v>
      </c>
      <c r="M436" s="164">
        <f>Sheet1!C175</f>
        <v>30.25</v>
      </c>
      <c r="N436" s="164">
        <f>Sheet1!D175</f>
        <v>66.55</v>
      </c>
      <c r="O436" s="164">
        <f>Sheet1!E175</f>
        <v>82.5</v>
      </c>
      <c r="P436" s="164">
        <f>Sheet1!F175</f>
        <v>89.96278265177591</v>
      </c>
      <c r="Q436" s="9"/>
      <c r="R436" s="9"/>
      <c r="S436" s="9"/>
      <c r="T436" s="9"/>
      <c r="U436" s="9"/>
      <c r="V436" s="10"/>
      <c r="W436" s="10"/>
      <c r="X436" s="7"/>
      <c r="Y436" s="11"/>
    </row>
    <row r="437" spans="1:25" customFormat="1">
      <c r="A437" s="119" t="s">
        <v>979</v>
      </c>
      <c r="B437" s="119" t="s">
        <v>94</v>
      </c>
      <c r="C437" s="119" t="s">
        <v>546</v>
      </c>
      <c r="D437" s="6" t="s">
        <v>1060</v>
      </c>
      <c r="E437" s="7"/>
      <c r="F437" s="7" t="s">
        <v>1061</v>
      </c>
      <c r="G437" s="7" t="s">
        <v>15</v>
      </c>
      <c r="H437" s="7" t="s">
        <v>16</v>
      </c>
      <c r="I437" s="7"/>
      <c r="J437" s="7" t="s">
        <v>99</v>
      </c>
      <c r="K437" s="111">
        <f>SUM(K438:K481)</f>
        <v>13264</v>
      </c>
      <c r="L437" s="164">
        <f>SUM(L438:L482)</f>
        <v>6350</v>
      </c>
      <c r="M437" s="164">
        <f t="shared" ref="M437:P437" si="56">SUM(M438:M482)</f>
        <v>6875</v>
      </c>
      <c r="N437" s="164">
        <f t="shared" si="56"/>
        <v>4921.5</v>
      </c>
      <c r="O437" s="164">
        <f t="shared" si="56"/>
        <v>5725</v>
      </c>
      <c r="P437" s="164">
        <f t="shared" si="56"/>
        <v>6018.1970000000001</v>
      </c>
      <c r="Q437" s="128"/>
      <c r="R437" s="128"/>
      <c r="S437" s="128"/>
      <c r="T437" s="128"/>
      <c r="U437" s="128"/>
      <c r="V437" s="10">
        <f t="shared" ref="V437:V481" si="57">+(P437/L437)^(1/4)-1</f>
        <v>-1.3327171278842309E-2</v>
      </c>
      <c r="W437" s="10" t="e">
        <f t="shared" ref="W437:W481" si="58">+(U437/Q437)^(1/4)-1</f>
        <v>#DIV/0!</v>
      </c>
      <c r="X437" s="7"/>
      <c r="Y437" s="11"/>
    </row>
    <row r="438" spans="1:25" customFormat="1">
      <c r="A438" s="119" t="s">
        <v>979</v>
      </c>
      <c r="B438" s="119" t="s">
        <v>94</v>
      </c>
      <c r="C438" s="119" t="s">
        <v>546</v>
      </c>
      <c r="D438" s="119" t="s">
        <v>1060</v>
      </c>
      <c r="E438" s="6" t="s">
        <v>333</v>
      </c>
      <c r="F438" s="7" t="s">
        <v>650</v>
      </c>
      <c r="G438" s="7" t="s">
        <v>15</v>
      </c>
      <c r="H438" s="7" t="s">
        <v>16</v>
      </c>
      <c r="I438" s="7"/>
      <c r="J438" s="7" t="s">
        <v>99</v>
      </c>
      <c r="K438" s="8"/>
      <c r="L438" s="164"/>
      <c r="M438" s="164"/>
      <c r="N438" s="164"/>
      <c r="O438" s="188"/>
      <c r="P438" s="9"/>
      <c r="Q438" s="9"/>
      <c r="R438" s="9"/>
      <c r="S438" s="9"/>
      <c r="T438" s="9"/>
      <c r="U438" s="9"/>
      <c r="V438" s="10" t="e">
        <f t="shared" si="57"/>
        <v>#DIV/0!</v>
      </c>
      <c r="W438" s="10" t="e">
        <f t="shared" si="58"/>
        <v>#DIV/0!</v>
      </c>
      <c r="X438" s="7"/>
      <c r="Y438" s="11"/>
    </row>
    <row r="439" spans="1:25" customFormat="1">
      <c r="A439" s="119" t="s">
        <v>979</v>
      </c>
      <c r="B439" s="119" t="s">
        <v>94</v>
      </c>
      <c r="C439" s="119" t="s">
        <v>546</v>
      </c>
      <c r="D439" s="119" t="s">
        <v>1060</v>
      </c>
      <c r="E439" s="6" t="s">
        <v>335</v>
      </c>
      <c r="F439" s="7" t="s">
        <v>651</v>
      </c>
      <c r="G439" s="7" t="s">
        <v>15</v>
      </c>
      <c r="H439" s="7" t="s">
        <v>16</v>
      </c>
      <c r="I439" s="7"/>
      <c r="J439" s="7" t="s">
        <v>99</v>
      </c>
      <c r="K439" s="8"/>
      <c r="L439" s="164"/>
      <c r="M439" s="164"/>
      <c r="N439" s="164"/>
      <c r="O439" s="188"/>
      <c r="P439" s="132"/>
      <c r="Q439" s="132"/>
      <c r="R439" s="132"/>
      <c r="S439" s="132"/>
      <c r="T439" s="132"/>
      <c r="U439" s="132"/>
      <c r="V439" s="10" t="e">
        <f t="shared" si="57"/>
        <v>#DIV/0!</v>
      </c>
      <c r="W439" s="10" t="e">
        <f t="shared" si="58"/>
        <v>#DIV/0!</v>
      </c>
      <c r="X439" s="7"/>
      <c r="Y439" s="11"/>
    </row>
    <row r="440" spans="1:25" customFormat="1">
      <c r="A440" s="119" t="s">
        <v>979</v>
      </c>
      <c r="B440" s="119" t="s">
        <v>94</v>
      </c>
      <c r="C440" s="119" t="s">
        <v>546</v>
      </c>
      <c r="D440" s="119" t="s">
        <v>1060</v>
      </c>
      <c r="E440" s="6" t="s">
        <v>337</v>
      </c>
      <c r="F440" s="7" t="s">
        <v>652</v>
      </c>
      <c r="G440" s="7" t="s">
        <v>15</v>
      </c>
      <c r="H440" s="7" t="s">
        <v>16</v>
      </c>
      <c r="I440" s="7"/>
      <c r="J440" s="7" t="s">
        <v>99</v>
      </c>
      <c r="K440" s="8"/>
      <c r="L440" s="164">
        <v>350</v>
      </c>
      <c r="M440" s="164">
        <v>280</v>
      </c>
      <c r="N440" s="164">
        <v>291.2</v>
      </c>
      <c r="O440" s="188">
        <v>310</v>
      </c>
      <c r="P440" s="165">
        <f>AVERAGE(L440:O440)*0.76</f>
        <v>233.928</v>
      </c>
      <c r="Q440" s="9"/>
      <c r="R440" s="9"/>
      <c r="S440" s="9"/>
      <c r="T440" s="9"/>
      <c r="U440" s="9"/>
      <c r="V440" s="10">
        <f t="shared" si="57"/>
        <v>-9.5822822238514349E-2</v>
      </c>
      <c r="W440" s="10" t="e">
        <f t="shared" si="58"/>
        <v>#DIV/0!</v>
      </c>
      <c r="X440" s="7"/>
      <c r="Y440" s="11"/>
    </row>
    <row r="441" spans="1:25" customFormat="1">
      <c r="A441" s="119" t="s">
        <v>979</v>
      </c>
      <c r="B441" s="119" t="s">
        <v>94</v>
      </c>
      <c r="C441" s="119" t="s">
        <v>546</v>
      </c>
      <c r="D441" s="119" t="s">
        <v>1060</v>
      </c>
      <c r="E441" s="6" t="s">
        <v>339</v>
      </c>
      <c r="F441" s="7" t="s">
        <v>653</v>
      </c>
      <c r="G441" s="7" t="s">
        <v>15</v>
      </c>
      <c r="H441" s="7" t="s">
        <v>16</v>
      </c>
      <c r="I441" s="7"/>
      <c r="J441" s="7" t="s">
        <v>99</v>
      </c>
      <c r="K441" s="8"/>
      <c r="L441" s="164" t="s">
        <v>1073</v>
      </c>
      <c r="M441" s="164">
        <v>150</v>
      </c>
      <c r="N441" s="164" t="s">
        <v>1073</v>
      </c>
      <c r="O441" s="188" t="s">
        <v>1073</v>
      </c>
      <c r="P441" s="9"/>
      <c r="Q441" s="9"/>
      <c r="R441" s="9"/>
      <c r="S441" s="9"/>
      <c r="T441" s="9"/>
      <c r="U441" s="9"/>
      <c r="V441" s="10" t="e">
        <f t="shared" si="57"/>
        <v>#VALUE!</v>
      </c>
      <c r="W441" s="10" t="e">
        <f t="shared" si="58"/>
        <v>#DIV/0!</v>
      </c>
      <c r="X441" s="7"/>
      <c r="Y441" s="11"/>
    </row>
    <row r="442" spans="1:25" customFormat="1">
      <c r="A442" s="119" t="s">
        <v>979</v>
      </c>
      <c r="B442" s="119" t="s">
        <v>94</v>
      </c>
      <c r="C442" s="119" t="s">
        <v>546</v>
      </c>
      <c r="D442" s="119" t="s">
        <v>1060</v>
      </c>
      <c r="E442" s="6" t="s">
        <v>341</v>
      </c>
      <c r="F442" s="7" t="s">
        <v>654</v>
      </c>
      <c r="G442" s="7" t="s">
        <v>15</v>
      </c>
      <c r="H442" s="7" t="s">
        <v>16</v>
      </c>
      <c r="I442" s="7"/>
      <c r="J442" s="7" t="s">
        <v>99</v>
      </c>
      <c r="K442" s="8"/>
      <c r="L442" s="164">
        <v>300</v>
      </c>
      <c r="M442" s="164">
        <v>150</v>
      </c>
      <c r="N442" s="164">
        <v>350</v>
      </c>
      <c r="O442" s="188">
        <v>100</v>
      </c>
      <c r="P442" s="165">
        <f>AVERAGE(L442:O442)*0.62</f>
        <v>139.5</v>
      </c>
      <c r="Q442" s="9"/>
      <c r="R442" s="9"/>
      <c r="S442" s="9"/>
      <c r="T442" s="9"/>
      <c r="U442" s="9"/>
      <c r="V442" s="10">
        <f t="shared" si="57"/>
        <v>-0.17422213347093585</v>
      </c>
      <c r="W442" s="10" t="e">
        <f t="shared" si="58"/>
        <v>#DIV/0!</v>
      </c>
      <c r="X442" s="7"/>
      <c r="Y442" s="11"/>
    </row>
    <row r="443" spans="1:25" customFormat="1">
      <c r="A443" s="119" t="s">
        <v>979</v>
      </c>
      <c r="B443" s="119" t="s">
        <v>94</v>
      </c>
      <c r="C443" s="119" t="s">
        <v>546</v>
      </c>
      <c r="D443" s="119" t="s">
        <v>1060</v>
      </c>
      <c r="E443" s="6" t="s">
        <v>343</v>
      </c>
      <c r="F443" s="7" t="s">
        <v>655</v>
      </c>
      <c r="G443" s="7" t="s">
        <v>15</v>
      </c>
      <c r="H443" s="7" t="s">
        <v>16</v>
      </c>
      <c r="I443" s="7"/>
      <c r="J443" s="7" t="s">
        <v>99</v>
      </c>
      <c r="K443" s="8"/>
      <c r="L443" s="164"/>
      <c r="M443" s="164"/>
      <c r="N443" s="164"/>
      <c r="O443" s="188"/>
      <c r="P443" s="9"/>
      <c r="Q443" s="9"/>
      <c r="R443" s="9"/>
      <c r="S443" s="9"/>
      <c r="T443" s="9"/>
      <c r="U443" s="9"/>
      <c r="V443" s="10" t="e">
        <f t="shared" si="57"/>
        <v>#DIV/0!</v>
      </c>
      <c r="W443" s="10" t="e">
        <f t="shared" si="58"/>
        <v>#DIV/0!</v>
      </c>
      <c r="X443" s="7"/>
      <c r="Y443" s="11"/>
    </row>
    <row r="444" spans="1:25" customFormat="1">
      <c r="A444" s="119" t="s">
        <v>979</v>
      </c>
      <c r="B444" s="119" t="s">
        <v>94</v>
      </c>
      <c r="C444" s="119" t="s">
        <v>546</v>
      </c>
      <c r="D444" s="119" t="s">
        <v>1060</v>
      </c>
      <c r="E444" s="6" t="s">
        <v>345</v>
      </c>
      <c r="F444" s="7" t="s">
        <v>656</v>
      </c>
      <c r="G444" s="7" t="s">
        <v>15</v>
      </c>
      <c r="H444" s="7" t="s">
        <v>16</v>
      </c>
      <c r="I444" s="7"/>
      <c r="J444" s="7" t="s">
        <v>99</v>
      </c>
      <c r="K444" s="8"/>
      <c r="L444" s="164">
        <v>150</v>
      </c>
      <c r="M444" s="164">
        <v>100</v>
      </c>
      <c r="N444" s="164" t="s">
        <v>1073</v>
      </c>
      <c r="O444" s="188">
        <v>150</v>
      </c>
      <c r="P444" s="165">
        <f>AVERAGE(L444:O444)*1.16</f>
        <v>154.66666666666666</v>
      </c>
      <c r="Q444" s="9"/>
      <c r="R444" s="9"/>
      <c r="S444" s="9"/>
      <c r="T444" s="9"/>
      <c r="U444" s="9"/>
      <c r="V444" s="10">
        <f t="shared" si="57"/>
        <v>7.6886493928507438E-3</v>
      </c>
      <c r="W444" s="10" t="e">
        <f t="shared" si="58"/>
        <v>#DIV/0!</v>
      </c>
      <c r="X444" s="7"/>
      <c r="Y444" s="11"/>
    </row>
    <row r="445" spans="1:25" customFormat="1">
      <c r="A445" s="119" t="s">
        <v>979</v>
      </c>
      <c r="B445" s="119" t="s">
        <v>94</v>
      </c>
      <c r="C445" s="119" t="s">
        <v>546</v>
      </c>
      <c r="D445" s="119" t="s">
        <v>1060</v>
      </c>
      <c r="E445" s="6" t="s">
        <v>347</v>
      </c>
      <c r="F445" s="7" t="s">
        <v>657</v>
      </c>
      <c r="G445" s="7" t="s">
        <v>15</v>
      </c>
      <c r="H445" s="7" t="s">
        <v>16</v>
      </c>
      <c r="I445" s="7"/>
      <c r="J445" s="7" t="s">
        <v>99</v>
      </c>
      <c r="K445" s="8"/>
      <c r="L445" s="164"/>
      <c r="M445" s="164"/>
      <c r="N445" s="164"/>
      <c r="O445" s="188"/>
      <c r="P445" s="9"/>
      <c r="Q445" s="9"/>
      <c r="R445" s="9"/>
      <c r="S445" s="9"/>
      <c r="T445" s="9"/>
      <c r="U445" s="9"/>
      <c r="V445" s="10" t="e">
        <f t="shared" si="57"/>
        <v>#DIV/0!</v>
      </c>
      <c r="W445" s="10" t="e">
        <f t="shared" si="58"/>
        <v>#DIV/0!</v>
      </c>
      <c r="X445" s="7"/>
      <c r="Y445" s="11"/>
    </row>
    <row r="446" spans="1:25" customFormat="1">
      <c r="A446" s="119" t="s">
        <v>979</v>
      </c>
      <c r="B446" s="119" t="s">
        <v>94</v>
      </c>
      <c r="C446" s="119" t="s">
        <v>546</v>
      </c>
      <c r="D446" s="119" t="s">
        <v>1060</v>
      </c>
      <c r="E446" s="6" t="s">
        <v>349</v>
      </c>
      <c r="F446" s="7" t="s">
        <v>658</v>
      </c>
      <c r="G446" s="7" t="s">
        <v>15</v>
      </c>
      <c r="H446" s="7" t="s">
        <v>16</v>
      </c>
      <c r="I446" s="7"/>
      <c r="J446" s="7" t="s">
        <v>99</v>
      </c>
      <c r="K446" s="8"/>
      <c r="L446" s="164">
        <v>250</v>
      </c>
      <c r="M446" s="164">
        <v>300</v>
      </c>
      <c r="N446" s="164">
        <v>300</v>
      </c>
      <c r="O446" s="188">
        <v>300</v>
      </c>
      <c r="P446" s="165">
        <f>AVERAGE(L446:O446)*1.16</f>
        <v>333.5</v>
      </c>
      <c r="Q446" s="9"/>
      <c r="R446" s="9"/>
      <c r="S446" s="9"/>
      <c r="T446" s="9"/>
      <c r="U446" s="9"/>
      <c r="V446" s="10">
        <f t="shared" si="57"/>
        <v>7.4704227887130159E-2</v>
      </c>
      <c r="W446" s="10" t="e">
        <f t="shared" si="58"/>
        <v>#DIV/0!</v>
      </c>
      <c r="X446" s="7"/>
      <c r="Y446" s="11"/>
    </row>
    <row r="447" spans="1:25" customFormat="1">
      <c r="A447" s="119" t="s">
        <v>979</v>
      </c>
      <c r="B447" s="119" t="s">
        <v>94</v>
      </c>
      <c r="C447" s="119" t="s">
        <v>546</v>
      </c>
      <c r="D447" s="119" t="s">
        <v>1060</v>
      </c>
      <c r="E447" s="6" t="s">
        <v>351</v>
      </c>
      <c r="F447" s="7" t="s">
        <v>659</v>
      </c>
      <c r="G447" s="7" t="s">
        <v>15</v>
      </c>
      <c r="H447" s="7" t="s">
        <v>16</v>
      </c>
      <c r="I447" s="7"/>
      <c r="J447" s="7" t="s">
        <v>99</v>
      </c>
      <c r="K447" s="8"/>
      <c r="L447" s="164"/>
      <c r="M447" s="164"/>
      <c r="N447" s="164"/>
      <c r="O447" s="188"/>
      <c r="P447" s="165"/>
      <c r="Q447" s="132"/>
      <c r="R447" s="132"/>
      <c r="S447" s="132"/>
      <c r="T447" s="132"/>
      <c r="U447" s="132"/>
      <c r="V447" s="10" t="e">
        <f t="shared" si="57"/>
        <v>#DIV/0!</v>
      </c>
      <c r="W447" s="10" t="e">
        <f t="shared" si="58"/>
        <v>#DIV/0!</v>
      </c>
      <c r="X447" s="7"/>
      <c r="Y447" s="11"/>
    </row>
    <row r="448" spans="1:25" customFormat="1">
      <c r="A448" s="119" t="s">
        <v>979</v>
      </c>
      <c r="B448" s="119" t="s">
        <v>94</v>
      </c>
      <c r="C448" s="119" t="s">
        <v>546</v>
      </c>
      <c r="D448" s="119" t="s">
        <v>1060</v>
      </c>
      <c r="E448" s="6" t="s">
        <v>353</v>
      </c>
      <c r="F448" s="7" t="s">
        <v>660</v>
      </c>
      <c r="G448" s="7" t="s">
        <v>15</v>
      </c>
      <c r="H448" s="7" t="s">
        <v>16</v>
      </c>
      <c r="I448" s="7"/>
      <c r="J448" s="7" t="s">
        <v>99</v>
      </c>
      <c r="K448" s="8"/>
      <c r="L448" s="164">
        <v>400</v>
      </c>
      <c r="M448" s="164">
        <v>650</v>
      </c>
      <c r="N448" s="164">
        <v>350</v>
      </c>
      <c r="O448" s="188">
        <v>400</v>
      </c>
      <c r="P448" s="165">
        <f>AVERAGE(L448:O448)</f>
        <v>450</v>
      </c>
      <c r="Q448" s="9"/>
      <c r="R448" s="9"/>
      <c r="S448" s="9"/>
      <c r="T448" s="9"/>
      <c r="U448" s="9"/>
      <c r="V448" s="10">
        <f t="shared" si="57"/>
        <v>2.9883571953558841E-2</v>
      </c>
      <c r="W448" s="10" t="e">
        <f t="shared" si="58"/>
        <v>#DIV/0!</v>
      </c>
      <c r="X448" s="7"/>
      <c r="Y448" s="11"/>
    </row>
    <row r="449" spans="1:25" customFormat="1">
      <c r="A449" s="119" t="s">
        <v>979</v>
      </c>
      <c r="B449" s="119" t="s">
        <v>94</v>
      </c>
      <c r="C449" s="119" t="s">
        <v>546</v>
      </c>
      <c r="D449" s="119" t="s">
        <v>1060</v>
      </c>
      <c r="E449" s="6" t="s">
        <v>355</v>
      </c>
      <c r="F449" s="7" t="s">
        <v>661</v>
      </c>
      <c r="G449" s="7" t="s">
        <v>15</v>
      </c>
      <c r="H449" s="7" t="s">
        <v>16</v>
      </c>
      <c r="I449" s="7"/>
      <c r="J449" s="7" t="s">
        <v>99</v>
      </c>
      <c r="K449" s="8"/>
      <c r="L449" s="164">
        <v>250</v>
      </c>
      <c r="M449" s="164">
        <v>100</v>
      </c>
      <c r="N449" s="164">
        <v>100</v>
      </c>
      <c r="O449" s="188">
        <v>100</v>
      </c>
      <c r="P449" s="165">
        <f>AVERAGE(L449:O449)</f>
        <v>137.5</v>
      </c>
      <c r="Q449" s="9"/>
      <c r="R449" s="9"/>
      <c r="S449" s="9"/>
      <c r="T449" s="9"/>
      <c r="U449" s="9"/>
      <c r="V449" s="10">
        <f t="shared" si="57"/>
        <v>-0.13882647003663295</v>
      </c>
      <c r="W449" s="10" t="e">
        <f t="shared" si="58"/>
        <v>#DIV/0!</v>
      </c>
      <c r="X449" s="7"/>
      <c r="Y449" s="11"/>
    </row>
    <row r="450" spans="1:25" customFormat="1">
      <c r="A450" s="119" t="s">
        <v>979</v>
      </c>
      <c r="B450" s="119" t="s">
        <v>94</v>
      </c>
      <c r="C450" s="119" t="s">
        <v>546</v>
      </c>
      <c r="D450" s="119" t="s">
        <v>1060</v>
      </c>
      <c r="E450" s="6" t="s">
        <v>357</v>
      </c>
      <c r="F450" s="7" t="s">
        <v>662</v>
      </c>
      <c r="G450" s="7" t="s">
        <v>15</v>
      </c>
      <c r="H450" s="7" t="s">
        <v>16</v>
      </c>
      <c r="I450" s="7"/>
      <c r="J450" s="7" t="s">
        <v>99</v>
      </c>
      <c r="K450" s="8"/>
      <c r="L450" s="164"/>
      <c r="M450" s="164"/>
      <c r="N450" s="164"/>
      <c r="O450" s="188"/>
      <c r="P450" s="9"/>
      <c r="Q450" s="9"/>
      <c r="R450" s="9"/>
      <c r="S450" s="9"/>
      <c r="T450" s="9"/>
      <c r="U450" s="9"/>
      <c r="V450" s="10" t="e">
        <f t="shared" si="57"/>
        <v>#DIV/0!</v>
      </c>
      <c r="W450" s="10" t="e">
        <f t="shared" si="58"/>
        <v>#DIV/0!</v>
      </c>
      <c r="X450" s="7"/>
      <c r="Y450" s="11"/>
    </row>
    <row r="451" spans="1:25" customFormat="1">
      <c r="A451" s="119" t="s">
        <v>979</v>
      </c>
      <c r="B451" s="119" t="s">
        <v>94</v>
      </c>
      <c r="C451" s="119" t="s">
        <v>546</v>
      </c>
      <c r="D451" s="119" t="s">
        <v>1060</v>
      </c>
      <c r="E451" s="6" t="s">
        <v>359</v>
      </c>
      <c r="F451" s="7" t="s">
        <v>663</v>
      </c>
      <c r="G451" s="7" t="s">
        <v>15</v>
      </c>
      <c r="H451" s="7" t="s">
        <v>16</v>
      </c>
      <c r="I451" s="7"/>
      <c r="J451" s="7" t="s">
        <v>99</v>
      </c>
      <c r="K451" s="8"/>
      <c r="L451" s="164"/>
      <c r="M451" s="164"/>
      <c r="N451" s="164"/>
      <c r="O451" s="188"/>
      <c r="P451" s="165"/>
      <c r="Q451" s="132"/>
      <c r="R451" s="132"/>
      <c r="S451" s="132"/>
      <c r="T451" s="132"/>
      <c r="U451" s="132"/>
      <c r="V451" s="10" t="e">
        <f t="shared" si="57"/>
        <v>#DIV/0!</v>
      </c>
      <c r="W451" s="10" t="e">
        <f t="shared" si="58"/>
        <v>#DIV/0!</v>
      </c>
      <c r="X451" s="7"/>
      <c r="Y451" s="11"/>
    </row>
    <row r="452" spans="1:25" customFormat="1">
      <c r="A452" s="119" t="s">
        <v>979</v>
      </c>
      <c r="B452" s="119" t="s">
        <v>94</v>
      </c>
      <c r="C452" s="119" t="s">
        <v>546</v>
      </c>
      <c r="D452" s="119" t="s">
        <v>1060</v>
      </c>
      <c r="E452" s="6" t="s">
        <v>361</v>
      </c>
      <c r="F452" s="7" t="s">
        <v>664</v>
      </c>
      <c r="G452" s="7" t="s">
        <v>15</v>
      </c>
      <c r="H452" s="7" t="s">
        <v>16</v>
      </c>
      <c r="I452" s="7"/>
      <c r="J452" s="7" t="s">
        <v>99</v>
      </c>
      <c r="K452" s="8">
        <v>2231</v>
      </c>
      <c r="L452" s="164">
        <v>450</v>
      </c>
      <c r="M452" s="164">
        <v>350</v>
      </c>
      <c r="N452" s="164">
        <v>200</v>
      </c>
      <c r="O452" s="188">
        <v>450</v>
      </c>
      <c r="P452" s="165">
        <f>AVERAGE(L452:O452)*1.3</f>
        <v>471.25</v>
      </c>
      <c r="Q452" s="9"/>
      <c r="R452" s="9"/>
      <c r="S452" s="9"/>
      <c r="T452" s="9"/>
      <c r="U452" s="9"/>
      <c r="V452" s="10">
        <f t="shared" si="57"/>
        <v>1.1602077004878142E-2</v>
      </c>
      <c r="W452" s="10" t="e">
        <f t="shared" si="58"/>
        <v>#DIV/0!</v>
      </c>
      <c r="X452" s="7"/>
      <c r="Y452" s="11"/>
    </row>
    <row r="453" spans="1:25" customFormat="1">
      <c r="A453" s="119" t="s">
        <v>979</v>
      </c>
      <c r="B453" s="119" t="s">
        <v>94</v>
      </c>
      <c r="C453" s="119" t="s">
        <v>546</v>
      </c>
      <c r="D453" s="119" t="s">
        <v>1060</v>
      </c>
      <c r="E453" s="6" t="s">
        <v>363</v>
      </c>
      <c r="F453" s="7" t="s">
        <v>665</v>
      </c>
      <c r="G453" s="7" t="s">
        <v>15</v>
      </c>
      <c r="H453" s="7" t="s">
        <v>16</v>
      </c>
      <c r="I453" s="7"/>
      <c r="J453" s="7" t="s">
        <v>99</v>
      </c>
      <c r="K453" s="8"/>
      <c r="L453" s="164"/>
      <c r="M453" s="164"/>
      <c r="N453" s="164"/>
      <c r="O453" s="188"/>
      <c r="P453" s="132"/>
      <c r="Q453" s="132"/>
      <c r="R453" s="132"/>
      <c r="S453" s="132"/>
      <c r="T453" s="132"/>
      <c r="U453" s="132"/>
      <c r="V453" s="10" t="e">
        <f t="shared" si="57"/>
        <v>#DIV/0!</v>
      </c>
      <c r="W453" s="10" t="e">
        <f t="shared" si="58"/>
        <v>#DIV/0!</v>
      </c>
      <c r="X453" s="7"/>
      <c r="Y453" s="11"/>
    </row>
    <row r="454" spans="1:25" customFormat="1">
      <c r="A454" s="119" t="s">
        <v>979</v>
      </c>
      <c r="B454" s="119" t="s">
        <v>94</v>
      </c>
      <c r="C454" s="119" t="s">
        <v>546</v>
      </c>
      <c r="D454" s="119" t="s">
        <v>1060</v>
      </c>
      <c r="E454" s="6" t="s">
        <v>365</v>
      </c>
      <c r="F454" s="7" t="s">
        <v>666</v>
      </c>
      <c r="G454" s="7" t="s">
        <v>15</v>
      </c>
      <c r="H454" s="7" t="s">
        <v>16</v>
      </c>
      <c r="I454" s="7"/>
      <c r="J454" s="7" t="s">
        <v>99</v>
      </c>
      <c r="K454" s="8">
        <v>1688</v>
      </c>
      <c r="L454" s="164">
        <v>1550</v>
      </c>
      <c r="M454" s="164">
        <v>1900</v>
      </c>
      <c r="N454" s="164">
        <v>1300</v>
      </c>
      <c r="O454" s="188">
        <v>1250</v>
      </c>
      <c r="P454" s="165">
        <f>AVERAGE(L454:O454)*0.93</f>
        <v>1395</v>
      </c>
      <c r="Q454" s="9"/>
      <c r="R454" s="9"/>
      <c r="S454" s="9"/>
      <c r="T454" s="9"/>
      <c r="U454" s="9"/>
      <c r="V454" s="10">
        <f t="shared" si="57"/>
        <v>-2.5996253574703254E-2</v>
      </c>
      <c r="W454" s="10" t="e">
        <f t="shared" si="58"/>
        <v>#DIV/0!</v>
      </c>
      <c r="X454" s="7"/>
      <c r="Y454" s="11"/>
    </row>
    <row r="455" spans="1:25" customFormat="1">
      <c r="A455" s="119" t="s">
        <v>979</v>
      </c>
      <c r="B455" s="119" t="s">
        <v>94</v>
      </c>
      <c r="C455" s="119" t="s">
        <v>546</v>
      </c>
      <c r="D455" s="119" t="s">
        <v>1060</v>
      </c>
      <c r="E455" s="6" t="s">
        <v>367</v>
      </c>
      <c r="F455" s="7" t="s">
        <v>667</v>
      </c>
      <c r="G455" s="7" t="s">
        <v>15</v>
      </c>
      <c r="H455" s="7" t="s">
        <v>16</v>
      </c>
      <c r="I455" s="7"/>
      <c r="J455" s="7" t="s">
        <v>99</v>
      </c>
      <c r="K455" s="8">
        <v>482</v>
      </c>
      <c r="L455" s="164">
        <v>150</v>
      </c>
      <c r="M455" s="164">
        <v>300</v>
      </c>
      <c r="N455" s="164">
        <v>150</v>
      </c>
      <c r="O455" s="188">
        <v>300</v>
      </c>
      <c r="P455" s="165">
        <f>AVERAGE(L455:O455)*1.4</f>
        <v>315</v>
      </c>
      <c r="Q455" s="9"/>
      <c r="R455" s="9"/>
      <c r="S455" s="9"/>
      <c r="T455" s="9"/>
      <c r="U455" s="9"/>
      <c r="V455" s="10">
        <f t="shared" si="57"/>
        <v>0.20380134350271595</v>
      </c>
      <c r="W455" s="10" t="e">
        <f t="shared" si="58"/>
        <v>#DIV/0!</v>
      </c>
      <c r="X455" s="7"/>
      <c r="Y455" s="11"/>
    </row>
    <row r="456" spans="1:25" customFormat="1">
      <c r="A456" s="119" t="s">
        <v>979</v>
      </c>
      <c r="B456" s="119" t="s">
        <v>94</v>
      </c>
      <c r="C456" s="119" t="s">
        <v>546</v>
      </c>
      <c r="D456" s="119" t="s">
        <v>1060</v>
      </c>
      <c r="E456" s="6" t="s">
        <v>369</v>
      </c>
      <c r="F456" s="7" t="s">
        <v>668</v>
      </c>
      <c r="G456" s="7" t="s">
        <v>15</v>
      </c>
      <c r="H456" s="7" t="s">
        <v>16</v>
      </c>
      <c r="I456" s="7"/>
      <c r="J456" s="7" t="s">
        <v>99</v>
      </c>
      <c r="K456" s="8"/>
      <c r="L456" s="164">
        <v>150</v>
      </c>
      <c r="M456" s="164">
        <v>200</v>
      </c>
      <c r="N456" s="164">
        <v>100</v>
      </c>
      <c r="O456" s="188">
        <v>100</v>
      </c>
      <c r="P456" s="165">
        <f>AVERAGE(L456:O456)*0.92</f>
        <v>126.5</v>
      </c>
      <c r="Q456" s="132"/>
      <c r="R456" s="132"/>
      <c r="S456" s="132"/>
      <c r="T456" s="132"/>
      <c r="U456" s="132"/>
      <c r="V456" s="10">
        <f t="shared" si="57"/>
        <v>-4.1703688345617107E-2</v>
      </c>
      <c r="W456" s="10" t="e">
        <f t="shared" si="58"/>
        <v>#DIV/0!</v>
      </c>
      <c r="X456" s="7"/>
      <c r="Y456" s="11"/>
    </row>
    <row r="457" spans="1:25" customFormat="1">
      <c r="A457" s="119" t="s">
        <v>979</v>
      </c>
      <c r="B457" s="119" t="s">
        <v>94</v>
      </c>
      <c r="C457" s="119" t="s">
        <v>546</v>
      </c>
      <c r="D457" s="119" t="s">
        <v>1060</v>
      </c>
      <c r="E457" s="6" t="s">
        <v>371</v>
      </c>
      <c r="F457" s="7" t="s">
        <v>669</v>
      </c>
      <c r="G457" s="7" t="s">
        <v>15</v>
      </c>
      <c r="H457" s="7" t="s">
        <v>16</v>
      </c>
      <c r="I457" s="7"/>
      <c r="J457" s="7" t="s">
        <v>99</v>
      </c>
      <c r="K457" s="8"/>
      <c r="L457" s="164"/>
      <c r="M457" s="164"/>
      <c r="N457" s="164"/>
      <c r="O457" s="188"/>
      <c r="P457" s="132"/>
      <c r="Q457" s="132"/>
      <c r="R457" s="132"/>
      <c r="S457" s="132"/>
      <c r="T457" s="132"/>
      <c r="U457" s="132"/>
      <c r="V457" s="10" t="e">
        <f t="shared" si="57"/>
        <v>#DIV/0!</v>
      </c>
      <c r="W457" s="10" t="e">
        <f t="shared" si="58"/>
        <v>#DIV/0!</v>
      </c>
      <c r="X457" s="7"/>
      <c r="Y457" s="11"/>
    </row>
    <row r="458" spans="1:25" customFormat="1">
      <c r="A458" s="119" t="s">
        <v>979</v>
      </c>
      <c r="B458" s="119" t="s">
        <v>94</v>
      </c>
      <c r="C458" s="119" t="s">
        <v>546</v>
      </c>
      <c r="D458" s="119" t="s">
        <v>1060</v>
      </c>
      <c r="E458" s="6" t="s">
        <v>373</v>
      </c>
      <c r="F458" s="7" t="s">
        <v>670</v>
      </c>
      <c r="G458" s="7" t="s">
        <v>15</v>
      </c>
      <c r="H458" s="7" t="s">
        <v>16</v>
      </c>
      <c r="I458" s="7"/>
      <c r="J458" s="7" t="s">
        <v>99</v>
      </c>
      <c r="K458" s="8">
        <v>844</v>
      </c>
      <c r="L458" s="164">
        <v>150</v>
      </c>
      <c r="M458" s="164">
        <v>250</v>
      </c>
      <c r="N458" s="164">
        <v>200</v>
      </c>
      <c r="O458" s="188">
        <v>100</v>
      </c>
      <c r="P458" s="165">
        <f>AVERAGE(L458:O458)*0.65</f>
        <v>113.75</v>
      </c>
      <c r="Q458" s="9"/>
      <c r="R458" s="9"/>
      <c r="S458" s="9"/>
      <c r="T458" s="9"/>
      <c r="U458" s="9"/>
      <c r="V458" s="10">
        <f t="shared" si="57"/>
        <v>-6.6820829007521843E-2</v>
      </c>
      <c r="W458" s="10" t="e">
        <f t="shared" si="58"/>
        <v>#DIV/0!</v>
      </c>
      <c r="X458" s="7"/>
      <c r="Y458" s="11"/>
    </row>
    <row r="459" spans="1:25" customFormat="1">
      <c r="A459" s="119" t="s">
        <v>979</v>
      </c>
      <c r="B459" s="119" t="s">
        <v>94</v>
      </c>
      <c r="C459" s="119" t="s">
        <v>546</v>
      </c>
      <c r="D459" s="119" t="s">
        <v>1060</v>
      </c>
      <c r="E459" s="6" t="s">
        <v>375</v>
      </c>
      <c r="F459" s="7" t="s">
        <v>671</v>
      </c>
      <c r="G459" s="7" t="s">
        <v>15</v>
      </c>
      <c r="H459" s="7" t="s">
        <v>16</v>
      </c>
      <c r="I459" s="7"/>
      <c r="J459" s="7" t="s">
        <v>99</v>
      </c>
      <c r="K459" s="8">
        <v>2201</v>
      </c>
      <c r="L459" s="164">
        <v>350</v>
      </c>
      <c r="M459" s="164">
        <v>245</v>
      </c>
      <c r="N459" s="164">
        <v>230.29999999999998</v>
      </c>
      <c r="O459" s="188">
        <v>265</v>
      </c>
      <c r="P459" s="165">
        <f t="shared" ref="P459" si="59">AVERAGE(L459:O459)*0.92</f>
        <v>250.76900000000001</v>
      </c>
      <c r="Q459" s="9"/>
      <c r="R459" s="9"/>
      <c r="S459" s="9"/>
      <c r="T459" s="9"/>
      <c r="U459" s="9"/>
      <c r="V459" s="10">
        <f t="shared" si="57"/>
        <v>-7.9971139624322785E-2</v>
      </c>
      <c r="W459" s="10" t="e">
        <f t="shared" si="58"/>
        <v>#DIV/0!</v>
      </c>
      <c r="X459" s="7"/>
      <c r="Y459" s="11"/>
    </row>
    <row r="460" spans="1:25" customFormat="1">
      <c r="A460" s="119" t="s">
        <v>979</v>
      </c>
      <c r="B460" s="119" t="s">
        <v>94</v>
      </c>
      <c r="C460" s="119" t="s">
        <v>546</v>
      </c>
      <c r="D460" s="119" t="s">
        <v>1060</v>
      </c>
      <c r="E460" s="6" t="s">
        <v>377</v>
      </c>
      <c r="F460" s="7" t="s">
        <v>672</v>
      </c>
      <c r="G460" s="7" t="s">
        <v>15</v>
      </c>
      <c r="H460" s="7" t="s">
        <v>16</v>
      </c>
      <c r="I460" s="7"/>
      <c r="J460" s="7" t="s">
        <v>99</v>
      </c>
      <c r="K460" s="8"/>
      <c r="L460" s="164"/>
      <c r="M460" s="164"/>
      <c r="N460" s="164"/>
      <c r="O460" s="188"/>
      <c r="P460" s="132"/>
      <c r="Q460" s="132"/>
      <c r="R460" s="132"/>
      <c r="S460" s="132"/>
      <c r="T460" s="132"/>
      <c r="U460" s="132"/>
      <c r="V460" s="10" t="e">
        <f t="shared" si="57"/>
        <v>#DIV/0!</v>
      </c>
      <c r="W460" s="10" t="e">
        <f t="shared" si="58"/>
        <v>#DIV/0!</v>
      </c>
      <c r="X460" s="7"/>
      <c r="Y460" s="11"/>
    </row>
    <row r="461" spans="1:25" customFormat="1">
      <c r="A461" s="119" t="s">
        <v>979</v>
      </c>
      <c r="B461" s="119" t="s">
        <v>94</v>
      </c>
      <c r="C461" s="119" t="s">
        <v>546</v>
      </c>
      <c r="D461" s="119" t="s">
        <v>1060</v>
      </c>
      <c r="E461" s="6" t="s">
        <v>379</v>
      </c>
      <c r="F461" s="7" t="s">
        <v>673</v>
      </c>
      <c r="G461" s="7" t="s">
        <v>15</v>
      </c>
      <c r="H461" s="7" t="s">
        <v>16</v>
      </c>
      <c r="I461" s="7"/>
      <c r="J461" s="7" t="s">
        <v>99</v>
      </c>
      <c r="K461" s="8"/>
      <c r="L461" s="164">
        <v>150</v>
      </c>
      <c r="M461" s="164">
        <v>300</v>
      </c>
      <c r="N461" s="164">
        <v>100</v>
      </c>
      <c r="O461" s="188">
        <v>350</v>
      </c>
      <c r="P461" s="165">
        <f>AVERAGE(L461:O461)*1.6</f>
        <v>360</v>
      </c>
      <c r="Q461" s="9"/>
      <c r="R461" s="9"/>
      <c r="S461" s="9"/>
      <c r="T461" s="9"/>
      <c r="U461" s="9"/>
      <c r="V461" s="10">
        <f t="shared" si="57"/>
        <v>0.24466595457695672</v>
      </c>
      <c r="W461" s="10" t="e">
        <f t="shared" si="58"/>
        <v>#DIV/0!</v>
      </c>
      <c r="X461" s="7"/>
      <c r="Y461" s="11"/>
    </row>
    <row r="462" spans="1:25" customFormat="1">
      <c r="A462" s="119" t="s">
        <v>979</v>
      </c>
      <c r="B462" s="119" t="s">
        <v>94</v>
      </c>
      <c r="C462" s="119" t="s">
        <v>546</v>
      </c>
      <c r="D462" s="119" t="s">
        <v>1060</v>
      </c>
      <c r="E462" s="6" t="s">
        <v>381</v>
      </c>
      <c r="F462" s="7" t="s">
        <v>674</v>
      </c>
      <c r="G462" s="7" t="s">
        <v>15</v>
      </c>
      <c r="H462" s="7" t="s">
        <v>16</v>
      </c>
      <c r="I462" s="7"/>
      <c r="J462" s="7" t="s">
        <v>99</v>
      </c>
      <c r="K462" s="8"/>
      <c r="L462" s="164"/>
      <c r="M462" s="164"/>
      <c r="N462" s="164"/>
      <c r="O462" s="188"/>
      <c r="P462" s="165"/>
      <c r="Q462" s="9"/>
      <c r="R462" s="9"/>
      <c r="S462" s="9"/>
      <c r="T462" s="9"/>
      <c r="U462" s="9"/>
      <c r="V462" s="10" t="e">
        <f t="shared" si="57"/>
        <v>#DIV/0!</v>
      </c>
      <c r="W462" s="10" t="e">
        <f t="shared" si="58"/>
        <v>#DIV/0!</v>
      </c>
      <c r="X462" s="7"/>
      <c r="Y462" s="11"/>
    </row>
    <row r="463" spans="1:25" customFormat="1">
      <c r="A463" s="119" t="s">
        <v>979</v>
      </c>
      <c r="B463" s="119" t="s">
        <v>94</v>
      </c>
      <c r="C463" s="119" t="s">
        <v>546</v>
      </c>
      <c r="D463" s="119" t="s">
        <v>1060</v>
      </c>
      <c r="E463" s="6" t="s">
        <v>383</v>
      </c>
      <c r="F463" s="7" t="s">
        <v>675</v>
      </c>
      <c r="G463" s="7" t="s">
        <v>15</v>
      </c>
      <c r="H463" s="7" t="s">
        <v>16</v>
      </c>
      <c r="I463" s="7"/>
      <c r="J463" s="7" t="s">
        <v>99</v>
      </c>
      <c r="K463" s="8"/>
      <c r="L463" s="164"/>
      <c r="M463" s="164"/>
      <c r="N463" s="164"/>
      <c r="O463" s="188"/>
      <c r="P463" s="165"/>
      <c r="Q463" s="9"/>
      <c r="R463" s="9"/>
      <c r="S463" s="9"/>
      <c r="T463" s="9"/>
      <c r="U463" s="9"/>
      <c r="V463" s="10" t="e">
        <f t="shared" si="57"/>
        <v>#DIV/0!</v>
      </c>
      <c r="W463" s="10" t="e">
        <f t="shared" si="58"/>
        <v>#DIV/0!</v>
      </c>
      <c r="X463" s="7"/>
      <c r="Y463" s="11"/>
    </row>
    <row r="464" spans="1:25" customFormat="1">
      <c r="A464" s="119" t="s">
        <v>979</v>
      </c>
      <c r="B464" s="119" t="s">
        <v>94</v>
      </c>
      <c r="C464" s="119" t="s">
        <v>546</v>
      </c>
      <c r="D464" s="119" t="s">
        <v>1060</v>
      </c>
      <c r="E464" s="6" t="s">
        <v>385</v>
      </c>
      <c r="F464" s="7" t="s">
        <v>676</v>
      </c>
      <c r="G464" s="7" t="s">
        <v>15</v>
      </c>
      <c r="H464" s="7" t="s">
        <v>16</v>
      </c>
      <c r="I464" s="7"/>
      <c r="J464" s="7" t="s">
        <v>99</v>
      </c>
      <c r="K464" s="8"/>
      <c r="L464" s="164"/>
      <c r="M464" s="164"/>
      <c r="N464" s="164"/>
      <c r="O464" s="188"/>
      <c r="P464" s="9"/>
      <c r="Q464" s="9"/>
      <c r="R464" s="9"/>
      <c r="S464" s="9"/>
      <c r="T464" s="9"/>
      <c r="U464" s="9"/>
      <c r="V464" s="10" t="e">
        <f t="shared" si="57"/>
        <v>#DIV/0!</v>
      </c>
      <c r="W464" s="10" t="e">
        <f t="shared" si="58"/>
        <v>#DIV/0!</v>
      </c>
      <c r="X464" s="7"/>
      <c r="Y464" s="11"/>
    </row>
    <row r="465" spans="1:25" customFormat="1">
      <c r="A465" s="119" t="s">
        <v>979</v>
      </c>
      <c r="B465" s="119" t="s">
        <v>94</v>
      </c>
      <c r="C465" s="119" t="s">
        <v>546</v>
      </c>
      <c r="D465" s="119" t="s">
        <v>1060</v>
      </c>
      <c r="E465" s="6" t="s">
        <v>387</v>
      </c>
      <c r="F465" s="7" t="s">
        <v>677</v>
      </c>
      <c r="G465" s="7" t="s">
        <v>15</v>
      </c>
      <c r="H465" s="7" t="s">
        <v>16</v>
      </c>
      <c r="I465" s="7"/>
      <c r="J465" s="7" t="s">
        <v>99</v>
      </c>
      <c r="K465" s="8">
        <v>904</v>
      </c>
      <c r="L465" s="164">
        <v>300</v>
      </c>
      <c r="M465" s="164">
        <v>350</v>
      </c>
      <c r="N465" s="164">
        <v>350</v>
      </c>
      <c r="O465" s="188">
        <v>150</v>
      </c>
      <c r="P465" s="165">
        <f>AVERAGE(L465:O465)*0.61</f>
        <v>175.375</v>
      </c>
      <c r="Q465" s="9"/>
      <c r="R465" s="9"/>
      <c r="S465" s="9"/>
      <c r="T465" s="9"/>
      <c r="U465" s="9"/>
      <c r="V465" s="10">
        <f t="shared" si="57"/>
        <v>-0.1255970637061693</v>
      </c>
      <c r="W465" s="10" t="e">
        <f t="shared" si="58"/>
        <v>#DIV/0!</v>
      </c>
      <c r="X465" s="7"/>
      <c r="Y465" s="11"/>
    </row>
    <row r="466" spans="1:25" customFormat="1">
      <c r="A466" s="119" t="s">
        <v>979</v>
      </c>
      <c r="B466" s="119" t="s">
        <v>94</v>
      </c>
      <c r="C466" s="119" t="s">
        <v>546</v>
      </c>
      <c r="D466" s="119" t="s">
        <v>1060</v>
      </c>
      <c r="E466" s="6" t="s">
        <v>389</v>
      </c>
      <c r="F466" s="7" t="s">
        <v>678</v>
      </c>
      <c r="G466" s="7" t="s">
        <v>15</v>
      </c>
      <c r="H466" s="7" t="s">
        <v>16</v>
      </c>
      <c r="I466" s="7"/>
      <c r="J466" s="7" t="s">
        <v>99</v>
      </c>
      <c r="K466" s="8"/>
      <c r="L466" s="164">
        <v>150</v>
      </c>
      <c r="M466" s="164">
        <v>100</v>
      </c>
      <c r="N466" s="164" t="s">
        <v>1073</v>
      </c>
      <c r="O466" s="188">
        <v>100</v>
      </c>
      <c r="P466" s="165">
        <f>AVERAGE(L466:O466)*1.1</f>
        <v>128.33333333333334</v>
      </c>
      <c r="Q466" s="132"/>
      <c r="R466" s="132"/>
      <c r="S466" s="132"/>
      <c r="T466" s="132"/>
      <c r="U466" s="132"/>
      <c r="V466" s="10">
        <f t="shared" si="57"/>
        <v>-3.8250312346931992E-2</v>
      </c>
      <c r="W466" s="10" t="e">
        <f t="shared" si="58"/>
        <v>#DIV/0!</v>
      </c>
      <c r="X466" s="7"/>
      <c r="Y466" s="11"/>
    </row>
    <row r="467" spans="1:25" customFormat="1">
      <c r="A467" s="119" t="s">
        <v>979</v>
      </c>
      <c r="B467" s="119" t="s">
        <v>94</v>
      </c>
      <c r="C467" s="119" t="s">
        <v>546</v>
      </c>
      <c r="D467" s="119" t="s">
        <v>1060</v>
      </c>
      <c r="E467" s="6" t="s">
        <v>391</v>
      </c>
      <c r="F467" s="7" t="s">
        <v>679</v>
      </c>
      <c r="G467" s="7" t="s">
        <v>15</v>
      </c>
      <c r="H467" s="7" t="s">
        <v>16</v>
      </c>
      <c r="I467" s="7"/>
      <c r="J467" s="7" t="s">
        <v>99</v>
      </c>
      <c r="K467" s="8"/>
      <c r="L467" s="164"/>
      <c r="M467" s="164"/>
      <c r="N467" s="164"/>
      <c r="O467" s="188"/>
      <c r="P467" s="165"/>
      <c r="Q467" s="9"/>
      <c r="R467" s="9"/>
      <c r="S467" s="9"/>
      <c r="T467" s="9"/>
      <c r="U467" s="9"/>
      <c r="V467" s="10" t="e">
        <f t="shared" si="57"/>
        <v>#DIV/0!</v>
      </c>
      <c r="W467" s="10" t="e">
        <f t="shared" si="58"/>
        <v>#DIV/0!</v>
      </c>
      <c r="X467" s="7"/>
      <c r="Y467" s="11"/>
    </row>
    <row r="468" spans="1:25" customFormat="1">
      <c r="A468" s="119" t="s">
        <v>979</v>
      </c>
      <c r="B468" s="119" t="s">
        <v>94</v>
      </c>
      <c r="C468" s="119" t="s">
        <v>546</v>
      </c>
      <c r="D468" s="119" t="s">
        <v>1060</v>
      </c>
      <c r="E468" s="6" t="s">
        <v>393</v>
      </c>
      <c r="F468" s="7" t="s">
        <v>680</v>
      </c>
      <c r="G468" s="7" t="s">
        <v>15</v>
      </c>
      <c r="H468" s="7" t="s">
        <v>16</v>
      </c>
      <c r="I468" s="7"/>
      <c r="J468" s="7" t="s">
        <v>99</v>
      </c>
      <c r="K468" s="8"/>
      <c r="L468" s="164"/>
      <c r="M468" s="164"/>
      <c r="N468" s="164"/>
      <c r="O468" s="188"/>
      <c r="P468" s="165"/>
      <c r="Q468" s="9"/>
      <c r="R468" s="9"/>
      <c r="S468" s="9"/>
      <c r="T468" s="9"/>
      <c r="U468" s="9"/>
      <c r="V468" s="10" t="e">
        <f t="shared" si="57"/>
        <v>#DIV/0!</v>
      </c>
      <c r="W468" s="10" t="e">
        <f t="shared" si="58"/>
        <v>#DIV/0!</v>
      </c>
      <c r="X468" s="7"/>
      <c r="Y468" s="11"/>
    </row>
    <row r="469" spans="1:25" customFormat="1">
      <c r="A469" s="119" t="s">
        <v>979</v>
      </c>
      <c r="B469" s="119" t="s">
        <v>94</v>
      </c>
      <c r="C469" s="119" t="s">
        <v>546</v>
      </c>
      <c r="D469" s="119" t="s">
        <v>1060</v>
      </c>
      <c r="E469" s="6" t="s">
        <v>395</v>
      </c>
      <c r="F469" s="7" t="s">
        <v>681</v>
      </c>
      <c r="G469" s="7" t="s">
        <v>15</v>
      </c>
      <c r="H469" s="7" t="s">
        <v>16</v>
      </c>
      <c r="I469" s="7"/>
      <c r="J469" s="7" t="s">
        <v>99</v>
      </c>
      <c r="K469" s="8"/>
      <c r="L469" s="164"/>
      <c r="M469" s="164"/>
      <c r="N469" s="164"/>
      <c r="O469" s="188"/>
      <c r="P469" s="9"/>
      <c r="Q469" s="9"/>
      <c r="R469" s="9"/>
      <c r="S469" s="9"/>
      <c r="T469" s="9"/>
      <c r="U469" s="9"/>
      <c r="V469" s="10" t="e">
        <f t="shared" si="57"/>
        <v>#DIV/0!</v>
      </c>
      <c r="W469" s="10" t="e">
        <f t="shared" si="58"/>
        <v>#DIV/0!</v>
      </c>
      <c r="X469" s="7"/>
      <c r="Y469" s="11"/>
    </row>
    <row r="470" spans="1:25" customFormat="1">
      <c r="A470" s="119" t="s">
        <v>979</v>
      </c>
      <c r="B470" s="119" t="s">
        <v>94</v>
      </c>
      <c r="C470" s="119" t="s">
        <v>546</v>
      </c>
      <c r="D470" s="119" t="s">
        <v>1060</v>
      </c>
      <c r="E470" s="6" t="s">
        <v>397</v>
      </c>
      <c r="F470" s="7" t="s">
        <v>682</v>
      </c>
      <c r="G470" s="7" t="s">
        <v>15</v>
      </c>
      <c r="H470" s="7" t="s">
        <v>16</v>
      </c>
      <c r="I470" s="7"/>
      <c r="J470" s="7" t="s">
        <v>99</v>
      </c>
      <c r="K470" s="8"/>
      <c r="L470" s="164"/>
      <c r="M470" s="164"/>
      <c r="N470" s="164"/>
      <c r="O470" s="188"/>
      <c r="P470" s="165"/>
      <c r="Q470" s="9"/>
      <c r="R470" s="9"/>
      <c r="S470" s="9"/>
      <c r="T470" s="9"/>
      <c r="U470" s="9"/>
      <c r="V470" s="10" t="e">
        <f t="shared" si="57"/>
        <v>#DIV/0!</v>
      </c>
      <c r="W470" s="10" t="e">
        <f t="shared" si="58"/>
        <v>#DIV/0!</v>
      </c>
      <c r="X470" s="7"/>
      <c r="Y470" s="11"/>
    </row>
    <row r="471" spans="1:25" customFormat="1">
      <c r="A471" s="119" t="s">
        <v>979</v>
      </c>
      <c r="B471" s="119" t="s">
        <v>94</v>
      </c>
      <c r="C471" s="119" t="s">
        <v>546</v>
      </c>
      <c r="D471" s="119" t="s">
        <v>1060</v>
      </c>
      <c r="E471" s="6" t="s">
        <v>399</v>
      </c>
      <c r="F471" s="7" t="s">
        <v>683</v>
      </c>
      <c r="G471" s="7" t="s">
        <v>15</v>
      </c>
      <c r="H471" s="7" t="s">
        <v>16</v>
      </c>
      <c r="I471" s="7"/>
      <c r="J471" s="7" t="s">
        <v>99</v>
      </c>
      <c r="K471" s="8"/>
      <c r="L471" s="164"/>
      <c r="M471" s="164"/>
      <c r="N471" s="164"/>
      <c r="O471" s="188"/>
      <c r="P471" s="9"/>
      <c r="Q471" s="9"/>
      <c r="R471" s="9"/>
      <c r="S471" s="9"/>
      <c r="T471" s="9"/>
      <c r="U471" s="9"/>
      <c r="V471" s="10" t="e">
        <f t="shared" si="57"/>
        <v>#DIV/0!</v>
      </c>
      <c r="W471" s="10" t="e">
        <f t="shared" si="58"/>
        <v>#DIV/0!</v>
      </c>
      <c r="X471" s="7"/>
      <c r="Y471" s="11"/>
    </row>
    <row r="472" spans="1:25" customFormat="1">
      <c r="A472" s="119" t="s">
        <v>979</v>
      </c>
      <c r="B472" s="119" t="s">
        <v>94</v>
      </c>
      <c r="C472" s="119" t="s">
        <v>546</v>
      </c>
      <c r="D472" s="119" t="s">
        <v>1060</v>
      </c>
      <c r="E472" s="6" t="s">
        <v>401</v>
      </c>
      <c r="F472" s="7" t="s">
        <v>684</v>
      </c>
      <c r="G472" s="7" t="s">
        <v>15</v>
      </c>
      <c r="H472" s="7" t="s">
        <v>16</v>
      </c>
      <c r="I472" s="7"/>
      <c r="J472" s="7" t="s">
        <v>99</v>
      </c>
      <c r="K472" s="8"/>
      <c r="L472" s="164"/>
      <c r="M472" s="164"/>
      <c r="N472" s="164"/>
      <c r="O472" s="188"/>
      <c r="P472" s="9"/>
      <c r="Q472" s="9"/>
      <c r="R472" s="9"/>
      <c r="S472" s="9"/>
      <c r="T472" s="9"/>
      <c r="U472" s="9"/>
      <c r="V472" s="10" t="e">
        <f t="shared" si="57"/>
        <v>#DIV/0!</v>
      </c>
      <c r="W472" s="10" t="e">
        <f t="shared" si="58"/>
        <v>#DIV/0!</v>
      </c>
      <c r="X472" s="7"/>
      <c r="Y472" s="11"/>
    </row>
    <row r="473" spans="1:25" customFormat="1">
      <c r="A473" s="119" t="s">
        <v>979</v>
      </c>
      <c r="B473" s="119" t="s">
        <v>94</v>
      </c>
      <c r="C473" s="119" t="s">
        <v>546</v>
      </c>
      <c r="D473" s="119" t="s">
        <v>1060</v>
      </c>
      <c r="E473" s="6" t="s">
        <v>403</v>
      </c>
      <c r="F473" s="7" t="s">
        <v>685</v>
      </c>
      <c r="G473" s="7" t="s">
        <v>15</v>
      </c>
      <c r="H473" s="7" t="s">
        <v>16</v>
      </c>
      <c r="I473" s="7"/>
      <c r="J473" s="7" t="s">
        <v>99</v>
      </c>
      <c r="K473" s="8"/>
      <c r="L473" s="164">
        <v>450</v>
      </c>
      <c r="M473" s="164">
        <v>450</v>
      </c>
      <c r="N473" s="164">
        <v>200</v>
      </c>
      <c r="O473" s="188">
        <v>200</v>
      </c>
      <c r="P473" s="165">
        <f>AVERAGE(L473:O473)*0.71</f>
        <v>230.75</v>
      </c>
      <c r="Q473" s="9"/>
      <c r="R473" s="9"/>
      <c r="S473" s="9"/>
      <c r="T473" s="9"/>
      <c r="U473" s="9"/>
      <c r="V473" s="10">
        <f t="shared" si="57"/>
        <v>-0.15378192213943587</v>
      </c>
      <c r="W473" s="10" t="e">
        <f t="shared" si="58"/>
        <v>#DIV/0!</v>
      </c>
      <c r="X473" s="7"/>
      <c r="Y473" s="11"/>
    </row>
    <row r="474" spans="1:25" customFormat="1">
      <c r="A474" s="119" t="s">
        <v>979</v>
      </c>
      <c r="B474" s="119" t="s">
        <v>94</v>
      </c>
      <c r="C474" s="119" t="s">
        <v>546</v>
      </c>
      <c r="D474" s="119" t="s">
        <v>1060</v>
      </c>
      <c r="E474" s="6" t="s">
        <v>405</v>
      </c>
      <c r="F474" s="7" t="s">
        <v>686</v>
      </c>
      <c r="G474" s="7" t="s">
        <v>15</v>
      </c>
      <c r="H474" s="7" t="s">
        <v>16</v>
      </c>
      <c r="I474" s="7"/>
      <c r="J474" s="7" t="s">
        <v>99</v>
      </c>
      <c r="K474" s="8"/>
      <c r="L474" s="164"/>
      <c r="M474" s="164"/>
      <c r="N474" s="164"/>
      <c r="O474" s="188"/>
      <c r="P474" s="9"/>
      <c r="Q474" s="9"/>
      <c r="R474" s="9"/>
      <c r="S474" s="9"/>
      <c r="T474" s="9"/>
      <c r="U474" s="9"/>
      <c r="V474" s="10" t="e">
        <f t="shared" si="57"/>
        <v>#DIV/0!</v>
      </c>
      <c r="W474" s="10" t="e">
        <f t="shared" si="58"/>
        <v>#DIV/0!</v>
      </c>
      <c r="X474" s="7"/>
      <c r="Y474" s="11"/>
    </row>
    <row r="475" spans="1:25" customFormat="1">
      <c r="A475" s="119" t="s">
        <v>979</v>
      </c>
      <c r="B475" s="119" t="s">
        <v>94</v>
      </c>
      <c r="C475" s="119" t="s">
        <v>546</v>
      </c>
      <c r="D475" s="119" t="s">
        <v>1060</v>
      </c>
      <c r="E475" s="6" t="s">
        <v>407</v>
      </c>
      <c r="F475" s="7" t="s">
        <v>687</v>
      </c>
      <c r="G475" s="7" t="s">
        <v>15</v>
      </c>
      <c r="H475" s="7" t="s">
        <v>16</v>
      </c>
      <c r="I475" s="7"/>
      <c r="J475" s="7" t="s">
        <v>99</v>
      </c>
      <c r="K475" s="8">
        <v>995</v>
      </c>
      <c r="L475" s="164">
        <v>300</v>
      </c>
      <c r="M475" s="164">
        <v>300</v>
      </c>
      <c r="N475" s="164">
        <v>250</v>
      </c>
      <c r="O475" s="188">
        <v>400</v>
      </c>
      <c r="P475" s="165">
        <f t="shared" ref="P475" si="60">AVERAGE(L475:O475)*0.71</f>
        <v>221.875</v>
      </c>
      <c r="Q475" s="9"/>
      <c r="R475" s="9"/>
      <c r="S475" s="9"/>
      <c r="T475" s="9"/>
      <c r="U475" s="9"/>
      <c r="V475" s="10">
        <f t="shared" si="57"/>
        <v>-7.2643374950645545E-2</v>
      </c>
      <c r="W475" s="10" t="e">
        <f t="shared" si="58"/>
        <v>#DIV/0!</v>
      </c>
      <c r="X475" s="7"/>
      <c r="Y475" s="11"/>
    </row>
    <row r="476" spans="1:25" customFormat="1">
      <c r="A476" s="119" t="s">
        <v>979</v>
      </c>
      <c r="B476" s="119" t="s">
        <v>94</v>
      </c>
      <c r="C476" s="119" t="s">
        <v>546</v>
      </c>
      <c r="D476" s="119" t="s">
        <v>1060</v>
      </c>
      <c r="E476" s="6" t="s">
        <v>409</v>
      </c>
      <c r="F476" s="7" t="s">
        <v>688</v>
      </c>
      <c r="G476" s="7" t="s">
        <v>15</v>
      </c>
      <c r="H476" s="7" t="s">
        <v>16</v>
      </c>
      <c r="I476" s="7"/>
      <c r="J476" s="7" t="s">
        <v>99</v>
      </c>
      <c r="K476" s="8"/>
      <c r="L476" s="164">
        <v>150</v>
      </c>
      <c r="M476" s="164">
        <v>100</v>
      </c>
      <c r="N476" s="164">
        <v>200</v>
      </c>
      <c r="O476" s="188">
        <v>150</v>
      </c>
      <c r="P476" s="165">
        <f>AVERAGE(L476:O476)*1.1</f>
        <v>165</v>
      </c>
      <c r="Q476" s="9"/>
      <c r="R476" s="9"/>
      <c r="S476" s="9"/>
      <c r="T476" s="9"/>
      <c r="U476" s="9"/>
      <c r="V476" s="10">
        <f t="shared" si="57"/>
        <v>2.4113689084445111E-2</v>
      </c>
      <c r="W476" s="10" t="e">
        <f t="shared" si="58"/>
        <v>#DIV/0!</v>
      </c>
      <c r="X476" s="7"/>
      <c r="Y476" s="11"/>
    </row>
    <row r="477" spans="1:25" customFormat="1">
      <c r="A477" s="119" t="s">
        <v>979</v>
      </c>
      <c r="B477" s="119" t="s">
        <v>94</v>
      </c>
      <c r="C477" s="119" t="s">
        <v>546</v>
      </c>
      <c r="D477" s="119" t="s">
        <v>1060</v>
      </c>
      <c r="E477" s="6" t="s">
        <v>411</v>
      </c>
      <c r="F477" s="7" t="s">
        <v>689</v>
      </c>
      <c r="G477" s="7" t="s">
        <v>15</v>
      </c>
      <c r="H477" s="7" t="s">
        <v>16</v>
      </c>
      <c r="I477" s="7"/>
      <c r="J477" s="7" t="s">
        <v>99</v>
      </c>
      <c r="K477" s="8">
        <v>633</v>
      </c>
      <c r="L477" s="164" t="s">
        <v>1073</v>
      </c>
      <c r="M477" s="164" t="s">
        <v>1073</v>
      </c>
      <c r="N477" s="164" t="s">
        <v>1073</v>
      </c>
      <c r="O477" s="188">
        <v>150</v>
      </c>
      <c r="P477" s="165">
        <f>AVERAGE(L477:O477)*1.07</f>
        <v>160.5</v>
      </c>
      <c r="Q477" s="9"/>
      <c r="R477" s="9"/>
      <c r="S477" s="9"/>
      <c r="T477" s="9"/>
      <c r="U477" s="9"/>
      <c r="V477" s="10" t="e">
        <f t="shared" si="57"/>
        <v>#VALUE!</v>
      </c>
      <c r="W477" s="10" t="e">
        <f t="shared" si="58"/>
        <v>#DIV/0!</v>
      </c>
      <c r="X477" s="7"/>
      <c r="Y477" s="11"/>
    </row>
    <row r="478" spans="1:25" customFormat="1">
      <c r="A478" s="119" t="s">
        <v>979</v>
      </c>
      <c r="B478" s="119" t="s">
        <v>94</v>
      </c>
      <c r="C478" s="119" t="s">
        <v>546</v>
      </c>
      <c r="D478" s="119" t="s">
        <v>1060</v>
      </c>
      <c r="E478" s="6" t="s">
        <v>413</v>
      </c>
      <c r="F478" s="7" t="s">
        <v>690</v>
      </c>
      <c r="G478" s="7" t="s">
        <v>15</v>
      </c>
      <c r="H478" s="7" t="s">
        <v>16</v>
      </c>
      <c r="I478" s="7"/>
      <c r="J478" s="7" t="s">
        <v>99</v>
      </c>
      <c r="K478" s="8"/>
      <c r="L478" s="164"/>
      <c r="M478" s="164"/>
      <c r="N478" s="164"/>
      <c r="O478" s="188"/>
      <c r="P478" s="9"/>
      <c r="Q478" s="9"/>
      <c r="R478" s="9"/>
      <c r="S478" s="9"/>
      <c r="T478" s="9"/>
      <c r="U478" s="9"/>
      <c r="V478" s="10" t="e">
        <f t="shared" si="57"/>
        <v>#DIV/0!</v>
      </c>
      <c r="W478" s="10" t="e">
        <f t="shared" si="58"/>
        <v>#DIV/0!</v>
      </c>
      <c r="X478" s="7"/>
      <c r="Y478" s="11"/>
    </row>
    <row r="479" spans="1:25" customFormat="1">
      <c r="A479" s="119" t="s">
        <v>979</v>
      </c>
      <c r="B479" s="119" t="s">
        <v>94</v>
      </c>
      <c r="C479" s="119" t="s">
        <v>546</v>
      </c>
      <c r="D479" s="119" t="s">
        <v>1060</v>
      </c>
      <c r="E479" s="6" t="s">
        <v>415</v>
      </c>
      <c r="F479" s="7" t="s">
        <v>691</v>
      </c>
      <c r="G479" s="7" t="s">
        <v>15</v>
      </c>
      <c r="H479" s="7" t="s">
        <v>16</v>
      </c>
      <c r="I479" s="7"/>
      <c r="J479" s="7" t="s">
        <v>99</v>
      </c>
      <c r="K479" s="8" t="s">
        <v>565</v>
      </c>
      <c r="L479" s="164">
        <v>100</v>
      </c>
      <c r="M479" s="164">
        <v>150</v>
      </c>
      <c r="N479" s="164">
        <v>150</v>
      </c>
      <c r="O479" s="188">
        <v>250</v>
      </c>
      <c r="P479" s="165">
        <f>AVERAGE(L479:O479)*1.7</f>
        <v>276.25</v>
      </c>
      <c r="Q479" s="9"/>
      <c r="R479" s="9"/>
      <c r="S479" s="9"/>
      <c r="T479" s="9"/>
      <c r="U479" s="9"/>
      <c r="V479" s="10">
        <f t="shared" si="57"/>
        <v>0.28921565839834029</v>
      </c>
      <c r="W479" s="10" t="e">
        <f t="shared" si="58"/>
        <v>#DIV/0!</v>
      </c>
      <c r="X479" s="7"/>
      <c r="Y479" s="11"/>
    </row>
    <row r="480" spans="1:25" customFormat="1">
      <c r="A480" s="119" t="s">
        <v>979</v>
      </c>
      <c r="B480" s="119" t="s">
        <v>94</v>
      </c>
      <c r="C480" s="119" t="s">
        <v>546</v>
      </c>
      <c r="D480" s="119" t="s">
        <v>1060</v>
      </c>
      <c r="E480" s="6" t="s">
        <v>417</v>
      </c>
      <c r="F480" s="7" t="s">
        <v>692</v>
      </c>
      <c r="G480" s="7" t="s">
        <v>15</v>
      </c>
      <c r="H480" s="7" t="s">
        <v>16</v>
      </c>
      <c r="I480" s="7"/>
      <c r="J480" s="7" t="s">
        <v>99</v>
      </c>
      <c r="K480" s="8"/>
      <c r="L480" s="164">
        <v>250</v>
      </c>
      <c r="M480" s="164">
        <v>150</v>
      </c>
      <c r="N480" s="164">
        <v>100</v>
      </c>
      <c r="O480" s="188">
        <v>150</v>
      </c>
      <c r="P480" s="165">
        <f t="shared" ref="P480" si="61">AVERAGE(L480:O480)*1.1</f>
        <v>178.75000000000003</v>
      </c>
      <c r="Q480" s="9"/>
      <c r="R480" s="9"/>
      <c r="S480" s="9"/>
      <c r="T480" s="9"/>
      <c r="U480" s="9"/>
      <c r="V480" s="10">
        <f t="shared" si="57"/>
        <v>-8.0447540232538861E-2</v>
      </c>
      <c r="W480" s="10" t="e">
        <f t="shared" si="58"/>
        <v>#DIV/0!</v>
      </c>
      <c r="X480" s="7"/>
      <c r="Y480" s="11"/>
    </row>
    <row r="481" spans="1:25" customFormat="1">
      <c r="A481" s="119" t="s">
        <v>979</v>
      </c>
      <c r="B481" s="119" t="s">
        <v>94</v>
      </c>
      <c r="C481" s="119" t="s">
        <v>546</v>
      </c>
      <c r="D481" s="119" t="s">
        <v>1060</v>
      </c>
      <c r="E481" s="6" t="s">
        <v>419</v>
      </c>
      <c r="F481" s="7" t="s">
        <v>693</v>
      </c>
      <c r="G481" s="7" t="s">
        <v>15</v>
      </c>
      <c r="H481" s="7" t="s">
        <v>16</v>
      </c>
      <c r="I481" s="7"/>
      <c r="J481" s="7" t="s">
        <v>99</v>
      </c>
      <c r="K481" s="8">
        <v>3286</v>
      </c>
      <c r="L481" s="164"/>
      <c r="M481" s="164"/>
      <c r="N481" s="164"/>
      <c r="O481" s="188"/>
      <c r="P481" s="9"/>
      <c r="Q481" s="9"/>
      <c r="R481" s="9"/>
      <c r="S481" s="9"/>
      <c r="T481" s="9"/>
      <c r="U481" s="9"/>
      <c r="V481" s="10" t="e">
        <f t="shared" si="57"/>
        <v>#DIV/0!</v>
      </c>
      <c r="W481" s="10" t="e">
        <f t="shared" si="58"/>
        <v>#DIV/0!</v>
      </c>
      <c r="X481" s="7"/>
      <c r="Y481" s="11"/>
    </row>
    <row r="482" spans="1:25" customFormat="1">
      <c r="A482" s="119" t="s">
        <v>979</v>
      </c>
      <c r="B482" s="119" t="s">
        <v>94</v>
      </c>
      <c r="C482" s="119" t="s">
        <v>546</v>
      </c>
      <c r="D482" s="41" t="s">
        <v>1060</v>
      </c>
      <c r="E482" s="136" t="s">
        <v>1059</v>
      </c>
      <c r="F482" s="41" t="s">
        <v>882</v>
      </c>
      <c r="G482" s="7"/>
      <c r="H482" s="7"/>
      <c r="I482" s="7"/>
      <c r="J482" s="7" t="s">
        <v>99</v>
      </c>
      <c r="K482" s="8"/>
      <c r="L482" s="164"/>
      <c r="M482" s="164"/>
      <c r="N482" s="164"/>
      <c r="O482" s="188"/>
      <c r="P482" s="9"/>
      <c r="Q482" s="9"/>
      <c r="R482" s="9"/>
      <c r="S482" s="9"/>
      <c r="T482" s="9"/>
      <c r="U482" s="9"/>
      <c r="V482" s="10"/>
      <c r="W482" s="10"/>
      <c r="X482" s="7"/>
      <c r="Y482" s="11"/>
    </row>
    <row r="483" spans="1:25" customFormat="1">
      <c r="A483" s="119" t="s">
        <v>979</v>
      </c>
      <c r="B483" s="119" t="s">
        <v>94</v>
      </c>
      <c r="C483" s="119" t="s">
        <v>546</v>
      </c>
      <c r="D483" s="6" t="s">
        <v>70</v>
      </c>
      <c r="E483" s="7"/>
      <c r="F483" s="7" t="s">
        <v>694</v>
      </c>
      <c r="G483" s="7" t="s">
        <v>15</v>
      </c>
      <c r="H483" s="7" t="s">
        <v>16</v>
      </c>
      <c r="I483" s="7"/>
      <c r="J483" s="7" t="s">
        <v>99</v>
      </c>
      <c r="K483" s="111">
        <f>SUM(K484:K497)</f>
        <v>0</v>
      </c>
      <c r="L483" s="164">
        <f>SUM(L484:L498)</f>
        <v>36</v>
      </c>
      <c r="M483" s="164">
        <f t="shared" ref="M483:P483" si="62">SUM(M484:M498)</f>
        <v>23</v>
      </c>
      <c r="N483" s="164">
        <f t="shared" si="62"/>
        <v>52.25</v>
      </c>
      <c r="O483" s="164">
        <f t="shared" si="62"/>
        <v>70.5</v>
      </c>
      <c r="P483" s="164">
        <f t="shared" si="62"/>
        <v>70.214854752605575</v>
      </c>
      <c r="Q483" s="128"/>
      <c r="R483" s="128"/>
      <c r="S483" s="128"/>
      <c r="T483" s="128"/>
      <c r="U483" s="128"/>
      <c r="V483" s="10">
        <f t="shared" ref="V483:V497" si="63">+(P483/L483)^(1/4)-1</f>
        <v>0.18176636545643299</v>
      </c>
      <c r="W483" s="10" t="e">
        <f t="shared" ref="W483:W497" si="64">+(U483/Q483)^(1/4)-1</f>
        <v>#DIV/0!</v>
      </c>
      <c r="X483" s="7"/>
      <c r="Y483" s="11"/>
    </row>
    <row r="484" spans="1:25" customFormat="1">
      <c r="A484" s="119" t="s">
        <v>979</v>
      </c>
      <c r="B484" s="119" t="s">
        <v>94</v>
      </c>
      <c r="C484" s="119" t="s">
        <v>546</v>
      </c>
      <c r="D484" s="119" t="s">
        <v>70</v>
      </c>
      <c r="E484" s="6" t="s">
        <v>422</v>
      </c>
      <c r="F484" s="7" t="s">
        <v>695</v>
      </c>
      <c r="G484" s="7" t="s">
        <v>15</v>
      </c>
      <c r="H484" s="7" t="s">
        <v>16</v>
      </c>
      <c r="I484" s="7"/>
      <c r="J484" s="7" t="s">
        <v>99</v>
      </c>
      <c r="K484" s="8"/>
      <c r="L484" s="164"/>
      <c r="M484" s="164"/>
      <c r="N484" s="164"/>
      <c r="O484" s="188"/>
      <c r="P484" s="9"/>
      <c r="Q484" s="9"/>
      <c r="R484" s="9"/>
      <c r="S484" s="9"/>
      <c r="T484" s="9"/>
      <c r="U484" s="9"/>
      <c r="V484" s="10" t="e">
        <f t="shared" si="63"/>
        <v>#DIV/0!</v>
      </c>
      <c r="W484" s="10" t="e">
        <f t="shared" si="64"/>
        <v>#DIV/0!</v>
      </c>
      <c r="X484" s="7"/>
      <c r="Y484" s="11"/>
    </row>
    <row r="485" spans="1:25" customFormat="1">
      <c r="A485" s="119" t="s">
        <v>979</v>
      </c>
      <c r="B485" s="119" t="s">
        <v>94</v>
      </c>
      <c r="C485" s="119" t="s">
        <v>546</v>
      </c>
      <c r="D485" s="119" t="s">
        <v>70</v>
      </c>
      <c r="E485" s="6" t="s">
        <v>424</v>
      </c>
      <c r="F485" s="7" t="s">
        <v>696</v>
      </c>
      <c r="G485" s="7" t="s">
        <v>15</v>
      </c>
      <c r="H485" s="7" t="s">
        <v>16</v>
      </c>
      <c r="I485" s="7"/>
      <c r="J485" s="7" t="s">
        <v>99</v>
      </c>
      <c r="K485" s="8"/>
      <c r="L485" s="164"/>
      <c r="M485" s="164"/>
      <c r="N485" s="164"/>
      <c r="O485" s="188"/>
      <c r="P485" s="9"/>
      <c r="Q485" s="9"/>
      <c r="R485" s="9"/>
      <c r="S485" s="9"/>
      <c r="T485" s="9"/>
      <c r="U485" s="9"/>
      <c r="V485" s="10" t="e">
        <f t="shared" si="63"/>
        <v>#DIV/0!</v>
      </c>
      <c r="W485" s="10" t="e">
        <f t="shared" si="64"/>
        <v>#DIV/0!</v>
      </c>
      <c r="X485" s="7"/>
      <c r="Y485" s="11"/>
    </row>
    <row r="486" spans="1:25" customFormat="1">
      <c r="A486" s="119" t="s">
        <v>979</v>
      </c>
      <c r="B486" s="119" t="s">
        <v>94</v>
      </c>
      <c r="C486" s="119" t="s">
        <v>546</v>
      </c>
      <c r="D486" s="119" t="s">
        <v>70</v>
      </c>
      <c r="E486" s="6" t="s">
        <v>426</v>
      </c>
      <c r="F486" s="7" t="s">
        <v>697</v>
      </c>
      <c r="G486" s="7" t="s">
        <v>15</v>
      </c>
      <c r="H486" s="7" t="s">
        <v>16</v>
      </c>
      <c r="I486" s="7"/>
      <c r="J486" s="7" t="s">
        <v>99</v>
      </c>
      <c r="K486" s="8"/>
      <c r="L486" s="164"/>
      <c r="M486" s="164"/>
      <c r="N486" s="164"/>
      <c r="O486" s="188"/>
      <c r="P486" s="9"/>
      <c r="Q486" s="9"/>
      <c r="R486" s="9"/>
      <c r="S486" s="9"/>
      <c r="T486" s="9"/>
      <c r="U486" s="9"/>
      <c r="V486" s="10" t="e">
        <f t="shared" si="63"/>
        <v>#DIV/0!</v>
      </c>
      <c r="W486" s="10" t="e">
        <f t="shared" si="64"/>
        <v>#DIV/0!</v>
      </c>
      <c r="X486" s="7"/>
      <c r="Y486" s="11"/>
    </row>
    <row r="487" spans="1:25" customFormat="1">
      <c r="A487" s="119" t="s">
        <v>979</v>
      </c>
      <c r="B487" s="119" t="s">
        <v>94</v>
      </c>
      <c r="C487" s="119" t="s">
        <v>546</v>
      </c>
      <c r="D487" s="119" t="s">
        <v>70</v>
      </c>
      <c r="E487" s="6" t="s">
        <v>428</v>
      </c>
      <c r="F487" s="7" t="s">
        <v>698</v>
      </c>
      <c r="G487" s="7" t="s">
        <v>15</v>
      </c>
      <c r="H487" s="7" t="s">
        <v>16</v>
      </c>
      <c r="I487" s="7"/>
      <c r="J487" s="7" t="s">
        <v>99</v>
      </c>
      <c r="K487" s="8"/>
      <c r="L487" s="164"/>
      <c r="M487" s="164"/>
      <c r="N487" s="164"/>
      <c r="O487" s="188"/>
      <c r="P487" s="165"/>
      <c r="Q487" s="9"/>
      <c r="R487" s="9"/>
      <c r="S487" s="9"/>
      <c r="T487" s="9"/>
      <c r="U487" s="9"/>
      <c r="V487" s="10" t="e">
        <f t="shared" si="63"/>
        <v>#DIV/0!</v>
      </c>
      <c r="W487" s="10" t="e">
        <f t="shared" si="64"/>
        <v>#DIV/0!</v>
      </c>
      <c r="X487" s="7"/>
      <c r="Y487" s="11"/>
    </row>
    <row r="488" spans="1:25" customFormat="1">
      <c r="A488" s="119" t="s">
        <v>979</v>
      </c>
      <c r="B488" s="119" t="s">
        <v>94</v>
      </c>
      <c r="C488" s="119" t="s">
        <v>546</v>
      </c>
      <c r="D488" s="119" t="s">
        <v>70</v>
      </c>
      <c r="E488" s="6" t="s">
        <v>430</v>
      </c>
      <c r="F488" s="7" t="s">
        <v>699</v>
      </c>
      <c r="G488" s="7" t="s">
        <v>15</v>
      </c>
      <c r="H488" s="7" t="s">
        <v>16</v>
      </c>
      <c r="I488" s="7"/>
      <c r="J488" s="7" t="s">
        <v>99</v>
      </c>
      <c r="K488" s="8"/>
      <c r="L488" s="164"/>
      <c r="M488" s="164"/>
      <c r="N488" s="164"/>
      <c r="O488" s="188"/>
      <c r="P488" s="9"/>
      <c r="Q488" s="9"/>
      <c r="R488" s="9"/>
      <c r="S488" s="9"/>
      <c r="T488" s="9"/>
      <c r="U488" s="9"/>
      <c r="V488" s="10" t="e">
        <f t="shared" si="63"/>
        <v>#DIV/0!</v>
      </c>
      <c r="W488" s="10" t="e">
        <f t="shared" si="64"/>
        <v>#DIV/0!</v>
      </c>
      <c r="X488" s="7"/>
      <c r="Y488" s="11"/>
    </row>
    <row r="489" spans="1:25" customFormat="1">
      <c r="A489" s="119" t="s">
        <v>979</v>
      </c>
      <c r="B489" s="119" t="s">
        <v>94</v>
      </c>
      <c r="C489" s="119" t="s">
        <v>546</v>
      </c>
      <c r="D489" s="119" t="s">
        <v>70</v>
      </c>
      <c r="E489" s="6" t="s">
        <v>432</v>
      </c>
      <c r="F489" s="7" t="s">
        <v>700</v>
      </c>
      <c r="G489" s="7" t="s">
        <v>15</v>
      </c>
      <c r="H489" s="7" t="s">
        <v>16</v>
      </c>
      <c r="I489" s="7"/>
      <c r="J489" s="7" t="s">
        <v>99</v>
      </c>
      <c r="K489" s="8"/>
      <c r="L489" s="164"/>
      <c r="M489" s="164"/>
      <c r="N489" s="164"/>
      <c r="O489" s="188"/>
      <c r="P489" s="9"/>
      <c r="Q489" s="9"/>
      <c r="R489" s="9"/>
      <c r="S489" s="9"/>
      <c r="T489" s="9"/>
      <c r="U489" s="9"/>
      <c r="V489" s="10" t="e">
        <f t="shared" si="63"/>
        <v>#DIV/0!</v>
      </c>
      <c r="W489" s="10" t="e">
        <f t="shared" si="64"/>
        <v>#DIV/0!</v>
      </c>
      <c r="X489" s="7"/>
      <c r="Y489" s="11"/>
    </row>
    <row r="490" spans="1:25" customFormat="1">
      <c r="A490" s="119" t="s">
        <v>979</v>
      </c>
      <c r="B490" s="119" t="s">
        <v>94</v>
      </c>
      <c r="C490" s="119" t="s">
        <v>546</v>
      </c>
      <c r="D490" s="119" t="s">
        <v>70</v>
      </c>
      <c r="E490" s="6" t="s">
        <v>434</v>
      </c>
      <c r="F490" s="7" t="s">
        <v>701</v>
      </c>
      <c r="G490" s="7" t="s">
        <v>15</v>
      </c>
      <c r="H490" s="7" t="s">
        <v>16</v>
      </c>
      <c r="I490" s="7"/>
      <c r="J490" s="7" t="s">
        <v>99</v>
      </c>
      <c r="K490" s="8"/>
      <c r="L490" s="164"/>
      <c r="M490" s="164"/>
      <c r="N490" s="164"/>
      <c r="O490" s="188"/>
      <c r="P490" s="9"/>
      <c r="Q490" s="9"/>
      <c r="R490" s="9"/>
      <c r="S490" s="9"/>
      <c r="T490" s="9"/>
      <c r="U490" s="9"/>
      <c r="V490" s="10" t="e">
        <f t="shared" si="63"/>
        <v>#DIV/0!</v>
      </c>
      <c r="W490" s="10" t="e">
        <f t="shared" si="64"/>
        <v>#DIV/0!</v>
      </c>
      <c r="X490" s="7"/>
      <c r="Y490" s="11"/>
    </row>
    <row r="491" spans="1:25" customFormat="1">
      <c r="A491" s="119" t="s">
        <v>979</v>
      </c>
      <c r="B491" s="119" t="s">
        <v>94</v>
      </c>
      <c r="C491" s="119" t="s">
        <v>546</v>
      </c>
      <c r="D491" s="119" t="s">
        <v>70</v>
      </c>
      <c r="E491" s="6" t="s">
        <v>436</v>
      </c>
      <c r="F491" s="7" t="s">
        <v>702</v>
      </c>
      <c r="G491" s="7" t="s">
        <v>15</v>
      </c>
      <c r="H491" s="7" t="s">
        <v>16</v>
      </c>
      <c r="I491" s="7"/>
      <c r="J491" s="7" t="s">
        <v>99</v>
      </c>
      <c r="K491" s="8"/>
      <c r="L491" s="164"/>
      <c r="M491" s="164"/>
      <c r="N491" s="164"/>
      <c r="O491" s="188"/>
      <c r="P491" s="9"/>
      <c r="Q491" s="9"/>
      <c r="R491" s="9"/>
      <c r="S491" s="9"/>
      <c r="T491" s="9"/>
      <c r="U491" s="9"/>
      <c r="V491" s="10" t="e">
        <f t="shared" si="63"/>
        <v>#DIV/0!</v>
      </c>
      <c r="W491" s="10" t="e">
        <f t="shared" si="64"/>
        <v>#DIV/0!</v>
      </c>
      <c r="X491" s="7"/>
      <c r="Y491" s="11"/>
    </row>
    <row r="492" spans="1:25" customFormat="1">
      <c r="A492" s="119" t="s">
        <v>979</v>
      </c>
      <c r="B492" s="119" t="s">
        <v>94</v>
      </c>
      <c r="C492" s="119" t="s">
        <v>546</v>
      </c>
      <c r="D492" s="119" t="s">
        <v>70</v>
      </c>
      <c r="E492" s="6" t="s">
        <v>438</v>
      </c>
      <c r="F492" s="7" t="s">
        <v>703</v>
      </c>
      <c r="G492" s="7" t="s">
        <v>15</v>
      </c>
      <c r="H492" s="7" t="s">
        <v>16</v>
      </c>
      <c r="I492" s="7"/>
      <c r="J492" s="7" t="s">
        <v>99</v>
      </c>
      <c r="K492" s="8"/>
      <c r="L492" s="164"/>
      <c r="M492" s="164"/>
      <c r="N492" s="164"/>
      <c r="O492" s="188"/>
      <c r="P492" s="9"/>
      <c r="Q492" s="9"/>
      <c r="R492" s="9"/>
      <c r="S492" s="9"/>
      <c r="T492" s="9"/>
      <c r="U492" s="9"/>
      <c r="V492" s="10" t="e">
        <f t="shared" si="63"/>
        <v>#DIV/0!</v>
      </c>
      <c r="W492" s="10" t="e">
        <f t="shared" si="64"/>
        <v>#DIV/0!</v>
      </c>
      <c r="X492" s="7"/>
      <c r="Y492" s="11"/>
    </row>
    <row r="493" spans="1:25" customFormat="1">
      <c r="A493" s="119" t="s">
        <v>979</v>
      </c>
      <c r="B493" s="119" t="s">
        <v>94</v>
      </c>
      <c r="C493" s="119" t="s">
        <v>546</v>
      </c>
      <c r="D493" s="119" t="s">
        <v>70</v>
      </c>
      <c r="E493" s="6" t="s">
        <v>440</v>
      </c>
      <c r="F493" s="7" t="s">
        <v>704</v>
      </c>
      <c r="G493" s="7" t="s">
        <v>15</v>
      </c>
      <c r="H493" s="7" t="s">
        <v>16</v>
      </c>
      <c r="I493" s="7"/>
      <c r="J493" s="7" t="s">
        <v>99</v>
      </c>
      <c r="K493" s="8"/>
      <c r="L493" s="164"/>
      <c r="M493" s="164"/>
      <c r="N493" s="164"/>
      <c r="O493" s="188"/>
      <c r="P493" s="9"/>
      <c r="Q493" s="9"/>
      <c r="R493" s="9"/>
      <c r="S493" s="9"/>
      <c r="T493" s="9"/>
      <c r="U493" s="9"/>
      <c r="V493" s="10" t="e">
        <f t="shared" si="63"/>
        <v>#DIV/0!</v>
      </c>
      <c r="W493" s="10" t="e">
        <f t="shared" si="64"/>
        <v>#DIV/0!</v>
      </c>
      <c r="X493" s="7"/>
      <c r="Y493" s="11"/>
    </row>
    <row r="494" spans="1:25" customFormat="1">
      <c r="A494" s="119" t="s">
        <v>979</v>
      </c>
      <c r="B494" s="119" t="s">
        <v>94</v>
      </c>
      <c r="C494" s="119" t="s">
        <v>546</v>
      </c>
      <c r="D494" s="119" t="s">
        <v>70</v>
      </c>
      <c r="E494" s="6" t="s">
        <v>442</v>
      </c>
      <c r="F494" s="7" t="s">
        <v>705</v>
      </c>
      <c r="G494" s="7" t="s">
        <v>15</v>
      </c>
      <c r="H494" s="7" t="s">
        <v>16</v>
      </c>
      <c r="I494" s="7"/>
      <c r="J494" s="7" t="s">
        <v>99</v>
      </c>
      <c r="K494" s="8"/>
      <c r="L494" s="164"/>
      <c r="M494" s="164"/>
      <c r="N494" s="164"/>
      <c r="O494" s="188"/>
      <c r="P494" s="9"/>
      <c r="Q494" s="9"/>
      <c r="R494" s="9"/>
      <c r="S494" s="9"/>
      <c r="T494" s="9"/>
      <c r="U494" s="9"/>
      <c r="V494" s="10" t="e">
        <f t="shared" si="63"/>
        <v>#DIV/0!</v>
      </c>
      <c r="W494" s="10" t="e">
        <f t="shared" si="64"/>
        <v>#DIV/0!</v>
      </c>
      <c r="X494" s="7"/>
      <c r="Y494" s="11"/>
    </row>
    <row r="495" spans="1:25" customFormat="1">
      <c r="A495" s="119" t="s">
        <v>979</v>
      </c>
      <c r="B495" s="119" t="s">
        <v>94</v>
      </c>
      <c r="C495" s="119" t="s">
        <v>546</v>
      </c>
      <c r="D495" s="119" t="s">
        <v>70</v>
      </c>
      <c r="E495" s="6" t="s">
        <v>444</v>
      </c>
      <c r="F495" s="7" t="s">
        <v>706</v>
      </c>
      <c r="G495" s="7" t="s">
        <v>15</v>
      </c>
      <c r="H495" s="7" t="s">
        <v>16</v>
      </c>
      <c r="I495" s="7"/>
      <c r="J495" s="7" t="s">
        <v>99</v>
      </c>
      <c r="K495" s="8"/>
      <c r="L495" s="164"/>
      <c r="M495" s="164"/>
      <c r="N495" s="164"/>
      <c r="O495" s="188"/>
      <c r="P495" s="9"/>
      <c r="Q495" s="9"/>
      <c r="R495" s="9"/>
      <c r="S495" s="9"/>
      <c r="T495" s="9"/>
      <c r="U495" s="9"/>
      <c r="V495" s="10" t="e">
        <f t="shared" si="63"/>
        <v>#DIV/0!</v>
      </c>
      <c r="W495" s="10" t="e">
        <f t="shared" si="64"/>
        <v>#DIV/0!</v>
      </c>
      <c r="X495" s="7"/>
      <c r="Y495" s="11"/>
    </row>
    <row r="496" spans="1:25" customFormat="1">
      <c r="A496" s="119" t="s">
        <v>979</v>
      </c>
      <c r="B496" s="119" t="s">
        <v>94</v>
      </c>
      <c r="C496" s="119" t="s">
        <v>546</v>
      </c>
      <c r="D496" s="119" t="s">
        <v>70</v>
      </c>
      <c r="E496" s="6" t="s">
        <v>446</v>
      </c>
      <c r="F496" s="7" t="s">
        <v>707</v>
      </c>
      <c r="G496" s="7" t="s">
        <v>15</v>
      </c>
      <c r="H496" s="7" t="s">
        <v>16</v>
      </c>
      <c r="I496" s="7"/>
      <c r="J496" s="7" t="s">
        <v>99</v>
      </c>
      <c r="K496" s="8"/>
      <c r="L496" s="164"/>
      <c r="M496" s="164"/>
      <c r="N496" s="164"/>
      <c r="O496" s="188"/>
      <c r="P496" s="165"/>
      <c r="Q496" s="9"/>
      <c r="R496" s="9"/>
      <c r="S496" s="9"/>
      <c r="T496" s="9"/>
      <c r="U496" s="9"/>
      <c r="V496" s="10" t="e">
        <f t="shared" si="63"/>
        <v>#DIV/0!</v>
      </c>
      <c r="W496" s="10" t="e">
        <f t="shared" si="64"/>
        <v>#DIV/0!</v>
      </c>
      <c r="X496" s="7"/>
      <c r="Y496" s="11"/>
    </row>
    <row r="497" spans="1:25" customFormat="1">
      <c r="A497" s="119" t="s">
        <v>979</v>
      </c>
      <c r="B497" s="119" t="s">
        <v>94</v>
      </c>
      <c r="C497" s="119" t="s">
        <v>546</v>
      </c>
      <c r="D497" s="119" t="s">
        <v>70</v>
      </c>
      <c r="E497" s="6" t="s">
        <v>448</v>
      </c>
      <c r="F497" s="7" t="s">
        <v>708</v>
      </c>
      <c r="G497" s="7" t="s">
        <v>15</v>
      </c>
      <c r="H497" s="7" t="s">
        <v>16</v>
      </c>
      <c r="I497" s="7"/>
      <c r="J497" s="7" t="s">
        <v>99</v>
      </c>
      <c r="K497" s="8"/>
      <c r="L497" s="164"/>
      <c r="M497" s="164"/>
      <c r="N497" s="164"/>
      <c r="O497" s="188"/>
      <c r="P497" s="132"/>
      <c r="Q497" s="132"/>
      <c r="R497" s="132"/>
      <c r="S497" s="132"/>
      <c r="T497" s="132"/>
      <c r="U497" s="132"/>
      <c r="V497" s="10" t="e">
        <f t="shared" si="63"/>
        <v>#DIV/0!</v>
      </c>
      <c r="W497" s="10" t="e">
        <f t="shared" si="64"/>
        <v>#DIV/0!</v>
      </c>
      <c r="X497" s="7"/>
      <c r="Y497" s="11"/>
    </row>
    <row r="498" spans="1:25" customFormat="1">
      <c r="A498" s="119" t="s">
        <v>979</v>
      </c>
      <c r="B498" s="119" t="s">
        <v>94</v>
      </c>
      <c r="C498" s="119" t="s">
        <v>546</v>
      </c>
      <c r="D498" s="41" t="s">
        <v>70</v>
      </c>
      <c r="E498" s="136" t="s">
        <v>880</v>
      </c>
      <c r="F498" s="41" t="s">
        <v>882</v>
      </c>
      <c r="G498" s="7"/>
      <c r="H498" s="7"/>
      <c r="I498" s="7"/>
      <c r="J498" s="7" t="s">
        <v>99</v>
      </c>
      <c r="K498" s="8"/>
      <c r="L498" s="164">
        <f>Sheet1!B176</f>
        <v>36</v>
      </c>
      <c r="M498" s="164">
        <f>Sheet1!C176</f>
        <v>23</v>
      </c>
      <c r="N498" s="164">
        <f>Sheet1!D176</f>
        <v>52.25</v>
      </c>
      <c r="O498" s="164">
        <f>Sheet1!E176</f>
        <v>70.5</v>
      </c>
      <c r="P498" s="164">
        <f>Sheet1!F176</f>
        <v>70.214854752605575</v>
      </c>
      <c r="Q498" s="132"/>
      <c r="R498" s="132"/>
      <c r="S498" s="132"/>
      <c r="T498" s="132"/>
      <c r="U498" s="132"/>
      <c r="V498" s="10"/>
      <c r="W498" s="10"/>
      <c r="X498" s="7"/>
      <c r="Y498" s="11"/>
    </row>
    <row r="499" spans="1:25" customFormat="1">
      <c r="A499" s="119" t="s">
        <v>979</v>
      </c>
      <c r="B499" s="119" t="s">
        <v>94</v>
      </c>
      <c r="C499" s="119" t="s">
        <v>546</v>
      </c>
      <c r="D499" s="6" t="s">
        <v>72</v>
      </c>
      <c r="E499" s="7"/>
      <c r="F499" s="7" t="s">
        <v>709</v>
      </c>
      <c r="G499" s="7" t="s">
        <v>15</v>
      </c>
      <c r="H499" s="7" t="s">
        <v>16</v>
      </c>
      <c r="I499" s="7"/>
      <c r="J499" s="7" t="s">
        <v>99</v>
      </c>
      <c r="K499" s="111">
        <f>SUM(K500:K502)</f>
        <v>33514</v>
      </c>
      <c r="L499" s="164">
        <f>SUM(L500:L503)</f>
        <v>100</v>
      </c>
      <c r="M499" s="164">
        <f t="shared" ref="M499:P499" si="65">SUM(M500:M503)</f>
        <v>64</v>
      </c>
      <c r="N499" s="164">
        <f t="shared" si="65"/>
        <v>143</v>
      </c>
      <c r="O499" s="164">
        <f t="shared" si="65"/>
        <v>208.50000000000003</v>
      </c>
      <c r="P499" s="164">
        <f t="shared" si="65"/>
        <v>266.46809382445866</v>
      </c>
      <c r="Q499" s="128"/>
      <c r="R499" s="128"/>
      <c r="S499" s="128"/>
      <c r="T499" s="128"/>
      <c r="U499" s="128"/>
      <c r="V499" s="10">
        <f>+(P499/L499)^(1/4)-1</f>
        <v>0.27764824813054179</v>
      </c>
      <c r="W499" s="10" t="e">
        <f>+(U499/Q499)^(1/4)-1</f>
        <v>#DIV/0!</v>
      </c>
      <c r="X499" s="7"/>
      <c r="Y499" s="11"/>
    </row>
    <row r="500" spans="1:25" customFormat="1">
      <c r="A500" s="119" t="s">
        <v>979</v>
      </c>
      <c r="B500" s="119" t="s">
        <v>94</v>
      </c>
      <c r="C500" s="119" t="s">
        <v>546</v>
      </c>
      <c r="D500" s="119" t="s">
        <v>72</v>
      </c>
      <c r="E500" s="6" t="s">
        <v>451</v>
      </c>
      <c r="F500" s="7" t="s">
        <v>710</v>
      </c>
      <c r="G500" s="7" t="s">
        <v>15</v>
      </c>
      <c r="H500" s="7" t="s">
        <v>16</v>
      </c>
      <c r="I500" s="7"/>
      <c r="J500" s="7" t="s">
        <v>99</v>
      </c>
      <c r="K500" s="8">
        <v>13855</v>
      </c>
      <c r="L500" s="164">
        <f>Sheet1!B188</f>
        <v>15.465225710853264</v>
      </c>
      <c r="M500" s="164">
        <f>Sheet1!C188</f>
        <v>9.0575266517162518</v>
      </c>
      <c r="N500" s="164">
        <f>Sheet1!D188</f>
        <v>20.924404310798831</v>
      </c>
      <c r="O500" s="164">
        <f>Sheet1!E188</f>
        <v>30.536165961794648</v>
      </c>
      <c r="P500" s="164">
        <f>O500*(1+(((O500/L500)^(1/3))-1))</f>
        <v>38.308980002405931</v>
      </c>
      <c r="Q500" s="9"/>
      <c r="R500" s="9"/>
      <c r="S500" s="9"/>
      <c r="T500" s="9"/>
      <c r="U500" s="9"/>
      <c r="V500" s="10">
        <f>+(P500/L500)^(1/4)-1</f>
        <v>0.25454453091250051</v>
      </c>
      <c r="W500" s="10" t="e">
        <f>+(U500/Q500)^(1/4)-1</f>
        <v>#DIV/0!</v>
      </c>
      <c r="X500" s="7"/>
      <c r="Y500" s="11"/>
    </row>
    <row r="501" spans="1:25" customFormat="1">
      <c r="A501" s="119" t="s">
        <v>979</v>
      </c>
      <c r="B501" s="119" t="s">
        <v>94</v>
      </c>
      <c r="C501" s="119" t="s">
        <v>546</v>
      </c>
      <c r="D501" s="119" t="s">
        <v>72</v>
      </c>
      <c r="E501" s="6" t="s">
        <v>453</v>
      </c>
      <c r="F501" s="7" t="s">
        <v>711</v>
      </c>
      <c r="G501" s="7" t="s">
        <v>15</v>
      </c>
      <c r="H501" s="7" t="s">
        <v>16</v>
      </c>
      <c r="I501" s="7"/>
      <c r="J501" s="7" t="s">
        <v>99</v>
      </c>
      <c r="K501" s="8">
        <v>19659</v>
      </c>
      <c r="L501" s="164">
        <f>Sheet1!B189</f>
        <v>7.6645258775907097</v>
      </c>
      <c r="M501" s="164">
        <f>Sheet1!C189</f>
        <v>4.4783501396458361</v>
      </c>
      <c r="N501" s="164">
        <f>Sheet1!D189</f>
        <v>9.4053666619568137</v>
      </c>
      <c r="O501" s="164">
        <f>Sheet1!E189</f>
        <v>14.208895711793325</v>
      </c>
      <c r="P501" s="164">
        <f>O501*(1+(((O501/L501)^(1/3))-1))</f>
        <v>17.454952473488191</v>
      </c>
      <c r="Q501" s="9"/>
      <c r="R501" s="9"/>
      <c r="S501" s="9"/>
      <c r="T501" s="9"/>
      <c r="U501" s="9"/>
      <c r="V501" s="10">
        <f>+(P501/L501)^(1/4)-1</f>
        <v>0.22845243061363685</v>
      </c>
      <c r="W501" s="10" t="e">
        <f>+(U501/Q501)^(1/4)-1</f>
        <v>#DIV/0!</v>
      </c>
      <c r="X501" s="7"/>
      <c r="Y501" s="11"/>
    </row>
    <row r="502" spans="1:25" customFormat="1">
      <c r="A502" s="119" t="s">
        <v>979</v>
      </c>
      <c r="B502" s="119" t="s">
        <v>94</v>
      </c>
      <c r="C502" s="119" t="s">
        <v>546</v>
      </c>
      <c r="D502" s="119" t="s">
        <v>72</v>
      </c>
      <c r="E502" s="6" t="s">
        <v>455</v>
      </c>
      <c r="F502" s="7" t="s">
        <v>712</v>
      </c>
      <c r="G502" s="7" t="s">
        <v>15</v>
      </c>
      <c r="H502" s="7" t="s">
        <v>16</v>
      </c>
      <c r="I502" s="7"/>
      <c r="J502" s="7" t="s">
        <v>99</v>
      </c>
      <c r="K502" s="8"/>
      <c r="L502" s="164">
        <f>Sheet1!B190</f>
        <v>76.870248411556034</v>
      </c>
      <c r="M502" s="164">
        <f>Sheet1!C190</f>
        <v>50.464123208637915</v>
      </c>
      <c r="N502" s="164">
        <f>Sheet1!D190</f>
        <v>112.67022902724435</v>
      </c>
      <c r="O502" s="164">
        <f>Sheet1!E190</f>
        <v>163.75493832641206</v>
      </c>
      <c r="P502" s="164">
        <f>O502*(1+(((O502/L502)^(1/3))-1))</f>
        <v>210.70416134856455</v>
      </c>
      <c r="Q502" s="132"/>
      <c r="R502" s="132"/>
      <c r="S502" s="132"/>
      <c r="T502" s="132"/>
      <c r="U502" s="132"/>
      <c r="V502" s="10">
        <f>+(P502/L502)^(1/4)-1</f>
        <v>0.28670416600547832</v>
      </c>
      <c r="W502" s="10" t="e">
        <f>+(U502/Q502)^(1/4)-1</f>
        <v>#DIV/0!</v>
      </c>
      <c r="X502" s="7"/>
      <c r="Y502" s="11"/>
    </row>
    <row r="503" spans="1:25" customFormat="1">
      <c r="A503" s="119" t="s">
        <v>979</v>
      </c>
      <c r="B503" s="119" t="s">
        <v>94</v>
      </c>
      <c r="C503" s="119" t="s">
        <v>546</v>
      </c>
      <c r="D503" s="119" t="s">
        <v>72</v>
      </c>
      <c r="E503" s="6" t="s">
        <v>1014</v>
      </c>
      <c r="F503" s="7" t="s">
        <v>712</v>
      </c>
      <c r="G503" s="7" t="s">
        <v>15</v>
      </c>
      <c r="H503" s="7" t="s">
        <v>16</v>
      </c>
      <c r="I503" s="7"/>
      <c r="J503" s="7" t="s">
        <v>99</v>
      </c>
      <c r="K503" s="8"/>
      <c r="L503" s="164"/>
      <c r="M503" s="164"/>
      <c r="N503" s="164"/>
      <c r="O503" s="164"/>
      <c r="P503" s="164"/>
      <c r="Q503" s="132"/>
      <c r="R503" s="132"/>
      <c r="S503" s="132"/>
      <c r="T503" s="132"/>
      <c r="U503" s="132"/>
      <c r="V503" s="10"/>
      <c r="W503" s="10"/>
      <c r="X503" s="7"/>
      <c r="Y503" s="11"/>
    </row>
    <row r="504" spans="1:25" customFormat="1">
      <c r="A504" s="119" t="s">
        <v>979</v>
      </c>
      <c r="B504" s="119" t="s">
        <v>94</v>
      </c>
      <c r="C504" s="119" t="s">
        <v>546</v>
      </c>
      <c r="D504" s="6" t="s">
        <v>74</v>
      </c>
      <c r="E504" s="7"/>
      <c r="F504" s="7" t="s">
        <v>713</v>
      </c>
      <c r="G504" s="7" t="s">
        <v>15</v>
      </c>
      <c r="H504" s="7" t="s">
        <v>16</v>
      </c>
      <c r="I504" s="7"/>
      <c r="J504" s="7" t="s">
        <v>99</v>
      </c>
      <c r="K504" s="111">
        <f>SUM(K505:K541)</f>
        <v>1688</v>
      </c>
      <c r="L504" s="164">
        <f>SUM(L505:L542)</f>
        <v>216</v>
      </c>
      <c r="M504" s="164">
        <f t="shared" ref="M504:P504" si="66">SUM(M505:M542)</f>
        <v>132.75</v>
      </c>
      <c r="N504" s="164">
        <f t="shared" si="66"/>
        <v>288.2</v>
      </c>
      <c r="O504" s="164">
        <f t="shared" si="66"/>
        <v>388.5</v>
      </c>
      <c r="P504" s="164">
        <f t="shared" si="66"/>
        <v>366.43377324016035</v>
      </c>
      <c r="Q504" s="128"/>
      <c r="R504" s="128"/>
      <c r="S504" s="128"/>
      <c r="T504" s="128"/>
      <c r="U504" s="128"/>
      <c r="V504" s="10">
        <f t="shared" ref="V504:V542" si="67">+(P504/L504)^(1/4)-1</f>
        <v>0.14126220717015903</v>
      </c>
      <c r="W504" s="10" t="e">
        <f t="shared" ref="W504:W542" si="68">+(U504/Q504)^(1/4)-1</f>
        <v>#DIV/0!</v>
      </c>
      <c r="X504" s="7"/>
      <c r="Y504" s="11"/>
    </row>
    <row r="505" spans="1:25" customFormat="1">
      <c r="A505" s="119" t="s">
        <v>979</v>
      </c>
      <c r="B505" s="119" t="s">
        <v>94</v>
      </c>
      <c r="C505" s="119" t="s">
        <v>546</v>
      </c>
      <c r="D505" s="119" t="s">
        <v>74</v>
      </c>
      <c r="E505" s="6" t="s">
        <v>458</v>
      </c>
      <c r="F505" s="7" t="s">
        <v>714</v>
      </c>
      <c r="G505" s="7" t="s">
        <v>15</v>
      </c>
      <c r="H505" s="7" t="s">
        <v>16</v>
      </c>
      <c r="I505" s="7"/>
      <c r="J505" s="7" t="s">
        <v>99</v>
      </c>
      <c r="K505" s="8"/>
      <c r="L505" s="164"/>
      <c r="M505" s="164"/>
      <c r="N505" s="164"/>
      <c r="O505" s="188"/>
      <c r="P505" s="9"/>
      <c r="Q505" s="9"/>
      <c r="R505" s="9"/>
      <c r="S505" s="9"/>
      <c r="T505" s="9"/>
      <c r="U505" s="9"/>
      <c r="V505" s="10" t="e">
        <f t="shared" si="67"/>
        <v>#DIV/0!</v>
      </c>
      <c r="W505" s="10" t="e">
        <f t="shared" si="68"/>
        <v>#DIV/0!</v>
      </c>
      <c r="X505" s="7"/>
      <c r="Y505" s="11"/>
    </row>
    <row r="506" spans="1:25" customFormat="1">
      <c r="A506" s="119" t="s">
        <v>979</v>
      </c>
      <c r="B506" s="119" t="s">
        <v>94</v>
      </c>
      <c r="C506" s="119" t="s">
        <v>546</v>
      </c>
      <c r="D506" s="119" t="s">
        <v>74</v>
      </c>
      <c r="E506" s="6" t="s">
        <v>460</v>
      </c>
      <c r="F506" s="7" t="s">
        <v>715</v>
      </c>
      <c r="G506" s="7" t="s">
        <v>15</v>
      </c>
      <c r="H506" s="7" t="s">
        <v>16</v>
      </c>
      <c r="I506" s="7"/>
      <c r="J506" s="7" t="s">
        <v>99</v>
      </c>
      <c r="K506" s="8"/>
      <c r="L506" s="164"/>
      <c r="M506" s="164"/>
      <c r="N506" s="164"/>
      <c r="O506" s="188"/>
      <c r="P506" s="9"/>
      <c r="Q506" s="9"/>
      <c r="R506" s="9"/>
      <c r="S506" s="9"/>
      <c r="T506" s="9"/>
      <c r="U506" s="9"/>
      <c r="V506" s="10" t="e">
        <f t="shared" si="67"/>
        <v>#DIV/0!</v>
      </c>
      <c r="W506" s="10" t="e">
        <f t="shared" si="68"/>
        <v>#DIV/0!</v>
      </c>
      <c r="X506" s="7"/>
      <c r="Y506" s="11"/>
    </row>
    <row r="507" spans="1:25" customFormat="1">
      <c r="A507" s="119" t="s">
        <v>979</v>
      </c>
      <c r="B507" s="119" t="s">
        <v>94</v>
      </c>
      <c r="C507" s="119" t="s">
        <v>546</v>
      </c>
      <c r="D507" s="119" t="s">
        <v>74</v>
      </c>
      <c r="E507" s="6" t="s">
        <v>462</v>
      </c>
      <c r="F507" s="7" t="s">
        <v>716</v>
      </c>
      <c r="G507" s="7" t="s">
        <v>15</v>
      </c>
      <c r="H507" s="7" t="s">
        <v>16</v>
      </c>
      <c r="I507" s="7"/>
      <c r="J507" s="7" t="s">
        <v>99</v>
      </c>
      <c r="K507" s="8"/>
      <c r="L507" s="164"/>
      <c r="M507" s="164"/>
      <c r="N507" s="164"/>
      <c r="O507" s="188"/>
      <c r="P507" s="9"/>
      <c r="Q507" s="9"/>
      <c r="R507" s="9"/>
      <c r="S507" s="9"/>
      <c r="T507" s="9"/>
      <c r="U507" s="9"/>
      <c r="V507" s="10" t="e">
        <f t="shared" si="67"/>
        <v>#DIV/0!</v>
      </c>
      <c r="W507" s="10" t="e">
        <f t="shared" si="68"/>
        <v>#DIV/0!</v>
      </c>
      <c r="X507" s="7"/>
      <c r="Y507" s="11"/>
    </row>
    <row r="508" spans="1:25" customFormat="1">
      <c r="A508" s="119" t="s">
        <v>979</v>
      </c>
      <c r="B508" s="119" t="s">
        <v>94</v>
      </c>
      <c r="C508" s="119" t="s">
        <v>546</v>
      </c>
      <c r="D508" s="119" t="s">
        <v>74</v>
      </c>
      <c r="E508" s="6" t="s">
        <v>464</v>
      </c>
      <c r="F508" s="7" t="s">
        <v>717</v>
      </c>
      <c r="G508" s="7" t="s">
        <v>15</v>
      </c>
      <c r="H508" s="7" t="s">
        <v>16</v>
      </c>
      <c r="I508" s="7"/>
      <c r="J508" s="7" t="s">
        <v>99</v>
      </c>
      <c r="K508" s="8"/>
      <c r="L508" s="164"/>
      <c r="M508" s="164"/>
      <c r="N508" s="164"/>
      <c r="O508" s="188"/>
      <c r="P508" s="165"/>
      <c r="Q508" s="9"/>
      <c r="R508" s="9"/>
      <c r="S508" s="9"/>
      <c r="T508" s="9"/>
      <c r="U508" s="9"/>
      <c r="V508" s="10" t="e">
        <f t="shared" si="67"/>
        <v>#DIV/0!</v>
      </c>
      <c r="W508" s="10" t="e">
        <f t="shared" si="68"/>
        <v>#DIV/0!</v>
      </c>
      <c r="X508" s="7"/>
      <c r="Y508" s="11"/>
    </row>
    <row r="509" spans="1:25" customFormat="1">
      <c r="A509" s="119" t="s">
        <v>979</v>
      </c>
      <c r="B509" s="119" t="s">
        <v>94</v>
      </c>
      <c r="C509" s="119" t="s">
        <v>546</v>
      </c>
      <c r="D509" s="119" t="s">
        <v>74</v>
      </c>
      <c r="E509" s="6" t="s">
        <v>466</v>
      </c>
      <c r="F509" s="7" t="s">
        <v>718</v>
      </c>
      <c r="G509" s="7" t="s">
        <v>15</v>
      </c>
      <c r="H509" s="7" t="s">
        <v>16</v>
      </c>
      <c r="I509" s="7"/>
      <c r="J509" s="7" t="s">
        <v>99</v>
      </c>
      <c r="K509" s="8"/>
      <c r="L509" s="164"/>
      <c r="M509" s="164"/>
      <c r="N509" s="164"/>
      <c r="O509" s="188"/>
      <c r="P509" s="9"/>
      <c r="Q509" s="9"/>
      <c r="R509" s="9"/>
      <c r="S509" s="9"/>
      <c r="T509" s="9"/>
      <c r="U509" s="9"/>
      <c r="V509" s="10" t="e">
        <f t="shared" si="67"/>
        <v>#DIV/0!</v>
      </c>
      <c r="W509" s="10" t="e">
        <f t="shared" si="68"/>
        <v>#DIV/0!</v>
      </c>
      <c r="X509" s="7"/>
      <c r="Y509" s="11"/>
    </row>
    <row r="510" spans="1:25" customFormat="1">
      <c r="A510" s="119" t="s">
        <v>979</v>
      </c>
      <c r="B510" s="119" t="s">
        <v>94</v>
      </c>
      <c r="C510" s="119" t="s">
        <v>546</v>
      </c>
      <c r="D510" s="119" t="s">
        <v>74</v>
      </c>
      <c r="E510" s="6" t="s">
        <v>468</v>
      </c>
      <c r="F510" s="7" t="s">
        <v>719</v>
      </c>
      <c r="G510" s="7" t="s">
        <v>15</v>
      </c>
      <c r="H510" s="7" t="s">
        <v>16</v>
      </c>
      <c r="I510" s="7"/>
      <c r="J510" s="7" t="s">
        <v>99</v>
      </c>
      <c r="K510" s="8"/>
      <c r="L510" s="164"/>
      <c r="M510" s="164"/>
      <c r="N510" s="164"/>
      <c r="O510" s="188"/>
      <c r="P510" s="9"/>
      <c r="Q510" s="9"/>
      <c r="R510" s="9"/>
      <c r="S510" s="9"/>
      <c r="T510" s="9"/>
      <c r="U510" s="9"/>
      <c r="V510" s="10" t="e">
        <f t="shared" si="67"/>
        <v>#DIV/0!</v>
      </c>
      <c r="W510" s="10" t="e">
        <f t="shared" si="68"/>
        <v>#DIV/0!</v>
      </c>
      <c r="X510" s="7"/>
      <c r="Y510" s="11"/>
    </row>
    <row r="511" spans="1:25" customFormat="1">
      <c r="A511" s="119" t="s">
        <v>979</v>
      </c>
      <c r="B511" s="119" t="s">
        <v>94</v>
      </c>
      <c r="C511" s="119" t="s">
        <v>546</v>
      </c>
      <c r="D511" s="119" t="s">
        <v>74</v>
      </c>
      <c r="E511" s="6" t="s">
        <v>470</v>
      </c>
      <c r="F511" s="7" t="s">
        <v>720</v>
      </c>
      <c r="G511" s="7" t="s">
        <v>15</v>
      </c>
      <c r="H511" s="7" t="s">
        <v>16</v>
      </c>
      <c r="I511" s="7"/>
      <c r="J511" s="7" t="s">
        <v>99</v>
      </c>
      <c r="K511" s="8"/>
      <c r="L511" s="164"/>
      <c r="M511" s="164"/>
      <c r="N511" s="164"/>
      <c r="O511" s="188"/>
      <c r="P511" s="165"/>
      <c r="Q511" s="9"/>
      <c r="R511" s="9"/>
      <c r="S511" s="9"/>
      <c r="T511" s="9"/>
      <c r="U511" s="9"/>
      <c r="V511" s="10" t="e">
        <f t="shared" si="67"/>
        <v>#DIV/0!</v>
      </c>
      <c r="W511" s="10" t="e">
        <f t="shared" si="68"/>
        <v>#DIV/0!</v>
      </c>
      <c r="X511" s="7"/>
      <c r="Y511" s="11"/>
    </row>
    <row r="512" spans="1:25" customFormat="1">
      <c r="A512" s="119" t="s">
        <v>979</v>
      </c>
      <c r="B512" s="119" t="s">
        <v>94</v>
      </c>
      <c r="C512" s="119" t="s">
        <v>546</v>
      </c>
      <c r="D512" s="119" t="s">
        <v>74</v>
      </c>
      <c r="E512" s="6" t="s">
        <v>472</v>
      </c>
      <c r="F512" s="7" t="s">
        <v>721</v>
      </c>
      <c r="G512" s="7" t="s">
        <v>15</v>
      </c>
      <c r="H512" s="7" t="s">
        <v>16</v>
      </c>
      <c r="I512" s="7"/>
      <c r="J512" s="7" t="s">
        <v>99</v>
      </c>
      <c r="K512" s="8"/>
      <c r="L512" s="164"/>
      <c r="M512" s="164"/>
      <c r="N512" s="164"/>
      <c r="O512" s="188"/>
      <c r="P512" s="9"/>
      <c r="Q512" s="9"/>
      <c r="R512" s="9"/>
      <c r="S512" s="9"/>
      <c r="T512" s="9"/>
      <c r="U512" s="9"/>
      <c r="V512" s="10" t="e">
        <f t="shared" si="67"/>
        <v>#DIV/0!</v>
      </c>
      <c r="W512" s="10" t="e">
        <f t="shared" si="68"/>
        <v>#DIV/0!</v>
      </c>
      <c r="X512" s="7"/>
      <c r="Y512" s="11"/>
    </row>
    <row r="513" spans="1:25" customFormat="1">
      <c r="A513" s="119" t="s">
        <v>979</v>
      </c>
      <c r="B513" s="119" t="s">
        <v>94</v>
      </c>
      <c r="C513" s="119" t="s">
        <v>546</v>
      </c>
      <c r="D513" s="119" t="s">
        <v>74</v>
      </c>
      <c r="E513" s="6" t="s">
        <v>474</v>
      </c>
      <c r="F513" s="7" t="s">
        <v>722</v>
      </c>
      <c r="G513" s="7" t="s">
        <v>15</v>
      </c>
      <c r="H513" s="7" t="s">
        <v>16</v>
      </c>
      <c r="I513" s="7"/>
      <c r="J513" s="7" t="s">
        <v>99</v>
      </c>
      <c r="K513" s="8"/>
      <c r="L513" s="164"/>
      <c r="M513" s="164"/>
      <c r="N513" s="164"/>
      <c r="O513" s="188"/>
      <c r="P513" s="9"/>
      <c r="Q513" s="9"/>
      <c r="R513" s="9"/>
      <c r="S513" s="9"/>
      <c r="T513" s="9"/>
      <c r="U513" s="9"/>
      <c r="V513" s="10" t="e">
        <f t="shared" si="67"/>
        <v>#DIV/0!</v>
      </c>
      <c r="W513" s="10" t="e">
        <f t="shared" si="68"/>
        <v>#DIV/0!</v>
      </c>
      <c r="X513" s="7"/>
      <c r="Y513" s="11"/>
    </row>
    <row r="514" spans="1:25" customFormat="1">
      <c r="A514" s="119" t="s">
        <v>979</v>
      </c>
      <c r="B514" s="119" t="s">
        <v>94</v>
      </c>
      <c r="C514" s="119" t="s">
        <v>546</v>
      </c>
      <c r="D514" s="119" t="s">
        <v>74</v>
      </c>
      <c r="E514" s="6" t="s">
        <v>476</v>
      </c>
      <c r="F514" s="7" t="s">
        <v>723</v>
      </c>
      <c r="G514" s="7" t="s">
        <v>15</v>
      </c>
      <c r="H514" s="7" t="s">
        <v>16</v>
      </c>
      <c r="I514" s="7"/>
      <c r="J514" s="7" t="s">
        <v>99</v>
      </c>
      <c r="K514" s="8"/>
      <c r="L514" s="164"/>
      <c r="M514" s="164"/>
      <c r="N514" s="164"/>
      <c r="O514" s="188"/>
      <c r="P514" s="132"/>
      <c r="Q514" s="132"/>
      <c r="R514" s="132"/>
      <c r="S514" s="132"/>
      <c r="T514" s="132"/>
      <c r="U514" s="132"/>
      <c r="V514" s="10" t="e">
        <f t="shared" si="67"/>
        <v>#DIV/0!</v>
      </c>
      <c r="W514" s="10" t="e">
        <f t="shared" si="68"/>
        <v>#DIV/0!</v>
      </c>
      <c r="X514" s="7"/>
      <c r="Y514" s="11"/>
    </row>
    <row r="515" spans="1:25" customFormat="1">
      <c r="A515" s="119" t="s">
        <v>979</v>
      </c>
      <c r="B515" s="119" t="s">
        <v>94</v>
      </c>
      <c r="C515" s="119" t="s">
        <v>546</v>
      </c>
      <c r="D515" s="119" t="s">
        <v>74</v>
      </c>
      <c r="E515" s="6" t="s">
        <v>478</v>
      </c>
      <c r="F515" s="7" t="s">
        <v>724</v>
      </c>
      <c r="G515" s="7" t="s">
        <v>15</v>
      </c>
      <c r="H515" s="7" t="s">
        <v>16</v>
      </c>
      <c r="I515" s="7"/>
      <c r="J515" s="7" t="s">
        <v>99</v>
      </c>
      <c r="K515" s="8"/>
      <c r="L515" s="164"/>
      <c r="M515" s="164"/>
      <c r="N515" s="164"/>
      <c r="O515" s="188"/>
      <c r="P515" s="9"/>
      <c r="Q515" s="9"/>
      <c r="R515" s="9"/>
      <c r="S515" s="9"/>
      <c r="T515" s="9"/>
      <c r="U515" s="9"/>
      <c r="V515" s="10" t="e">
        <f t="shared" si="67"/>
        <v>#DIV/0!</v>
      </c>
      <c r="W515" s="10" t="e">
        <f t="shared" si="68"/>
        <v>#DIV/0!</v>
      </c>
      <c r="X515" s="7"/>
      <c r="Y515" s="11"/>
    </row>
    <row r="516" spans="1:25" customFormat="1">
      <c r="A516" s="119" t="s">
        <v>979</v>
      </c>
      <c r="B516" s="119" t="s">
        <v>94</v>
      </c>
      <c r="C516" s="119" t="s">
        <v>546</v>
      </c>
      <c r="D516" s="119" t="s">
        <v>74</v>
      </c>
      <c r="E516" s="6" t="s">
        <v>480</v>
      </c>
      <c r="F516" s="7" t="s">
        <v>725</v>
      </c>
      <c r="G516" s="7" t="s">
        <v>15</v>
      </c>
      <c r="H516" s="7" t="s">
        <v>16</v>
      </c>
      <c r="I516" s="7"/>
      <c r="J516" s="7" t="s">
        <v>99</v>
      </c>
      <c r="K516" s="8"/>
      <c r="L516" s="164"/>
      <c r="M516" s="164"/>
      <c r="N516" s="164"/>
      <c r="O516" s="188"/>
      <c r="P516" s="9"/>
      <c r="Q516" s="9"/>
      <c r="R516" s="9"/>
      <c r="S516" s="9"/>
      <c r="T516" s="9"/>
      <c r="U516" s="9"/>
      <c r="V516" s="10" t="e">
        <f t="shared" si="67"/>
        <v>#DIV/0!</v>
      </c>
      <c r="W516" s="10" t="e">
        <f t="shared" si="68"/>
        <v>#DIV/0!</v>
      </c>
      <c r="X516" s="7"/>
      <c r="Y516" s="11"/>
    </row>
    <row r="517" spans="1:25" customFormat="1">
      <c r="A517" s="119" t="s">
        <v>979</v>
      </c>
      <c r="B517" s="119" t="s">
        <v>94</v>
      </c>
      <c r="C517" s="119" t="s">
        <v>546</v>
      </c>
      <c r="D517" s="119" t="s">
        <v>74</v>
      </c>
      <c r="E517" s="6" t="s">
        <v>482</v>
      </c>
      <c r="F517" s="7" t="s">
        <v>726</v>
      </c>
      <c r="G517" s="7" t="s">
        <v>15</v>
      </c>
      <c r="H517" s="7" t="s">
        <v>16</v>
      </c>
      <c r="I517" s="7"/>
      <c r="J517" s="7" t="s">
        <v>99</v>
      </c>
      <c r="K517" s="8"/>
      <c r="L517" s="164"/>
      <c r="M517" s="164"/>
      <c r="N517" s="164"/>
      <c r="O517" s="188"/>
      <c r="P517" s="9"/>
      <c r="Q517" s="9"/>
      <c r="R517" s="9"/>
      <c r="S517" s="9"/>
      <c r="T517" s="9"/>
      <c r="U517" s="9"/>
      <c r="V517" s="10" t="e">
        <f t="shared" si="67"/>
        <v>#DIV/0!</v>
      </c>
      <c r="W517" s="10" t="e">
        <f t="shared" si="68"/>
        <v>#DIV/0!</v>
      </c>
      <c r="X517" s="7"/>
      <c r="Y517" s="11"/>
    </row>
    <row r="518" spans="1:25" customFormat="1">
      <c r="A518" s="119" t="s">
        <v>979</v>
      </c>
      <c r="B518" s="119" t="s">
        <v>94</v>
      </c>
      <c r="C518" s="119" t="s">
        <v>546</v>
      </c>
      <c r="D518" s="119" t="s">
        <v>74</v>
      </c>
      <c r="E518" s="6" t="s">
        <v>484</v>
      </c>
      <c r="F518" s="7" t="s">
        <v>727</v>
      </c>
      <c r="G518" s="7" t="s">
        <v>15</v>
      </c>
      <c r="H518" s="7" t="s">
        <v>16</v>
      </c>
      <c r="I518" s="7"/>
      <c r="J518" s="7" t="s">
        <v>99</v>
      </c>
      <c r="K518" s="8"/>
      <c r="L518" s="164"/>
      <c r="M518" s="164"/>
      <c r="N518" s="164"/>
      <c r="O518" s="188"/>
      <c r="P518" s="9"/>
      <c r="Q518" s="9"/>
      <c r="R518" s="9"/>
      <c r="S518" s="9"/>
      <c r="T518" s="9"/>
      <c r="U518" s="9"/>
      <c r="V518" s="10" t="e">
        <f t="shared" si="67"/>
        <v>#DIV/0!</v>
      </c>
      <c r="W518" s="10" t="e">
        <f t="shared" si="68"/>
        <v>#DIV/0!</v>
      </c>
      <c r="X518" s="7"/>
      <c r="Y518" s="11"/>
    </row>
    <row r="519" spans="1:25" customFormat="1">
      <c r="A519" s="119" t="s">
        <v>979</v>
      </c>
      <c r="B519" s="119" t="s">
        <v>94</v>
      </c>
      <c r="C519" s="119" t="s">
        <v>546</v>
      </c>
      <c r="D519" s="119" t="s">
        <v>74</v>
      </c>
      <c r="E519" s="6" t="s">
        <v>486</v>
      </c>
      <c r="F519" s="7" t="s">
        <v>728</v>
      </c>
      <c r="G519" s="7" t="s">
        <v>15</v>
      </c>
      <c r="H519" s="7" t="s">
        <v>16</v>
      </c>
      <c r="I519" s="7"/>
      <c r="J519" s="7" t="s">
        <v>99</v>
      </c>
      <c r="K519" s="8"/>
      <c r="L519" s="164"/>
      <c r="M519" s="164"/>
      <c r="N519" s="164"/>
      <c r="O519" s="188"/>
      <c r="P519" s="9"/>
      <c r="Q519" s="9"/>
      <c r="R519" s="9"/>
      <c r="S519" s="9"/>
      <c r="T519" s="9"/>
      <c r="U519" s="9"/>
      <c r="V519" s="10" t="e">
        <f t="shared" si="67"/>
        <v>#DIV/0!</v>
      </c>
      <c r="W519" s="10" t="e">
        <f t="shared" si="68"/>
        <v>#DIV/0!</v>
      </c>
      <c r="X519" s="7"/>
      <c r="Y519" s="11"/>
    </row>
    <row r="520" spans="1:25" customFormat="1">
      <c r="A520" s="119" t="s">
        <v>979</v>
      </c>
      <c r="B520" s="119" t="s">
        <v>94</v>
      </c>
      <c r="C520" s="119" t="s">
        <v>546</v>
      </c>
      <c r="D520" s="119" t="s">
        <v>74</v>
      </c>
      <c r="E520" s="6" t="s">
        <v>488</v>
      </c>
      <c r="F520" s="7" t="s">
        <v>729</v>
      </c>
      <c r="G520" s="7" t="s">
        <v>15</v>
      </c>
      <c r="H520" s="7" t="s">
        <v>16</v>
      </c>
      <c r="I520" s="7"/>
      <c r="J520" s="7" t="s">
        <v>99</v>
      </c>
      <c r="K520" s="8"/>
      <c r="L520" s="164"/>
      <c r="M520" s="164"/>
      <c r="N520" s="164"/>
      <c r="O520" s="188"/>
      <c r="P520" s="9"/>
      <c r="Q520" s="9"/>
      <c r="R520" s="9"/>
      <c r="S520" s="9"/>
      <c r="T520" s="9"/>
      <c r="U520" s="9"/>
      <c r="V520" s="10" t="e">
        <f t="shared" si="67"/>
        <v>#DIV/0!</v>
      </c>
      <c r="W520" s="10" t="e">
        <f t="shared" si="68"/>
        <v>#DIV/0!</v>
      </c>
      <c r="X520" s="7"/>
      <c r="Y520" s="11"/>
    </row>
    <row r="521" spans="1:25" customFormat="1">
      <c r="A521" s="119" t="s">
        <v>979</v>
      </c>
      <c r="B521" s="119" t="s">
        <v>94</v>
      </c>
      <c r="C521" s="119" t="s">
        <v>546</v>
      </c>
      <c r="D521" s="119" t="s">
        <v>74</v>
      </c>
      <c r="E521" s="6" t="s">
        <v>490</v>
      </c>
      <c r="F521" s="7" t="s">
        <v>730</v>
      </c>
      <c r="G521" s="7" t="s">
        <v>15</v>
      </c>
      <c r="H521" s="7" t="s">
        <v>16</v>
      </c>
      <c r="I521" s="7"/>
      <c r="J521" s="7" t="s">
        <v>99</v>
      </c>
      <c r="K521" s="8"/>
      <c r="L521" s="164"/>
      <c r="M521" s="164"/>
      <c r="N521" s="164"/>
      <c r="O521" s="188"/>
      <c r="P521" s="9"/>
      <c r="Q521" s="9"/>
      <c r="R521" s="9"/>
      <c r="S521" s="9"/>
      <c r="T521" s="9"/>
      <c r="U521" s="9"/>
      <c r="V521" s="10" t="e">
        <f t="shared" si="67"/>
        <v>#DIV/0!</v>
      </c>
      <c r="W521" s="10" t="e">
        <f t="shared" si="68"/>
        <v>#DIV/0!</v>
      </c>
      <c r="X521" s="7"/>
      <c r="Y521" s="11"/>
    </row>
    <row r="522" spans="1:25" customFormat="1">
      <c r="A522" s="119" t="s">
        <v>979</v>
      </c>
      <c r="B522" s="119" t="s">
        <v>94</v>
      </c>
      <c r="C522" s="119" t="s">
        <v>546</v>
      </c>
      <c r="D522" s="119" t="s">
        <v>74</v>
      </c>
      <c r="E522" s="6" t="s">
        <v>492</v>
      </c>
      <c r="F522" s="7" t="s">
        <v>731</v>
      </c>
      <c r="G522" s="7" t="s">
        <v>15</v>
      </c>
      <c r="H522" s="7" t="s">
        <v>16</v>
      </c>
      <c r="I522" s="7"/>
      <c r="J522" s="7" t="s">
        <v>99</v>
      </c>
      <c r="K522" s="8"/>
      <c r="L522" s="164"/>
      <c r="M522" s="164"/>
      <c r="N522" s="164"/>
      <c r="O522" s="188"/>
      <c r="P522" s="9"/>
      <c r="Q522" s="9"/>
      <c r="R522" s="9"/>
      <c r="S522" s="9"/>
      <c r="T522" s="9"/>
      <c r="U522" s="9"/>
      <c r="V522" s="10" t="e">
        <f t="shared" si="67"/>
        <v>#DIV/0!</v>
      </c>
      <c r="W522" s="10" t="e">
        <f t="shared" si="68"/>
        <v>#DIV/0!</v>
      </c>
      <c r="X522" s="7"/>
      <c r="Y522" s="11"/>
    </row>
    <row r="523" spans="1:25" customFormat="1">
      <c r="A523" s="119" t="s">
        <v>979</v>
      </c>
      <c r="B523" s="119" t="s">
        <v>94</v>
      </c>
      <c r="C523" s="119" t="s">
        <v>546</v>
      </c>
      <c r="D523" s="119" t="s">
        <v>74</v>
      </c>
      <c r="E523" s="6" t="s">
        <v>494</v>
      </c>
      <c r="F523" s="7" t="s">
        <v>732</v>
      </c>
      <c r="G523" s="7" t="s">
        <v>15</v>
      </c>
      <c r="H523" s="7" t="s">
        <v>16</v>
      </c>
      <c r="I523" s="7"/>
      <c r="J523" s="7" t="s">
        <v>99</v>
      </c>
      <c r="K523" s="8"/>
      <c r="L523" s="164"/>
      <c r="M523" s="164"/>
      <c r="N523" s="164"/>
      <c r="O523" s="188"/>
      <c r="P523" s="9"/>
      <c r="Q523" s="9"/>
      <c r="R523" s="9"/>
      <c r="S523" s="9"/>
      <c r="T523" s="9"/>
      <c r="U523" s="9"/>
      <c r="V523" s="10" t="e">
        <f t="shared" si="67"/>
        <v>#DIV/0!</v>
      </c>
      <c r="W523" s="10" t="e">
        <f t="shared" si="68"/>
        <v>#DIV/0!</v>
      </c>
      <c r="X523" s="7"/>
      <c r="Y523" s="11"/>
    </row>
    <row r="524" spans="1:25" customFormat="1">
      <c r="A524" s="119" t="s">
        <v>979</v>
      </c>
      <c r="B524" s="119" t="s">
        <v>94</v>
      </c>
      <c r="C524" s="119" t="s">
        <v>546</v>
      </c>
      <c r="D524" s="119" t="s">
        <v>74</v>
      </c>
      <c r="E524" s="6" t="s">
        <v>496</v>
      </c>
      <c r="F524" s="7" t="s">
        <v>733</v>
      </c>
      <c r="G524" s="7" t="s">
        <v>15</v>
      </c>
      <c r="H524" s="7" t="s">
        <v>16</v>
      </c>
      <c r="I524" s="7"/>
      <c r="J524" s="7" t="s">
        <v>99</v>
      </c>
      <c r="K524" s="8"/>
      <c r="L524" s="164"/>
      <c r="M524" s="164"/>
      <c r="N524" s="164"/>
      <c r="O524" s="188"/>
      <c r="P524" s="9"/>
      <c r="Q524" s="9"/>
      <c r="R524" s="9"/>
      <c r="S524" s="9"/>
      <c r="T524" s="9"/>
      <c r="U524" s="9"/>
      <c r="V524" s="10" t="e">
        <f t="shared" si="67"/>
        <v>#DIV/0!</v>
      </c>
      <c r="W524" s="10" t="e">
        <f t="shared" si="68"/>
        <v>#DIV/0!</v>
      </c>
      <c r="X524" s="7"/>
      <c r="Y524" s="11"/>
    </row>
    <row r="525" spans="1:25" customFormat="1">
      <c r="A525" s="119" t="s">
        <v>979</v>
      </c>
      <c r="B525" s="119" t="s">
        <v>94</v>
      </c>
      <c r="C525" s="119" t="s">
        <v>546</v>
      </c>
      <c r="D525" s="119" t="s">
        <v>74</v>
      </c>
      <c r="E525" s="6" t="s">
        <v>498</v>
      </c>
      <c r="F525" s="7" t="s">
        <v>734</v>
      </c>
      <c r="G525" s="7" t="s">
        <v>15</v>
      </c>
      <c r="H525" s="7" t="s">
        <v>16</v>
      </c>
      <c r="I525" s="7"/>
      <c r="J525" s="7" t="s">
        <v>99</v>
      </c>
      <c r="K525" s="8"/>
      <c r="L525" s="164"/>
      <c r="M525" s="164"/>
      <c r="N525" s="164"/>
      <c r="O525" s="188"/>
      <c r="P525" s="9"/>
      <c r="Q525" s="9"/>
      <c r="R525" s="9"/>
      <c r="S525" s="9"/>
      <c r="T525" s="9"/>
      <c r="U525" s="9"/>
      <c r="V525" s="10" t="e">
        <f t="shared" si="67"/>
        <v>#DIV/0!</v>
      </c>
      <c r="W525" s="10" t="e">
        <f t="shared" si="68"/>
        <v>#DIV/0!</v>
      </c>
      <c r="X525" s="7"/>
      <c r="Y525" s="11"/>
    </row>
    <row r="526" spans="1:25" customFormat="1">
      <c r="A526" s="119" t="s">
        <v>979</v>
      </c>
      <c r="B526" s="119" t="s">
        <v>94</v>
      </c>
      <c r="C526" s="119" t="s">
        <v>546</v>
      </c>
      <c r="D526" s="119" t="s">
        <v>74</v>
      </c>
      <c r="E526" s="6" t="s">
        <v>500</v>
      </c>
      <c r="F526" s="7" t="s">
        <v>735</v>
      </c>
      <c r="G526" s="7" t="s">
        <v>15</v>
      </c>
      <c r="H526" s="7" t="s">
        <v>16</v>
      </c>
      <c r="I526" s="7"/>
      <c r="J526" s="7" t="s">
        <v>99</v>
      </c>
      <c r="K526" s="8">
        <v>1688</v>
      </c>
      <c r="L526" s="164"/>
      <c r="M526" s="164"/>
      <c r="N526" s="164"/>
      <c r="O526" s="188"/>
      <c r="P526" s="165"/>
      <c r="Q526" s="9"/>
      <c r="R526" s="9"/>
      <c r="S526" s="9"/>
      <c r="T526" s="9"/>
      <c r="U526" s="9"/>
      <c r="V526" s="10" t="e">
        <f t="shared" si="67"/>
        <v>#DIV/0!</v>
      </c>
      <c r="W526" s="10" t="e">
        <f t="shared" si="68"/>
        <v>#DIV/0!</v>
      </c>
      <c r="X526" s="7"/>
      <c r="Y526" s="11"/>
    </row>
    <row r="527" spans="1:25" customFormat="1">
      <c r="A527" s="119" t="s">
        <v>979</v>
      </c>
      <c r="B527" s="119" t="s">
        <v>94</v>
      </c>
      <c r="C527" s="119" t="s">
        <v>546</v>
      </c>
      <c r="D527" s="119" t="s">
        <v>74</v>
      </c>
      <c r="E527" s="6" t="s">
        <v>502</v>
      </c>
      <c r="F527" s="7" t="s">
        <v>736</v>
      </c>
      <c r="G527" s="7" t="s">
        <v>15</v>
      </c>
      <c r="H527" s="7" t="s">
        <v>16</v>
      </c>
      <c r="I527" s="7"/>
      <c r="J527" s="7" t="s">
        <v>99</v>
      </c>
      <c r="K527" s="8"/>
      <c r="L527" s="164"/>
      <c r="M527" s="164"/>
      <c r="N527" s="164"/>
      <c r="O527" s="188"/>
      <c r="P527" s="9"/>
      <c r="Q527" s="9"/>
      <c r="R527" s="9"/>
      <c r="S527" s="9"/>
      <c r="T527" s="9"/>
      <c r="U527" s="9"/>
      <c r="V527" s="10" t="e">
        <f t="shared" si="67"/>
        <v>#DIV/0!</v>
      </c>
      <c r="W527" s="10" t="e">
        <f t="shared" si="68"/>
        <v>#DIV/0!</v>
      </c>
      <c r="X527" s="7"/>
      <c r="Y527" s="11"/>
    </row>
    <row r="528" spans="1:25" customFormat="1">
      <c r="A528" s="119" t="s">
        <v>979</v>
      </c>
      <c r="B528" s="119" t="s">
        <v>94</v>
      </c>
      <c r="C528" s="119" t="s">
        <v>546</v>
      </c>
      <c r="D528" s="119" t="s">
        <v>74</v>
      </c>
      <c r="E528" s="6" t="s">
        <v>504</v>
      </c>
      <c r="F528" s="7" t="s">
        <v>737</v>
      </c>
      <c r="G528" s="7" t="s">
        <v>15</v>
      </c>
      <c r="H528" s="7" t="s">
        <v>16</v>
      </c>
      <c r="I528" s="7"/>
      <c r="J528" s="7" t="s">
        <v>99</v>
      </c>
      <c r="K528" s="8"/>
      <c r="L528" s="164"/>
      <c r="M528" s="227"/>
      <c r="P528" s="9"/>
      <c r="Q528" s="9"/>
      <c r="R528" s="9"/>
      <c r="S528" s="9"/>
      <c r="T528" s="9"/>
      <c r="U528" s="9"/>
      <c r="V528" s="10" t="e">
        <f t="shared" si="67"/>
        <v>#DIV/0!</v>
      </c>
      <c r="W528" s="10" t="e">
        <f t="shared" si="68"/>
        <v>#DIV/0!</v>
      </c>
      <c r="X528" s="7"/>
      <c r="Y528" s="11"/>
    </row>
    <row r="529" spans="1:25" customFormat="1">
      <c r="A529" s="119" t="s">
        <v>979</v>
      </c>
      <c r="B529" s="119" t="s">
        <v>94</v>
      </c>
      <c r="C529" s="119" t="s">
        <v>546</v>
      </c>
      <c r="D529" s="119" t="s">
        <v>74</v>
      </c>
      <c r="E529" s="6" t="s">
        <v>506</v>
      </c>
      <c r="F529" s="7" t="s">
        <v>738</v>
      </c>
      <c r="G529" s="7" t="s">
        <v>15</v>
      </c>
      <c r="H529" s="7" t="s">
        <v>16</v>
      </c>
      <c r="I529" s="7"/>
      <c r="J529" s="7" t="s">
        <v>99</v>
      </c>
      <c r="K529" s="8"/>
      <c r="L529" s="164"/>
      <c r="M529" s="164"/>
      <c r="N529" s="164"/>
      <c r="O529" s="188"/>
      <c r="P529" s="9"/>
      <c r="Q529" s="9"/>
      <c r="R529" s="9"/>
      <c r="S529" s="9"/>
      <c r="T529" s="9"/>
      <c r="U529" s="9"/>
      <c r="V529" s="10" t="e">
        <f t="shared" si="67"/>
        <v>#DIV/0!</v>
      </c>
      <c r="W529" s="10" t="e">
        <f t="shared" si="68"/>
        <v>#DIV/0!</v>
      </c>
      <c r="X529" s="7"/>
      <c r="Y529" s="11"/>
    </row>
    <row r="530" spans="1:25" customFormat="1">
      <c r="A530" s="119" t="s">
        <v>979</v>
      </c>
      <c r="B530" s="119" t="s">
        <v>94</v>
      </c>
      <c r="C530" s="119" t="s">
        <v>546</v>
      </c>
      <c r="D530" s="119" t="s">
        <v>74</v>
      </c>
      <c r="E530" s="6" t="s">
        <v>508</v>
      </c>
      <c r="F530" s="7" t="s">
        <v>739</v>
      </c>
      <c r="G530" s="7" t="s">
        <v>15</v>
      </c>
      <c r="H530" s="7" t="s">
        <v>16</v>
      </c>
      <c r="I530" s="7"/>
      <c r="J530" s="7" t="s">
        <v>99</v>
      </c>
      <c r="K530" s="8"/>
      <c r="L530" s="164"/>
      <c r="M530" s="164"/>
      <c r="N530" s="164"/>
      <c r="O530" s="188"/>
      <c r="P530" s="9"/>
      <c r="Q530" s="9"/>
      <c r="R530" s="9"/>
      <c r="S530" s="9"/>
      <c r="T530" s="9"/>
      <c r="U530" s="9"/>
      <c r="V530" s="10" t="e">
        <f t="shared" si="67"/>
        <v>#DIV/0!</v>
      </c>
      <c r="W530" s="10" t="e">
        <f t="shared" si="68"/>
        <v>#DIV/0!</v>
      </c>
      <c r="X530" s="7"/>
      <c r="Y530" s="11"/>
    </row>
    <row r="531" spans="1:25" customFormat="1">
      <c r="A531" s="119" t="s">
        <v>979</v>
      </c>
      <c r="B531" s="119" t="s">
        <v>94</v>
      </c>
      <c r="C531" s="119" t="s">
        <v>546</v>
      </c>
      <c r="D531" s="119" t="s">
        <v>74</v>
      </c>
      <c r="E531" s="6" t="s">
        <v>510</v>
      </c>
      <c r="F531" s="7" t="s">
        <v>740</v>
      </c>
      <c r="G531" s="7" t="s">
        <v>15</v>
      </c>
      <c r="H531" s="7" t="s">
        <v>16</v>
      </c>
      <c r="I531" s="7"/>
      <c r="J531" s="7" t="s">
        <v>99</v>
      </c>
      <c r="K531" s="8"/>
      <c r="L531" s="164"/>
      <c r="M531" s="164"/>
      <c r="N531" s="164"/>
      <c r="O531" s="188"/>
      <c r="P531" s="9"/>
      <c r="Q531" s="9"/>
      <c r="R531" s="9"/>
      <c r="S531" s="9"/>
      <c r="T531" s="9"/>
      <c r="U531" s="9"/>
      <c r="V531" s="10" t="e">
        <f t="shared" si="67"/>
        <v>#DIV/0!</v>
      </c>
      <c r="W531" s="10" t="e">
        <f t="shared" si="68"/>
        <v>#DIV/0!</v>
      </c>
      <c r="X531" s="7"/>
      <c r="Y531" s="11"/>
    </row>
    <row r="532" spans="1:25" customFormat="1">
      <c r="A532" s="119" t="s">
        <v>979</v>
      </c>
      <c r="B532" s="119" t="s">
        <v>94</v>
      </c>
      <c r="C532" s="119" t="s">
        <v>546</v>
      </c>
      <c r="D532" s="119" t="s">
        <v>74</v>
      </c>
      <c r="E532" s="6" t="s">
        <v>512</v>
      </c>
      <c r="F532" s="7" t="s">
        <v>741</v>
      </c>
      <c r="G532" s="7" t="s">
        <v>15</v>
      </c>
      <c r="H532" s="7" t="s">
        <v>16</v>
      </c>
      <c r="I532" s="7"/>
      <c r="J532" s="7" t="s">
        <v>99</v>
      </c>
      <c r="K532" s="8"/>
      <c r="L532" s="164"/>
      <c r="M532" s="164"/>
      <c r="N532" s="164"/>
      <c r="O532" s="188"/>
      <c r="P532" s="9"/>
      <c r="Q532" s="9"/>
      <c r="R532" s="9"/>
      <c r="S532" s="9"/>
      <c r="T532" s="9"/>
      <c r="U532" s="9"/>
      <c r="V532" s="10" t="e">
        <f t="shared" si="67"/>
        <v>#DIV/0!</v>
      </c>
      <c r="W532" s="10" t="e">
        <f t="shared" si="68"/>
        <v>#DIV/0!</v>
      </c>
      <c r="X532" s="7"/>
      <c r="Y532" s="11"/>
    </row>
    <row r="533" spans="1:25" customFormat="1">
      <c r="A533" s="119" t="s">
        <v>979</v>
      </c>
      <c r="B533" s="119" t="s">
        <v>94</v>
      </c>
      <c r="C533" s="119" t="s">
        <v>546</v>
      </c>
      <c r="D533" s="119" t="s">
        <v>74</v>
      </c>
      <c r="E533" s="6" t="s">
        <v>514</v>
      </c>
      <c r="F533" s="7" t="s">
        <v>742</v>
      </c>
      <c r="G533" s="7" t="s">
        <v>15</v>
      </c>
      <c r="H533" s="7" t="s">
        <v>16</v>
      </c>
      <c r="I533" s="7"/>
      <c r="J533" s="7" t="s">
        <v>99</v>
      </c>
      <c r="K533" s="8"/>
      <c r="L533" s="164"/>
      <c r="M533" s="164"/>
      <c r="N533" s="164"/>
      <c r="O533" s="188"/>
      <c r="P533" s="9"/>
      <c r="Q533" s="9"/>
      <c r="R533" s="9"/>
      <c r="S533" s="9"/>
      <c r="T533" s="9"/>
      <c r="U533" s="9"/>
      <c r="V533" s="10" t="e">
        <f t="shared" si="67"/>
        <v>#DIV/0!</v>
      </c>
      <c r="W533" s="10" t="e">
        <f t="shared" si="68"/>
        <v>#DIV/0!</v>
      </c>
      <c r="X533" s="7"/>
      <c r="Y533" s="11"/>
    </row>
    <row r="534" spans="1:25" customFormat="1">
      <c r="A534" s="119" t="s">
        <v>979</v>
      </c>
      <c r="B534" s="119" t="s">
        <v>94</v>
      </c>
      <c r="C534" s="119" t="s">
        <v>546</v>
      </c>
      <c r="D534" s="119" t="s">
        <v>74</v>
      </c>
      <c r="E534" s="6" t="s">
        <v>516</v>
      </c>
      <c r="F534" s="7" t="s">
        <v>743</v>
      </c>
      <c r="G534" s="7" t="s">
        <v>15</v>
      </c>
      <c r="H534" s="7" t="s">
        <v>16</v>
      </c>
      <c r="I534" s="7"/>
      <c r="J534" s="7" t="s">
        <v>99</v>
      </c>
      <c r="K534" s="8"/>
      <c r="L534" s="164"/>
      <c r="M534" s="164"/>
      <c r="N534" s="164"/>
      <c r="O534" s="188"/>
      <c r="P534" s="9"/>
      <c r="Q534" s="9"/>
      <c r="R534" s="9"/>
      <c r="S534" s="9"/>
      <c r="T534" s="9"/>
      <c r="U534" s="9"/>
      <c r="V534" s="10" t="e">
        <f t="shared" si="67"/>
        <v>#DIV/0!</v>
      </c>
      <c r="W534" s="10" t="e">
        <f t="shared" si="68"/>
        <v>#DIV/0!</v>
      </c>
      <c r="X534" s="7"/>
      <c r="Y534" s="11"/>
    </row>
    <row r="535" spans="1:25" customFormat="1">
      <c r="A535" s="119" t="s">
        <v>979</v>
      </c>
      <c r="B535" s="119" t="s">
        <v>94</v>
      </c>
      <c r="C535" s="119" t="s">
        <v>546</v>
      </c>
      <c r="D535" s="119" t="s">
        <v>74</v>
      </c>
      <c r="E535" s="6" t="s">
        <v>518</v>
      </c>
      <c r="F535" s="7" t="s">
        <v>744</v>
      </c>
      <c r="G535" s="7" t="s">
        <v>15</v>
      </c>
      <c r="H535" s="7" t="s">
        <v>16</v>
      </c>
      <c r="I535" s="7"/>
      <c r="J535" s="7" t="s">
        <v>99</v>
      </c>
      <c r="K535" s="8"/>
      <c r="L535" s="164"/>
      <c r="M535" s="164"/>
      <c r="N535" s="164"/>
      <c r="O535" s="188"/>
      <c r="P535" s="9"/>
      <c r="Q535" s="9"/>
      <c r="R535" s="9"/>
      <c r="S535" s="9"/>
      <c r="T535" s="9"/>
      <c r="U535" s="9"/>
      <c r="V535" s="10" t="e">
        <f t="shared" si="67"/>
        <v>#DIV/0!</v>
      </c>
      <c r="W535" s="10" t="e">
        <f t="shared" si="68"/>
        <v>#DIV/0!</v>
      </c>
      <c r="X535" s="7"/>
      <c r="Y535" s="11"/>
    </row>
    <row r="536" spans="1:25" customFormat="1">
      <c r="A536" s="119" t="s">
        <v>979</v>
      </c>
      <c r="B536" s="119" t="s">
        <v>94</v>
      </c>
      <c r="C536" s="119" t="s">
        <v>546</v>
      </c>
      <c r="D536" s="119" t="s">
        <v>74</v>
      </c>
      <c r="E536" s="6" t="s">
        <v>520</v>
      </c>
      <c r="F536" s="7" t="s">
        <v>745</v>
      </c>
      <c r="G536" s="7" t="s">
        <v>15</v>
      </c>
      <c r="H536" s="7" t="s">
        <v>16</v>
      </c>
      <c r="I536" s="7"/>
      <c r="J536" s="7" t="s">
        <v>99</v>
      </c>
      <c r="K536" s="8"/>
      <c r="L536" s="164"/>
      <c r="M536" s="164"/>
      <c r="N536" s="164"/>
      <c r="O536" s="188"/>
      <c r="P536" s="9"/>
      <c r="Q536" s="9"/>
      <c r="R536" s="9"/>
      <c r="S536" s="9"/>
      <c r="T536" s="9"/>
      <c r="U536" s="9"/>
      <c r="V536" s="10" t="e">
        <f t="shared" si="67"/>
        <v>#DIV/0!</v>
      </c>
      <c r="W536" s="10" t="e">
        <f t="shared" si="68"/>
        <v>#DIV/0!</v>
      </c>
      <c r="X536" s="7"/>
      <c r="Y536" s="11"/>
    </row>
    <row r="537" spans="1:25" customFormat="1">
      <c r="A537" s="119" t="s">
        <v>979</v>
      </c>
      <c r="B537" s="119" t="s">
        <v>94</v>
      </c>
      <c r="C537" s="119" t="s">
        <v>546</v>
      </c>
      <c r="D537" s="119" t="s">
        <v>74</v>
      </c>
      <c r="E537" s="6" t="s">
        <v>522</v>
      </c>
      <c r="F537" s="7" t="s">
        <v>746</v>
      </c>
      <c r="G537" s="7" t="s">
        <v>15</v>
      </c>
      <c r="H537" s="7" t="s">
        <v>16</v>
      </c>
      <c r="I537" s="7"/>
      <c r="J537" s="7" t="s">
        <v>99</v>
      </c>
      <c r="K537" s="8"/>
      <c r="L537" s="164"/>
      <c r="M537" s="164"/>
      <c r="N537" s="164"/>
      <c r="O537" s="188"/>
      <c r="P537" s="9"/>
      <c r="Q537" s="9"/>
      <c r="R537" s="9"/>
      <c r="S537" s="9"/>
      <c r="T537" s="9"/>
      <c r="U537" s="9"/>
      <c r="V537" s="10" t="e">
        <f t="shared" si="67"/>
        <v>#DIV/0!</v>
      </c>
      <c r="W537" s="10" t="e">
        <f t="shared" si="68"/>
        <v>#DIV/0!</v>
      </c>
      <c r="X537" s="7"/>
      <c r="Y537" s="11"/>
    </row>
    <row r="538" spans="1:25" customFormat="1">
      <c r="A538" s="119" t="s">
        <v>979</v>
      </c>
      <c r="B538" s="119" t="s">
        <v>94</v>
      </c>
      <c r="C538" s="119" t="s">
        <v>546</v>
      </c>
      <c r="D538" s="119" t="s">
        <v>74</v>
      </c>
      <c r="E538" s="6" t="s">
        <v>524</v>
      </c>
      <c r="F538" s="7" t="s">
        <v>747</v>
      </c>
      <c r="G538" s="7" t="s">
        <v>15</v>
      </c>
      <c r="H538" s="7" t="s">
        <v>16</v>
      </c>
      <c r="I538" s="7"/>
      <c r="J538" s="7" t="s">
        <v>99</v>
      </c>
      <c r="K538" s="8"/>
      <c r="L538" s="164"/>
      <c r="M538" s="164"/>
      <c r="N538" s="164"/>
      <c r="O538" s="188"/>
      <c r="P538" s="9"/>
      <c r="Q538" s="9"/>
      <c r="R538" s="9"/>
      <c r="S538" s="9"/>
      <c r="T538" s="9"/>
      <c r="U538" s="9"/>
      <c r="V538" s="10" t="e">
        <f t="shared" si="67"/>
        <v>#DIV/0!</v>
      </c>
      <c r="W538" s="10" t="e">
        <f t="shared" si="68"/>
        <v>#DIV/0!</v>
      </c>
      <c r="X538" s="7"/>
      <c r="Y538" s="11"/>
    </row>
    <row r="539" spans="1:25" customFormat="1">
      <c r="A539" s="119" t="s">
        <v>979</v>
      </c>
      <c r="B539" s="119" t="s">
        <v>94</v>
      </c>
      <c r="C539" s="119" t="s">
        <v>546</v>
      </c>
      <c r="D539" s="119" t="s">
        <v>74</v>
      </c>
      <c r="E539" s="6" t="s">
        <v>526</v>
      </c>
      <c r="F539" s="7" t="s">
        <v>748</v>
      </c>
      <c r="G539" s="7" t="s">
        <v>15</v>
      </c>
      <c r="H539" s="7" t="s">
        <v>16</v>
      </c>
      <c r="I539" s="7"/>
      <c r="J539" s="7" t="s">
        <v>99</v>
      </c>
      <c r="K539" s="8"/>
      <c r="L539" s="164"/>
      <c r="M539" s="164"/>
      <c r="N539" s="164"/>
      <c r="O539" s="188"/>
      <c r="P539" s="9"/>
      <c r="Q539" s="9"/>
      <c r="R539" s="9"/>
      <c r="S539" s="9"/>
      <c r="T539" s="9"/>
      <c r="U539" s="9"/>
      <c r="V539" s="10" t="e">
        <f t="shared" si="67"/>
        <v>#DIV/0!</v>
      </c>
      <c r="W539" s="10" t="e">
        <f t="shared" si="68"/>
        <v>#DIV/0!</v>
      </c>
      <c r="X539" s="7"/>
      <c r="Y539" s="11"/>
    </row>
    <row r="540" spans="1:25" customFormat="1">
      <c r="A540" s="119" t="s">
        <v>979</v>
      </c>
      <c r="B540" s="119" t="s">
        <v>94</v>
      </c>
      <c r="C540" s="119" t="s">
        <v>546</v>
      </c>
      <c r="D540" s="119" t="s">
        <v>74</v>
      </c>
      <c r="E540" s="6" t="s">
        <v>528</v>
      </c>
      <c r="F540" s="7" t="s">
        <v>749</v>
      </c>
      <c r="G540" s="7" t="s">
        <v>15</v>
      </c>
      <c r="H540" s="7" t="s">
        <v>16</v>
      </c>
      <c r="I540" s="7"/>
      <c r="J540" s="7" t="s">
        <v>99</v>
      </c>
      <c r="K540" s="8"/>
      <c r="L540" s="164"/>
      <c r="M540" s="164"/>
      <c r="N540" s="164"/>
      <c r="O540" s="188"/>
      <c r="P540" s="9"/>
      <c r="Q540" s="9"/>
      <c r="R540" s="9"/>
      <c r="S540" s="9"/>
      <c r="T540" s="9"/>
      <c r="U540" s="9"/>
      <c r="V540" s="10" t="e">
        <f t="shared" si="67"/>
        <v>#DIV/0!</v>
      </c>
      <c r="W540" s="10" t="e">
        <f t="shared" si="68"/>
        <v>#DIV/0!</v>
      </c>
      <c r="X540" s="7"/>
      <c r="Y540" s="11"/>
    </row>
    <row r="541" spans="1:25" customFormat="1">
      <c r="A541" s="119" t="s">
        <v>979</v>
      </c>
      <c r="B541" s="119" t="s">
        <v>94</v>
      </c>
      <c r="C541" s="119" t="s">
        <v>546</v>
      </c>
      <c r="D541" s="119" t="s">
        <v>74</v>
      </c>
      <c r="E541" s="6" t="s">
        <v>530</v>
      </c>
      <c r="F541" s="7" t="s">
        <v>750</v>
      </c>
      <c r="G541" s="7" t="s">
        <v>15</v>
      </c>
      <c r="H541" s="7" t="s">
        <v>16</v>
      </c>
      <c r="I541" s="7"/>
      <c r="J541" s="7" t="s">
        <v>99</v>
      </c>
      <c r="K541" s="8"/>
      <c r="L541" s="164"/>
      <c r="M541" s="164"/>
      <c r="N541" s="164"/>
      <c r="O541" s="188"/>
      <c r="P541" s="9"/>
      <c r="Q541" s="9"/>
      <c r="R541" s="9"/>
      <c r="S541" s="9"/>
      <c r="T541" s="9"/>
      <c r="U541" s="9"/>
      <c r="V541" s="10" t="e">
        <f t="shared" si="67"/>
        <v>#DIV/0!</v>
      </c>
      <c r="W541" s="10" t="e">
        <f t="shared" si="68"/>
        <v>#DIV/0!</v>
      </c>
      <c r="X541" s="7"/>
      <c r="Y541" s="11"/>
    </row>
    <row r="542" spans="1:25" customFormat="1">
      <c r="A542" s="119" t="s">
        <v>979</v>
      </c>
      <c r="B542" s="119" t="s">
        <v>94</v>
      </c>
      <c r="C542" s="119" t="s">
        <v>546</v>
      </c>
      <c r="D542" s="41" t="s">
        <v>74</v>
      </c>
      <c r="E542" s="136" t="s">
        <v>881</v>
      </c>
      <c r="F542" s="41" t="s">
        <v>882</v>
      </c>
      <c r="G542" s="7" t="s">
        <v>15</v>
      </c>
      <c r="H542" s="7" t="s">
        <v>16</v>
      </c>
      <c r="I542" s="7"/>
      <c r="J542" s="7" t="s">
        <v>99</v>
      </c>
      <c r="K542" s="111">
        <f>63662-SUM($K$335,$K$391,$K$437,$K$483,$K$499,$K$504)</f>
        <v>7509</v>
      </c>
      <c r="L542" s="164">
        <f>Sheet1!B178</f>
        <v>216</v>
      </c>
      <c r="M542" s="164">
        <f>Sheet1!C178</f>
        <v>132.75</v>
      </c>
      <c r="N542" s="164">
        <f>Sheet1!D178</f>
        <v>288.2</v>
      </c>
      <c r="O542" s="164">
        <f>Sheet1!E178</f>
        <v>388.5</v>
      </c>
      <c r="P542" s="164">
        <f>Sheet1!F178</f>
        <v>366.43377324016035</v>
      </c>
      <c r="Q542" s="128"/>
      <c r="R542" s="128"/>
      <c r="S542" s="128"/>
      <c r="T542" s="128"/>
      <c r="U542" s="128"/>
      <c r="V542" s="10">
        <f t="shared" si="67"/>
        <v>0.14126220717015903</v>
      </c>
      <c r="W542" s="10" t="e">
        <f t="shared" si="68"/>
        <v>#DIV/0!</v>
      </c>
      <c r="X542" s="7"/>
      <c r="Y542" s="11"/>
    </row>
    <row r="543" spans="1:25" customFormat="1">
      <c r="A543" s="119"/>
      <c r="B543" s="145" t="s">
        <v>94</v>
      </c>
      <c r="C543" s="145" t="s">
        <v>546</v>
      </c>
      <c r="D543" s="145" t="s">
        <v>994</v>
      </c>
      <c r="E543" s="146" t="s">
        <v>995</v>
      </c>
      <c r="F543" s="145" t="s">
        <v>882</v>
      </c>
      <c r="G543" s="145" t="s">
        <v>15</v>
      </c>
      <c r="H543" s="145" t="s">
        <v>16</v>
      </c>
      <c r="I543" s="145"/>
      <c r="J543" s="145" t="s">
        <v>99</v>
      </c>
      <c r="K543" s="111"/>
      <c r="L543" s="9">
        <f>L334-SUM(L335,L391,L437,L483,L499,L504)</f>
        <v>0</v>
      </c>
      <c r="M543" s="9">
        <f t="shared" ref="M543:O543" si="69">M334-SUM(M335,M391,M437,M483,M499,M504)</f>
        <v>0</v>
      </c>
      <c r="N543" s="9">
        <f t="shared" si="69"/>
        <v>0</v>
      </c>
      <c r="O543" s="9">
        <f t="shared" si="69"/>
        <v>0</v>
      </c>
      <c r="P543" s="9">
        <f>P334-SUM(P335,P391,P437,P483,P499,P504)</f>
        <v>0</v>
      </c>
      <c r="Q543" s="128"/>
      <c r="R543" s="128"/>
      <c r="S543" s="128"/>
      <c r="T543" s="128"/>
      <c r="U543" s="128"/>
      <c r="V543" s="10"/>
      <c r="W543" s="10"/>
      <c r="X543" s="7"/>
      <c r="Y543" s="11"/>
    </row>
    <row r="544" spans="1:25" customFormat="1">
      <c r="A544" s="119" t="s">
        <v>979</v>
      </c>
      <c r="B544" s="119" t="s">
        <v>94</v>
      </c>
      <c r="C544" s="6" t="s">
        <v>886</v>
      </c>
      <c r="D544" s="7"/>
      <c r="E544" s="7"/>
      <c r="F544" s="7" t="s">
        <v>751</v>
      </c>
      <c r="G544" s="7" t="s">
        <v>15</v>
      </c>
      <c r="H544" s="7" t="s">
        <v>111</v>
      </c>
      <c r="I544" s="7"/>
      <c r="J544" s="7" t="s">
        <v>99</v>
      </c>
      <c r="K544" s="111">
        <f>SUM(K545,K546,K547)</f>
        <v>0</v>
      </c>
      <c r="L544" s="128">
        <f>L334</f>
        <v>6900</v>
      </c>
      <c r="M544" s="128">
        <f t="shared" ref="M544:O544" si="70">M334</f>
        <v>7375</v>
      </c>
      <c r="N544" s="128">
        <f t="shared" si="70"/>
        <v>5821.5</v>
      </c>
      <c r="O544" s="128">
        <f t="shared" si="70"/>
        <v>6925</v>
      </c>
      <c r="P544" s="128">
        <f>P334</f>
        <v>7251.8717674626923</v>
      </c>
      <c r="Q544" s="128"/>
      <c r="R544" s="128"/>
      <c r="S544" s="128"/>
      <c r="T544" s="128"/>
      <c r="U544" s="128"/>
      <c r="V544" s="10">
        <f t="shared" ref="V544:V556" si="71">+(P544/L544)^(1/4)-1</f>
        <v>1.2512180136967643E-2</v>
      </c>
      <c r="W544" s="10" t="e">
        <f t="shared" ref="W544:W556" si="72">+(U544/Q544)^(1/4)-1</f>
        <v>#DIV/0!</v>
      </c>
      <c r="X544" s="7"/>
      <c r="Y544" s="7"/>
    </row>
    <row r="545" spans="1:24" customFormat="1">
      <c r="A545" s="119" t="s">
        <v>979</v>
      </c>
      <c r="B545" s="119" t="s">
        <v>94</v>
      </c>
      <c r="C545" s="119" t="s">
        <v>886</v>
      </c>
      <c r="D545" s="6" t="s">
        <v>112</v>
      </c>
      <c r="E545" s="7"/>
      <c r="F545" s="7" t="s">
        <v>752</v>
      </c>
      <c r="G545" s="7" t="s">
        <v>15</v>
      </c>
      <c r="H545" s="7" t="s">
        <v>111</v>
      </c>
      <c r="I545" s="7"/>
      <c r="J545" s="7" t="s">
        <v>99</v>
      </c>
      <c r="K545" s="8"/>
      <c r="L545" s="160">
        <f>L$544*Sheet1!B134</f>
        <v>1794</v>
      </c>
      <c r="M545" s="160">
        <f>M$544*Sheet1!C134</f>
        <v>1327.5</v>
      </c>
      <c r="N545" s="160">
        <f>N$544*Sheet1!D134</f>
        <v>989.65500000000009</v>
      </c>
      <c r="O545" s="160">
        <f>O$544*Sheet1!E134</f>
        <v>1315.75</v>
      </c>
      <c r="P545" s="129">
        <f>$P$544*P557</f>
        <v>1392.3593793528369</v>
      </c>
      <c r="Q545" s="9"/>
      <c r="R545" s="9"/>
      <c r="S545" s="9"/>
      <c r="T545" s="9"/>
      <c r="U545" s="9"/>
      <c r="V545" s="10">
        <f t="shared" si="71"/>
        <v>-6.1396376465767677E-2</v>
      </c>
      <c r="W545" s="10" t="e">
        <f t="shared" si="72"/>
        <v>#DIV/0!</v>
      </c>
      <c r="X545" s="156"/>
    </row>
    <row r="546" spans="1:24" customFormat="1">
      <c r="A546" s="119" t="s">
        <v>979</v>
      </c>
      <c r="B546" s="119" t="s">
        <v>94</v>
      </c>
      <c r="C546" s="119" t="s">
        <v>886</v>
      </c>
      <c r="D546" s="6" t="s">
        <v>115</v>
      </c>
      <c r="E546" s="7"/>
      <c r="F546" s="7" t="s">
        <v>753</v>
      </c>
      <c r="G546" s="7" t="s">
        <v>15</v>
      </c>
      <c r="H546" s="7" t="s">
        <v>111</v>
      </c>
      <c r="I546" s="7"/>
      <c r="J546" s="7" t="s">
        <v>99</v>
      </c>
      <c r="K546" s="8"/>
      <c r="L546" s="160">
        <f>L$544*Sheet1!B135</f>
        <v>4622.9999999999991</v>
      </c>
      <c r="M546" s="160">
        <f>M$544*Sheet1!C135</f>
        <v>5678.75</v>
      </c>
      <c r="N546" s="160">
        <f>N$544*Sheet1!D135</f>
        <v>4307.91</v>
      </c>
      <c r="O546" s="160">
        <f>O$544*Sheet1!E135</f>
        <v>5263</v>
      </c>
      <c r="P546" s="129">
        <f t="shared" ref="P546:P547" si="73">$P$544*P558</f>
        <v>5453.4075691319449</v>
      </c>
      <c r="Q546" s="9"/>
      <c r="R546" s="9"/>
      <c r="S546" s="9"/>
      <c r="T546" s="9"/>
      <c r="U546" s="9"/>
      <c r="V546" s="10">
        <f t="shared" si="71"/>
        <v>4.2163877024937513E-2</v>
      </c>
      <c r="W546" s="10" t="e">
        <f t="shared" si="72"/>
        <v>#DIV/0!</v>
      </c>
      <c r="X546" s="7"/>
    </row>
    <row r="547" spans="1:24" customFormat="1">
      <c r="A547" s="119" t="s">
        <v>979</v>
      </c>
      <c r="B547" s="119" t="s">
        <v>94</v>
      </c>
      <c r="C547" s="119" t="s">
        <v>886</v>
      </c>
      <c r="D547" s="6" t="s">
        <v>117</v>
      </c>
      <c r="E547" s="6"/>
      <c r="F547" s="7" t="s">
        <v>754</v>
      </c>
      <c r="G547" s="7" t="s">
        <v>15</v>
      </c>
      <c r="H547" s="7" t="s">
        <v>111</v>
      </c>
      <c r="I547" s="7"/>
      <c r="J547" s="7" t="s">
        <v>99</v>
      </c>
      <c r="K547" s="8"/>
      <c r="L547" s="160">
        <f>L$544*Sheet1!B136</f>
        <v>483.00000000000006</v>
      </c>
      <c r="M547" s="160">
        <f>M$544*Sheet1!C136</f>
        <v>368.75</v>
      </c>
      <c r="N547" s="160">
        <f>N$544*Sheet1!D136</f>
        <v>523.93499999999995</v>
      </c>
      <c r="O547" s="160">
        <f>O$544*Sheet1!E136</f>
        <v>346.25000000000028</v>
      </c>
      <c r="P547" s="129">
        <f t="shared" si="73"/>
        <v>406.10481897791078</v>
      </c>
      <c r="Q547" s="9"/>
      <c r="R547" s="9"/>
      <c r="S547" s="9"/>
      <c r="T547" s="9"/>
      <c r="U547" s="9"/>
      <c r="V547" s="10">
        <f t="shared" si="71"/>
        <v>-4.24251016219509E-2</v>
      </c>
      <c r="W547" s="10" t="e">
        <f t="shared" si="72"/>
        <v>#DIV/0!</v>
      </c>
      <c r="X547" s="7"/>
    </row>
    <row r="548" spans="1:24" customFormat="1" hidden="1">
      <c r="A548" s="119" t="s">
        <v>979</v>
      </c>
      <c r="B548" s="119" t="s">
        <v>94</v>
      </c>
      <c r="C548" s="6" t="s">
        <v>755</v>
      </c>
      <c r="D548" s="7"/>
      <c r="E548" s="7"/>
      <c r="F548" s="7" t="s">
        <v>756</v>
      </c>
      <c r="G548" s="7" t="s">
        <v>15</v>
      </c>
      <c r="H548" s="7" t="s">
        <v>111</v>
      </c>
      <c r="I548" s="7"/>
      <c r="J548" s="7" t="s">
        <v>980</v>
      </c>
      <c r="K548" s="8"/>
      <c r="L548" s="9"/>
      <c r="M548" s="9"/>
      <c r="N548" s="9"/>
      <c r="O548" s="9"/>
      <c r="P548" s="9"/>
      <c r="Q548" s="9"/>
      <c r="R548" s="9"/>
      <c r="S548" s="9"/>
      <c r="T548" s="9"/>
      <c r="U548" s="9"/>
      <c r="V548" s="10" t="e">
        <f t="shared" si="71"/>
        <v>#DIV/0!</v>
      </c>
      <c r="W548" s="10" t="e">
        <f t="shared" si="72"/>
        <v>#DIV/0!</v>
      </c>
      <c r="X548" s="7"/>
    </row>
    <row r="549" spans="1:24" customFormat="1" hidden="1">
      <c r="A549" s="119" t="s">
        <v>979</v>
      </c>
      <c r="B549" s="119" t="s">
        <v>94</v>
      </c>
      <c r="C549" s="119" t="s">
        <v>755</v>
      </c>
      <c r="D549" s="6" t="s">
        <v>78</v>
      </c>
      <c r="E549" s="7"/>
      <c r="F549" s="7" t="s">
        <v>757</v>
      </c>
      <c r="G549" s="7" t="s">
        <v>15</v>
      </c>
      <c r="H549" s="7" t="s">
        <v>16</v>
      </c>
      <c r="I549" s="7" t="s">
        <v>1058</v>
      </c>
      <c r="J549" s="7" t="s">
        <v>980</v>
      </c>
      <c r="K549" s="8"/>
      <c r="L549" s="9"/>
      <c r="M549" s="9"/>
      <c r="N549" s="9"/>
      <c r="O549" s="9"/>
      <c r="P549" s="9"/>
      <c r="Q549" s="9"/>
      <c r="R549" s="9"/>
      <c r="S549" s="9"/>
      <c r="T549" s="9"/>
      <c r="U549" s="9"/>
      <c r="V549" s="10" t="e">
        <f t="shared" si="71"/>
        <v>#DIV/0!</v>
      </c>
      <c r="W549" s="10" t="e">
        <f t="shared" si="72"/>
        <v>#DIV/0!</v>
      </c>
      <c r="X549" s="7"/>
    </row>
    <row r="550" spans="1:24" customFormat="1" hidden="1">
      <c r="A550" s="119" t="s">
        <v>979</v>
      </c>
      <c r="B550" s="119" t="s">
        <v>94</v>
      </c>
      <c r="C550" s="119" t="s">
        <v>755</v>
      </c>
      <c r="D550" s="6" t="s">
        <v>80</v>
      </c>
      <c r="E550" s="7"/>
      <c r="F550" s="7" t="s">
        <v>758</v>
      </c>
      <c r="G550" s="7" t="s">
        <v>15</v>
      </c>
      <c r="H550" s="7" t="s">
        <v>16</v>
      </c>
      <c r="I550" s="7" t="s">
        <v>1058</v>
      </c>
      <c r="J550" s="7" t="s">
        <v>980</v>
      </c>
      <c r="K550" s="8"/>
      <c r="L550" s="9"/>
      <c r="M550" s="9"/>
      <c r="N550" s="9"/>
      <c r="O550" s="9"/>
      <c r="P550" s="9"/>
      <c r="Q550" s="9"/>
      <c r="R550" s="9"/>
      <c r="S550" s="9"/>
      <c r="T550" s="9"/>
      <c r="U550" s="9"/>
      <c r="V550" s="10" t="e">
        <f t="shared" si="71"/>
        <v>#DIV/0!</v>
      </c>
      <c r="W550" s="10" t="e">
        <f t="shared" si="72"/>
        <v>#DIV/0!</v>
      </c>
      <c r="X550" s="7"/>
    </row>
    <row r="551" spans="1:24" customFormat="1" hidden="1">
      <c r="A551" s="119" t="s">
        <v>979</v>
      </c>
      <c r="B551" s="119" t="s">
        <v>94</v>
      </c>
      <c r="C551" s="119" t="s">
        <v>755</v>
      </c>
      <c r="D551" s="6" t="s">
        <v>82</v>
      </c>
      <c r="E551" s="7"/>
      <c r="F551" s="7" t="s">
        <v>759</v>
      </c>
      <c r="G551" s="7" t="s">
        <v>15</v>
      </c>
      <c r="H551" s="7" t="s">
        <v>16</v>
      </c>
      <c r="I551" s="7" t="s">
        <v>1058</v>
      </c>
      <c r="J551" s="7" t="s">
        <v>980</v>
      </c>
      <c r="K551" s="8"/>
      <c r="L551" s="9"/>
      <c r="M551" s="9"/>
      <c r="N551" s="9"/>
      <c r="O551" s="9"/>
      <c r="P551" s="9"/>
      <c r="Q551" s="9"/>
      <c r="R551" s="9"/>
      <c r="S551" s="9"/>
      <c r="T551" s="9"/>
      <c r="U551" s="9"/>
      <c r="V551" s="10" t="e">
        <f t="shared" si="71"/>
        <v>#DIV/0!</v>
      </c>
      <c r="W551" s="10" t="e">
        <f t="shared" si="72"/>
        <v>#DIV/0!</v>
      </c>
      <c r="X551" s="7"/>
    </row>
    <row r="552" spans="1:24" customFormat="1" hidden="1">
      <c r="A552" s="119" t="s">
        <v>979</v>
      </c>
      <c r="B552" s="119" t="s">
        <v>94</v>
      </c>
      <c r="C552" s="119" t="s">
        <v>755</v>
      </c>
      <c r="D552" s="6" t="s">
        <v>84</v>
      </c>
      <c r="E552" s="7"/>
      <c r="F552" s="7" t="s">
        <v>760</v>
      </c>
      <c r="G552" s="7" t="s">
        <v>15</v>
      </c>
      <c r="H552" s="7" t="s">
        <v>16</v>
      </c>
      <c r="I552" s="7" t="s">
        <v>1058</v>
      </c>
      <c r="J552" s="7" t="s">
        <v>980</v>
      </c>
      <c r="K552" s="8"/>
      <c r="L552" s="9"/>
      <c r="M552" s="9"/>
      <c r="N552" s="9"/>
      <c r="O552" s="9"/>
      <c r="P552" s="9"/>
      <c r="Q552" s="9"/>
      <c r="R552" s="9"/>
      <c r="S552" s="9"/>
      <c r="T552" s="9"/>
      <c r="U552" s="9"/>
      <c r="V552" s="10" t="e">
        <f t="shared" si="71"/>
        <v>#DIV/0!</v>
      </c>
      <c r="W552" s="10" t="e">
        <f t="shared" si="72"/>
        <v>#DIV/0!</v>
      </c>
      <c r="X552" s="7"/>
    </row>
    <row r="553" spans="1:24" customFormat="1" hidden="1">
      <c r="A553" s="119" t="s">
        <v>979</v>
      </c>
      <c r="B553" s="119" t="s">
        <v>94</v>
      </c>
      <c r="C553" s="119" t="s">
        <v>755</v>
      </c>
      <c r="D553" s="6" t="s">
        <v>86</v>
      </c>
      <c r="E553" s="7"/>
      <c r="F553" s="7" t="s">
        <v>761</v>
      </c>
      <c r="G553" s="7" t="s">
        <v>15</v>
      </c>
      <c r="H553" s="7" t="s">
        <v>16</v>
      </c>
      <c r="I553" s="7" t="s">
        <v>1058</v>
      </c>
      <c r="J553" s="7" t="s">
        <v>980</v>
      </c>
      <c r="K553" s="8"/>
      <c r="L553" s="9"/>
      <c r="M553" s="9"/>
      <c r="N553" s="9"/>
      <c r="O553" s="9"/>
      <c r="P553" s="9"/>
      <c r="Q553" s="9"/>
      <c r="R553" s="9"/>
      <c r="S553" s="9"/>
      <c r="T553" s="9"/>
      <c r="U553" s="9"/>
      <c r="V553" s="10" t="e">
        <f t="shared" si="71"/>
        <v>#DIV/0!</v>
      </c>
      <c r="W553" s="10" t="e">
        <f t="shared" si="72"/>
        <v>#DIV/0!</v>
      </c>
      <c r="X553" s="7"/>
    </row>
    <row r="554" spans="1:24" customFormat="1" hidden="1">
      <c r="A554" s="119" t="s">
        <v>979</v>
      </c>
      <c r="B554" s="119" t="s">
        <v>94</v>
      </c>
      <c r="C554" s="119" t="s">
        <v>755</v>
      </c>
      <c r="D554" s="6" t="s">
        <v>88</v>
      </c>
      <c r="E554" s="7"/>
      <c r="F554" s="7" t="s">
        <v>762</v>
      </c>
      <c r="G554" s="7" t="s">
        <v>15</v>
      </c>
      <c r="H554" s="7" t="s">
        <v>16</v>
      </c>
      <c r="I554" s="7" t="s">
        <v>1058</v>
      </c>
      <c r="J554" s="7" t="s">
        <v>980</v>
      </c>
      <c r="K554" s="8"/>
      <c r="L554" s="9"/>
      <c r="M554" s="9"/>
      <c r="N554" s="9"/>
      <c r="O554" s="9"/>
      <c r="P554" s="9"/>
      <c r="Q554" s="9"/>
      <c r="R554" s="9"/>
      <c r="S554" s="9"/>
      <c r="T554" s="9"/>
      <c r="U554" s="9"/>
      <c r="V554" s="10" t="e">
        <f t="shared" si="71"/>
        <v>#DIV/0!</v>
      </c>
      <c r="W554" s="10" t="e">
        <f t="shared" si="72"/>
        <v>#DIV/0!</v>
      </c>
      <c r="X554" s="7"/>
    </row>
    <row r="555" spans="1:24" customFormat="1" hidden="1">
      <c r="A555" s="119" t="s">
        <v>979</v>
      </c>
      <c r="B555" s="119" t="s">
        <v>94</v>
      </c>
      <c r="C555" s="119" t="s">
        <v>755</v>
      </c>
      <c r="D555" s="6" t="s">
        <v>90</v>
      </c>
      <c r="E555" s="7"/>
      <c r="F555" s="7" t="s">
        <v>763</v>
      </c>
      <c r="G555" s="7" t="s">
        <v>15</v>
      </c>
      <c r="H555" s="7" t="s">
        <v>16</v>
      </c>
      <c r="I555" s="7" t="s">
        <v>1058</v>
      </c>
      <c r="J555" s="7" t="s">
        <v>980</v>
      </c>
      <c r="K555" s="8"/>
      <c r="L555" s="9"/>
      <c r="M555" s="9"/>
      <c r="N555" s="9"/>
      <c r="O555" s="9"/>
      <c r="P555" s="9"/>
      <c r="Q555" s="9"/>
      <c r="R555" s="9"/>
      <c r="S555" s="9"/>
      <c r="T555" s="9"/>
      <c r="U555" s="9"/>
      <c r="V555" s="10" t="e">
        <f t="shared" si="71"/>
        <v>#DIV/0!</v>
      </c>
      <c r="W555" s="10" t="e">
        <f t="shared" si="72"/>
        <v>#DIV/0!</v>
      </c>
      <c r="X555" s="7"/>
    </row>
    <row r="556" spans="1:24" customFormat="1" hidden="1">
      <c r="A556" s="119" t="s">
        <v>979</v>
      </c>
      <c r="B556" s="119" t="s">
        <v>94</v>
      </c>
      <c r="C556" s="119" t="s">
        <v>755</v>
      </c>
      <c r="D556" s="6" t="s">
        <v>92</v>
      </c>
      <c r="E556" s="7"/>
      <c r="F556" s="7" t="s">
        <v>764</v>
      </c>
      <c r="G556" s="7" t="s">
        <v>15</v>
      </c>
      <c r="H556" s="7" t="s">
        <v>16</v>
      </c>
      <c r="I556" s="7" t="s">
        <v>1058</v>
      </c>
      <c r="J556" s="7" t="s">
        <v>980</v>
      </c>
      <c r="K556" s="8"/>
      <c r="L556" s="9"/>
      <c r="M556" s="9"/>
      <c r="N556" s="9"/>
      <c r="O556" s="9"/>
      <c r="P556" s="9"/>
      <c r="Q556" s="9"/>
      <c r="R556" s="9"/>
      <c r="S556" s="9"/>
      <c r="T556" s="9"/>
      <c r="U556" s="9"/>
      <c r="V556" s="10" t="e">
        <f t="shared" si="71"/>
        <v>#DIV/0!</v>
      </c>
      <c r="W556" s="10" t="e">
        <f t="shared" si="72"/>
        <v>#DIV/0!</v>
      </c>
      <c r="X556" s="7"/>
    </row>
    <row r="557" spans="1:24">
      <c r="L557" s="10">
        <f>L545/L$544</f>
        <v>0.26</v>
      </c>
      <c r="M557" s="10">
        <f t="shared" ref="M557:O557" si="74">M545/M$544</f>
        <v>0.18</v>
      </c>
      <c r="N557" s="10">
        <f t="shared" si="74"/>
        <v>0.17</v>
      </c>
      <c r="O557" s="10">
        <f t="shared" si="74"/>
        <v>0.19</v>
      </c>
      <c r="P557" s="10">
        <v>0.192</v>
      </c>
    </row>
    <row r="558" spans="1:24">
      <c r="L558" s="10">
        <f t="shared" ref="L558:O559" si="75">L546/L$544</f>
        <v>0.66999999999999982</v>
      </c>
      <c r="M558" s="10">
        <f t="shared" si="75"/>
        <v>0.77</v>
      </c>
      <c r="N558" s="10">
        <f t="shared" si="75"/>
        <v>0.74</v>
      </c>
      <c r="O558" s="10">
        <f t="shared" si="75"/>
        <v>0.76</v>
      </c>
      <c r="P558" s="10">
        <f>1-P557-P559</f>
        <v>0.752</v>
      </c>
    </row>
    <row r="559" spans="1:24">
      <c r="L559" s="10">
        <f t="shared" si="75"/>
        <v>7.0000000000000007E-2</v>
      </c>
      <c r="M559" s="10">
        <f t="shared" si="75"/>
        <v>0.05</v>
      </c>
      <c r="N559" s="10">
        <f t="shared" si="75"/>
        <v>0.09</v>
      </c>
      <c r="O559" s="10">
        <f t="shared" si="75"/>
        <v>5.0000000000000044E-2</v>
      </c>
      <c r="P559" s="10">
        <v>5.6000000000000001E-2</v>
      </c>
    </row>
  </sheetData>
  <hyperlinks>
    <hyperlink ref="X7" r:id="rId1"/>
    <hyperlink ref="X31" r:id="rId2"/>
    <hyperlink ref="X88" location="Sheet2!A49" display="calculations"/>
    <hyperlink ref="X83" location="Sheet2!A108" display="calculations"/>
    <hyperlink ref="X63" location="Sheet2!A80" display="calculations"/>
    <hyperlink ref="X45" r:id="rId3"/>
    <hyperlink ref="X335" r:id="rId4"/>
  </hyperlinks>
  <pageMargins left="0.7" right="0.7" top="0.75" bottom="0.75" header="0.3" footer="0.3"/>
  <pageSetup orientation="portrait" r:id="rId5"/>
  <ignoredErrors>
    <ignoredError sqref="Q253 Q255:Q258 Q254" formulaRange="1"/>
  </ignoredErrors>
  <legacyDrawing r:id="rId6"/>
</worksheet>
</file>

<file path=xl/worksheets/sheet17.xml><?xml version="1.0" encoding="utf-8"?>
<worksheet xmlns="http://schemas.openxmlformats.org/spreadsheetml/2006/main" xmlns:r="http://schemas.openxmlformats.org/officeDocument/2006/relationships">
  <dimension ref="A1:R20"/>
  <sheetViews>
    <sheetView workbookViewId="0">
      <selection activeCell="A20" sqref="A20"/>
    </sheetView>
  </sheetViews>
  <sheetFormatPr defaultRowHeight="14.25"/>
  <cols>
    <col min="1" max="1" width="9.140625" style="169"/>
    <col min="2" max="5" width="11.28515625" style="169" bestFit="1" customWidth="1"/>
    <col min="6" max="16384" width="9.140625" style="169"/>
  </cols>
  <sheetData>
    <row r="1" spans="1:17">
      <c r="A1" s="170" t="s">
        <v>1221</v>
      </c>
    </row>
    <row r="3" spans="1:17">
      <c r="A3" s="170" t="s">
        <v>1125</v>
      </c>
      <c r="B3" s="175">
        <v>40926.597314814819</v>
      </c>
    </row>
    <row r="4" spans="1:17">
      <c r="A4" s="170" t="s">
        <v>1124</v>
      </c>
      <c r="B4" s="175">
        <v>40927.421460486112</v>
      </c>
    </row>
    <row r="5" spans="1:17">
      <c r="A5" s="170" t="s">
        <v>1123</v>
      </c>
      <c r="B5" s="170" t="s">
        <v>1122</v>
      </c>
    </row>
    <row r="7" spans="1:17">
      <c r="A7" s="170" t="s">
        <v>1220</v>
      </c>
      <c r="B7" s="170" t="s">
        <v>1219</v>
      </c>
    </row>
    <row r="8" spans="1:17">
      <c r="A8" s="170" t="s">
        <v>1218</v>
      </c>
      <c r="B8" s="170" t="s">
        <v>1015</v>
      </c>
    </row>
    <row r="9" spans="1:17">
      <c r="A9" s="170" t="s">
        <v>1217</v>
      </c>
      <c r="B9" s="170" t="s">
        <v>1156</v>
      </c>
    </row>
    <row r="10" spans="1:17">
      <c r="A10" s="170" t="s">
        <v>1216</v>
      </c>
      <c r="B10" s="170" t="s">
        <v>1215</v>
      </c>
    </row>
    <row r="11" spans="1:17">
      <c r="A11" s="170" t="s">
        <v>1119</v>
      </c>
      <c r="B11" s="170" t="s">
        <v>869</v>
      </c>
    </row>
    <row r="13" spans="1:17">
      <c r="A13" s="172" t="s">
        <v>1116</v>
      </c>
      <c r="B13" s="172" t="s">
        <v>1214</v>
      </c>
      <c r="C13" s="172" t="s">
        <v>1213</v>
      </c>
      <c r="D13" s="172" t="s">
        <v>1212</v>
      </c>
      <c r="E13" s="172" t="s">
        <v>1211</v>
      </c>
      <c r="F13" s="172" t="s">
        <v>1210</v>
      </c>
      <c r="G13" s="172" t="s">
        <v>1209</v>
      </c>
      <c r="H13" s="172" t="s">
        <v>1208</v>
      </c>
      <c r="I13" s="172" t="s">
        <v>1207</v>
      </c>
      <c r="J13" s="172" t="s">
        <v>1206</v>
      </c>
      <c r="K13" s="172" t="s">
        <v>1205</v>
      </c>
      <c r="L13" s="172" t="s">
        <v>1204</v>
      </c>
      <c r="M13" s="172" t="s">
        <v>1203</v>
      </c>
      <c r="N13" s="172" t="s">
        <v>1202</v>
      </c>
      <c r="O13" s="172" t="s">
        <v>1201</v>
      </c>
      <c r="P13" s="172" t="s">
        <v>1200</v>
      </c>
      <c r="Q13" s="172" t="s">
        <v>1199</v>
      </c>
    </row>
    <row r="14" spans="1:17">
      <c r="A14" s="172" t="s">
        <v>391</v>
      </c>
      <c r="B14" s="171">
        <v>3490000</v>
      </c>
      <c r="C14" s="171">
        <v>3710000</v>
      </c>
      <c r="D14" s="171">
        <v>9640000</v>
      </c>
      <c r="E14" s="171">
        <v>4600000</v>
      </c>
      <c r="F14" s="171">
        <v>4540000</v>
      </c>
      <c r="G14" s="171">
        <v>5150000</v>
      </c>
      <c r="H14" s="171">
        <v>10690000</v>
      </c>
      <c r="I14" s="171">
        <v>4680000</v>
      </c>
      <c r="J14" s="171">
        <v>3730000</v>
      </c>
      <c r="K14" s="171">
        <v>5240000</v>
      </c>
      <c r="L14" s="171">
        <v>9780000</v>
      </c>
      <c r="M14" s="171">
        <v>4170000</v>
      </c>
      <c r="N14" s="171">
        <v>3510000</v>
      </c>
      <c r="O14" s="171">
        <v>5330000</v>
      </c>
      <c r="P14" s="171">
        <v>10580000</v>
      </c>
      <c r="Q14" s="171">
        <v>4750000</v>
      </c>
    </row>
    <row r="15" spans="1:17">
      <c r="B15" s="174">
        <f>SUM(B14:E14)</f>
        <v>21440000</v>
      </c>
      <c r="C15" s="174">
        <f>SUM(F14:I14)</f>
        <v>25060000</v>
      </c>
      <c r="D15" s="174">
        <f>SUM(J14:M14)</f>
        <v>22920000</v>
      </c>
      <c r="E15" s="174">
        <f>SUM(N14:Q14)</f>
        <v>24170000</v>
      </c>
    </row>
    <row r="16" spans="1:17">
      <c r="A16" s="170" t="s">
        <v>1089</v>
      </c>
    </row>
    <row r="17" spans="1:18">
      <c r="A17" s="170" t="s">
        <v>1088</v>
      </c>
      <c r="B17" s="170" t="s">
        <v>1087</v>
      </c>
    </row>
    <row r="18" spans="1:18">
      <c r="A18" s="170" t="s">
        <v>1086</v>
      </c>
      <c r="B18" s="170" t="s">
        <v>1085</v>
      </c>
    </row>
    <row r="19" spans="1:18">
      <c r="A19" s="170" t="s">
        <v>1084</v>
      </c>
      <c r="B19" s="170" t="s">
        <v>1083</v>
      </c>
    </row>
    <row r="20" spans="1:18">
      <c r="B20" s="226">
        <f>B14/$B$15</f>
        <v>0.16277985074626866</v>
      </c>
      <c r="C20" s="226">
        <f>C14/$B$15</f>
        <v>0.1730410447761194</v>
      </c>
      <c r="D20" s="226">
        <f>D14/$B$15</f>
        <v>0.44962686567164178</v>
      </c>
      <c r="E20" s="226">
        <f>E14/$B$15</f>
        <v>0.21455223880597016</v>
      </c>
      <c r="F20" s="226">
        <f>F14/$C$15</f>
        <v>0.18116520351157223</v>
      </c>
      <c r="G20" s="226">
        <f>G14/$C$15</f>
        <v>0.20550678371907422</v>
      </c>
      <c r="H20" s="226">
        <f>H14/$C$15</f>
        <v>0.42657621707901039</v>
      </c>
      <c r="I20" s="226">
        <f>I14/$C$15</f>
        <v>0.18675179569034317</v>
      </c>
      <c r="J20" s="226">
        <f>J14/$D$15</f>
        <v>0.16273996509598604</v>
      </c>
      <c r="K20" s="226">
        <f>K14/$D$15</f>
        <v>0.22862129144851659</v>
      </c>
      <c r="L20" s="226">
        <f>L14/$D$15</f>
        <v>0.42670157068062825</v>
      </c>
      <c r="M20" s="226">
        <f>M14/$D$15</f>
        <v>0.18193717277486912</v>
      </c>
      <c r="N20" s="226">
        <f>N14/$E$15</f>
        <v>0.1452213487794787</v>
      </c>
      <c r="O20" s="226">
        <f>O14/$E$15</f>
        <v>0.22052130740587506</v>
      </c>
      <c r="P20" s="226">
        <f>P14/$E$15</f>
        <v>0.43773272652047995</v>
      </c>
      <c r="Q20" s="226">
        <f>Q14/$E$15</f>
        <v>0.19652461729416631</v>
      </c>
      <c r="R20" s="226"/>
    </row>
  </sheetData>
  <pageMargins left="0.75" right="0.75" top="1" bottom="1" header="0.5" footer="0.5"/>
  <pageSetup paperSize="9" scale="0" firstPageNumber="0" fitToWidth="0" fitToHeight="0" pageOrder="overThenDown" orientation="portrait" horizontalDpi="300" verticalDpi="300"/>
  <headerFooter alignWithMargins="0"/>
</worksheet>
</file>

<file path=xl/worksheets/sheet18.xml><?xml version="1.0" encoding="utf-8"?>
<worksheet xmlns="http://schemas.openxmlformats.org/spreadsheetml/2006/main" xmlns:r="http://schemas.openxmlformats.org/officeDocument/2006/relationships">
  <dimension ref="A1:Q170"/>
  <sheetViews>
    <sheetView topLeftCell="A45" workbookViewId="0">
      <selection activeCell="A55" sqref="A55:N171"/>
    </sheetView>
  </sheetViews>
  <sheetFormatPr defaultRowHeight="14.25"/>
  <cols>
    <col min="1" max="1" width="17.5703125" style="227" customWidth="1"/>
    <col min="2" max="7" width="11.5703125" style="227" bestFit="1" customWidth="1"/>
    <col min="8" max="16384" width="9.140625" style="227"/>
  </cols>
  <sheetData>
    <row r="1" spans="1:5">
      <c r="A1" s="228" t="s">
        <v>1232</v>
      </c>
    </row>
    <row r="3" spans="1:5">
      <c r="A3" s="228" t="s">
        <v>1125</v>
      </c>
      <c r="B3" s="231">
        <v>40924.555659722224</v>
      </c>
    </row>
    <row r="4" spans="1:5">
      <c r="A4" s="228" t="s">
        <v>1124</v>
      </c>
      <c r="B4" s="231">
        <v>40947.559795729168</v>
      </c>
    </row>
    <row r="5" spans="1:5">
      <c r="A5" s="228" t="s">
        <v>1123</v>
      </c>
      <c r="B5" s="228" t="s">
        <v>1122</v>
      </c>
    </row>
    <row r="7" spans="1:5">
      <c r="A7" s="228" t="s">
        <v>1231</v>
      </c>
      <c r="B7" s="228" t="s">
        <v>1015</v>
      </c>
    </row>
    <row r="8" spans="1:5">
      <c r="A8" s="228" t="s">
        <v>1230</v>
      </c>
      <c r="B8" s="228" t="s">
        <v>1229</v>
      </c>
    </row>
    <row r="9" spans="1:5">
      <c r="A9" s="228" t="s">
        <v>1119</v>
      </c>
      <c r="B9" s="228" t="s">
        <v>1228</v>
      </c>
    </row>
    <row r="11" spans="1:5">
      <c r="A11" s="230" t="s">
        <v>1116</v>
      </c>
      <c r="B11" s="230" t="s">
        <v>1115</v>
      </c>
      <c r="C11" s="230" t="s">
        <v>1114</v>
      </c>
      <c r="D11" s="230" t="s">
        <v>1113</v>
      </c>
      <c r="E11" s="230" t="s">
        <v>1112</v>
      </c>
    </row>
    <row r="12" spans="1:5">
      <c r="A12" s="230" t="s">
        <v>391</v>
      </c>
      <c r="B12" s="229">
        <v>4154</v>
      </c>
      <c r="C12" s="229">
        <v>4945</v>
      </c>
      <c r="D12" s="229">
        <v>5990</v>
      </c>
      <c r="E12" s="229">
        <v>5116</v>
      </c>
    </row>
    <row r="14" spans="1:5">
      <c r="A14" s="228" t="s">
        <v>1089</v>
      </c>
    </row>
    <row r="15" spans="1:5">
      <c r="A15" s="228" t="s">
        <v>1088</v>
      </c>
      <c r="B15" s="228" t="s">
        <v>1087</v>
      </c>
    </row>
    <row r="16" spans="1:5">
      <c r="A16" s="228" t="s">
        <v>1086</v>
      </c>
      <c r="B16" s="228" t="s">
        <v>1085</v>
      </c>
    </row>
    <row r="17" spans="1:17">
      <c r="A17" s="228" t="s">
        <v>1084</v>
      </c>
      <c r="B17" s="228" t="s">
        <v>1083</v>
      </c>
    </row>
    <row r="19" spans="1:17">
      <c r="A19" s="227" t="s">
        <v>1233</v>
      </c>
      <c r="B19" s="232">
        <v>1.3704000000000001</v>
      </c>
      <c r="C19" s="232">
        <v>1.4709000000000001</v>
      </c>
      <c r="D19" s="232">
        <v>1.3942000000000001</v>
      </c>
      <c r="E19" s="232">
        <v>1.3274999999999999</v>
      </c>
    </row>
    <row r="20" spans="1:17">
      <c r="A20" s="230" t="s">
        <v>391</v>
      </c>
      <c r="B20" s="227">
        <f>B19*B12</f>
        <v>5692.6415999999999</v>
      </c>
      <c r="C20" s="227">
        <f t="shared" ref="C20:E20" si="0">C19*C12</f>
        <v>7273.6005000000005</v>
      </c>
      <c r="D20" s="227">
        <f t="shared" si="0"/>
        <v>8351.2579999999998</v>
      </c>
      <c r="E20" s="227">
        <f t="shared" si="0"/>
        <v>6791.49</v>
      </c>
      <c r="F20" s="227">
        <f>B20*B21</f>
        <v>15939.396479999999</v>
      </c>
      <c r="G20" s="227">
        <f t="shared" ref="G20:I20" si="1">C20*C21</f>
        <v>20366.081399999999</v>
      </c>
      <c r="H20" s="227">
        <f t="shared" si="1"/>
        <v>23383.522399999998</v>
      </c>
      <c r="I20" s="227">
        <f t="shared" si="1"/>
        <v>19016.171999999999</v>
      </c>
    </row>
    <row r="21" spans="1:17">
      <c r="B21" s="227">
        <f>'Data (4)'!B10</f>
        <v>2.8</v>
      </c>
      <c r="C21" s="227">
        <f>'Data (4)'!C10</f>
        <v>2.8</v>
      </c>
      <c r="D21" s="227">
        <f>'Data (4)'!D10</f>
        <v>2.8</v>
      </c>
      <c r="E21" s="227">
        <f>'Data (4)'!E10</f>
        <v>2.8</v>
      </c>
    </row>
    <row r="24" spans="1:17">
      <c r="B24" s="227">
        <v>2008</v>
      </c>
      <c r="C24" s="227">
        <v>2009</v>
      </c>
      <c r="D24" s="227">
        <v>2010</v>
      </c>
      <c r="E24" s="227">
        <v>2011</v>
      </c>
      <c r="F24" s="227">
        <v>2012</v>
      </c>
    </row>
    <row r="25" spans="1:17" ht="15">
      <c r="A25" t="s">
        <v>1015</v>
      </c>
      <c r="B25" s="289">
        <v>10938.800000000001</v>
      </c>
      <c r="C25" s="295">
        <v>11890.1</v>
      </c>
      <c r="D25" s="295">
        <v>12470.4</v>
      </c>
      <c r="E25" s="289">
        <v>13350.2</v>
      </c>
      <c r="F25" s="289">
        <v>14839.8</v>
      </c>
    </row>
    <row r="26" spans="1:17" ht="15">
      <c r="A26" t="s">
        <v>1235</v>
      </c>
      <c r="B26" s="289">
        <v>7844.2999999999993</v>
      </c>
      <c r="C26" s="295">
        <v>8345</v>
      </c>
      <c r="D26" s="295">
        <v>8500</v>
      </c>
      <c r="E26" s="289">
        <v>8770</v>
      </c>
      <c r="F26" s="289">
        <v>9165</v>
      </c>
      <c r="O26" s="282"/>
      <c r="Q26" s="282"/>
    </row>
    <row r="27" spans="1:17" ht="15">
      <c r="A27" t="s">
        <v>1236</v>
      </c>
      <c r="B27" s="289">
        <v>6480</v>
      </c>
      <c r="C27" s="295">
        <v>6750</v>
      </c>
      <c r="D27" s="295">
        <v>6875</v>
      </c>
      <c r="E27" s="289">
        <v>7045</v>
      </c>
      <c r="F27" s="289">
        <v>7385</v>
      </c>
      <c r="O27" s="282"/>
      <c r="Q27" s="282"/>
    </row>
    <row r="28" spans="1:17" ht="15">
      <c r="A28" t="s">
        <v>1237</v>
      </c>
      <c r="B28" s="289"/>
      <c r="C28" s="295" t="s">
        <v>1244</v>
      </c>
      <c r="D28" s="295" t="s">
        <v>1244</v>
      </c>
      <c r="E28" s="289" t="s">
        <v>1244</v>
      </c>
      <c r="F28" s="289" t="s">
        <v>1244</v>
      </c>
      <c r="O28" s="282"/>
      <c r="Q28" s="282"/>
    </row>
    <row r="29" spans="1:17" ht="15">
      <c r="A29" t="s">
        <v>365</v>
      </c>
      <c r="B29" s="289">
        <v>4332</v>
      </c>
      <c r="C29" s="295">
        <v>4560</v>
      </c>
      <c r="D29" s="295">
        <v>4520</v>
      </c>
      <c r="E29" s="289">
        <v>4590</v>
      </c>
      <c r="F29" s="289">
        <v>4800</v>
      </c>
    </row>
    <row r="30" spans="1:17" ht="15">
      <c r="A30" t="s">
        <v>1136</v>
      </c>
      <c r="B30" s="289">
        <v>409.5</v>
      </c>
      <c r="C30" s="295">
        <v>450</v>
      </c>
      <c r="D30" s="295">
        <v>485</v>
      </c>
      <c r="E30" s="289">
        <v>460</v>
      </c>
      <c r="F30" s="289">
        <v>500</v>
      </c>
      <c r="O30" s="282"/>
      <c r="Q30" s="282"/>
    </row>
    <row r="31" spans="1:17" ht="15">
      <c r="A31" t="s">
        <v>387</v>
      </c>
      <c r="B31" s="289">
        <v>285</v>
      </c>
      <c r="C31" s="295">
        <v>300</v>
      </c>
      <c r="D31" s="295">
        <v>335</v>
      </c>
      <c r="E31" s="289">
        <v>350</v>
      </c>
      <c r="F31" s="289">
        <v>355</v>
      </c>
      <c r="O31" s="282"/>
      <c r="Q31" s="282"/>
    </row>
    <row r="32" spans="1:17" ht="15">
      <c r="A32" t="s">
        <v>337</v>
      </c>
      <c r="B32" s="289">
        <v>291.2</v>
      </c>
      <c r="C32" s="295">
        <v>280</v>
      </c>
      <c r="D32" s="295">
        <v>310</v>
      </c>
      <c r="E32" s="289">
        <v>315</v>
      </c>
      <c r="F32" s="289">
        <v>325</v>
      </c>
      <c r="O32" s="282"/>
      <c r="Q32" s="282"/>
    </row>
    <row r="33" spans="1:17" ht="15">
      <c r="A33" t="s">
        <v>375</v>
      </c>
      <c r="B33" s="289">
        <v>230.29999999999998</v>
      </c>
      <c r="C33" s="295">
        <v>245</v>
      </c>
      <c r="D33" s="295">
        <v>265</v>
      </c>
      <c r="E33" s="289">
        <v>285</v>
      </c>
      <c r="F33" s="289">
        <v>295</v>
      </c>
      <c r="O33" s="282"/>
      <c r="Q33" s="282"/>
    </row>
    <row r="34" spans="1:17" ht="15">
      <c r="A34" t="s">
        <v>361</v>
      </c>
      <c r="B34" s="289">
        <v>215</v>
      </c>
      <c r="C34" s="295">
        <v>215</v>
      </c>
      <c r="D34" s="295">
        <v>225</v>
      </c>
      <c r="E34" s="289">
        <v>240</v>
      </c>
      <c r="F34" s="289">
        <v>240</v>
      </c>
      <c r="O34" s="282"/>
      <c r="Q34" s="282"/>
    </row>
    <row r="35" spans="1:17" ht="15">
      <c r="A35" t="s">
        <v>409</v>
      </c>
      <c r="B35" s="289">
        <v>141.05000000000001</v>
      </c>
      <c r="C35" s="295">
        <v>155</v>
      </c>
      <c r="D35" s="295">
        <v>150</v>
      </c>
      <c r="E35" s="289">
        <v>160</v>
      </c>
      <c r="F35" s="289">
        <v>180</v>
      </c>
      <c r="O35" s="282"/>
      <c r="Q35" s="282"/>
    </row>
    <row r="36" spans="1:17" ht="15">
      <c r="A36" t="s">
        <v>1194</v>
      </c>
      <c r="B36" s="289">
        <v>545</v>
      </c>
      <c r="C36" s="295">
        <v>545</v>
      </c>
      <c r="D36" s="295">
        <v>585</v>
      </c>
      <c r="E36" s="289">
        <v>645</v>
      </c>
      <c r="F36" s="289">
        <v>690</v>
      </c>
      <c r="O36" s="282"/>
      <c r="Q36" s="282"/>
    </row>
    <row r="37" spans="1:17" ht="15">
      <c r="A37" t="s">
        <v>1238</v>
      </c>
      <c r="B37" s="289">
        <v>1355.75</v>
      </c>
      <c r="C37" s="295">
        <v>1595</v>
      </c>
      <c r="D37" s="295">
        <v>1625</v>
      </c>
      <c r="E37" s="289">
        <v>1725</v>
      </c>
      <c r="F37" s="289">
        <v>1780</v>
      </c>
      <c r="O37" s="282"/>
      <c r="Q37" s="282"/>
    </row>
    <row r="38" spans="1:17" ht="15">
      <c r="A38" t="s">
        <v>1237</v>
      </c>
      <c r="B38" s="289"/>
      <c r="C38" s="295" t="s">
        <v>1244</v>
      </c>
      <c r="D38" s="295" t="s">
        <v>1244</v>
      </c>
      <c r="E38" s="289" t="s">
        <v>1244</v>
      </c>
      <c r="F38" s="289" t="s">
        <v>1244</v>
      </c>
      <c r="O38" s="282"/>
      <c r="Q38" s="282"/>
    </row>
    <row r="39" spans="1:17" ht="15">
      <c r="A39" t="s">
        <v>353</v>
      </c>
      <c r="B39" s="289">
        <v>169.75</v>
      </c>
      <c r="C39" s="295">
        <v>175</v>
      </c>
      <c r="D39" s="295">
        <v>175</v>
      </c>
      <c r="E39" s="289">
        <v>195</v>
      </c>
      <c r="F39" s="289">
        <v>205</v>
      </c>
    </row>
    <row r="40" spans="1:17" ht="15">
      <c r="A40" t="s">
        <v>403</v>
      </c>
      <c r="B40" s="289">
        <v>90.100000000000009</v>
      </c>
      <c r="C40" s="295">
        <v>85</v>
      </c>
      <c r="D40" s="295">
        <v>95</v>
      </c>
      <c r="E40" s="289">
        <v>100</v>
      </c>
      <c r="F40" s="289">
        <v>110</v>
      </c>
      <c r="O40" s="282"/>
      <c r="Q40" s="282"/>
    </row>
    <row r="41" spans="1:17" ht="15">
      <c r="A41" t="s">
        <v>379</v>
      </c>
      <c r="B41" s="289">
        <v>551.79999999999995</v>
      </c>
      <c r="C41" s="295">
        <v>620</v>
      </c>
      <c r="D41" s="295">
        <v>620</v>
      </c>
      <c r="E41" s="289">
        <v>630</v>
      </c>
      <c r="F41" s="289">
        <v>615</v>
      </c>
      <c r="O41" s="282"/>
      <c r="Q41" s="282"/>
    </row>
    <row r="42" spans="1:17" ht="15">
      <c r="A42" t="s">
        <v>377</v>
      </c>
      <c r="B42" s="289">
        <v>156.39999999999998</v>
      </c>
      <c r="C42" s="295">
        <v>230</v>
      </c>
      <c r="D42" s="295">
        <v>270</v>
      </c>
      <c r="E42" s="289">
        <v>300</v>
      </c>
      <c r="F42" s="289">
        <v>330</v>
      </c>
      <c r="O42" s="282"/>
      <c r="Q42" s="282"/>
    </row>
    <row r="43" spans="1:17" ht="15">
      <c r="A43" t="s">
        <v>369</v>
      </c>
      <c r="B43" s="289">
        <v>178</v>
      </c>
      <c r="C43" s="295">
        <v>200</v>
      </c>
      <c r="D43" s="295">
        <v>195</v>
      </c>
      <c r="E43" s="289">
        <v>200</v>
      </c>
      <c r="F43" s="289">
        <v>210</v>
      </c>
      <c r="O43" s="282"/>
      <c r="Q43" s="282"/>
    </row>
    <row r="44" spans="1:17" ht="15">
      <c r="A44" t="s">
        <v>1239</v>
      </c>
      <c r="B44" s="289">
        <v>230.85000000000002</v>
      </c>
      <c r="C44" s="295">
        <v>285</v>
      </c>
      <c r="D44" s="295">
        <v>270</v>
      </c>
      <c r="E44" s="289">
        <v>300</v>
      </c>
      <c r="F44" s="289">
        <v>310</v>
      </c>
      <c r="O44" s="282"/>
      <c r="Q44" s="282"/>
    </row>
    <row r="45" spans="1:17" ht="15">
      <c r="A45" t="s">
        <v>1240</v>
      </c>
      <c r="B45" s="289">
        <v>2182.4</v>
      </c>
      <c r="C45" s="295">
        <v>2480</v>
      </c>
      <c r="D45" s="295">
        <v>2720</v>
      </c>
      <c r="E45" s="289">
        <v>3300</v>
      </c>
      <c r="F45" s="289">
        <v>4220</v>
      </c>
      <c r="O45" s="282"/>
      <c r="Q45" s="282"/>
    </row>
    <row r="46" spans="1:17" ht="15">
      <c r="A46" t="s">
        <v>417</v>
      </c>
      <c r="B46" s="289">
        <v>1087.8</v>
      </c>
      <c r="C46" s="295">
        <v>1295</v>
      </c>
      <c r="D46" s="295">
        <v>1350</v>
      </c>
      <c r="E46" s="289">
        <v>1580</v>
      </c>
      <c r="F46" s="289">
        <v>1930</v>
      </c>
      <c r="O46" s="282"/>
      <c r="Q46" s="282"/>
    </row>
    <row r="47" spans="1:17" ht="15">
      <c r="A47" t="s">
        <v>339</v>
      </c>
      <c r="B47" s="289">
        <v>856.35</v>
      </c>
      <c r="C47" s="295">
        <v>865</v>
      </c>
      <c r="D47" s="295">
        <v>970</v>
      </c>
      <c r="E47" s="289">
        <v>1220</v>
      </c>
      <c r="F47" s="289">
        <v>1620</v>
      </c>
      <c r="O47" s="282"/>
      <c r="Q47" s="282"/>
    </row>
    <row r="48" spans="1:17" ht="15">
      <c r="A48" t="s">
        <v>1152</v>
      </c>
      <c r="B48" s="289">
        <v>249.60000000000002</v>
      </c>
      <c r="C48" s="295">
        <v>320</v>
      </c>
      <c r="D48" s="295">
        <v>400</v>
      </c>
      <c r="E48" s="289">
        <v>500</v>
      </c>
      <c r="F48" s="289">
        <v>670</v>
      </c>
      <c r="O48" s="282"/>
      <c r="Q48" s="282"/>
    </row>
    <row r="49" spans="1:17" ht="15">
      <c r="A49" t="s">
        <v>1241</v>
      </c>
      <c r="B49" s="289">
        <v>323.7</v>
      </c>
      <c r="C49" s="295">
        <v>390</v>
      </c>
      <c r="D49" s="295">
        <v>460</v>
      </c>
      <c r="E49" s="289">
        <v>475</v>
      </c>
      <c r="F49" s="289">
        <v>520</v>
      </c>
      <c r="O49" s="282"/>
      <c r="Q49" s="282"/>
    </row>
    <row r="50" spans="1:17" ht="15">
      <c r="A50" t="s">
        <v>1038</v>
      </c>
      <c r="B50" s="289">
        <v>182.75</v>
      </c>
      <c r="C50" s="295">
        <v>215</v>
      </c>
      <c r="D50" s="295">
        <v>240</v>
      </c>
      <c r="E50" s="289">
        <v>250</v>
      </c>
      <c r="F50" s="289">
        <v>280</v>
      </c>
      <c r="O50" s="282"/>
      <c r="Q50" s="282"/>
    </row>
    <row r="51" spans="1:17" ht="15">
      <c r="A51" t="s">
        <v>1242</v>
      </c>
      <c r="B51" s="289">
        <v>141.75</v>
      </c>
      <c r="C51" s="295">
        <v>175</v>
      </c>
      <c r="D51" s="295">
        <v>220</v>
      </c>
      <c r="E51" s="289">
        <v>225</v>
      </c>
      <c r="F51" s="289">
        <v>240</v>
      </c>
      <c r="O51" s="282"/>
      <c r="Q51" s="282"/>
    </row>
    <row r="52" spans="1:17" ht="15">
      <c r="A52" t="s">
        <v>1243</v>
      </c>
      <c r="B52" s="289">
        <v>614.25</v>
      </c>
      <c r="C52" s="295">
        <v>675</v>
      </c>
      <c r="D52" s="295">
        <v>790</v>
      </c>
      <c r="E52" s="289">
        <v>805</v>
      </c>
      <c r="F52" s="289">
        <v>935</v>
      </c>
      <c r="O52" s="282"/>
      <c r="Q52" s="282"/>
    </row>
    <row r="53" spans="1:17">
      <c r="A53" s="283" t="s">
        <v>1294</v>
      </c>
      <c r="O53" s="282"/>
      <c r="Q53" s="282"/>
    </row>
    <row r="54" spans="1:17">
      <c r="O54" s="282"/>
      <c r="Q54" s="282"/>
    </row>
    <row r="55" spans="1:17" ht="15">
      <c r="A55" s="296" t="s">
        <v>365</v>
      </c>
      <c r="O55" s="282"/>
      <c r="Q55" s="282"/>
    </row>
    <row r="56" spans="1:17">
      <c r="A56" s="234" t="s">
        <v>451</v>
      </c>
      <c r="B56" s="289">
        <v>246.126</v>
      </c>
      <c r="C56" s="289">
        <v>256.24299999999999</v>
      </c>
      <c r="D56" s="289">
        <v>233.52600000000001</v>
      </c>
      <c r="E56" s="289">
        <v>245.29833333333332</v>
      </c>
      <c r="F56" s="289">
        <v>245.02244444444443</v>
      </c>
      <c r="O56" s="282"/>
      <c r="Q56" s="282"/>
    </row>
    <row r="57" spans="1:17">
      <c r="A57" s="234" t="s">
        <v>246</v>
      </c>
      <c r="B57" s="289">
        <v>266.40499999999997</v>
      </c>
      <c r="C57" s="289">
        <v>270.66000000000003</v>
      </c>
      <c r="D57" s="289">
        <v>255.06899999999999</v>
      </c>
      <c r="E57" s="289">
        <v>264.04466666666667</v>
      </c>
      <c r="F57" s="289">
        <v>286.95109888888891</v>
      </c>
      <c r="O57" s="282"/>
      <c r="Q57" s="282"/>
    </row>
    <row r="58" spans="1:17">
      <c r="A58" s="234" t="s">
        <v>276</v>
      </c>
      <c r="B58" s="289">
        <v>661.79200000000003</v>
      </c>
      <c r="C58" s="289">
        <v>597.65499999999997</v>
      </c>
      <c r="D58" s="289">
        <v>537.98400000000004</v>
      </c>
      <c r="E58" s="289">
        <v>599.14366666666672</v>
      </c>
      <c r="F58" s="289">
        <v>630.30436888888903</v>
      </c>
      <c r="O58" s="282"/>
      <c r="Q58" s="282"/>
    </row>
    <row r="59" spans="1:17">
      <c r="A59" s="234" t="s">
        <v>1295</v>
      </c>
      <c r="B59" s="289">
        <v>160.49299999999999</v>
      </c>
      <c r="C59" s="289">
        <v>144.09299999999999</v>
      </c>
      <c r="D59" s="289">
        <v>123.937</v>
      </c>
      <c r="E59" s="289">
        <v>142.84100000000001</v>
      </c>
      <c r="F59" s="289">
        <v>149.28313</v>
      </c>
      <c r="O59" s="282"/>
      <c r="Q59" s="282"/>
    </row>
    <row r="60" spans="1:17">
      <c r="B60" s="291">
        <f>SUM(B56:B59)</f>
        <v>1334.8159999999998</v>
      </c>
      <c r="C60" s="291">
        <f t="shared" ref="C60:F60" si="2">SUM(C56:C59)</f>
        <v>1268.6510000000001</v>
      </c>
      <c r="D60" s="291">
        <f t="shared" si="2"/>
        <v>1150.5160000000001</v>
      </c>
      <c r="E60" s="291">
        <f t="shared" si="2"/>
        <v>1251.3276666666666</v>
      </c>
      <c r="F60" s="291">
        <f t="shared" si="2"/>
        <v>1311.5610422222223</v>
      </c>
      <c r="O60" s="282"/>
      <c r="Q60" s="282"/>
    </row>
    <row r="61" spans="1:17">
      <c r="O61" s="282"/>
      <c r="Q61" s="282"/>
    </row>
    <row r="62" spans="1:17">
      <c r="A62" s="234" t="s">
        <v>391</v>
      </c>
      <c r="O62" s="282"/>
      <c r="Q62" s="282"/>
    </row>
    <row r="63" spans="1:17">
      <c r="A63" s="234" t="s">
        <v>451</v>
      </c>
      <c r="B63" s="293">
        <f>(B56/B60)*B51</f>
        <v>26.137205802148017</v>
      </c>
      <c r="C63" s="293">
        <f t="shared" ref="C63:F63" si="3">(C56/C60)*C51</f>
        <v>35.346620150064908</v>
      </c>
      <c r="D63" s="293">
        <f t="shared" si="3"/>
        <v>44.654502849156373</v>
      </c>
      <c r="E63" s="293">
        <f t="shared" si="3"/>
        <v>44.106852641580957</v>
      </c>
      <c r="F63" s="293">
        <f t="shared" si="3"/>
        <v>44.836179768675279</v>
      </c>
      <c r="H63" s="233">
        <f>C63/B63-1</f>
        <v>0.35234884775479869</v>
      </c>
      <c r="I63" s="233">
        <f t="shared" ref="I63:I67" si="4">D63/C63-1</f>
        <v>0.263331618683049</v>
      </c>
      <c r="J63" s="233">
        <f t="shared" ref="J63:J67" si="5">E63/D63-1</f>
        <v>-1.2264165372647517E-2</v>
      </c>
      <c r="K63" s="233">
        <f t="shared" ref="K63:K67" si="6">F63/E63-1</f>
        <v>1.6535460669137914E-2</v>
      </c>
      <c r="L63" s="233"/>
      <c r="O63" s="282"/>
      <c r="Q63" s="282"/>
    </row>
    <row r="64" spans="1:17">
      <c r="A64" s="234" t="s">
        <v>246</v>
      </c>
      <c r="B64" s="293">
        <f>(B57/B60)*B51</f>
        <v>28.290722279325394</v>
      </c>
      <c r="C64" s="293">
        <f t="shared" ref="C64:F64" si="7">(C57/C60)*C51</f>
        <v>37.335327052120718</v>
      </c>
      <c r="D64" s="293">
        <f t="shared" si="7"/>
        <v>48.773924047992374</v>
      </c>
      <c r="E64" s="293">
        <f t="shared" si="7"/>
        <v>47.47761244523484</v>
      </c>
      <c r="F64" s="293">
        <f t="shared" si="7"/>
        <v>52.50862256220077</v>
      </c>
      <c r="H64" s="233">
        <f t="shared" ref="H64:H67" si="8">C64/B64-1</f>
        <v>0.31970215123864265</v>
      </c>
      <c r="I64" s="233">
        <f t="shared" si="4"/>
        <v>0.30637462958080408</v>
      </c>
      <c r="J64" s="233">
        <f t="shared" si="5"/>
        <v>-2.6577964108075336E-2</v>
      </c>
      <c r="K64" s="233">
        <f t="shared" si="6"/>
        <v>0.10596594600811438</v>
      </c>
      <c r="L64" s="233"/>
      <c r="O64" s="282"/>
      <c r="Q64" s="282"/>
    </row>
    <row r="65" spans="1:17">
      <c r="A65" s="234" t="s">
        <v>276</v>
      </c>
      <c r="B65" s="293">
        <f>(B58/B60)*B51</f>
        <v>70.278612183252235</v>
      </c>
      <c r="C65" s="293">
        <f t="shared" ref="C65:F65" si="9">(C58/C60)*C51</f>
        <v>82.441605295703852</v>
      </c>
      <c r="D65" s="293">
        <f t="shared" si="9"/>
        <v>102.87251980850331</v>
      </c>
      <c r="E65" s="293">
        <f t="shared" si="9"/>
        <v>107.73143485199589</v>
      </c>
      <c r="F65" s="293">
        <f t="shared" si="9"/>
        <v>115.33816853619433</v>
      </c>
      <c r="H65" s="233">
        <f t="shared" si="8"/>
        <v>0.17306820289416769</v>
      </c>
      <c r="I65" s="233">
        <f t="shared" si="4"/>
        <v>0.24782286127880804</v>
      </c>
      <c r="J65" s="233">
        <f t="shared" si="5"/>
        <v>4.7232390657266032E-2</v>
      </c>
      <c r="K65" s="233">
        <f t="shared" si="6"/>
        <v>7.0608301974709242E-2</v>
      </c>
      <c r="L65" s="233"/>
      <c r="O65" s="282"/>
      <c r="Q65" s="282"/>
    </row>
    <row r="66" spans="1:17">
      <c r="A66" s="234" t="s">
        <v>1295</v>
      </c>
      <c r="B66" s="293">
        <f>(B59/B60)*B51</f>
        <v>17.043459735274375</v>
      </c>
      <c r="C66" s="293">
        <f t="shared" ref="C66:F66" si="10">(C59/C60)*C51</f>
        <v>19.876447502110508</v>
      </c>
      <c r="D66" s="293">
        <f t="shared" si="10"/>
        <v>23.699053294347927</v>
      </c>
      <c r="E66" s="293">
        <f t="shared" si="10"/>
        <v>25.684100061188346</v>
      </c>
      <c r="F66" s="293">
        <f t="shared" si="10"/>
        <v>27.317029132929633</v>
      </c>
      <c r="H66" s="233">
        <f t="shared" si="8"/>
        <v>0.16622140168951605</v>
      </c>
      <c r="I66" s="233">
        <f t="shared" si="4"/>
        <v>0.19231836030213789</v>
      </c>
      <c r="J66" s="233">
        <f t="shared" si="5"/>
        <v>8.3760593395257654E-2</v>
      </c>
      <c r="K66" s="233">
        <f t="shared" si="6"/>
        <v>6.357742992166715E-2</v>
      </c>
      <c r="L66" s="233"/>
      <c r="O66" s="282"/>
      <c r="Q66" s="282"/>
    </row>
    <row r="67" spans="1:17">
      <c r="B67" s="293">
        <f>SUM(B63:B66)</f>
        <v>141.75000000000003</v>
      </c>
      <c r="C67" s="293">
        <f t="shared" ref="C67:F67" si="11">SUM(C63:C66)</f>
        <v>175</v>
      </c>
      <c r="D67" s="293">
        <f t="shared" si="11"/>
        <v>219.99999999999997</v>
      </c>
      <c r="E67" s="293">
        <f t="shared" si="11"/>
        <v>225.00000000000006</v>
      </c>
      <c r="F67" s="293">
        <f t="shared" si="11"/>
        <v>240</v>
      </c>
      <c r="H67" s="233">
        <f t="shared" si="8"/>
        <v>0.23456790123456761</v>
      </c>
      <c r="I67" s="233">
        <f t="shared" si="4"/>
        <v>0.2571428571428569</v>
      </c>
      <c r="J67" s="233">
        <f t="shared" si="5"/>
        <v>2.2727272727273151E-2</v>
      </c>
      <c r="K67" s="233">
        <f t="shared" si="6"/>
        <v>6.666666666666643E-2</v>
      </c>
      <c r="L67" s="233"/>
      <c r="O67" s="282"/>
      <c r="Q67" s="282"/>
    </row>
    <row r="68" spans="1:17">
      <c r="O68" s="282"/>
      <c r="Q68" s="282"/>
    </row>
    <row r="69" spans="1:17">
      <c r="A69" s="227" t="s">
        <v>1243</v>
      </c>
      <c r="B69" s="289">
        <f>B52</f>
        <v>614.25</v>
      </c>
      <c r="C69" s="289">
        <f t="shared" ref="C69:F69" si="12">C52</f>
        <v>675</v>
      </c>
      <c r="D69" s="289">
        <f t="shared" si="12"/>
        <v>790</v>
      </c>
      <c r="E69" s="289">
        <f t="shared" si="12"/>
        <v>805</v>
      </c>
      <c r="F69" s="289">
        <f t="shared" si="12"/>
        <v>935</v>
      </c>
      <c r="O69" s="282"/>
      <c r="Q69" s="282"/>
    </row>
    <row r="70" spans="1:17">
      <c r="O70" s="282"/>
      <c r="Q70" s="282"/>
    </row>
    <row r="71" spans="1:17" ht="15">
      <c r="A71" s="296" t="s">
        <v>365</v>
      </c>
      <c r="O71" s="282"/>
      <c r="Q71" s="282"/>
    </row>
    <row r="72" spans="1:17">
      <c r="A72" s="234" t="s">
        <v>65</v>
      </c>
      <c r="B72" s="289">
        <v>169.60103935712644</v>
      </c>
      <c r="C72" s="289">
        <v>170.56984463439537</v>
      </c>
      <c r="D72" s="289">
        <v>166.43735045986941</v>
      </c>
      <c r="E72" s="289">
        <v>186.11933061466158</v>
      </c>
      <c r="F72" s="289">
        <v>209.04581790578874</v>
      </c>
      <c r="H72" s="233">
        <f t="shared" ref="H72:H77" si="13">C72/B72-1</f>
        <v>5.712260260557267E-3</v>
      </c>
      <c r="I72" s="233">
        <f t="shared" ref="I72:I77" si="14">D72/C72-1</f>
        <v>-2.4227577760791652E-2</v>
      </c>
      <c r="J72" s="233">
        <f t="shared" ref="J72:J77" si="15">E72/D72-1</f>
        <v>0.11825458708883851</v>
      </c>
      <c r="K72" s="233">
        <f t="shared" ref="K72:K77" si="16">F72/E72-1</f>
        <v>0.12318165563680106</v>
      </c>
      <c r="O72" s="282"/>
      <c r="Q72" s="282"/>
    </row>
    <row r="73" spans="1:17">
      <c r="A73" s="234" t="s">
        <v>67</v>
      </c>
      <c r="B73" s="289">
        <v>2090.2972440862068</v>
      </c>
      <c r="C73" s="289">
        <v>2041.8269053178867</v>
      </c>
      <c r="D73" s="289">
        <v>1810.2753400398144</v>
      </c>
      <c r="E73" s="289">
        <v>2183.158600627753</v>
      </c>
      <c r="F73" s="289">
        <v>2411.5746959422913</v>
      </c>
      <c r="H73" s="233">
        <f t="shared" si="13"/>
        <v>-2.3188251769192481E-2</v>
      </c>
      <c r="I73" s="233">
        <f t="shared" si="14"/>
        <v>-0.11340411112959781</v>
      </c>
      <c r="J73" s="233">
        <f t="shared" si="15"/>
        <v>0.20598151692202671</v>
      </c>
      <c r="K73" s="233">
        <f t="shared" si="16"/>
        <v>0.1046264322018835</v>
      </c>
      <c r="O73" s="282"/>
      <c r="Q73" s="282"/>
    </row>
    <row r="74" spans="1:17">
      <c r="A74" s="234" t="s">
        <v>70</v>
      </c>
      <c r="B74" s="289">
        <v>372.72328387148298</v>
      </c>
      <c r="C74" s="289">
        <v>409.87825770897859</v>
      </c>
      <c r="D74" s="289">
        <v>434.93466653923497</v>
      </c>
      <c r="E74" s="289">
        <v>492.01558989026228</v>
      </c>
      <c r="F74" s="289">
        <v>539.06132876051515</v>
      </c>
      <c r="H74" s="233">
        <f t="shared" si="13"/>
        <v>9.9685142960660444E-2</v>
      </c>
      <c r="I74" s="233">
        <f t="shared" si="14"/>
        <v>6.113134414669763E-2</v>
      </c>
      <c r="J74" s="233">
        <f t="shared" si="15"/>
        <v>0.13124022466458896</v>
      </c>
      <c r="K74" s="233">
        <f t="shared" si="16"/>
        <v>9.5618390630154204E-2</v>
      </c>
      <c r="O74" s="282"/>
      <c r="Q74" s="282"/>
    </row>
    <row r="75" spans="1:17">
      <c r="A75" s="234" t="s">
        <v>453</v>
      </c>
      <c r="B75" s="289">
        <v>58.965000000000003</v>
      </c>
      <c r="C75" s="289">
        <v>60.72</v>
      </c>
      <c r="D75" s="289">
        <v>49.28</v>
      </c>
      <c r="E75" s="289">
        <v>56.321666666666665</v>
      </c>
      <c r="F75" s="289">
        <v>55.440555555555555</v>
      </c>
      <c r="H75" s="233">
        <f t="shared" si="13"/>
        <v>2.9763418977359457E-2</v>
      </c>
      <c r="I75" s="233">
        <f t="shared" si="14"/>
        <v>-0.18840579710144922</v>
      </c>
      <c r="J75" s="233">
        <f t="shared" si="15"/>
        <v>0.14289096320346317</v>
      </c>
      <c r="K75" s="233">
        <f t="shared" si="16"/>
        <v>-1.5644265577683725E-2</v>
      </c>
      <c r="O75" s="282"/>
      <c r="Q75" s="282"/>
    </row>
    <row r="76" spans="1:17">
      <c r="A76" s="234" t="s">
        <v>74</v>
      </c>
      <c r="B76" s="289">
        <v>377.519269184846</v>
      </c>
      <c r="C76" s="289">
        <v>457.51994904235585</v>
      </c>
      <c r="D76" s="289">
        <v>378.51919584690665</v>
      </c>
      <c r="E76" s="289">
        <v>421.17431974093904</v>
      </c>
      <c r="F76" s="289">
        <v>419.07115487673377</v>
      </c>
      <c r="H76" s="233">
        <f t="shared" si="13"/>
        <v>0.21191151389504004</v>
      </c>
      <c r="I76" s="233">
        <f t="shared" si="14"/>
        <v>-0.17267171269975712</v>
      </c>
      <c r="J76" s="233">
        <f t="shared" si="15"/>
        <v>0.11268946030225746</v>
      </c>
      <c r="K76" s="233">
        <f t="shared" si="16"/>
        <v>-4.9935733629222767E-3</v>
      </c>
      <c r="O76" s="282"/>
      <c r="Q76" s="282"/>
    </row>
    <row r="77" spans="1:17">
      <c r="B77" s="291">
        <f>SUM(B72:B76)</f>
        <v>3069.1058364996625</v>
      </c>
      <c r="C77" s="291">
        <f t="shared" ref="C77:F77" si="17">SUM(C72:C76)</f>
        <v>3140.514956703616</v>
      </c>
      <c r="D77" s="291">
        <f t="shared" si="17"/>
        <v>2839.4465528858259</v>
      </c>
      <c r="E77" s="291">
        <f t="shared" si="17"/>
        <v>3338.7895075402826</v>
      </c>
      <c r="F77" s="291">
        <f t="shared" si="17"/>
        <v>3634.1935530408846</v>
      </c>
      <c r="H77" s="233">
        <f t="shared" si="13"/>
        <v>2.3267076473777237E-2</v>
      </c>
      <c r="I77" s="233">
        <f t="shared" si="14"/>
        <v>-9.5865935354054521E-2</v>
      </c>
      <c r="J77" s="233">
        <f t="shared" si="15"/>
        <v>0.1758592547364406</v>
      </c>
      <c r="K77" s="233">
        <f t="shared" si="16"/>
        <v>8.8476390869644428E-2</v>
      </c>
      <c r="O77" s="282"/>
      <c r="Q77" s="282"/>
    </row>
    <row r="78" spans="1:17" ht="15">
      <c r="A78" s="296" t="s">
        <v>391</v>
      </c>
      <c r="O78" s="282"/>
      <c r="Q78" s="282"/>
    </row>
    <row r="79" spans="1:17">
      <c r="A79" s="234" t="s">
        <v>65</v>
      </c>
      <c r="B79" s="289">
        <f>(B72/B77)*B69</f>
        <v>33.943905480929928</v>
      </c>
      <c r="C79" s="289">
        <f t="shared" ref="C79:F79" si="18">(C72/C77)*C69</f>
        <v>36.661072058407207</v>
      </c>
      <c r="D79" s="289">
        <f t="shared" si="18"/>
        <v>46.306737744249368</v>
      </c>
      <c r="E79" s="289">
        <f t="shared" si="18"/>
        <v>44.874365636538982</v>
      </c>
      <c r="F79" s="289">
        <f t="shared" si="18"/>
        <v>53.783002167940275</v>
      </c>
      <c r="H79" s="233">
        <f t="shared" ref="H79:H84" si="19">C79/B79-1</f>
        <v>8.0048731546339402E-2</v>
      </c>
      <c r="I79" s="233">
        <f t="shared" ref="I79:I84" si="20">D79/C79-1</f>
        <v>0.26310375404393538</v>
      </c>
      <c r="J79" s="233">
        <f t="shared" ref="J79:J84" si="21">E79/D79-1</f>
        <v>-3.0932261210481538E-2</v>
      </c>
      <c r="K79" s="233">
        <f t="shared" ref="K79:K84" si="22">F79/E79-1</f>
        <v>0.19852395471296491</v>
      </c>
      <c r="O79" s="282"/>
      <c r="Q79" s="282"/>
    </row>
    <row r="80" spans="1:17">
      <c r="A80" s="234" t="s">
        <v>67</v>
      </c>
      <c r="B80" s="289">
        <f>(B73/B$77)*B$69</f>
        <v>418.35151688490612</v>
      </c>
      <c r="C80" s="289">
        <f>(C73/C$77)*C$69</f>
        <v>438.85578642052087</v>
      </c>
      <c r="D80" s="289">
        <f>(D73/D$77)*D$69</f>
        <v>503.66065780599973</v>
      </c>
      <c r="E80" s="289">
        <f t="shared" ref="E80:F80" si="23">(E73/E$77)*E$69</f>
        <v>526.3712101455792</v>
      </c>
      <c r="F80" s="289">
        <f t="shared" si="23"/>
        <v>620.446409305673</v>
      </c>
      <c r="H80" s="233">
        <f t="shared" si="19"/>
        <v>4.9012059734578894E-2</v>
      </c>
      <c r="I80" s="233">
        <f t="shared" si="20"/>
        <v>0.14766780657958889</v>
      </c>
      <c r="J80" s="233">
        <f t="shared" si="21"/>
        <v>4.5090979387806707E-2</v>
      </c>
      <c r="K80" s="233">
        <f t="shared" si="22"/>
        <v>0.17872405889006604</v>
      </c>
      <c r="O80" s="282"/>
      <c r="Q80" s="282"/>
    </row>
    <row r="81" spans="1:17">
      <c r="A81" s="234" t="s">
        <v>70</v>
      </c>
      <c r="B81" s="289">
        <f t="shared" ref="B81:C83" si="24">(B74/B$77)*B$69</f>
        <v>74.596735764307226</v>
      </c>
      <c r="C81" s="289">
        <f t="shared" si="24"/>
        <v>88.096324255038695</v>
      </c>
      <c r="D81" s="289">
        <f>D69-SUM(D79,D80,D82,D83)</f>
        <v>107.00030486255321</v>
      </c>
      <c r="E81" s="289">
        <f t="shared" ref="E81:F81" si="25">(E74/E$77)*E$69</f>
        <v>118.62758912090013</v>
      </c>
      <c r="F81" s="289">
        <f t="shared" si="25"/>
        <v>138.68890994243955</v>
      </c>
      <c r="H81" s="233">
        <f t="shared" si="19"/>
        <v>0.18096754975156304</v>
      </c>
      <c r="I81" s="233">
        <f t="shared" si="20"/>
        <v>0.2145830801383668</v>
      </c>
      <c r="J81" s="233">
        <f>E81/D81-1</f>
        <v>0.10866589841293162</v>
      </c>
      <c r="K81" s="233">
        <f t="shared" si="22"/>
        <v>0.16911176371538494</v>
      </c>
      <c r="O81" s="282"/>
      <c r="Q81" s="282"/>
    </row>
    <row r="82" spans="1:17">
      <c r="A82" s="234" t="s">
        <v>453</v>
      </c>
      <c r="B82" s="289">
        <f t="shared" si="24"/>
        <v>11.801238920880071</v>
      </c>
      <c r="C82" s="289">
        <f t="shared" si="24"/>
        <v>13.050725936685302</v>
      </c>
      <c r="D82" s="289">
        <f>(D75/D$77)*D$69*1.1</f>
        <v>15.081925016858019</v>
      </c>
      <c r="E82" s="289">
        <f t="shared" ref="E82:F82" si="26">(E75/E$77)*E$69</f>
        <v>13.579454938466094</v>
      </c>
      <c r="F82" s="289">
        <f t="shared" si="26"/>
        <v>14.263665016154762</v>
      </c>
      <c r="H82" s="233">
        <f t="shared" si="19"/>
        <v>0.1058776137134636</v>
      </c>
      <c r="I82" s="233">
        <f t="shared" si="20"/>
        <v>0.15563878132350184</v>
      </c>
      <c r="J82" s="233">
        <f t="shared" si="21"/>
        <v>-9.9620577393967902E-2</v>
      </c>
      <c r="K82" s="233">
        <f t="shared" si="22"/>
        <v>5.0385680484901441E-2</v>
      </c>
      <c r="O82" s="282"/>
      <c r="Q82" s="282"/>
    </row>
    <row r="83" spans="1:17">
      <c r="A83" s="234" t="s">
        <v>74</v>
      </c>
      <c r="B83" s="289">
        <f t="shared" si="24"/>
        <v>75.55660294897659</v>
      </c>
      <c r="C83" s="289">
        <f t="shared" si="24"/>
        <v>98.336091329348008</v>
      </c>
      <c r="D83" s="289">
        <f>(D76/D$77)*D$69*1.12</f>
        <v>117.9503745703397</v>
      </c>
      <c r="E83" s="289">
        <f t="shared" ref="E83:F83" si="27">(E76/E$77)*E$69</f>
        <v>101.54738015851552</v>
      </c>
      <c r="F83" s="289">
        <f t="shared" si="27"/>
        <v>107.81801356779249</v>
      </c>
      <c r="H83" s="233">
        <f t="shared" si="19"/>
        <v>0.30148904915371078</v>
      </c>
      <c r="I83" s="233">
        <f t="shared" si="20"/>
        <v>0.19946169281123227</v>
      </c>
      <c r="J83" s="233">
        <f t="shared" si="21"/>
        <v>-0.13906691243309499</v>
      </c>
      <c r="K83" s="233">
        <f t="shared" si="22"/>
        <v>6.1750814245414398E-2</v>
      </c>
      <c r="O83" s="282"/>
      <c r="Q83" s="282"/>
    </row>
    <row r="84" spans="1:17">
      <c r="B84" s="289">
        <f>SUM(B79:B83)</f>
        <v>614.24999999999989</v>
      </c>
      <c r="C84" s="289">
        <f t="shared" ref="C84:F84" si="28">SUM(C79:C83)</f>
        <v>675.00000000000023</v>
      </c>
      <c r="D84" s="289">
        <f t="shared" si="28"/>
        <v>790</v>
      </c>
      <c r="E84" s="289">
        <f t="shared" si="28"/>
        <v>805</v>
      </c>
      <c r="F84" s="289">
        <f t="shared" si="28"/>
        <v>935</v>
      </c>
      <c r="H84" s="233">
        <f t="shared" si="19"/>
        <v>9.8901098901099438E-2</v>
      </c>
      <c r="I84" s="233">
        <f t="shared" si="20"/>
        <v>0.17037037037037006</v>
      </c>
      <c r="J84" s="233">
        <f t="shared" si="21"/>
        <v>1.8987341772152E-2</v>
      </c>
      <c r="K84" s="233">
        <f t="shared" si="22"/>
        <v>0.16149068322981375</v>
      </c>
      <c r="O84" s="282"/>
      <c r="Q84" s="282"/>
    </row>
    <row r="85" spans="1:17">
      <c r="O85" s="282"/>
      <c r="Q85" s="282"/>
    </row>
    <row r="86" spans="1:17">
      <c r="O86" s="282"/>
      <c r="Q86" s="282"/>
    </row>
    <row r="87" spans="1:17">
      <c r="O87" s="282"/>
      <c r="Q87" s="282"/>
    </row>
    <row r="88" spans="1:17">
      <c r="O88" s="282"/>
      <c r="Q88" s="282"/>
    </row>
    <row r="89" spans="1:17">
      <c r="O89" s="282"/>
      <c r="Q89" s="282"/>
    </row>
    <row r="90" spans="1:17">
      <c r="O90" s="282"/>
      <c r="Q90" s="282"/>
    </row>
    <row r="91" spans="1:17">
      <c r="B91" s="227">
        <v>12083.6918394928</v>
      </c>
      <c r="C91" s="227">
        <v>10938.800000000001</v>
      </c>
      <c r="D91" s="227">
        <v>11890</v>
      </c>
      <c r="E91" s="227">
        <v>12470</v>
      </c>
    </row>
    <row r="92" spans="1:17">
      <c r="A92" s="55" t="s">
        <v>65</v>
      </c>
      <c r="B92" s="227">
        <f>'Secondary cum Calculation'!L179</f>
        <v>52.253451508886499</v>
      </c>
      <c r="C92" s="227">
        <f>'Secondary cum Calculation'!M179</f>
        <v>42.750283164627255</v>
      </c>
      <c r="D92" s="227">
        <f>'Secondary cum Calculation'!N179</f>
        <v>39.565883515656104</v>
      </c>
      <c r="E92" s="227">
        <f>'Secondary cum Calculation'!O179</f>
        <v>44.038197332752539</v>
      </c>
    </row>
    <row r="93" spans="1:17">
      <c r="A93" s="55" t="s">
        <v>67</v>
      </c>
      <c r="B93" s="227">
        <v>0</v>
      </c>
      <c r="C93" s="227">
        <v>0</v>
      </c>
      <c r="D93" s="227">
        <v>0</v>
      </c>
      <c r="E93" s="227">
        <v>0</v>
      </c>
    </row>
    <row r="94" spans="1:17">
      <c r="A94" s="55" t="s">
        <v>69</v>
      </c>
      <c r="B94" s="227">
        <v>10616.600912980113</v>
      </c>
      <c r="C94" s="227">
        <v>8834.35</v>
      </c>
      <c r="D94" s="227">
        <v>9545</v>
      </c>
      <c r="E94" s="227">
        <v>9880</v>
      </c>
    </row>
    <row r="95" spans="1:17">
      <c r="A95" s="55" t="s">
        <v>70</v>
      </c>
      <c r="B95" s="227">
        <v>0</v>
      </c>
      <c r="C95" s="227">
        <v>0</v>
      </c>
      <c r="D95" s="227">
        <v>0</v>
      </c>
      <c r="E95" s="227">
        <v>0</v>
      </c>
    </row>
    <row r="96" spans="1:17">
      <c r="A96" s="55" t="s">
        <v>72</v>
      </c>
      <c r="B96" s="227">
        <v>224.03796296296298</v>
      </c>
      <c r="C96" s="227">
        <v>182.75</v>
      </c>
      <c r="D96" s="227">
        <v>215</v>
      </c>
      <c r="E96" s="227">
        <v>240</v>
      </c>
    </row>
    <row r="97" spans="1:11">
      <c r="A97" s="55" t="s">
        <v>74</v>
      </c>
      <c r="B97" s="227">
        <v>0</v>
      </c>
      <c r="C97" s="227">
        <v>0</v>
      </c>
      <c r="D97" s="227">
        <v>0</v>
      </c>
      <c r="E97" s="227">
        <v>0</v>
      </c>
    </row>
    <row r="98" spans="1:11">
      <c r="B98" s="227">
        <f>SUM(B92:B97)</f>
        <v>10892.892327451962</v>
      </c>
      <c r="C98" s="227">
        <f t="shared" ref="C98:E98" si="29">SUM(C92:C97)</f>
        <v>9059.8502831646274</v>
      </c>
      <c r="D98" s="227">
        <f t="shared" si="29"/>
        <v>9799.5658835156555</v>
      </c>
      <c r="E98" s="227">
        <f t="shared" si="29"/>
        <v>10164.038197332753</v>
      </c>
      <c r="F98" s="234" t="s">
        <v>1247</v>
      </c>
    </row>
    <row r="99" spans="1:11">
      <c r="A99" s="55" t="s">
        <v>65</v>
      </c>
      <c r="B99" s="233">
        <f t="shared" ref="B99:B104" si="30">B92/B$98</f>
        <v>4.7970226766309637E-3</v>
      </c>
      <c r="C99" s="233">
        <f t="shared" ref="C99:E99" si="31">C92/C$98</f>
        <v>4.7186522766350259E-3</v>
      </c>
      <c r="D99" s="233">
        <f t="shared" si="31"/>
        <v>4.0375139047957084E-3</v>
      </c>
      <c r="E99" s="233">
        <f t="shared" si="31"/>
        <v>4.3327461465374108E-3</v>
      </c>
      <c r="F99" s="55" t="s">
        <v>65</v>
      </c>
      <c r="G99" s="227">
        <v>169.60103935712644</v>
      </c>
      <c r="H99" s="227">
        <v>170.56984463439537</v>
      </c>
      <c r="I99" s="227">
        <v>166.43735045986941</v>
      </c>
      <c r="J99" s="227">
        <v>186.11933061466158</v>
      </c>
      <c r="K99" s="227">
        <v>209.04581790578874</v>
      </c>
    </row>
    <row r="100" spans="1:11">
      <c r="A100" s="55" t="s">
        <v>67</v>
      </c>
      <c r="B100" s="233">
        <f t="shared" si="30"/>
        <v>0</v>
      </c>
      <c r="C100" s="233">
        <f t="shared" ref="C100:E104" si="32">C93/C$98</f>
        <v>0</v>
      </c>
      <c r="D100" s="233">
        <f t="shared" si="32"/>
        <v>0</v>
      </c>
      <c r="E100" s="233">
        <f t="shared" si="32"/>
        <v>0</v>
      </c>
      <c r="F100" s="55" t="s">
        <v>67</v>
      </c>
      <c r="G100" s="227">
        <v>2090.2972440862068</v>
      </c>
      <c r="H100" s="227">
        <v>2041.8269053178867</v>
      </c>
      <c r="I100" s="227">
        <v>1810.2753400398144</v>
      </c>
      <c r="J100" s="227">
        <v>2183.158600627753</v>
      </c>
      <c r="K100" s="227">
        <v>2411.5746959422913</v>
      </c>
    </row>
    <row r="101" spans="1:11">
      <c r="A101" s="55" t="s">
        <v>69</v>
      </c>
      <c r="B101" s="233">
        <f t="shared" si="30"/>
        <v>0.97463562420647942</v>
      </c>
      <c r="C101" s="233">
        <f t="shared" si="32"/>
        <v>0.97510993271228108</v>
      </c>
      <c r="D101" s="233">
        <f t="shared" si="32"/>
        <v>0.97402273870683664</v>
      </c>
      <c r="E101" s="233">
        <f t="shared" si="32"/>
        <v>0.97205459170674013</v>
      </c>
      <c r="F101" s="55" t="s">
        <v>69</v>
      </c>
      <c r="G101" s="227">
        <v>18961.513163500334</v>
      </c>
      <c r="H101" s="227">
        <v>19529.556043296387</v>
      </c>
      <c r="I101" s="227">
        <v>19188.189447114171</v>
      </c>
      <c r="J101" s="227">
        <v>21303.985825793054</v>
      </c>
      <c r="K101" s="227">
        <v>21816.489679293805</v>
      </c>
    </row>
    <row r="102" spans="1:11">
      <c r="A102" s="55" t="s">
        <v>70</v>
      </c>
      <c r="B102" s="233">
        <f t="shared" si="30"/>
        <v>0</v>
      </c>
      <c r="C102" s="233">
        <f t="shared" si="32"/>
        <v>0</v>
      </c>
      <c r="D102" s="233">
        <f t="shared" si="32"/>
        <v>0</v>
      </c>
      <c r="E102" s="233">
        <f t="shared" si="32"/>
        <v>0</v>
      </c>
      <c r="F102" s="55" t="s">
        <v>70</v>
      </c>
      <c r="G102" s="227">
        <v>372.72328387148298</v>
      </c>
      <c r="H102" s="227">
        <v>409.87825770897859</v>
      </c>
      <c r="I102" s="227">
        <v>434.93466653923497</v>
      </c>
      <c r="J102" s="227">
        <v>492.01558989026228</v>
      </c>
      <c r="K102" s="227">
        <v>539.06132876051515</v>
      </c>
    </row>
    <row r="103" spans="1:11">
      <c r="A103" s="55" t="s">
        <v>72</v>
      </c>
      <c r="B103" s="233">
        <f t="shared" si="30"/>
        <v>2.0567353116889696E-2</v>
      </c>
      <c r="C103" s="233">
        <f t="shared" si="32"/>
        <v>2.0171415011083934E-2</v>
      </c>
      <c r="D103" s="233">
        <f t="shared" si="32"/>
        <v>2.1939747388367719E-2</v>
      </c>
      <c r="E103" s="233">
        <f t="shared" si="32"/>
        <v>2.3612662146722432E-2</v>
      </c>
      <c r="F103" s="55" t="s">
        <v>72</v>
      </c>
      <c r="G103" s="227">
        <v>2428.346</v>
      </c>
      <c r="H103" s="227">
        <v>2290.6489999999999</v>
      </c>
      <c r="I103" s="227">
        <v>2221.6440000000002</v>
      </c>
      <c r="J103" s="227">
        <v>2313.5463333333332</v>
      </c>
      <c r="K103" s="227">
        <v>2393.7687844444445</v>
      </c>
    </row>
    <row r="104" spans="1:11">
      <c r="A104" s="55" t="s">
        <v>74</v>
      </c>
      <c r="B104" s="233">
        <f t="shared" si="30"/>
        <v>0</v>
      </c>
      <c r="C104" s="233">
        <f t="shared" si="32"/>
        <v>0</v>
      </c>
      <c r="D104" s="233">
        <f t="shared" si="32"/>
        <v>0</v>
      </c>
      <c r="E104" s="233">
        <f t="shared" si="32"/>
        <v>0</v>
      </c>
      <c r="F104" s="55" t="s">
        <v>74</v>
      </c>
      <c r="G104" s="227">
        <v>377.519269184846</v>
      </c>
      <c r="H104" s="227">
        <v>457.51994904235585</v>
      </c>
      <c r="I104" s="227">
        <v>378.51919584690665</v>
      </c>
      <c r="J104" s="227">
        <v>421.17431974093904</v>
      </c>
      <c r="K104" s="227">
        <v>419.07115487673377</v>
      </c>
    </row>
    <row r="105" spans="1:11">
      <c r="B105" s="227">
        <v>1243.0529635497101</v>
      </c>
      <c r="C105" s="227">
        <v>1921.7000000000007</v>
      </c>
      <c r="D105" s="227">
        <v>2130</v>
      </c>
      <c r="E105" s="227">
        <v>2350</v>
      </c>
      <c r="G105" s="227">
        <f>SUM(G99:G104)</f>
        <v>24400</v>
      </c>
      <c r="H105" s="227">
        <f t="shared" ref="H105:K105" si="33">SUM(H99:H104)</f>
        <v>24900</v>
      </c>
      <c r="I105" s="227">
        <f t="shared" si="33"/>
        <v>24200</v>
      </c>
      <c r="J105" s="227">
        <f t="shared" si="33"/>
        <v>26900</v>
      </c>
      <c r="K105" s="227">
        <f t="shared" si="33"/>
        <v>27789.011461223577</v>
      </c>
    </row>
    <row r="106" spans="1:11">
      <c r="A106" s="55" t="s">
        <v>65</v>
      </c>
      <c r="B106" s="227">
        <f>B$105*G106</f>
        <v>8.6402899423765174</v>
      </c>
      <c r="C106" s="227">
        <f t="shared" ref="C106:E111" si="34">C$105*H106</f>
        <v>13.164018892928423</v>
      </c>
      <c r="D106" s="227">
        <f t="shared" si="34"/>
        <v>14.649237871054622</v>
      </c>
      <c r="E106" s="227">
        <f t="shared" si="34"/>
        <v>16.259495425444413</v>
      </c>
      <c r="F106" s="55" t="s">
        <v>65</v>
      </c>
      <c r="G106" s="233">
        <f>G99/G$105</f>
        <v>6.9508622687346902E-3</v>
      </c>
      <c r="H106" s="233">
        <f t="shared" ref="H106:K106" si="35">H99/H$105</f>
        <v>6.8501945636303364E-3</v>
      </c>
      <c r="I106" s="233">
        <f t="shared" si="35"/>
        <v>6.8775764652838599E-3</v>
      </c>
      <c r="J106" s="233">
        <f t="shared" si="35"/>
        <v>6.9189342235933676E-3</v>
      </c>
      <c r="K106" s="233">
        <f t="shared" si="35"/>
        <v>7.5226072074383978E-3</v>
      </c>
    </row>
    <row r="107" spans="1:11">
      <c r="A107" s="55" t="s">
        <v>67</v>
      </c>
      <c r="B107" s="227">
        <f t="shared" ref="B107:B111" si="36">B$105*G107</f>
        <v>106.48976163775208</v>
      </c>
      <c r="C107" s="227">
        <f t="shared" si="34"/>
        <v>157.58147646383068</v>
      </c>
      <c r="D107" s="227">
        <f t="shared" si="34"/>
        <v>159.33415182995063</v>
      </c>
      <c r="E107" s="227">
        <f t="shared" si="34"/>
        <v>190.72203388383716</v>
      </c>
      <c r="F107" s="55" t="s">
        <v>67</v>
      </c>
      <c r="G107" s="233">
        <f t="shared" ref="G107:K111" si="37">G100/G$105</f>
        <v>8.5667919839598636E-2</v>
      </c>
      <c r="H107" s="233">
        <f t="shared" si="37"/>
        <v>8.2001080534854887E-2</v>
      </c>
      <c r="I107" s="233">
        <f t="shared" si="37"/>
        <v>7.480476611734771E-2</v>
      </c>
      <c r="J107" s="233">
        <f t="shared" si="37"/>
        <v>8.115831229099453E-2</v>
      </c>
      <c r="K107" s="233">
        <f t="shared" si="37"/>
        <v>8.6781593483718236E-2</v>
      </c>
    </row>
    <row r="108" spans="1:11">
      <c r="A108" s="55" t="s">
        <v>69</v>
      </c>
      <c r="B108" s="227">
        <f t="shared" si="36"/>
        <v>965.99037423261996</v>
      </c>
      <c r="C108" s="227">
        <f t="shared" si="34"/>
        <v>1507.226821220991</v>
      </c>
      <c r="D108" s="227">
        <f t="shared" si="34"/>
        <v>1688.8778315021978</v>
      </c>
      <c r="E108" s="227">
        <f t="shared" si="34"/>
        <v>1861.1288732570138</v>
      </c>
      <c r="F108" s="55" t="s">
        <v>69</v>
      </c>
      <c r="G108" s="233">
        <f t="shared" si="37"/>
        <v>0.77711119522542349</v>
      </c>
      <c r="H108" s="233">
        <f t="shared" si="37"/>
        <v>0.78431951981109982</v>
      </c>
      <c r="I108" s="233">
        <f t="shared" si="37"/>
        <v>0.79290039037661864</v>
      </c>
      <c r="J108" s="233">
        <f t="shared" si="37"/>
        <v>0.79196973330085696</v>
      </c>
      <c r="K108" s="233">
        <f t="shared" si="37"/>
        <v>0.7850761337709421</v>
      </c>
    </row>
    <row r="109" spans="1:11">
      <c r="A109" s="55" t="s">
        <v>70</v>
      </c>
      <c r="B109" s="227">
        <f t="shared" si="36"/>
        <v>18.988310762312572</v>
      </c>
      <c r="C109" s="227">
        <f t="shared" si="34"/>
        <v>31.633054130094152</v>
      </c>
      <c r="D109" s="227">
        <f t="shared" si="34"/>
        <v>38.281439658205393</v>
      </c>
      <c r="E109" s="227">
        <f t="shared" si="34"/>
        <v>42.98277458149132</v>
      </c>
      <c r="F109" s="55" t="s">
        <v>70</v>
      </c>
      <c r="G109" s="233">
        <f t="shared" si="37"/>
        <v>1.5275544420962416E-2</v>
      </c>
      <c r="H109" s="233">
        <f t="shared" si="37"/>
        <v>1.6460974205179862E-2</v>
      </c>
      <c r="I109" s="233">
        <f t="shared" si="37"/>
        <v>1.797250688178657E-2</v>
      </c>
      <c r="J109" s="233">
        <f t="shared" si="37"/>
        <v>1.8290542375102688E-2</v>
      </c>
      <c r="K109" s="233">
        <f t="shared" si="37"/>
        <v>1.9398362892926735E-2</v>
      </c>
    </row>
    <row r="110" spans="1:11">
      <c r="A110" s="55" t="s">
        <v>72</v>
      </c>
      <c r="B110" s="227">
        <f>B$105*G110</f>
        <v>123.71158573049524</v>
      </c>
      <c r="C110" s="227">
        <f t="shared" si="34"/>
        <v>176.78474631726911</v>
      </c>
      <c r="D110" s="227">
        <f t="shared" si="34"/>
        <v>195.54139338842978</v>
      </c>
      <c r="E110" s="227">
        <f t="shared" si="34"/>
        <v>202.11278376703842</v>
      </c>
      <c r="F110" s="55" t="s">
        <v>72</v>
      </c>
      <c r="G110" s="233">
        <f t="shared" si="37"/>
        <v>9.9522377049180322E-2</v>
      </c>
      <c r="H110" s="233">
        <f t="shared" si="37"/>
        <v>9.1993935742971877E-2</v>
      </c>
      <c r="I110" s="233">
        <f t="shared" si="37"/>
        <v>9.180347107438018E-2</v>
      </c>
      <c r="J110" s="233">
        <f t="shared" si="37"/>
        <v>8.6005439900867411E-2</v>
      </c>
      <c r="K110" s="233">
        <f t="shared" si="37"/>
        <v>8.6140839798662078E-2</v>
      </c>
    </row>
    <row r="111" spans="1:11">
      <c r="A111" s="55" t="s">
        <v>74</v>
      </c>
      <c r="B111" s="227">
        <f t="shared" si="36"/>
        <v>19.232641244153424</v>
      </c>
      <c r="C111" s="227">
        <f t="shared" si="34"/>
        <v>35.309882974887373</v>
      </c>
      <c r="D111" s="227">
        <f t="shared" si="34"/>
        <v>33.315945750161617</v>
      </c>
      <c r="E111" s="227">
        <f t="shared" si="34"/>
        <v>36.794039085174973</v>
      </c>
      <c r="F111" s="55" t="s">
        <v>74</v>
      </c>
      <c r="G111" s="233">
        <f t="shared" si="37"/>
        <v>1.5472101196100246E-2</v>
      </c>
      <c r="H111" s="233">
        <f t="shared" si="37"/>
        <v>1.8374295142263287E-2</v>
      </c>
      <c r="I111" s="233">
        <f t="shared" si="37"/>
        <v>1.564128908458292E-2</v>
      </c>
      <c r="J111" s="233">
        <f t="shared" si="37"/>
        <v>1.5657037908585095E-2</v>
      </c>
      <c r="K111" s="233">
        <f t="shared" si="37"/>
        <v>1.5080462846312478E-2</v>
      </c>
    </row>
    <row r="113" spans="1:6">
      <c r="A113" s="55" t="s">
        <v>451</v>
      </c>
      <c r="B113" s="227">
        <v>246.126</v>
      </c>
      <c r="C113" s="227">
        <v>256.24299999999999</v>
      </c>
      <c r="D113" s="227">
        <v>233.52600000000001</v>
      </c>
      <c r="E113" s="227">
        <v>245.29833333333332</v>
      </c>
    </row>
    <row r="114" spans="1:6">
      <c r="A114" s="55" t="s">
        <v>453</v>
      </c>
      <c r="B114" s="227">
        <v>58.965000000000003</v>
      </c>
      <c r="C114" s="227">
        <v>60.72</v>
      </c>
      <c r="D114" s="227">
        <v>49.28</v>
      </c>
      <c r="E114" s="227">
        <v>56.321666666666665</v>
      </c>
    </row>
    <row r="115" spans="1:6">
      <c r="B115" s="227">
        <f>SUM(B113:B114)</f>
        <v>305.09100000000001</v>
      </c>
      <c r="C115" s="227">
        <f t="shared" ref="C115:E115" si="38">SUM(C113:C114)</f>
        <v>316.96299999999997</v>
      </c>
      <c r="D115" s="227">
        <f t="shared" si="38"/>
        <v>282.80600000000004</v>
      </c>
      <c r="E115" s="227">
        <f t="shared" si="38"/>
        <v>301.62</v>
      </c>
    </row>
    <row r="116" spans="1:6">
      <c r="A116" s="55" t="s">
        <v>451</v>
      </c>
      <c r="B116" s="227">
        <f>B113/B$115</f>
        <v>0.8067297953725282</v>
      </c>
      <c r="C116" s="227">
        <f t="shared" ref="C116:E116" si="39">C113/C$115</f>
        <v>0.80843189899136503</v>
      </c>
      <c r="D116" s="227">
        <f t="shared" si="39"/>
        <v>0.82574627129551703</v>
      </c>
      <c r="E116" s="227">
        <f t="shared" si="39"/>
        <v>0.81326945604844947</v>
      </c>
    </row>
    <row r="117" spans="1:6">
      <c r="A117" s="55" t="s">
        <v>453</v>
      </c>
      <c r="B117" s="227">
        <f>B114/B$115</f>
        <v>0.1932702046274718</v>
      </c>
      <c r="C117" s="227">
        <f t="shared" ref="C117:E117" si="40">C114/C$115</f>
        <v>0.19156810100863508</v>
      </c>
      <c r="D117" s="227">
        <f t="shared" si="40"/>
        <v>0.17425372870448291</v>
      </c>
      <c r="E117" s="227">
        <f t="shared" si="40"/>
        <v>0.1867305439515505</v>
      </c>
    </row>
    <row r="119" spans="1:6">
      <c r="A119" s="55" t="s">
        <v>451</v>
      </c>
      <c r="B119" s="227">
        <f>B116*B$110</f>
        <v>99.801822241573404</v>
      </c>
      <c r="C119" s="227">
        <f t="shared" ref="C119:E119" si="41">C116*C$110</f>
        <v>142.91842817797658</v>
      </c>
      <c r="D119" s="227">
        <f t="shared" si="41"/>
        <v>161.46757647442575</v>
      </c>
      <c r="E119" s="227">
        <f t="shared" si="41"/>
        <v>164.37215371465723</v>
      </c>
    </row>
    <row r="120" spans="1:6">
      <c r="A120" s="55" t="s">
        <v>453</v>
      </c>
      <c r="B120" s="227">
        <f>B117*B$110</f>
        <v>23.909763488921836</v>
      </c>
      <c r="C120" s="227">
        <f t="shared" ref="C120:E120" si="42">C117*C$110</f>
        <v>33.866318139292538</v>
      </c>
      <c r="D120" s="227">
        <f t="shared" si="42"/>
        <v>34.073816914004013</v>
      </c>
      <c r="E120" s="227">
        <f t="shared" si="42"/>
        <v>37.740630052381192</v>
      </c>
    </row>
    <row r="125" spans="1:6">
      <c r="B125" s="284">
        <v>66208</v>
      </c>
      <c r="C125" s="284">
        <v>59935</v>
      </c>
      <c r="D125" s="284">
        <v>53840</v>
      </c>
      <c r="E125" s="284">
        <v>58340</v>
      </c>
      <c r="F125" s="284">
        <v>60745</v>
      </c>
    </row>
    <row r="126" spans="1:6">
      <c r="A126" s="234" t="s">
        <v>65</v>
      </c>
      <c r="B126" s="285">
        <v>17</v>
      </c>
      <c r="C126" s="227">
        <v>15</v>
      </c>
      <c r="D126" s="227">
        <v>20</v>
      </c>
      <c r="E126" s="227">
        <v>20</v>
      </c>
      <c r="F126" s="227">
        <v>15</v>
      </c>
    </row>
    <row r="127" spans="1:6">
      <c r="A127" s="234" t="s">
        <v>1286</v>
      </c>
      <c r="B127" s="227">
        <v>453</v>
      </c>
      <c r="C127" s="227">
        <v>380</v>
      </c>
      <c r="D127" s="227">
        <v>338</v>
      </c>
      <c r="E127" s="227">
        <v>395</v>
      </c>
      <c r="F127" s="227">
        <v>400</v>
      </c>
    </row>
    <row r="128" spans="1:6">
      <c r="A128" s="234" t="s">
        <v>1287</v>
      </c>
      <c r="B128" s="227">
        <v>229</v>
      </c>
      <c r="C128" s="227">
        <v>220</v>
      </c>
      <c r="D128" s="227">
        <v>207</v>
      </c>
      <c r="E128" s="227">
        <v>280</v>
      </c>
      <c r="F128" s="227">
        <v>300</v>
      </c>
    </row>
    <row r="129" spans="1:13">
      <c r="A129" s="234" t="s">
        <v>69</v>
      </c>
      <c r="B129" s="284">
        <v>65373</v>
      </c>
      <c r="C129" s="284">
        <v>59290</v>
      </c>
      <c r="D129" s="284">
        <v>53221</v>
      </c>
      <c r="E129" s="284">
        <v>57540</v>
      </c>
      <c r="F129" s="284">
        <v>59950</v>
      </c>
    </row>
    <row r="130" spans="1:13">
      <c r="A130" s="234" t="s">
        <v>70</v>
      </c>
      <c r="B130" s="227">
        <v>10</v>
      </c>
      <c r="C130" s="227">
        <v>10</v>
      </c>
      <c r="D130" s="227">
        <v>15</v>
      </c>
      <c r="E130" s="227">
        <v>15</v>
      </c>
      <c r="F130" s="227">
        <v>15</v>
      </c>
    </row>
    <row r="131" spans="1:13">
      <c r="A131" s="234" t="s">
        <v>1288</v>
      </c>
      <c r="B131" s="227">
        <v>20</v>
      </c>
      <c r="C131" s="227">
        <v>20</v>
      </c>
      <c r="D131" s="227">
        <v>20</v>
      </c>
      <c r="E131" s="227">
        <v>30</v>
      </c>
      <c r="F131" s="227">
        <v>20</v>
      </c>
    </row>
    <row r="132" spans="1:13">
      <c r="A132" s="234" t="s">
        <v>1289</v>
      </c>
      <c r="B132" s="227">
        <v>106</v>
      </c>
      <c r="D132" s="227">
        <v>19</v>
      </c>
      <c r="E132" s="227">
        <v>60</v>
      </c>
      <c r="F132" s="227">
        <v>45</v>
      </c>
    </row>
    <row r="135" spans="1:13">
      <c r="A135" s="234" t="s">
        <v>65</v>
      </c>
      <c r="B135" s="289">
        <f>B126/SUM(B$126:B$131)*B$132+B126</f>
        <v>17.027260899821488</v>
      </c>
      <c r="C135" s="289">
        <f>C126/SUM(C$126:C$131)*C$132+C126</f>
        <v>15</v>
      </c>
      <c r="D135" s="289">
        <f t="shared" ref="D135:F135" si="43">D126/SUM(D$126:D$131)*D$132+D126</f>
        <v>20.007060441091767</v>
      </c>
      <c r="E135" s="289">
        <f t="shared" si="43"/>
        <v>20.020590253946466</v>
      </c>
      <c r="F135" s="289">
        <f t="shared" si="43"/>
        <v>15.011120263591433</v>
      </c>
    </row>
    <row r="136" spans="1:13">
      <c r="A136" s="234" t="s">
        <v>1286</v>
      </c>
      <c r="B136" s="289">
        <f>B127/SUM(B$126:B$131)*B$132+B127</f>
        <v>453.72642280112552</v>
      </c>
      <c r="C136" s="289">
        <f t="shared" ref="C136:F136" si="44">C127/SUM(C$126:C$131)*C$132+C127</f>
        <v>380</v>
      </c>
      <c r="D136" s="289">
        <f t="shared" si="44"/>
        <v>338.11932145445087</v>
      </c>
      <c r="E136" s="289">
        <f t="shared" si="44"/>
        <v>395.4066575154427</v>
      </c>
      <c r="F136" s="289">
        <f t="shared" si="44"/>
        <v>400.29654036243824</v>
      </c>
      <c r="I136" s="233">
        <f>C136/B136-1</f>
        <v>-0.16249091764585377</v>
      </c>
      <c r="J136" s="233">
        <f t="shared" ref="J136" si="45">D136/C136-1</f>
        <v>-0.11021231196197134</v>
      </c>
      <c r="K136" s="233">
        <f t="shared" ref="K136" si="46">E136/D136-1</f>
        <v>0.16942934764734874</v>
      </c>
      <c r="L136" s="233">
        <f t="shared" ref="L136" si="47">F136/E136-1</f>
        <v>1.2366718551785061E-2</v>
      </c>
      <c r="M136" s="233">
        <f t="shared" ref="M136" si="48">G136/F136-1</f>
        <v>-1</v>
      </c>
    </row>
    <row r="137" spans="1:13">
      <c r="A137" s="234" t="s">
        <v>1287</v>
      </c>
      <c r="B137" s="289">
        <f t="shared" ref="B137:F137" si="49">B128/SUM(B$126:B$131)*B$132+B128</f>
        <v>229.36722035641887</v>
      </c>
      <c r="C137" s="289">
        <f t="shared" si="49"/>
        <v>220</v>
      </c>
      <c r="D137" s="289">
        <f t="shared" si="49"/>
        <v>207.0730755652998</v>
      </c>
      <c r="E137" s="289">
        <f t="shared" si="49"/>
        <v>280.28826355525052</v>
      </c>
      <c r="F137" s="289">
        <f t="shared" si="49"/>
        <v>300.22240527182868</v>
      </c>
    </row>
    <row r="138" spans="1:13">
      <c r="A138" s="234" t="s">
        <v>69</v>
      </c>
      <c r="B138" s="289">
        <f t="shared" ref="B138:F138" si="50">B129/SUM(B$126:B$131)*B$132+B129</f>
        <v>65477.830988472364</v>
      </c>
      <c r="C138" s="289">
        <f t="shared" si="50"/>
        <v>59290</v>
      </c>
      <c r="D138" s="289">
        <f t="shared" si="50"/>
        <v>53239.788186767248</v>
      </c>
      <c r="E138" s="289">
        <f t="shared" si="50"/>
        <v>57599.238160603978</v>
      </c>
      <c r="F138" s="289">
        <f t="shared" si="50"/>
        <v>59994.443986820428</v>
      </c>
    </row>
    <row r="139" spans="1:13">
      <c r="A139" s="234" t="s">
        <v>70</v>
      </c>
      <c r="B139" s="289">
        <f t="shared" ref="B139:F139" si="51">B130/SUM(B$126:B$131)*B$132+B130</f>
        <v>10.016035823424405</v>
      </c>
      <c r="C139" s="289">
        <f t="shared" si="51"/>
        <v>10</v>
      </c>
      <c r="D139" s="289">
        <f t="shared" si="51"/>
        <v>15.005295330818825</v>
      </c>
      <c r="E139" s="289">
        <f t="shared" si="51"/>
        <v>15.015442690459849</v>
      </c>
      <c r="F139" s="289">
        <f t="shared" si="51"/>
        <v>15.011120263591433</v>
      </c>
    </row>
    <row r="140" spans="1:13">
      <c r="A140" s="234" t="s">
        <v>1288</v>
      </c>
      <c r="B140" s="289">
        <f t="shared" ref="B140:F140" si="52">B131/SUM(B$126:B$131)*B$132+B131</f>
        <v>20.032071646848809</v>
      </c>
      <c r="C140" s="289">
        <f t="shared" si="52"/>
        <v>20</v>
      </c>
      <c r="D140" s="289">
        <f t="shared" si="52"/>
        <v>20.007060441091767</v>
      </c>
      <c r="E140" s="289">
        <f t="shared" si="52"/>
        <v>30.030885380919699</v>
      </c>
      <c r="F140" s="289">
        <f t="shared" si="52"/>
        <v>20.01482701812191</v>
      </c>
    </row>
    <row r="141" spans="1:13">
      <c r="B141" s="289">
        <f>SUM(B135:B140)</f>
        <v>66208.000000000015</v>
      </c>
      <c r="C141" s="289">
        <f t="shared" ref="C141:F141" si="53">SUM(C135:C140)</f>
        <v>59935</v>
      </c>
      <c r="D141" s="289">
        <f t="shared" si="53"/>
        <v>53840</v>
      </c>
      <c r="E141" s="289">
        <f t="shared" si="53"/>
        <v>58340</v>
      </c>
      <c r="F141" s="289">
        <f t="shared" si="53"/>
        <v>60745</v>
      </c>
    </row>
    <row r="143" spans="1:13">
      <c r="B143" s="289">
        <f>SUM(B140,B137,B139)</f>
        <v>259.41532782669208</v>
      </c>
      <c r="C143" s="289">
        <f>SUM(C140,C137,C139)</f>
        <v>250</v>
      </c>
      <c r="D143" s="289">
        <f t="shared" ref="D143:F143" si="54">SUM(D140,D137,D139)</f>
        <v>242.08543133721039</v>
      </c>
      <c r="E143" s="289">
        <f t="shared" si="54"/>
        <v>325.33459162663007</v>
      </c>
      <c r="F143" s="289">
        <f t="shared" si="54"/>
        <v>335.24835255354202</v>
      </c>
      <c r="I143" s="233">
        <f>C143/B143-1</f>
        <v>-3.6294416006837471E-2</v>
      </c>
      <c r="J143" s="233">
        <f t="shared" ref="J143" si="55">D143/C143-1</f>
        <v>-3.1658274651158447E-2</v>
      </c>
      <c r="K143" s="233">
        <f t="shared" ref="K143" si="56">E143/D143-1</f>
        <v>0.34388339616132702</v>
      </c>
      <c r="L143" s="233">
        <f t="shared" ref="L143" si="57">F143/E143-1</f>
        <v>3.0472507941268878E-2</v>
      </c>
      <c r="M143" s="233">
        <f t="shared" ref="M143" si="58">G143/F143-1</f>
        <v>-1</v>
      </c>
    </row>
    <row r="144" spans="1:13">
      <c r="B144" s="227">
        <f>B143/B141*B151</f>
        <v>58.674850987867231</v>
      </c>
      <c r="C144" s="227">
        <f t="shared" ref="C144:F144" si="59">C143/C141*C151</f>
        <v>54.058563443730712</v>
      </c>
      <c r="D144" s="227">
        <f t="shared" si="59"/>
        <v>53.462031549023621</v>
      </c>
      <c r="E144" s="227">
        <f t="shared" si="59"/>
        <v>69.539293067947838</v>
      </c>
      <c r="F144" s="227">
        <f t="shared" si="59"/>
        <v>73.67792421746293</v>
      </c>
    </row>
    <row r="145" spans="1:13">
      <c r="A145" s="234" t="s">
        <v>365</v>
      </c>
    </row>
    <row r="146" spans="1:13">
      <c r="A146" s="234" t="s">
        <v>1290</v>
      </c>
      <c r="B146" s="289">
        <v>2090.2972440862068</v>
      </c>
      <c r="C146" s="289">
        <v>2041.8269053178867</v>
      </c>
      <c r="D146" s="289">
        <v>1810.2753400398144</v>
      </c>
      <c r="E146" s="289">
        <v>2183.158600627753</v>
      </c>
      <c r="F146" s="289">
        <v>2411.5746959422913</v>
      </c>
    </row>
    <row r="147" spans="1:13">
      <c r="A147" s="234" t="s">
        <v>70</v>
      </c>
      <c r="B147" s="289">
        <v>372.72328387148298</v>
      </c>
      <c r="C147" s="289">
        <v>409.87825770897859</v>
      </c>
      <c r="D147" s="289">
        <v>434.93466653923497</v>
      </c>
      <c r="E147" s="289">
        <v>492.01558989026228</v>
      </c>
      <c r="F147" s="289">
        <v>539.06132876051515</v>
      </c>
    </row>
    <row r="148" spans="1:13">
      <c r="A148" s="234"/>
      <c r="B148" s="289"/>
      <c r="C148" s="289"/>
      <c r="D148" s="289"/>
      <c r="E148" s="289"/>
      <c r="F148" s="289"/>
    </row>
    <row r="149" spans="1:13">
      <c r="A149" s="234" t="s">
        <v>1286</v>
      </c>
      <c r="B149" s="289">
        <f>(B136/B141)*B151</f>
        <v>102.62435327221564</v>
      </c>
      <c r="C149" s="289">
        <f t="shared" ref="C149:F149" si="60">(C136/C141)*C151</f>
        <v>82.169016434470677</v>
      </c>
      <c r="D149" s="289">
        <f t="shared" si="60"/>
        <v>74.670110180041249</v>
      </c>
      <c r="E149" s="289">
        <f t="shared" si="60"/>
        <v>84.516986959505829</v>
      </c>
      <c r="F149" s="289">
        <f t="shared" si="60"/>
        <v>87.973640856672162</v>
      </c>
      <c r="G149" s="289"/>
    </row>
    <row r="151" spans="1:13">
      <c r="B151" s="290">
        <v>14975</v>
      </c>
      <c r="C151" s="290">
        <v>12960</v>
      </c>
      <c r="D151" s="290">
        <v>11890</v>
      </c>
      <c r="E151" s="290">
        <v>12470</v>
      </c>
      <c r="F151" s="290">
        <v>13350</v>
      </c>
      <c r="G151" s="292">
        <f>F25</f>
        <v>14839.8</v>
      </c>
      <c r="I151" s="233">
        <f>C151/B151-1</f>
        <v>-0.13455759599332218</v>
      </c>
      <c r="J151" s="233">
        <f t="shared" ref="J151:J157" si="61">D151/C151-1</f>
        <v>-8.2561728395061706E-2</v>
      </c>
      <c r="K151" s="233">
        <f t="shared" ref="K151:K157" si="62">E151/D151-1</f>
        <v>4.8780487804878092E-2</v>
      </c>
      <c r="L151" s="233">
        <f t="shared" ref="L151:M157" si="63">F151/E151-1</f>
        <v>7.0569366479551032E-2</v>
      </c>
      <c r="M151" s="233">
        <f t="shared" ref="M151" si="64">G151/F151-1</f>
        <v>0.11159550561797738</v>
      </c>
    </row>
    <row r="152" spans="1:13">
      <c r="A152" s="286" t="s">
        <v>65</v>
      </c>
      <c r="B152" s="289">
        <f>(B135/B141)*B151</f>
        <v>3.8512450455356864</v>
      </c>
      <c r="C152" s="289">
        <f>(C135/C141)*C151</f>
        <v>3.2435138066238425</v>
      </c>
      <c r="D152" s="289">
        <f t="shared" ref="D152:F152" si="65">(D135/D141)*D151</f>
        <v>4.4183497147953403</v>
      </c>
      <c r="E152" s="289">
        <f t="shared" si="65"/>
        <v>4.2793411118737126</v>
      </c>
      <c r="F152" s="289">
        <f t="shared" si="65"/>
        <v>3.2990115321252063</v>
      </c>
      <c r="G152" s="289">
        <f>F152*(1+(F152/B152)^(1/4)-1)*1.055</f>
        <v>3.3483586001698931</v>
      </c>
      <c r="I152" s="233">
        <f t="shared" ref="I152:I157" si="66">C152/B152-1</f>
        <v>-0.15780123874909446</v>
      </c>
      <c r="J152" s="233">
        <f t="shared" si="61"/>
        <v>0.36221085471326497</v>
      </c>
      <c r="K152" s="233">
        <f t="shared" si="62"/>
        <v>-3.1461656929541282E-2</v>
      </c>
      <c r="L152" s="233">
        <f t="shared" si="63"/>
        <v>-0.22908423379207277</v>
      </c>
      <c r="M152" s="233">
        <f t="shared" si="63"/>
        <v>1.4958137479712752E-2</v>
      </c>
    </row>
    <row r="153" spans="1:13">
      <c r="A153" s="234" t="s">
        <v>1291</v>
      </c>
      <c r="B153" s="289">
        <f>(B146/SUM(B146:B147))*B144</f>
        <v>49.795719493578893</v>
      </c>
      <c r="C153" s="289">
        <f t="shared" ref="C153:F153" si="67">(C146/SUM(C146:C147))*C144</f>
        <v>45.021004550959468</v>
      </c>
      <c r="D153" s="289">
        <f t="shared" si="67"/>
        <v>43.105543382594291</v>
      </c>
      <c r="E153" s="289">
        <f t="shared" si="67"/>
        <v>56.749689900928281</v>
      </c>
      <c r="F153" s="289">
        <f t="shared" si="67"/>
        <v>60.217463694216093</v>
      </c>
      <c r="G153" s="289">
        <f>F153*(1+(F153/B153)^(1/4)-1)*0.999</f>
        <v>63.084194140381101</v>
      </c>
      <c r="I153" s="287">
        <f t="shared" si="66"/>
        <v>-9.5886051877112077E-2</v>
      </c>
      <c r="J153" s="287">
        <f t="shared" si="61"/>
        <v>-4.2545944664496682E-2</v>
      </c>
      <c r="K153" s="287">
        <f t="shared" si="62"/>
        <v>0.31652881387509435</v>
      </c>
      <c r="L153" s="287">
        <f t="shared" si="63"/>
        <v>6.1106480041419386E-2</v>
      </c>
      <c r="M153" s="233">
        <f t="shared" si="63"/>
        <v>4.7606296750096311E-2</v>
      </c>
    </row>
    <row r="154" spans="1:13">
      <c r="A154" s="286" t="s">
        <v>69</v>
      </c>
      <c r="B154" s="294">
        <f>B138/B141*B151</f>
        <v>14809.84955069438</v>
      </c>
      <c r="C154" s="294">
        <f t="shared" ref="C154:F154" si="68">C138/C141*C151</f>
        <v>12820.528906315174</v>
      </c>
      <c r="D154" s="294">
        <f t="shared" si="68"/>
        <v>11757.449508556139</v>
      </c>
      <c r="E154" s="294">
        <f t="shared" si="68"/>
        <v>12311.664378860673</v>
      </c>
      <c r="F154" s="294">
        <f t="shared" si="68"/>
        <v>13185.049423393739</v>
      </c>
      <c r="G154" s="294">
        <f>F154*(1+(F154/B154)^(1/4)-1)*1.097</f>
        <v>14049.833205454652</v>
      </c>
      <c r="I154" s="233">
        <f t="shared" si="66"/>
        <v>-0.13432416295450711</v>
      </c>
      <c r="J154" s="233">
        <f t="shared" si="61"/>
        <v>-8.292008898598402E-2</v>
      </c>
      <c r="K154" s="233">
        <f t="shared" si="62"/>
        <v>4.7137337898089271E-2</v>
      </c>
      <c r="L154" s="233">
        <f t="shared" si="63"/>
        <v>7.0939640462639897E-2</v>
      </c>
      <c r="M154" s="233">
        <f>G154/F154-1</f>
        <v>6.5588209364354721E-2</v>
      </c>
    </row>
    <row r="155" spans="1:13">
      <c r="A155" s="234" t="s">
        <v>70</v>
      </c>
      <c r="B155" s="289">
        <f>(B147/SUM(B146:B147))*B144</f>
        <v>8.8791314942883321</v>
      </c>
      <c r="C155" s="289">
        <f t="shared" ref="C155:F155" si="69">(C147/SUM(C146:C147))*C144</f>
        <v>9.0375588927712478</v>
      </c>
      <c r="D155" s="289">
        <f t="shared" si="69"/>
        <v>10.356488166429333</v>
      </c>
      <c r="E155" s="289">
        <f t="shared" si="69"/>
        <v>12.789603167019555</v>
      </c>
      <c r="F155" s="289">
        <f t="shared" si="69"/>
        <v>13.460460523246837</v>
      </c>
      <c r="G155" s="289">
        <f>F155*(1+(F155/B155)^(1/4)-1)*0.971</f>
        <v>14.502788259920328</v>
      </c>
      <c r="I155" s="287">
        <f t="shared" si="66"/>
        <v>1.7842668349356883E-2</v>
      </c>
      <c r="J155" s="287">
        <f t="shared" si="61"/>
        <v>0.14593866433479508</v>
      </c>
      <c r="K155" s="287">
        <f t="shared" si="62"/>
        <v>0.23493629901274748</v>
      </c>
      <c r="L155" s="287">
        <f t="shared" si="63"/>
        <v>5.245333631282767E-2</v>
      </c>
      <c r="M155" s="233">
        <f t="shared" si="63"/>
        <v>7.7436261179425703E-2</v>
      </c>
    </row>
    <row r="156" spans="1:13">
      <c r="A156" s="234" t="s">
        <v>72</v>
      </c>
      <c r="B156" s="289">
        <f>B164</f>
        <v>229.47392963454973</v>
      </c>
      <c r="C156" s="289">
        <f t="shared" ref="C156:F156" si="70">C164</f>
        <v>207.58070074616785</v>
      </c>
      <c r="D156" s="289">
        <f t="shared" si="70"/>
        <v>239.42740514146743</v>
      </c>
      <c r="E156" s="289">
        <f t="shared" si="70"/>
        <v>271.62727010077953</v>
      </c>
      <c r="F156" s="289">
        <f t="shared" si="70"/>
        <v>281.651099590429</v>
      </c>
      <c r="G156" s="289">
        <f>F156*(1+(F156/B156)^(1/4)-1)*1.0595</f>
        <v>314.09204467169377</v>
      </c>
      <c r="I156" s="233">
        <f t="shared" si="66"/>
        <v>-9.5406170641031407E-2</v>
      </c>
      <c r="J156" s="233">
        <f t="shared" si="61"/>
        <v>0.15341842609078626</v>
      </c>
      <c r="K156" s="233">
        <f t="shared" si="62"/>
        <v>0.13448696459908827</v>
      </c>
      <c r="L156" s="233">
        <f t="shared" si="63"/>
        <v>3.6902883447344603E-2</v>
      </c>
      <c r="M156" s="233">
        <f t="shared" si="63"/>
        <v>0.11518131876083459</v>
      </c>
    </row>
    <row r="157" spans="1:13">
      <c r="A157" s="234" t="s">
        <v>1293</v>
      </c>
      <c r="B157" s="289">
        <f>B149-SUM(B162:B163)</f>
        <v>86.688623121328789</v>
      </c>
      <c r="C157" s="289">
        <f t="shared" ref="C157:G157" si="71">C149-SUM(C162:C163)</f>
        <v>57.338315688302814</v>
      </c>
      <c r="D157" s="289">
        <f t="shared" si="71"/>
        <v>50.242705038573817</v>
      </c>
      <c r="E157" s="289">
        <f t="shared" si="71"/>
        <v>52.88971685872631</v>
      </c>
      <c r="F157" s="289">
        <f t="shared" si="71"/>
        <v>56.322541266243192</v>
      </c>
      <c r="G157" s="289">
        <f t="shared" si="71"/>
        <v>-35.759575803762914</v>
      </c>
      <c r="I157" s="233">
        <f t="shared" si="66"/>
        <v>-0.33857161846886752</v>
      </c>
      <c r="J157" s="233">
        <f t="shared" si="61"/>
        <v>-0.12374989681073811</v>
      </c>
      <c r="K157" s="233">
        <f t="shared" si="62"/>
        <v>5.2684500528390243E-2</v>
      </c>
      <c r="L157" s="233">
        <f t="shared" si="63"/>
        <v>6.4905327753716158E-2</v>
      </c>
      <c r="M157" s="233">
        <f t="shared" si="63"/>
        <v>-1.6349070017051122</v>
      </c>
    </row>
    <row r="158" spans="1:13">
      <c r="G158" s="293">
        <f>SUM(G152:G157)</f>
        <v>14409.101015323055</v>
      </c>
    </row>
    <row r="159" spans="1:13">
      <c r="G159" s="227" t="b">
        <f>G151=G158</f>
        <v>0</v>
      </c>
    </row>
    <row r="161" spans="1:13">
      <c r="A161" s="234" t="s">
        <v>1038</v>
      </c>
      <c r="B161" s="289">
        <f>C161/(1+((G161/C161)^(1/4)-1))*1.3</f>
        <v>213.53819948366288</v>
      </c>
      <c r="C161" s="289">
        <f>B50</f>
        <v>182.75</v>
      </c>
      <c r="D161" s="289">
        <f>C50</f>
        <v>215</v>
      </c>
      <c r="E161" s="289">
        <f>D50</f>
        <v>240</v>
      </c>
      <c r="F161" s="289">
        <f>E50</f>
        <v>250</v>
      </c>
      <c r="G161" s="289">
        <f>F50</f>
        <v>280</v>
      </c>
      <c r="I161" s="233">
        <f t="shared" ref="I161" si="72">C161/B161-1</f>
        <v>-0.1441812263946638</v>
      </c>
      <c r="J161" s="233">
        <f t="shared" ref="J161" si="73">D161/C161-1</f>
        <v>0.17647058823529416</v>
      </c>
      <c r="K161" s="233">
        <f t="shared" ref="K161" si="74">E161/D161-1</f>
        <v>0.11627906976744184</v>
      </c>
      <c r="L161" s="233">
        <f t="shared" ref="L161:M161" si="75">F161/E161-1</f>
        <v>4.1666666666666741E-2</v>
      </c>
      <c r="M161" s="233">
        <f t="shared" si="75"/>
        <v>0.12000000000000011</v>
      </c>
    </row>
    <row r="162" spans="1:13">
      <c r="A162" s="234" t="s">
        <v>451</v>
      </c>
      <c r="B162" s="289">
        <f>B168/B170*B149*1.1</f>
        <v>13.085745108724616</v>
      </c>
      <c r="C162" s="289">
        <f>C168/C170*C161*0.94</f>
        <v>22.302789681337355</v>
      </c>
      <c r="D162" s="289">
        <f>D168/D170*D161*0.87</f>
        <v>22.529493593585439</v>
      </c>
      <c r="E162" s="289">
        <f t="shared" ref="E162" si="76">E168/E170*E161</f>
        <v>29.261309931990553</v>
      </c>
      <c r="F162" s="289">
        <f>F168/F170*F161*1.002</f>
        <v>29.321144951416095</v>
      </c>
      <c r="G162" s="289">
        <f>F162*(1+(F162/B162)^(1/4)-1)*0.94</f>
        <v>33.721306731837728</v>
      </c>
      <c r="I162" s="233">
        <f t="shared" ref="I162:I164" si="77">C162/B162-1</f>
        <v>0.70435764230708497</v>
      </c>
      <c r="J162" s="233">
        <f t="shared" ref="J162:J164" si="78">D162/C162-1</f>
        <v>1.0164823122453814E-2</v>
      </c>
      <c r="K162" s="233">
        <f t="shared" ref="K162:K164" si="79">E162/D162-1</f>
        <v>0.29880016212711435</v>
      </c>
      <c r="L162" s="233">
        <f t="shared" ref="L162:M164" si="80">F162/E162-1</f>
        <v>2.0448510187893731E-3</v>
      </c>
      <c r="M162" s="233">
        <f t="shared" si="80"/>
        <v>0.15006787039566549</v>
      </c>
    </row>
    <row r="163" spans="1:13">
      <c r="A163" s="234" t="s">
        <v>453</v>
      </c>
      <c r="B163" s="289">
        <f>B169/B170*B149</f>
        <v>2.8499850421622441</v>
      </c>
      <c r="C163" s="289">
        <f t="shared" ref="C163:F163" si="81">C169/C170*C149</f>
        <v>2.527911064830505</v>
      </c>
      <c r="D163" s="289">
        <f t="shared" si="81"/>
        <v>1.8979115478819957</v>
      </c>
      <c r="E163" s="289">
        <f t="shared" si="81"/>
        <v>2.3659601687889671</v>
      </c>
      <c r="F163" s="289">
        <f t="shared" si="81"/>
        <v>2.3299546390128776</v>
      </c>
      <c r="G163" s="289">
        <f>F163*(1+(F163/B163)^(1/4)-1)*0.92</f>
        <v>2.0382690719251886</v>
      </c>
      <c r="I163" s="233">
        <f t="shared" si="77"/>
        <v>-0.11300900621126986</v>
      </c>
      <c r="J163" s="233">
        <f t="shared" si="78"/>
        <v>-0.24921743716120426</v>
      </c>
      <c r="K163" s="233">
        <f t="shared" si="79"/>
        <v>0.24661245221322226</v>
      </c>
      <c r="L163" s="233">
        <f t="shared" si="80"/>
        <v>-1.5218147055501396E-2</v>
      </c>
      <c r="M163" s="233">
        <f t="shared" si="80"/>
        <v>-0.12518937588041035</v>
      </c>
    </row>
    <row r="164" spans="1:13">
      <c r="A164" s="234" t="s">
        <v>72</v>
      </c>
      <c r="B164" s="289">
        <f>SUM(B161:B163)</f>
        <v>229.47392963454973</v>
      </c>
      <c r="C164" s="289">
        <f>SUM(C161:C163)</f>
        <v>207.58070074616785</v>
      </c>
      <c r="D164" s="289">
        <f t="shared" ref="D164:G164" si="82">SUM(D161:D163)</f>
        <v>239.42740514146743</v>
      </c>
      <c r="E164" s="289">
        <f t="shared" si="82"/>
        <v>271.62727010077953</v>
      </c>
      <c r="F164" s="289">
        <f t="shared" si="82"/>
        <v>281.651099590429</v>
      </c>
      <c r="G164" s="289">
        <f t="shared" si="82"/>
        <v>315.75957580376291</v>
      </c>
      <c r="I164" s="233">
        <f t="shared" si="77"/>
        <v>-9.5406170641031407E-2</v>
      </c>
      <c r="J164" s="233">
        <f t="shared" si="78"/>
        <v>0.15341842609078626</v>
      </c>
      <c r="K164" s="233">
        <f t="shared" si="79"/>
        <v>0.13448696459908827</v>
      </c>
      <c r="L164" s="233">
        <f t="shared" si="80"/>
        <v>3.6902883447344603E-2</v>
      </c>
      <c r="M164" s="233">
        <f t="shared" si="80"/>
        <v>0.12110187484775925</v>
      </c>
    </row>
    <row r="165" spans="1:13">
      <c r="G165" s="227" t="b">
        <f>G164=G156</f>
        <v>0</v>
      </c>
    </row>
    <row r="166" spans="1:13">
      <c r="J166" s="288"/>
    </row>
    <row r="167" spans="1:13">
      <c r="A167" s="234" t="s">
        <v>365</v>
      </c>
    </row>
    <row r="168" spans="1:13">
      <c r="A168" s="234" t="s">
        <v>451</v>
      </c>
      <c r="B168" s="289">
        <v>246.126</v>
      </c>
      <c r="C168" s="289">
        <v>256.24299999999999</v>
      </c>
      <c r="D168" s="289">
        <v>233.52600000000001</v>
      </c>
      <c r="E168" s="289">
        <v>245.29833333333332</v>
      </c>
      <c r="F168" s="289">
        <v>245.02244444444443</v>
      </c>
    </row>
    <row r="169" spans="1:13">
      <c r="A169" s="234" t="s">
        <v>453</v>
      </c>
      <c r="B169" s="289">
        <v>58.965000000000003</v>
      </c>
      <c r="C169" s="289">
        <v>60.72</v>
      </c>
      <c r="D169" s="289">
        <v>49.28</v>
      </c>
      <c r="E169" s="289">
        <v>56.321666666666665</v>
      </c>
      <c r="F169" s="289">
        <v>55.440555555555555</v>
      </c>
    </row>
    <row r="170" spans="1:13">
      <c r="A170" s="234" t="s">
        <v>1292</v>
      </c>
      <c r="B170" s="289">
        <v>2123.2550000000001</v>
      </c>
      <c r="C170" s="289">
        <v>1973.6859999999999</v>
      </c>
      <c r="D170" s="289">
        <v>1938.838</v>
      </c>
      <c r="E170" s="289">
        <v>2011.9263333333331</v>
      </c>
      <c r="F170" s="289">
        <v>2093.3057844444447</v>
      </c>
    </row>
  </sheetData>
  <pageMargins left="0.75" right="0.75" top="1" bottom="1" header="0.5" footer="0.5"/>
  <pageSetup paperSize="9" firstPageNumber="0" fitToWidth="0" fitToHeight="0" pageOrder="overThenDown" orientation="portrait" horizontalDpi="300" verticalDpi="300" r:id="rId1"/>
  <headerFooter alignWithMargins="0"/>
</worksheet>
</file>

<file path=xl/worksheets/sheet19.xml><?xml version="1.0" encoding="utf-8"?>
<worksheet xmlns="http://schemas.openxmlformats.org/spreadsheetml/2006/main" xmlns:r="http://schemas.openxmlformats.org/officeDocument/2006/relationships">
  <dimension ref="A1:H157"/>
  <sheetViews>
    <sheetView topLeftCell="A103" workbookViewId="0">
      <selection activeCell="A2" sqref="A2:A113"/>
    </sheetView>
  </sheetViews>
  <sheetFormatPr defaultRowHeight="15"/>
  <cols>
    <col min="1" max="1" width="35.42578125" bestFit="1" customWidth="1"/>
    <col min="3" max="4" width="0" hidden="1" customWidth="1"/>
  </cols>
  <sheetData>
    <row r="1" spans="1:4">
      <c r="B1">
        <v>2007</v>
      </c>
      <c r="C1">
        <v>2008</v>
      </c>
      <c r="D1">
        <v>2009</v>
      </c>
    </row>
    <row r="2" spans="1:4">
      <c r="A2" t="s">
        <v>333</v>
      </c>
      <c r="B2" s="137">
        <v>16527</v>
      </c>
      <c r="C2" s="137">
        <v>18369</v>
      </c>
      <c r="D2" s="137">
        <v>20165</v>
      </c>
    </row>
    <row r="3" spans="1:4">
      <c r="A3" t="s">
        <v>133</v>
      </c>
      <c r="B3" s="137">
        <v>170233</v>
      </c>
      <c r="C3" s="137">
        <v>170538</v>
      </c>
      <c r="D3" s="137">
        <v>171314</v>
      </c>
    </row>
    <row r="4" spans="1:4">
      <c r="A4" t="s">
        <v>1057</v>
      </c>
      <c r="B4" s="137">
        <v>450780</v>
      </c>
      <c r="C4" s="137">
        <v>402299</v>
      </c>
      <c r="D4" s="137">
        <v>332783</v>
      </c>
    </row>
    <row r="5" spans="1:4">
      <c r="A5" t="s">
        <v>135</v>
      </c>
      <c r="B5" s="137">
        <v>13305</v>
      </c>
      <c r="C5" s="137">
        <v>26649</v>
      </c>
      <c r="D5" s="137">
        <v>21760</v>
      </c>
    </row>
    <row r="6" spans="1:4">
      <c r="A6" t="s">
        <v>1056</v>
      </c>
      <c r="B6" s="137">
        <v>1841</v>
      </c>
      <c r="C6" s="137">
        <v>1710</v>
      </c>
      <c r="D6" s="137">
        <v>1567</v>
      </c>
    </row>
    <row r="7" spans="1:4">
      <c r="A7" t="s">
        <v>335</v>
      </c>
      <c r="B7" s="137">
        <v>22210</v>
      </c>
      <c r="C7" s="137">
        <v>23500</v>
      </c>
      <c r="D7" s="137">
        <v>24100</v>
      </c>
    </row>
    <row r="8" spans="1:4">
      <c r="A8" t="s">
        <v>246</v>
      </c>
      <c r="B8" s="137">
        <v>73657</v>
      </c>
      <c r="C8" s="137">
        <v>85650</v>
      </c>
      <c r="D8" s="137">
        <v>93290</v>
      </c>
    </row>
    <row r="9" spans="1:4">
      <c r="A9" t="s">
        <v>337</v>
      </c>
      <c r="B9" s="137">
        <v>465255</v>
      </c>
      <c r="C9" s="137">
        <v>473235</v>
      </c>
      <c r="D9" s="137">
        <v>478747</v>
      </c>
    </row>
    <row r="10" spans="1:4">
      <c r="A10" t="s">
        <v>462</v>
      </c>
      <c r="B10" s="137">
        <v>12081</v>
      </c>
      <c r="C10" s="137">
        <v>14423</v>
      </c>
      <c r="D10" s="137">
        <v>13667</v>
      </c>
    </row>
    <row r="11" spans="1:4">
      <c r="A11" t="s">
        <v>464</v>
      </c>
      <c r="B11" s="137">
        <v>2896</v>
      </c>
      <c r="C11" s="137">
        <v>2875</v>
      </c>
      <c r="D11" s="137">
        <v>2416</v>
      </c>
    </row>
    <row r="12" spans="1:4">
      <c r="A12" t="s">
        <v>339</v>
      </c>
      <c r="B12" s="137">
        <v>1154</v>
      </c>
      <c r="C12" s="137">
        <v>1257</v>
      </c>
      <c r="D12" s="137">
        <v>1114</v>
      </c>
    </row>
    <row r="13" spans="1:4">
      <c r="A13" t="s">
        <v>341</v>
      </c>
      <c r="B13" s="137">
        <v>1032899</v>
      </c>
      <c r="C13" s="137">
        <v>1079638</v>
      </c>
      <c r="D13" s="137">
        <v>1096341</v>
      </c>
    </row>
    <row r="14" spans="1:4">
      <c r="A14" t="s">
        <v>137</v>
      </c>
      <c r="B14" s="137">
        <v>14641</v>
      </c>
      <c r="C14" s="137">
        <v>15846</v>
      </c>
      <c r="D14" s="137">
        <v>2519</v>
      </c>
    </row>
    <row r="15" spans="1:4">
      <c r="A15" t="s">
        <v>1055</v>
      </c>
      <c r="B15" s="137">
        <v>1007</v>
      </c>
      <c r="C15">
        <v>954</v>
      </c>
      <c r="D15">
        <v>754</v>
      </c>
    </row>
    <row r="16" spans="1:4">
      <c r="A16" t="s">
        <v>343</v>
      </c>
      <c r="B16" s="137">
        <v>9629</v>
      </c>
      <c r="C16" s="137">
        <v>9576</v>
      </c>
      <c r="D16" s="137">
        <v>9291</v>
      </c>
    </row>
    <row r="17" spans="1:4">
      <c r="A17" t="s">
        <v>470</v>
      </c>
      <c r="B17" s="137">
        <v>254367</v>
      </c>
      <c r="C17" s="137">
        <v>214440</v>
      </c>
      <c r="D17" s="137">
        <v>205860</v>
      </c>
    </row>
    <row r="18" spans="1:4">
      <c r="A18" t="s">
        <v>345</v>
      </c>
      <c r="B18" s="137">
        <v>138380</v>
      </c>
      <c r="C18" s="137">
        <v>148417</v>
      </c>
      <c r="D18" s="137">
        <v>196174</v>
      </c>
    </row>
    <row r="19" spans="1:4">
      <c r="A19" t="s">
        <v>141</v>
      </c>
      <c r="B19" s="137">
        <v>80054</v>
      </c>
      <c r="C19" s="137">
        <v>75528</v>
      </c>
      <c r="D19" s="137">
        <v>67866</v>
      </c>
    </row>
    <row r="20" spans="1:4">
      <c r="A20" t="s">
        <v>256</v>
      </c>
      <c r="B20" s="137">
        <v>90168</v>
      </c>
      <c r="C20" s="137">
        <v>97517</v>
      </c>
      <c r="D20" s="137">
        <v>105437</v>
      </c>
    </row>
    <row r="21" spans="1:4">
      <c r="A21" t="s">
        <v>147</v>
      </c>
      <c r="B21" s="137">
        <v>23646</v>
      </c>
      <c r="C21" s="137">
        <v>21057</v>
      </c>
      <c r="D21" s="137">
        <v>22675</v>
      </c>
    </row>
    <row r="22" spans="1:4">
      <c r="A22" t="s">
        <v>472</v>
      </c>
      <c r="B22" s="137">
        <v>61069</v>
      </c>
      <c r="C22" s="137">
        <v>62984</v>
      </c>
      <c r="D22" s="137">
        <v>63623</v>
      </c>
    </row>
    <row r="23" spans="1:4">
      <c r="A23" t="s">
        <v>258</v>
      </c>
      <c r="B23" s="137">
        <v>463392</v>
      </c>
      <c r="C23" s="137">
        <v>429967</v>
      </c>
      <c r="D23" s="137">
        <v>424770</v>
      </c>
    </row>
    <row r="24" spans="1:4">
      <c r="A24" t="s">
        <v>474</v>
      </c>
      <c r="B24" s="137">
        <v>27611</v>
      </c>
      <c r="C24" s="137">
        <v>27381</v>
      </c>
      <c r="D24" s="137">
        <v>30366</v>
      </c>
    </row>
    <row r="25" spans="1:4">
      <c r="A25" t="s">
        <v>155</v>
      </c>
      <c r="B25" s="137">
        <v>14466</v>
      </c>
      <c r="C25" s="137">
        <v>22473</v>
      </c>
      <c r="D25" s="137">
        <v>23017</v>
      </c>
    </row>
    <row r="26" spans="1:4">
      <c r="A26" t="s">
        <v>476</v>
      </c>
      <c r="B26" s="137">
        <v>25939</v>
      </c>
      <c r="C26" s="137">
        <v>34622</v>
      </c>
      <c r="D26" s="137">
        <v>30737</v>
      </c>
    </row>
    <row r="27" spans="1:4">
      <c r="A27" t="s">
        <v>349</v>
      </c>
      <c r="B27" s="137">
        <v>473806</v>
      </c>
      <c r="C27" s="137">
        <v>439095</v>
      </c>
      <c r="D27" s="137">
        <v>406037</v>
      </c>
    </row>
    <row r="28" spans="1:4">
      <c r="A28" t="s">
        <v>478</v>
      </c>
      <c r="B28" s="137">
        <v>92304</v>
      </c>
      <c r="C28" s="137">
        <v>90731</v>
      </c>
      <c r="D28" s="137">
        <v>83478</v>
      </c>
    </row>
    <row r="29" spans="1:4">
      <c r="A29" t="s">
        <v>351</v>
      </c>
      <c r="B29" s="137">
        <v>41394</v>
      </c>
      <c r="C29" s="137">
        <v>36099</v>
      </c>
      <c r="D29" s="137">
        <v>26187</v>
      </c>
    </row>
    <row r="30" spans="1:4">
      <c r="A30" t="s">
        <v>353</v>
      </c>
      <c r="B30" s="137">
        <v>236790</v>
      </c>
      <c r="C30" s="137">
        <v>235654</v>
      </c>
      <c r="D30" s="137">
        <v>223901</v>
      </c>
    </row>
    <row r="31" spans="1:4">
      <c r="A31" t="s">
        <v>1054</v>
      </c>
      <c r="B31" s="137">
        <v>2992</v>
      </c>
      <c r="C31" s="137">
        <v>2793</v>
      </c>
      <c r="D31" s="137">
        <v>2654</v>
      </c>
    </row>
    <row r="32" spans="1:4">
      <c r="A32" t="s">
        <v>480</v>
      </c>
      <c r="B32" s="137">
        <v>278147</v>
      </c>
      <c r="C32" s="137">
        <v>279408</v>
      </c>
      <c r="D32" s="137">
        <v>247038</v>
      </c>
    </row>
    <row r="33" spans="1:4">
      <c r="A33" t="s">
        <v>482</v>
      </c>
      <c r="B33" s="137">
        <v>16856</v>
      </c>
      <c r="C33" s="137">
        <v>18876</v>
      </c>
      <c r="D33" s="137">
        <v>19810</v>
      </c>
    </row>
    <row r="34" spans="1:4">
      <c r="A34" t="s">
        <v>163</v>
      </c>
      <c r="B34" s="137">
        <v>464239</v>
      </c>
      <c r="C34" s="137">
        <v>586861</v>
      </c>
      <c r="D34" s="137">
        <v>551694</v>
      </c>
    </row>
    <row r="35" spans="1:4">
      <c r="A35" t="s">
        <v>167</v>
      </c>
      <c r="B35">
        <v>406</v>
      </c>
      <c r="C35">
        <v>270</v>
      </c>
      <c r="D35">
        <v>372</v>
      </c>
    </row>
    <row r="36" spans="1:4">
      <c r="A36" t="s">
        <v>357</v>
      </c>
      <c r="B36" s="137">
        <v>17813</v>
      </c>
      <c r="C36" s="137">
        <v>18522</v>
      </c>
      <c r="D36" s="137">
        <v>16864</v>
      </c>
    </row>
    <row r="37" spans="1:4">
      <c r="A37" t="s">
        <v>266</v>
      </c>
      <c r="B37" s="137">
        <v>3466</v>
      </c>
      <c r="C37" s="137">
        <v>4507</v>
      </c>
      <c r="D37" s="137">
        <v>4683</v>
      </c>
    </row>
    <row r="38" spans="1:4">
      <c r="A38" t="s">
        <v>359</v>
      </c>
      <c r="B38" s="137">
        <v>90670</v>
      </c>
      <c r="C38" s="137">
        <v>87881</v>
      </c>
      <c r="D38" s="137">
        <v>79877</v>
      </c>
    </row>
    <row r="39" spans="1:4">
      <c r="A39" t="s">
        <v>268</v>
      </c>
      <c r="B39" s="137">
        <v>43161</v>
      </c>
      <c r="C39" s="137">
        <v>42374</v>
      </c>
      <c r="D39" s="137">
        <v>39256</v>
      </c>
    </row>
    <row r="40" spans="1:4">
      <c r="A40" t="s">
        <v>173</v>
      </c>
      <c r="B40">
        <v>717</v>
      </c>
      <c r="C40">
        <v>833</v>
      </c>
      <c r="D40" s="137">
        <v>1130</v>
      </c>
    </row>
    <row r="41" spans="1:4">
      <c r="A41" t="s">
        <v>363</v>
      </c>
      <c r="B41" s="137">
        <v>2617</v>
      </c>
      <c r="C41" s="137">
        <v>2169</v>
      </c>
      <c r="D41" s="137">
        <v>3537</v>
      </c>
    </row>
    <row r="42" spans="1:4">
      <c r="A42" t="s">
        <v>365</v>
      </c>
      <c r="B42" s="137">
        <v>1183532</v>
      </c>
      <c r="C42" s="137">
        <v>1220138</v>
      </c>
      <c r="D42" s="137">
        <v>1249522</v>
      </c>
    </row>
    <row r="43" spans="1:4">
      <c r="A43" t="s">
        <v>367</v>
      </c>
      <c r="B43" s="137">
        <v>991117</v>
      </c>
      <c r="C43" s="137">
        <v>910021</v>
      </c>
      <c r="D43" s="137">
        <v>962435</v>
      </c>
    </row>
    <row r="44" spans="1:4">
      <c r="A44" t="s">
        <v>492</v>
      </c>
      <c r="B44" s="137">
        <v>19835</v>
      </c>
      <c r="C44" s="137">
        <v>21539</v>
      </c>
      <c r="D44" s="137">
        <v>28022</v>
      </c>
    </row>
    <row r="45" spans="1:4">
      <c r="A45" t="s">
        <v>498</v>
      </c>
      <c r="B45" s="137">
        <v>2804</v>
      </c>
      <c r="C45" s="137">
        <v>5906</v>
      </c>
      <c r="D45" s="137">
        <v>6514</v>
      </c>
    </row>
    <row r="46" spans="1:4">
      <c r="A46" t="s">
        <v>1053</v>
      </c>
      <c r="B46" s="137">
        <v>169000</v>
      </c>
      <c r="C46" s="137">
        <v>168600</v>
      </c>
      <c r="D46" s="137">
        <v>156300</v>
      </c>
    </row>
    <row r="47" spans="1:4">
      <c r="A47" t="s">
        <v>369</v>
      </c>
      <c r="B47" s="137">
        <v>199000</v>
      </c>
      <c r="C47" s="137">
        <v>231000</v>
      </c>
      <c r="D47" s="137">
        <v>232000</v>
      </c>
    </row>
    <row r="48" spans="1:4">
      <c r="A48" t="s">
        <v>371</v>
      </c>
      <c r="B48" s="137">
        <v>97593</v>
      </c>
      <c r="C48" s="137">
        <v>110803</v>
      </c>
      <c r="D48" s="137">
        <v>130851</v>
      </c>
    </row>
    <row r="49" spans="1:4">
      <c r="A49" t="s">
        <v>272</v>
      </c>
      <c r="B49" s="137">
        <v>204827</v>
      </c>
      <c r="C49" s="137">
        <v>207802</v>
      </c>
      <c r="D49" s="137">
        <v>195307</v>
      </c>
    </row>
    <row r="50" spans="1:4">
      <c r="A50" t="s">
        <v>274</v>
      </c>
      <c r="B50" s="137">
        <v>104473</v>
      </c>
      <c r="C50" s="137">
        <v>125216</v>
      </c>
      <c r="D50" s="137">
        <v>159924</v>
      </c>
    </row>
    <row r="51" spans="1:4">
      <c r="A51" t="s">
        <v>373</v>
      </c>
      <c r="B51" s="137">
        <v>394000</v>
      </c>
      <c r="C51" s="137">
        <v>412000</v>
      </c>
      <c r="D51" s="137">
        <v>390000</v>
      </c>
    </row>
    <row r="52" spans="1:4">
      <c r="A52" t="s">
        <v>428</v>
      </c>
      <c r="B52" s="137">
        <v>242404</v>
      </c>
      <c r="C52" s="137">
        <v>257168</v>
      </c>
      <c r="D52" s="137">
        <v>253969</v>
      </c>
    </row>
    <row r="53" spans="1:4">
      <c r="A53" t="s">
        <v>375</v>
      </c>
      <c r="B53" s="137">
        <v>4803694</v>
      </c>
      <c r="C53" s="137">
        <v>4820493</v>
      </c>
      <c r="D53" s="137">
        <v>4935031</v>
      </c>
    </row>
    <row r="54" spans="1:4">
      <c r="A54" t="s">
        <v>500</v>
      </c>
      <c r="B54" s="137">
        <v>3587</v>
      </c>
      <c r="C54" s="137">
        <v>3916</v>
      </c>
      <c r="D54" s="137">
        <v>3779</v>
      </c>
    </row>
    <row r="55" spans="1:4">
      <c r="A55" t="s">
        <v>430</v>
      </c>
      <c r="B55" s="137">
        <v>34410</v>
      </c>
      <c r="C55" s="137">
        <v>46501</v>
      </c>
      <c r="D55" s="137">
        <v>53637</v>
      </c>
    </row>
    <row r="56" spans="1:4">
      <c r="A56" t="s">
        <v>1052</v>
      </c>
      <c r="B56" s="137">
        <v>52842</v>
      </c>
      <c r="C56" s="137">
        <v>59789</v>
      </c>
      <c r="D56" s="137">
        <v>61426</v>
      </c>
    </row>
    <row r="57" spans="1:4">
      <c r="A57" t="s">
        <v>432</v>
      </c>
      <c r="B57" s="137">
        <v>13947</v>
      </c>
      <c r="C57" s="137">
        <v>14345</v>
      </c>
      <c r="D57" s="137">
        <v>14907</v>
      </c>
    </row>
    <row r="58" spans="1:4">
      <c r="A58" t="s">
        <v>1051</v>
      </c>
      <c r="B58" s="137">
        <v>34584</v>
      </c>
      <c r="C58" s="137">
        <v>39077</v>
      </c>
      <c r="D58" s="137">
        <v>31775</v>
      </c>
    </row>
    <row r="59" spans="1:4">
      <c r="A59" t="s">
        <v>377</v>
      </c>
      <c r="B59" s="137">
        <v>17562</v>
      </c>
      <c r="C59" s="137">
        <v>20123</v>
      </c>
      <c r="D59" s="137">
        <v>18296</v>
      </c>
    </row>
    <row r="60" spans="1:4">
      <c r="A60" t="s">
        <v>434</v>
      </c>
      <c r="B60" s="137">
        <v>72359</v>
      </c>
      <c r="C60" s="137">
        <v>91071</v>
      </c>
      <c r="D60" s="137">
        <v>120408</v>
      </c>
    </row>
    <row r="61" spans="1:4">
      <c r="A61" t="s">
        <v>183</v>
      </c>
      <c r="B61" s="137">
        <v>1241</v>
      </c>
      <c r="C61">
        <v>659</v>
      </c>
      <c r="D61" s="137">
        <v>1592</v>
      </c>
    </row>
    <row r="62" spans="1:4">
      <c r="A62" t="s">
        <v>1050</v>
      </c>
      <c r="B62" s="137">
        <v>1316</v>
      </c>
      <c r="C62" s="137">
        <v>1302</v>
      </c>
      <c r="D62" s="137">
        <v>1121</v>
      </c>
    </row>
    <row r="63" spans="1:4">
      <c r="A63" t="s">
        <v>379</v>
      </c>
      <c r="B63" s="137">
        <v>22321</v>
      </c>
      <c r="C63" s="137">
        <v>24456</v>
      </c>
      <c r="D63" s="137">
        <v>21641</v>
      </c>
    </row>
    <row r="64" spans="1:4">
      <c r="A64" t="s">
        <v>381</v>
      </c>
      <c r="B64" s="137">
        <v>107157</v>
      </c>
      <c r="C64" s="137">
        <v>110003</v>
      </c>
      <c r="D64" s="137">
        <v>114271</v>
      </c>
    </row>
    <row r="65" spans="1:4">
      <c r="A65" t="s">
        <v>1049</v>
      </c>
      <c r="B65" s="137">
        <v>8060</v>
      </c>
      <c r="C65" s="137">
        <v>11697</v>
      </c>
      <c r="D65" s="137">
        <v>13572</v>
      </c>
    </row>
    <row r="66" spans="1:4">
      <c r="A66" t="s">
        <v>189</v>
      </c>
      <c r="B66" s="137">
        <v>181130</v>
      </c>
      <c r="C66" s="137">
        <v>210000</v>
      </c>
      <c r="D66" s="137">
        <v>95985</v>
      </c>
    </row>
    <row r="67" spans="1:4">
      <c r="A67" t="s">
        <v>284</v>
      </c>
      <c r="B67" s="137">
        <v>59456</v>
      </c>
      <c r="C67" s="137">
        <v>86030</v>
      </c>
      <c r="D67" s="137">
        <v>110054</v>
      </c>
    </row>
    <row r="68" spans="1:4">
      <c r="A68" t="s">
        <v>286</v>
      </c>
      <c r="B68" s="137">
        <v>45301</v>
      </c>
      <c r="C68" s="137">
        <v>48100</v>
      </c>
      <c r="D68" s="137">
        <v>50373</v>
      </c>
    </row>
    <row r="69" spans="1:4">
      <c r="A69" t="s">
        <v>383</v>
      </c>
      <c r="B69" s="137">
        <v>75149</v>
      </c>
      <c r="C69" s="137">
        <v>81152</v>
      </c>
      <c r="D69" s="137">
        <v>72630</v>
      </c>
    </row>
    <row r="70" spans="1:4">
      <c r="A70" t="s">
        <v>502</v>
      </c>
      <c r="B70" s="137">
        <v>379928</v>
      </c>
      <c r="C70" s="137">
        <v>371073</v>
      </c>
      <c r="D70" s="137">
        <v>354846</v>
      </c>
    </row>
    <row r="71" spans="1:4">
      <c r="A71" t="s">
        <v>1048</v>
      </c>
      <c r="B71" s="137">
        <v>57976</v>
      </c>
      <c r="C71" s="137">
        <v>62043</v>
      </c>
      <c r="D71" s="137">
        <v>56685</v>
      </c>
    </row>
    <row r="72" spans="1:4">
      <c r="A72" t="s">
        <v>199</v>
      </c>
      <c r="B72" s="137">
        <v>1605503</v>
      </c>
      <c r="C72" s="137">
        <v>1707055</v>
      </c>
      <c r="D72" s="137">
        <v>1699201</v>
      </c>
    </row>
    <row r="73" spans="1:4">
      <c r="A73" t="s">
        <v>294</v>
      </c>
      <c r="B73" s="137">
        <v>15521</v>
      </c>
      <c r="C73" s="137">
        <v>8217</v>
      </c>
      <c r="D73" s="137">
        <v>10458</v>
      </c>
    </row>
    <row r="74" spans="1:4">
      <c r="A74" t="s">
        <v>296</v>
      </c>
      <c r="B74" s="137">
        <v>19548</v>
      </c>
      <c r="C74" s="137">
        <v>21587</v>
      </c>
      <c r="D74" s="137">
        <v>20907</v>
      </c>
    </row>
    <row r="75" spans="1:4">
      <c r="A75" t="s">
        <v>387</v>
      </c>
      <c r="B75" s="137">
        <v>612700</v>
      </c>
      <c r="C75" s="137">
        <v>574800</v>
      </c>
      <c r="D75" s="137">
        <v>574300</v>
      </c>
    </row>
    <row r="76" spans="1:4">
      <c r="A76" t="s">
        <v>298</v>
      </c>
      <c r="B76" s="137">
        <v>29104</v>
      </c>
      <c r="C76" s="137">
        <v>31474</v>
      </c>
      <c r="D76" s="137">
        <v>27335</v>
      </c>
    </row>
    <row r="77" spans="1:4">
      <c r="A77" t="s">
        <v>300</v>
      </c>
      <c r="B77" s="137">
        <v>18673</v>
      </c>
      <c r="C77" s="137">
        <v>21125</v>
      </c>
      <c r="D77" s="137">
        <v>23227</v>
      </c>
    </row>
    <row r="78" spans="1:4">
      <c r="A78" t="s">
        <v>506</v>
      </c>
      <c r="B78" s="137">
        <v>4839</v>
      </c>
      <c r="C78" s="137">
        <v>5009</v>
      </c>
      <c r="D78" s="137">
        <v>6496</v>
      </c>
    </row>
    <row r="79" spans="1:4">
      <c r="A79" t="s">
        <v>1047</v>
      </c>
      <c r="B79">
        <v>18</v>
      </c>
      <c r="C79">
        <v>82</v>
      </c>
      <c r="D79">
        <v>101</v>
      </c>
    </row>
    <row r="80" spans="1:4">
      <c r="A80" t="s">
        <v>508</v>
      </c>
      <c r="B80" s="137">
        <v>11752</v>
      </c>
      <c r="C80" s="137">
        <v>15775</v>
      </c>
      <c r="D80" s="137">
        <v>11166</v>
      </c>
    </row>
    <row r="81" spans="1:4">
      <c r="A81" t="s">
        <v>510</v>
      </c>
      <c r="B81" s="137">
        <v>3293</v>
      </c>
      <c r="C81" s="137">
        <v>3038</v>
      </c>
      <c r="D81" s="137">
        <v>3414</v>
      </c>
    </row>
    <row r="82" spans="1:4">
      <c r="A82" t="s">
        <v>512</v>
      </c>
      <c r="B82" s="137">
        <v>58713</v>
      </c>
      <c r="C82" s="137">
        <v>62901</v>
      </c>
      <c r="D82" s="137">
        <v>64960</v>
      </c>
    </row>
    <row r="83" spans="1:4">
      <c r="A83" t="s">
        <v>306</v>
      </c>
      <c r="B83" s="137">
        <v>19273</v>
      </c>
      <c r="C83" s="137">
        <v>22891</v>
      </c>
      <c r="D83" s="137">
        <v>24572</v>
      </c>
    </row>
    <row r="84" spans="1:4">
      <c r="A84" t="s">
        <v>395</v>
      </c>
      <c r="B84" s="137">
        <v>1862</v>
      </c>
      <c r="C84" s="137">
        <v>1878</v>
      </c>
      <c r="D84" s="137">
        <v>1805</v>
      </c>
    </row>
    <row r="85" spans="1:4">
      <c r="A85" t="s">
        <v>1046</v>
      </c>
      <c r="B85" s="137">
        <v>280708</v>
      </c>
      <c r="C85" s="137">
        <v>311000</v>
      </c>
      <c r="D85" s="137">
        <v>344300</v>
      </c>
    </row>
    <row r="86" spans="1:4">
      <c r="A86" t="s">
        <v>397</v>
      </c>
      <c r="B86" s="137">
        <v>118505</v>
      </c>
      <c r="C86" s="137">
        <v>115192</v>
      </c>
      <c r="D86" s="137">
        <v>100330</v>
      </c>
    </row>
    <row r="87" spans="1:4">
      <c r="A87" t="s">
        <v>211</v>
      </c>
      <c r="D87" s="137">
        <v>5058</v>
      </c>
    </row>
    <row r="88" spans="1:4">
      <c r="A88" t="s">
        <v>516</v>
      </c>
      <c r="B88" s="137">
        <v>3642</v>
      </c>
      <c r="C88" s="137">
        <v>4271</v>
      </c>
      <c r="D88" s="137">
        <v>5356</v>
      </c>
    </row>
    <row r="89" spans="1:4">
      <c r="A89" t="s">
        <v>1045</v>
      </c>
      <c r="B89" s="137">
        <v>1973</v>
      </c>
      <c r="C89" s="137">
        <v>1505</v>
      </c>
      <c r="D89" s="137">
        <v>1113</v>
      </c>
    </row>
    <row r="90" spans="1:4">
      <c r="A90" t="s">
        <v>442</v>
      </c>
      <c r="B90" s="137">
        <v>28344</v>
      </c>
      <c r="C90" s="137">
        <v>107584</v>
      </c>
      <c r="D90" s="137">
        <v>20720</v>
      </c>
    </row>
    <row r="91" spans="1:4">
      <c r="A91" t="s">
        <v>401</v>
      </c>
      <c r="B91" s="137">
        <v>18390</v>
      </c>
      <c r="C91" s="137">
        <v>16324</v>
      </c>
      <c r="D91" s="137">
        <v>16542</v>
      </c>
    </row>
    <row r="92" spans="1:4">
      <c r="A92" t="s">
        <v>1044</v>
      </c>
      <c r="B92" s="137">
        <v>31894</v>
      </c>
      <c r="C92" s="137">
        <v>31386</v>
      </c>
      <c r="D92" s="137">
        <v>31341</v>
      </c>
    </row>
    <row r="93" spans="1:4">
      <c r="A93" t="s">
        <v>312</v>
      </c>
      <c r="B93" s="137">
        <v>99269</v>
      </c>
      <c r="C93" s="137">
        <v>111198</v>
      </c>
      <c r="D93" s="137">
        <v>119721</v>
      </c>
    </row>
    <row r="94" spans="1:4">
      <c r="A94" t="s">
        <v>403</v>
      </c>
      <c r="B94" s="137">
        <v>41301</v>
      </c>
      <c r="C94" s="137">
        <v>43958</v>
      </c>
      <c r="D94" s="137">
        <v>34045</v>
      </c>
    </row>
    <row r="95" spans="1:4">
      <c r="A95" t="s">
        <v>405</v>
      </c>
      <c r="B95" s="137">
        <v>60464</v>
      </c>
      <c r="C95" s="137">
        <v>66233</v>
      </c>
      <c r="D95" s="137">
        <v>60527</v>
      </c>
    </row>
    <row r="96" spans="1:4">
      <c r="A96" t="s">
        <v>219</v>
      </c>
      <c r="B96" s="137">
        <v>115074</v>
      </c>
      <c r="C96" s="137">
        <v>127956</v>
      </c>
      <c r="D96" s="137">
        <v>116517</v>
      </c>
    </row>
    <row r="97" spans="1:4">
      <c r="A97" t="s">
        <v>407</v>
      </c>
      <c r="B97" s="137">
        <v>9004007</v>
      </c>
      <c r="C97" s="137">
        <v>8149264</v>
      </c>
      <c r="D97" s="137">
        <v>7916164</v>
      </c>
    </row>
    <row r="98" spans="1:4">
      <c r="A98" t="s">
        <v>316</v>
      </c>
      <c r="B98" s="137">
        <v>8091</v>
      </c>
      <c r="C98" s="137">
        <v>10594</v>
      </c>
      <c r="D98" s="137">
        <v>15886</v>
      </c>
    </row>
    <row r="99" spans="1:4">
      <c r="A99" t="s">
        <v>411</v>
      </c>
      <c r="B99" s="137">
        <v>634305</v>
      </c>
      <c r="C99" s="137">
        <v>670663</v>
      </c>
      <c r="D99" s="137">
        <v>685842</v>
      </c>
    </row>
    <row r="100" spans="1:4">
      <c r="A100" t="s">
        <v>444</v>
      </c>
      <c r="B100" s="137">
        <v>26817</v>
      </c>
      <c r="C100" s="137">
        <v>37662</v>
      </c>
      <c r="D100" s="137">
        <v>46906</v>
      </c>
    </row>
    <row r="101" spans="1:4">
      <c r="A101" t="s">
        <v>1043</v>
      </c>
      <c r="B101" s="137">
        <v>21147</v>
      </c>
      <c r="C101" s="137">
        <v>22197</v>
      </c>
      <c r="D101" s="137">
        <v>22332</v>
      </c>
    </row>
    <row r="102" spans="1:4">
      <c r="A102" t="s">
        <v>320</v>
      </c>
      <c r="B102" s="137">
        <v>351651</v>
      </c>
      <c r="C102" s="137">
        <v>384342</v>
      </c>
      <c r="D102" s="137">
        <v>401293</v>
      </c>
    </row>
    <row r="103" spans="1:4">
      <c r="A103" t="s">
        <v>230</v>
      </c>
      <c r="B103" s="137">
        <v>1335409</v>
      </c>
      <c r="C103" s="137">
        <v>1395255</v>
      </c>
      <c r="D103" s="137">
        <v>1344697</v>
      </c>
    </row>
    <row r="104" spans="1:4">
      <c r="A104" t="s">
        <v>232</v>
      </c>
      <c r="B104" s="137">
        <v>2775</v>
      </c>
      <c r="C104" s="137">
        <v>3958</v>
      </c>
      <c r="D104" s="137">
        <v>3477</v>
      </c>
    </row>
    <row r="105" spans="1:4">
      <c r="A105" t="s">
        <v>417</v>
      </c>
      <c r="B105" s="137">
        <v>48160</v>
      </c>
      <c r="C105" s="137">
        <v>50403</v>
      </c>
      <c r="D105" s="137">
        <v>49810</v>
      </c>
    </row>
    <row r="106" spans="1:4">
      <c r="A106" t="s">
        <v>419</v>
      </c>
      <c r="B106" s="137">
        <v>3403945</v>
      </c>
      <c r="C106" s="137">
        <v>3636332</v>
      </c>
      <c r="D106" s="137">
        <v>3784473</v>
      </c>
    </row>
    <row r="107" spans="1:4">
      <c r="A107" t="s">
        <v>234</v>
      </c>
      <c r="B107" s="137">
        <v>21314</v>
      </c>
      <c r="C107" s="137">
        <v>19598</v>
      </c>
      <c r="D107" s="137">
        <v>20127</v>
      </c>
    </row>
    <row r="108" spans="1:4">
      <c r="A108" t="s">
        <v>455</v>
      </c>
      <c r="B108" s="137">
        <v>997506</v>
      </c>
      <c r="C108" s="137">
        <v>1243942</v>
      </c>
      <c r="D108" s="137">
        <v>1204490</v>
      </c>
    </row>
    <row r="109" spans="1:4">
      <c r="A109" t="s">
        <v>526</v>
      </c>
      <c r="B109">
        <v>366</v>
      </c>
      <c r="C109">
        <v>433</v>
      </c>
      <c r="D109">
        <v>317</v>
      </c>
    </row>
    <row r="110" spans="1:4">
      <c r="A110" t="s">
        <v>528</v>
      </c>
      <c r="B110" s="137">
        <v>14198</v>
      </c>
      <c r="C110" s="137">
        <v>15430</v>
      </c>
      <c r="D110" s="137">
        <v>17573</v>
      </c>
    </row>
    <row r="111" spans="1:4">
      <c r="A111" t="s">
        <v>530</v>
      </c>
      <c r="B111" s="137">
        <v>25036</v>
      </c>
      <c r="C111" s="137">
        <v>23026</v>
      </c>
      <c r="D111" s="137">
        <v>19739</v>
      </c>
    </row>
    <row r="112" spans="1:4">
      <c r="A112" t="s">
        <v>1042</v>
      </c>
      <c r="B112" s="137">
        <v>183800</v>
      </c>
      <c r="C112" s="137">
        <v>182100</v>
      </c>
      <c r="D112" s="137">
        <v>173000</v>
      </c>
    </row>
    <row r="113" spans="1:8">
      <c r="A113" t="s">
        <v>448</v>
      </c>
      <c r="B113" s="137">
        <v>5388</v>
      </c>
      <c r="C113" s="137">
        <v>5123</v>
      </c>
      <c r="D113" s="137">
        <v>6141</v>
      </c>
      <c r="F113" s="137">
        <v>1000</v>
      </c>
    </row>
    <row r="114" spans="1:8">
      <c r="C114" s="137">
        <v>2005</v>
      </c>
      <c r="D114" s="137">
        <v>2006</v>
      </c>
      <c r="E114" s="137">
        <v>2007</v>
      </c>
      <c r="F114" s="137">
        <v>2008</v>
      </c>
      <c r="G114" s="137">
        <v>2009</v>
      </c>
      <c r="H114" s="137">
        <v>2010</v>
      </c>
    </row>
    <row r="115" spans="1:8">
      <c r="A115" t="s">
        <v>1041</v>
      </c>
      <c r="C115">
        <v>4.6100000000000003</v>
      </c>
      <c r="D115">
        <v>4.72</v>
      </c>
      <c r="E115">
        <v>4350</v>
      </c>
      <c r="F115">
        <v>4180</v>
      </c>
      <c r="G115">
        <v>3660</v>
      </c>
      <c r="H115">
        <v>3170</v>
      </c>
    </row>
    <row r="116" spans="1:8">
      <c r="A116" t="s">
        <v>375</v>
      </c>
      <c r="C116">
        <v>2.68</v>
      </c>
      <c r="D116">
        <v>2.85</v>
      </c>
      <c r="E116">
        <v>2360</v>
      </c>
      <c r="F116">
        <v>2510</v>
      </c>
      <c r="G116">
        <v>2680</v>
      </c>
      <c r="H116">
        <v>2520</v>
      </c>
    </row>
    <row r="117" spans="1:8">
      <c r="A117" t="s">
        <v>996</v>
      </c>
      <c r="C117">
        <v>2.34</v>
      </c>
      <c r="D117">
        <v>2.48</v>
      </c>
      <c r="E117">
        <v>2590</v>
      </c>
      <c r="F117">
        <v>2360</v>
      </c>
      <c r="G117">
        <v>2250</v>
      </c>
      <c r="H117">
        <v>2110</v>
      </c>
    </row>
    <row r="118" spans="1:8">
      <c r="A118" t="s">
        <v>365</v>
      </c>
      <c r="C118">
        <v>0.98</v>
      </c>
      <c r="D118">
        <v>1.04</v>
      </c>
      <c r="E118">
        <v>1140</v>
      </c>
      <c r="F118">
        <v>1080</v>
      </c>
      <c r="G118">
        <v>960</v>
      </c>
      <c r="H118">
        <v>740</v>
      </c>
    </row>
    <row r="119" spans="1:8">
      <c r="A119" t="s">
        <v>1040</v>
      </c>
      <c r="C119">
        <v>0.72</v>
      </c>
      <c r="D119">
        <v>0.62</v>
      </c>
      <c r="E119">
        <v>710</v>
      </c>
      <c r="F119">
        <v>590</v>
      </c>
      <c r="G119">
        <v>420</v>
      </c>
      <c r="H119">
        <v>560</v>
      </c>
    </row>
    <row r="120" spans="1:8">
      <c r="A120" t="s">
        <v>393</v>
      </c>
      <c r="C120">
        <v>0.81</v>
      </c>
      <c r="D120">
        <v>0.69</v>
      </c>
      <c r="E120">
        <v>760</v>
      </c>
      <c r="F120">
        <v>630</v>
      </c>
      <c r="G120">
        <v>810</v>
      </c>
      <c r="H120">
        <v>910</v>
      </c>
    </row>
    <row r="121" spans="1:8">
      <c r="A121" t="s">
        <v>415</v>
      </c>
      <c r="C121">
        <v>0.78</v>
      </c>
      <c r="D121">
        <v>0.64</v>
      </c>
      <c r="E121">
        <v>720</v>
      </c>
      <c r="F121">
        <v>580</v>
      </c>
      <c r="G121">
        <v>760</v>
      </c>
      <c r="H121">
        <v>850</v>
      </c>
    </row>
    <row r="122" spans="1:8">
      <c r="A122" t="s">
        <v>367</v>
      </c>
      <c r="C122">
        <v>0.57999999999999996</v>
      </c>
      <c r="D122">
        <v>0.41</v>
      </c>
      <c r="E122">
        <v>520</v>
      </c>
      <c r="F122">
        <v>480</v>
      </c>
      <c r="G122">
        <v>540</v>
      </c>
      <c r="H122">
        <v>610</v>
      </c>
    </row>
    <row r="123" spans="1:8">
      <c r="A123" t="s">
        <v>1039</v>
      </c>
      <c r="C123">
        <v>7.7800000000000011</v>
      </c>
      <c r="D123">
        <v>7.34</v>
      </c>
      <c r="E123">
        <v>6599.9999999999982</v>
      </c>
      <c r="F123">
        <v>5570</v>
      </c>
      <c r="G123">
        <v>4271.5299999999952</v>
      </c>
      <c r="H123">
        <v>4489.9999999999945</v>
      </c>
    </row>
    <row r="124" spans="1:8">
      <c r="A124" t="s">
        <v>1038</v>
      </c>
      <c r="C124">
        <v>0.98</v>
      </c>
      <c r="D124">
        <v>1.06</v>
      </c>
      <c r="E124">
        <v>1120</v>
      </c>
      <c r="F124">
        <v>840</v>
      </c>
      <c r="G124">
        <v>680</v>
      </c>
      <c r="H124">
        <v>740</v>
      </c>
    </row>
    <row r="125" spans="1:8">
      <c r="A125" t="s">
        <v>1014</v>
      </c>
      <c r="C125">
        <v>0.61</v>
      </c>
      <c r="D125">
        <v>0.67</v>
      </c>
      <c r="E125">
        <v>830</v>
      </c>
      <c r="F125">
        <v>740</v>
      </c>
      <c r="G125">
        <v>916.1099999999999</v>
      </c>
      <c r="H125">
        <v>1060</v>
      </c>
    </row>
    <row r="126" spans="1:8">
      <c r="A126" t="s">
        <v>199</v>
      </c>
      <c r="C126">
        <v>1.06</v>
      </c>
      <c r="D126">
        <v>1.28</v>
      </c>
      <c r="E126">
        <v>1440</v>
      </c>
      <c r="F126">
        <v>1490</v>
      </c>
      <c r="G126">
        <v>1644.97</v>
      </c>
      <c r="H126">
        <v>1850</v>
      </c>
    </row>
    <row r="127" spans="1:8">
      <c r="A127" t="s">
        <v>230</v>
      </c>
      <c r="C127">
        <v>0.75</v>
      </c>
      <c r="D127">
        <v>0.81</v>
      </c>
      <c r="E127">
        <v>920</v>
      </c>
      <c r="F127">
        <v>1080</v>
      </c>
      <c r="G127">
        <v>1290</v>
      </c>
      <c r="H127">
        <v>1420</v>
      </c>
    </row>
    <row r="128" spans="1:8">
      <c r="A128" t="s">
        <v>163</v>
      </c>
      <c r="C128">
        <v>0.17</v>
      </c>
      <c r="D128">
        <v>0.18</v>
      </c>
      <c r="E128">
        <v>210</v>
      </c>
      <c r="F128">
        <v>360</v>
      </c>
      <c r="G128">
        <v>422.82</v>
      </c>
      <c r="H128">
        <v>510</v>
      </c>
    </row>
    <row r="129" spans="1:8">
      <c r="A129" t="s">
        <v>1037</v>
      </c>
      <c r="C129">
        <v>0.5</v>
      </c>
      <c r="D129">
        <v>0.57999999999999996</v>
      </c>
      <c r="E129">
        <v>710</v>
      </c>
      <c r="F129">
        <v>760</v>
      </c>
      <c r="G129">
        <v>892.61999999999989</v>
      </c>
      <c r="H129">
        <v>920</v>
      </c>
    </row>
    <row r="130" spans="1:8">
      <c r="A130" t="s">
        <v>1036</v>
      </c>
      <c r="C130">
        <v>0.88</v>
      </c>
      <c r="D130">
        <v>0.94</v>
      </c>
      <c r="E130">
        <v>1020</v>
      </c>
      <c r="F130">
        <v>1130</v>
      </c>
      <c r="G130">
        <v>1291.9499999999998</v>
      </c>
      <c r="H130">
        <v>1350</v>
      </c>
    </row>
    <row r="131" spans="1:8">
      <c r="A131" t="s">
        <v>1015</v>
      </c>
      <c r="C131">
        <v>26.23</v>
      </c>
      <c r="D131">
        <v>26.31</v>
      </c>
      <c r="E131">
        <v>26000</v>
      </c>
      <c r="F131">
        <v>24379.999999999996</v>
      </c>
      <c r="G131">
        <v>23490</v>
      </c>
      <c r="H131">
        <v>23810</v>
      </c>
    </row>
    <row r="133" spans="1:8">
      <c r="A133" t="s">
        <v>1035</v>
      </c>
      <c r="B133">
        <v>10913.28</v>
      </c>
      <c r="C133">
        <v>10455.414000000001</v>
      </c>
      <c r="D133">
        <v>0</v>
      </c>
      <c r="E133">
        <v>10455.414000000001</v>
      </c>
    </row>
    <row r="134" spans="1:8">
      <c r="A134" t="s">
        <v>1034</v>
      </c>
      <c r="B134">
        <v>706.56000000000006</v>
      </c>
      <c r="C134">
        <v>877.10599999999999</v>
      </c>
      <c r="D134">
        <v>0</v>
      </c>
      <c r="E134">
        <v>877.10599999999999</v>
      </c>
    </row>
    <row r="135" spans="1:8">
      <c r="A135" t="s">
        <v>1033</v>
      </c>
      <c r="B135">
        <v>8924.159999999998</v>
      </c>
      <c r="C135">
        <v>9182.4459999999999</v>
      </c>
      <c r="D135">
        <v>0</v>
      </c>
      <c r="E135">
        <v>9182.4459999999999</v>
      </c>
    </row>
    <row r="136" spans="1:8">
      <c r="A136" t="s">
        <v>1032</v>
      </c>
      <c r="B136">
        <v>5437.4400000000005</v>
      </c>
      <c r="C136">
        <v>5076.348</v>
      </c>
      <c r="D136">
        <v>0</v>
      </c>
      <c r="E136">
        <v>5076.348</v>
      </c>
    </row>
    <row r="137" spans="1:8">
      <c r="A137" t="s">
        <v>1031</v>
      </c>
      <c r="B137">
        <v>4930.5599999999995</v>
      </c>
      <c r="C137">
        <v>4921.1080000000002</v>
      </c>
      <c r="D137">
        <v>0</v>
      </c>
      <c r="E137">
        <v>4921.1080000000002</v>
      </c>
    </row>
    <row r="138" spans="1:8">
      <c r="A138" t="s">
        <v>1030</v>
      </c>
      <c r="B138">
        <v>13186.560000000001</v>
      </c>
      <c r="C138">
        <v>13218.686000000002</v>
      </c>
      <c r="D138">
        <v>0</v>
      </c>
      <c r="E138">
        <v>13218.686000000002</v>
      </c>
    </row>
    <row r="139" spans="1:8">
      <c r="A139" t="s">
        <v>1029</v>
      </c>
      <c r="B139">
        <v>875.52</v>
      </c>
      <c r="C139">
        <v>939.20200000000011</v>
      </c>
      <c r="D139">
        <v>0</v>
      </c>
      <c r="E139">
        <v>939.20200000000011</v>
      </c>
    </row>
    <row r="140" spans="1:8">
      <c r="A140" t="s">
        <v>1028</v>
      </c>
      <c r="B140">
        <v>1774.08</v>
      </c>
      <c r="C140">
        <v>1886.1660000000002</v>
      </c>
      <c r="D140">
        <v>0</v>
      </c>
      <c r="E140">
        <v>1886.1660000000002</v>
      </c>
    </row>
    <row r="141" spans="1:8">
      <c r="A141" t="s">
        <v>1027</v>
      </c>
      <c r="B141">
        <v>5598.7199999999993</v>
      </c>
      <c r="C141">
        <v>5767.1659999999993</v>
      </c>
      <c r="D141">
        <v>0</v>
      </c>
      <c r="E141">
        <v>5767.1659999999993</v>
      </c>
    </row>
    <row r="142" spans="1:8">
      <c r="A142" t="s">
        <v>1026</v>
      </c>
      <c r="B142">
        <v>222.71999999999997</v>
      </c>
      <c r="C142">
        <v>201.81199999999998</v>
      </c>
      <c r="D142">
        <v>0</v>
      </c>
      <c r="E142">
        <v>201.81199999999998</v>
      </c>
    </row>
    <row r="143" spans="1:8">
      <c r="A143" t="s">
        <v>1025</v>
      </c>
      <c r="B143">
        <v>8133.12</v>
      </c>
      <c r="C143">
        <v>8328.6260000000002</v>
      </c>
      <c r="D143">
        <v>0</v>
      </c>
      <c r="E143">
        <v>8328.6260000000002</v>
      </c>
    </row>
    <row r="144" spans="1:8">
      <c r="A144" t="s">
        <v>1024</v>
      </c>
      <c r="B144">
        <v>944.64</v>
      </c>
      <c r="C144">
        <v>1094.442</v>
      </c>
      <c r="D144">
        <v>0</v>
      </c>
      <c r="E144">
        <v>1094.442</v>
      </c>
    </row>
    <row r="145" spans="1:6">
      <c r="A145" t="s">
        <v>1023</v>
      </c>
      <c r="B145">
        <v>3118.0799999999995</v>
      </c>
      <c r="C145">
        <v>3252.2780000000002</v>
      </c>
      <c r="D145">
        <v>0</v>
      </c>
      <c r="E145">
        <v>3252.2780000000002</v>
      </c>
    </row>
    <row r="146" spans="1:6">
      <c r="A146" t="s">
        <v>1022</v>
      </c>
      <c r="B146">
        <v>3294.72</v>
      </c>
      <c r="C146">
        <v>3384.2320000000009</v>
      </c>
      <c r="D146">
        <v>0</v>
      </c>
      <c r="E146">
        <v>3384.2320000000009</v>
      </c>
    </row>
    <row r="147" spans="1:6">
      <c r="A147" t="s">
        <v>1021</v>
      </c>
      <c r="B147">
        <v>890.87999999999988</v>
      </c>
      <c r="C147">
        <v>915.91599999999994</v>
      </c>
      <c r="D147">
        <v>0</v>
      </c>
      <c r="E147">
        <v>915.91599999999994</v>
      </c>
    </row>
    <row r="148" spans="1:6">
      <c r="A148" t="s">
        <v>1020</v>
      </c>
      <c r="B148">
        <v>1735.6799999999998</v>
      </c>
      <c r="C148">
        <v>1793.0220000000004</v>
      </c>
      <c r="D148">
        <v>0</v>
      </c>
      <c r="E148">
        <v>1793.0220000000004</v>
      </c>
    </row>
    <row r="149" spans="1:6">
      <c r="A149" t="s">
        <v>1019</v>
      </c>
      <c r="B149">
        <v>637.43999999999994</v>
      </c>
      <c r="C149">
        <v>690.8180000000001</v>
      </c>
      <c r="D149">
        <v>0</v>
      </c>
      <c r="E149">
        <v>690.8180000000001</v>
      </c>
    </row>
    <row r="150" spans="1:6">
      <c r="A150" t="s">
        <v>1018</v>
      </c>
      <c r="B150">
        <v>2972.1600000000003</v>
      </c>
      <c r="C150">
        <v>3089.2760000000003</v>
      </c>
      <c r="D150">
        <v>0</v>
      </c>
      <c r="E150">
        <v>3089.2760000000003</v>
      </c>
    </row>
    <row r="151" spans="1:6">
      <c r="A151" t="s">
        <v>1017</v>
      </c>
      <c r="B151">
        <v>675.84</v>
      </c>
      <c r="C151">
        <v>551.10199999999998</v>
      </c>
      <c r="D151">
        <v>0</v>
      </c>
      <c r="E151">
        <v>551.10199999999998</v>
      </c>
    </row>
    <row r="152" spans="1:6">
      <c r="A152" t="s">
        <v>1016</v>
      </c>
      <c r="B152">
        <v>1827.84</v>
      </c>
      <c r="C152">
        <v>1994.8340000000001</v>
      </c>
      <c r="D152">
        <v>0</v>
      </c>
      <c r="E152">
        <v>1994.8340000000001</v>
      </c>
    </row>
    <row r="153" spans="1:6">
      <c r="A153" t="s">
        <v>1015</v>
      </c>
      <c r="B153">
        <f>(SUM(B133:B152))*1000</f>
        <v>76800000</v>
      </c>
      <c r="C153">
        <f>(SUM(C133:C152))*1000</f>
        <v>77619999.999999985</v>
      </c>
      <c r="D153">
        <v>0</v>
      </c>
      <c r="E153">
        <f>(SUM(E133:E152))*1000</f>
        <v>77619999.999999985</v>
      </c>
    </row>
    <row r="155" spans="1:6">
      <c r="A155" s="130">
        <f>'[2]Tourism Demand &amp; Flows'!L328/'[2]Tourism Demand &amp; Flows'!L$327</f>
        <v>0.13070100567781201</v>
      </c>
      <c r="B155" s="130">
        <f>'[2]Tourism Demand &amp; Flows'!M328/'[2]Tourism Demand &amp; Flows'!M$327</f>
        <v>0.14516437430687454</v>
      </c>
      <c r="E155" s="161">
        <f t="shared" ref="E155:F157" si="0">AVERAGE(A155:B155)</f>
        <v>0.13793268999234326</v>
      </c>
      <c r="F155" s="161">
        <f t="shared" si="0"/>
        <v>0.14516437430687454</v>
      </c>
    </row>
    <row r="156" spans="1:6">
      <c r="A156" s="130">
        <f>'[2]Tourism Demand &amp; Flows'!L329/'[2]Tourism Demand &amp; Flows'!L$327</f>
        <v>0.70059746910602294</v>
      </c>
      <c r="B156" s="130">
        <f>'[2]Tourism Demand &amp; Flows'!M329/'[2]Tourism Demand &amp; Flows'!M$327</f>
        <v>0.7115833216484595</v>
      </c>
      <c r="E156" s="161">
        <f t="shared" si="0"/>
        <v>0.70609039537724128</v>
      </c>
      <c r="F156" s="161">
        <f t="shared" si="0"/>
        <v>0.7115833216484595</v>
      </c>
    </row>
    <row r="157" spans="1:6">
      <c r="A157" s="130">
        <f>'[2]Tourism Demand &amp; Flows'!L330/'[2]Tourism Demand &amp; Flows'!L$327</f>
        <v>0.16870152521616508</v>
      </c>
      <c r="B157" s="130">
        <f>'[2]Tourism Demand &amp; Flows'!M330/'[2]Tourism Demand &amp; Flows'!M$327</f>
        <v>0.14325230404466596</v>
      </c>
      <c r="E157" s="161">
        <f t="shared" si="0"/>
        <v>0.15597691463041552</v>
      </c>
      <c r="F157" s="161">
        <f t="shared" si="0"/>
        <v>0.14325230404466596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F136"/>
  <sheetViews>
    <sheetView topLeftCell="A19" workbookViewId="0">
      <selection activeCell="B34" sqref="B34"/>
    </sheetView>
  </sheetViews>
  <sheetFormatPr defaultRowHeight="15"/>
  <cols>
    <col min="1" max="1" width="12.85546875" customWidth="1"/>
  </cols>
  <sheetData>
    <row r="1" spans="1:4">
      <c r="B1">
        <v>2007</v>
      </c>
      <c r="C1">
        <v>2008</v>
      </c>
      <c r="D1">
        <v>2009</v>
      </c>
    </row>
    <row r="2" spans="1:4">
      <c r="A2" t="s">
        <v>365</v>
      </c>
      <c r="B2">
        <v>1.55</v>
      </c>
      <c r="C2">
        <v>1.9</v>
      </c>
      <c r="D2">
        <v>1.3</v>
      </c>
    </row>
    <row r="3" spans="1:4">
      <c r="A3" t="s">
        <v>996</v>
      </c>
      <c r="B3">
        <v>0.85</v>
      </c>
      <c r="C3">
        <v>0.45</v>
      </c>
      <c r="D3">
        <v>0.5</v>
      </c>
    </row>
    <row r="4" spans="1:4">
      <c r="A4" t="s">
        <v>1193</v>
      </c>
      <c r="B4">
        <v>0.4</v>
      </c>
      <c r="C4">
        <v>0.65</v>
      </c>
      <c r="D4">
        <v>0.35</v>
      </c>
    </row>
    <row r="5" spans="1:4">
      <c r="A5" t="s">
        <v>1177</v>
      </c>
      <c r="B5">
        <v>0.3</v>
      </c>
      <c r="C5">
        <v>0.35</v>
      </c>
      <c r="D5">
        <v>0.35</v>
      </c>
    </row>
    <row r="6" spans="1:4">
      <c r="A6" t="s">
        <v>375</v>
      </c>
      <c r="B6">
        <v>0.35</v>
      </c>
      <c r="C6">
        <v>0.45</v>
      </c>
      <c r="D6">
        <v>0.65</v>
      </c>
    </row>
    <row r="7" spans="1:4">
      <c r="A7" t="s">
        <v>403</v>
      </c>
      <c r="B7">
        <v>0.45</v>
      </c>
      <c r="C7">
        <v>0.45</v>
      </c>
      <c r="D7" t="s">
        <v>1192</v>
      </c>
    </row>
    <row r="8" spans="1:4">
      <c r="A8" t="s">
        <v>337</v>
      </c>
      <c r="B8">
        <v>0.35</v>
      </c>
      <c r="C8">
        <v>0.3</v>
      </c>
      <c r="D8">
        <v>0.35</v>
      </c>
    </row>
    <row r="9" spans="1:4">
      <c r="A9" t="s">
        <v>349</v>
      </c>
      <c r="B9">
        <v>0.25</v>
      </c>
      <c r="C9">
        <v>0.3</v>
      </c>
      <c r="D9">
        <v>0.3</v>
      </c>
    </row>
    <row r="10" spans="1:4">
      <c r="A10" t="s">
        <v>361</v>
      </c>
      <c r="B10">
        <v>0.45</v>
      </c>
      <c r="C10">
        <v>0.35</v>
      </c>
      <c r="D10" t="s">
        <v>1192</v>
      </c>
    </row>
    <row r="11" spans="1:4">
      <c r="A11" t="s">
        <v>369</v>
      </c>
      <c r="B11">
        <v>0.15</v>
      </c>
      <c r="C11">
        <v>0.2</v>
      </c>
      <c r="D11" t="s">
        <v>1192</v>
      </c>
    </row>
    <row r="12" spans="1:4">
      <c r="A12" t="s">
        <v>417</v>
      </c>
      <c r="B12">
        <v>0.25</v>
      </c>
      <c r="C12">
        <v>0.15</v>
      </c>
      <c r="D12" t="s">
        <v>1192</v>
      </c>
    </row>
    <row r="13" spans="1:4">
      <c r="A13" t="s">
        <v>339</v>
      </c>
      <c r="B13" t="s">
        <v>1192</v>
      </c>
      <c r="C13">
        <v>0.15</v>
      </c>
      <c r="D13" t="s">
        <v>1192</v>
      </c>
    </row>
    <row r="14" spans="1:4">
      <c r="A14" t="s">
        <v>379</v>
      </c>
      <c r="B14">
        <v>0.15</v>
      </c>
      <c r="C14">
        <v>0.3</v>
      </c>
      <c r="D14" t="s">
        <v>1192</v>
      </c>
    </row>
    <row r="15" spans="1:4">
      <c r="A15" t="s">
        <v>409</v>
      </c>
      <c r="B15">
        <v>0.15</v>
      </c>
      <c r="C15">
        <v>0.1</v>
      </c>
      <c r="D15" t="s">
        <v>1192</v>
      </c>
    </row>
    <row r="16" spans="1:4">
      <c r="A16" t="s">
        <v>163</v>
      </c>
      <c r="B16">
        <v>0.15</v>
      </c>
      <c r="C16">
        <v>0.25</v>
      </c>
      <c r="D16">
        <v>0.25</v>
      </c>
    </row>
    <row r="17" spans="1:6">
      <c r="A17" t="s">
        <v>230</v>
      </c>
      <c r="B17" t="s">
        <v>1192</v>
      </c>
      <c r="C17" t="s">
        <v>1192</v>
      </c>
      <c r="D17" t="s">
        <v>1192</v>
      </c>
    </row>
    <row r="18" spans="1:6">
      <c r="A18" t="s">
        <v>341</v>
      </c>
      <c r="B18">
        <v>0.3</v>
      </c>
      <c r="C18">
        <v>0.15</v>
      </c>
      <c r="D18">
        <v>0.35</v>
      </c>
    </row>
    <row r="19" spans="1:6">
      <c r="A19" t="s">
        <v>367</v>
      </c>
      <c r="B19">
        <v>0.15</v>
      </c>
      <c r="C19">
        <v>0.3</v>
      </c>
      <c r="D19" t="s">
        <v>1192</v>
      </c>
    </row>
    <row r="20" spans="1:6">
      <c r="A20" t="s">
        <v>407</v>
      </c>
      <c r="B20">
        <v>0.2</v>
      </c>
      <c r="C20">
        <v>0.3</v>
      </c>
      <c r="D20">
        <v>0.25</v>
      </c>
    </row>
    <row r="21" spans="1:6">
      <c r="A21" t="s">
        <v>1038</v>
      </c>
      <c r="B21" t="s">
        <v>1192</v>
      </c>
      <c r="C21" t="s">
        <v>1192</v>
      </c>
      <c r="D21" t="s">
        <v>1192</v>
      </c>
    </row>
    <row r="22" spans="1:6">
      <c r="A22" t="s">
        <v>415</v>
      </c>
      <c r="B22">
        <v>0.1</v>
      </c>
      <c r="C22">
        <v>0.15</v>
      </c>
      <c r="D22" t="s">
        <v>1192</v>
      </c>
    </row>
    <row r="23" spans="1:6">
      <c r="A23" t="s">
        <v>373</v>
      </c>
      <c r="B23">
        <v>0.15</v>
      </c>
      <c r="C23">
        <v>0.25</v>
      </c>
      <c r="D23" t="s">
        <v>1192</v>
      </c>
    </row>
    <row r="24" spans="1:6">
      <c r="A24" t="s">
        <v>345</v>
      </c>
      <c r="B24">
        <v>0.15</v>
      </c>
      <c r="C24">
        <v>0.1</v>
      </c>
      <c r="D24" t="s">
        <v>1192</v>
      </c>
    </row>
    <row r="25" spans="1:6">
      <c r="A25" t="s">
        <v>1152</v>
      </c>
      <c r="B25" t="s">
        <v>1192</v>
      </c>
      <c r="C25">
        <v>0.2</v>
      </c>
      <c r="D25" t="s">
        <v>1192</v>
      </c>
    </row>
    <row r="26" spans="1:6">
      <c r="A26" t="s">
        <v>355</v>
      </c>
      <c r="B26">
        <v>0.25</v>
      </c>
      <c r="C26">
        <v>0.1</v>
      </c>
      <c r="D26" t="s">
        <v>1192</v>
      </c>
    </row>
    <row r="27" spans="1:6">
      <c r="A27" t="s">
        <v>389</v>
      </c>
      <c r="B27">
        <v>0.15</v>
      </c>
      <c r="C27">
        <v>0.1</v>
      </c>
      <c r="D27" t="s">
        <v>1192</v>
      </c>
    </row>
    <row r="28" spans="1:6">
      <c r="A28" t="s">
        <v>1191</v>
      </c>
      <c r="B28">
        <v>6.9</v>
      </c>
      <c r="C28">
        <v>7.6</v>
      </c>
      <c r="D28">
        <v>6.3</v>
      </c>
    </row>
    <row r="29" spans="1:6">
      <c r="D29">
        <f>SUM(D2:D20)</f>
        <v>4.6499999999999995</v>
      </c>
    </row>
    <row r="31" spans="1:6">
      <c r="B31">
        <v>2007</v>
      </c>
      <c r="C31">
        <v>2008</v>
      </c>
      <c r="D31">
        <v>2009</v>
      </c>
      <c r="E31">
        <v>2010</v>
      </c>
      <c r="F31">
        <v>2011</v>
      </c>
    </row>
    <row r="32" spans="1:6">
      <c r="A32" t="s">
        <v>1158</v>
      </c>
      <c r="B32" s="161">
        <v>0.26</v>
      </c>
      <c r="C32" s="161">
        <v>0.18</v>
      </c>
      <c r="D32" s="161">
        <v>0.17</v>
      </c>
    </row>
    <row r="33" spans="1:5">
      <c r="A33" t="s">
        <v>1169</v>
      </c>
      <c r="B33" s="161">
        <f>42%+25%</f>
        <v>0.66999999999999993</v>
      </c>
      <c r="C33" s="161">
        <f>52%+25%</f>
        <v>0.77</v>
      </c>
      <c r="D33" s="161">
        <f>55%+22%</f>
        <v>0.77</v>
      </c>
    </row>
    <row r="34" spans="1:5">
      <c r="A34" t="s">
        <v>1160</v>
      </c>
      <c r="B34" s="161">
        <f>1-SUM(B32:B33)</f>
        <v>7.0000000000000062E-2</v>
      </c>
      <c r="C34" s="161">
        <f t="shared" ref="C34:D34" si="0">1-SUM(C32:C33)</f>
        <v>5.0000000000000044E-2</v>
      </c>
      <c r="D34" s="161">
        <f t="shared" si="0"/>
        <v>5.9999999999999942E-2</v>
      </c>
    </row>
    <row r="37" spans="1:5">
      <c r="A37" s="6" t="s">
        <v>365</v>
      </c>
      <c r="B37" s="186">
        <v>38103</v>
      </c>
      <c r="C37" s="186">
        <v>34630</v>
      </c>
      <c r="D37" s="186">
        <v>26070</v>
      </c>
      <c r="E37">
        <v>38103</v>
      </c>
    </row>
    <row r="38" spans="1:5">
      <c r="A38" s="6" t="s">
        <v>1136</v>
      </c>
      <c r="B38" s="186">
        <v>548</v>
      </c>
      <c r="C38" s="186">
        <v>555</v>
      </c>
      <c r="D38" s="186">
        <v>500</v>
      </c>
      <c r="E38">
        <v>548</v>
      </c>
    </row>
    <row r="39" spans="1:5">
      <c r="A39" s="6" t="s">
        <v>1177</v>
      </c>
      <c r="B39" s="186">
        <v>363</v>
      </c>
      <c r="C39" s="186">
        <v>355</v>
      </c>
      <c r="D39" s="186">
        <v>335</v>
      </c>
      <c r="E39">
        <v>363</v>
      </c>
    </row>
    <row r="40" spans="1:5">
      <c r="A40" s="6" t="s">
        <v>337</v>
      </c>
      <c r="B40" s="186">
        <v>318</v>
      </c>
      <c r="C40" s="186">
        <v>320</v>
      </c>
      <c r="D40" s="186">
        <v>325</v>
      </c>
      <c r="E40">
        <v>318</v>
      </c>
    </row>
    <row r="41" spans="1:5">
      <c r="A41" s="6" t="s">
        <v>375</v>
      </c>
      <c r="B41" s="186">
        <v>327</v>
      </c>
      <c r="C41" s="186">
        <v>275</v>
      </c>
      <c r="D41" s="186">
        <v>255</v>
      </c>
      <c r="E41">
        <v>327</v>
      </c>
    </row>
    <row r="42" spans="1:5">
      <c r="A42" s="6" t="s">
        <v>361</v>
      </c>
      <c r="B42" s="186">
        <v>258</v>
      </c>
      <c r="C42" s="186">
        <v>240</v>
      </c>
      <c r="D42" s="186">
        <v>240</v>
      </c>
      <c r="E42">
        <v>258</v>
      </c>
    </row>
    <row r="43" spans="1:5">
      <c r="A43" s="6" t="s">
        <v>409</v>
      </c>
      <c r="B43" s="186">
        <v>222</v>
      </c>
      <c r="C43" s="186">
        <v>210</v>
      </c>
      <c r="D43" s="186">
        <v>190</v>
      </c>
      <c r="E43">
        <v>222</v>
      </c>
    </row>
    <row r="44" spans="1:5">
      <c r="A44" s="6" t="s">
        <v>355</v>
      </c>
      <c r="B44" s="186">
        <v>150</v>
      </c>
      <c r="C44" s="186">
        <v>130</v>
      </c>
      <c r="D44" s="186">
        <v>120</v>
      </c>
      <c r="E44">
        <v>150</v>
      </c>
    </row>
    <row r="45" spans="1:5">
      <c r="A45" s="6" t="s">
        <v>341</v>
      </c>
      <c r="B45" s="186">
        <v>115</v>
      </c>
      <c r="C45" s="186">
        <v>110</v>
      </c>
      <c r="D45" s="186">
        <v>110</v>
      </c>
      <c r="E45">
        <v>115</v>
      </c>
    </row>
    <row r="46" spans="1:5">
      <c r="A46" s="6" t="s">
        <v>407</v>
      </c>
      <c r="B46" s="186">
        <v>119</v>
      </c>
      <c r="C46" s="186">
        <v>110</v>
      </c>
      <c r="D46" s="186">
        <v>130</v>
      </c>
      <c r="E46">
        <v>119</v>
      </c>
    </row>
    <row r="47" spans="1:5">
      <c r="A47" s="6" t="s">
        <v>373</v>
      </c>
      <c r="B47" s="186">
        <v>119</v>
      </c>
      <c r="C47" s="186">
        <v>90</v>
      </c>
      <c r="D47" s="186">
        <v>80</v>
      </c>
      <c r="E47">
        <v>119</v>
      </c>
    </row>
    <row r="48" spans="1:5">
      <c r="A48" s="6" t="s">
        <v>359</v>
      </c>
      <c r="B48" s="186">
        <v>82</v>
      </c>
      <c r="C48" s="186">
        <v>80</v>
      </c>
      <c r="D48" s="186">
        <v>75</v>
      </c>
      <c r="E48">
        <v>82</v>
      </c>
    </row>
    <row r="49" spans="1:5">
      <c r="A49" s="6" t="s">
        <v>393</v>
      </c>
      <c r="B49" s="186">
        <v>71</v>
      </c>
      <c r="C49" s="186">
        <v>70</v>
      </c>
      <c r="D49" s="186">
        <v>70</v>
      </c>
      <c r="E49">
        <v>71</v>
      </c>
    </row>
    <row r="50" spans="1:5">
      <c r="A50" s="6" t="s">
        <v>367</v>
      </c>
      <c r="B50" s="186">
        <v>25</v>
      </c>
      <c r="C50" s="186">
        <v>30</v>
      </c>
      <c r="D50" s="186">
        <v>45</v>
      </c>
      <c r="E50">
        <v>25</v>
      </c>
    </row>
    <row r="51" spans="1:5">
      <c r="A51" s="6" t="s">
        <v>381</v>
      </c>
      <c r="B51" s="186">
        <v>5</v>
      </c>
      <c r="C51" s="186">
        <v>0</v>
      </c>
      <c r="D51" s="186">
        <v>0</v>
      </c>
      <c r="E51">
        <v>5</v>
      </c>
    </row>
    <row r="52" spans="1:5">
      <c r="A52" s="6" t="s">
        <v>353</v>
      </c>
      <c r="B52" s="186" t="s">
        <v>1190</v>
      </c>
      <c r="C52" s="186" t="s">
        <v>1189</v>
      </c>
      <c r="D52" s="186">
        <v>8180</v>
      </c>
      <c r="E52">
        <v>7292</v>
      </c>
    </row>
    <row r="53" spans="1:5">
      <c r="A53" s="6" t="s">
        <v>403</v>
      </c>
      <c r="B53" s="186" t="s">
        <v>1188</v>
      </c>
      <c r="C53" s="186" t="s">
        <v>1187</v>
      </c>
      <c r="D53" s="186">
        <v>5040</v>
      </c>
      <c r="E53">
        <v>3210</v>
      </c>
    </row>
    <row r="54" spans="1:5">
      <c r="A54" s="6" t="s">
        <v>379</v>
      </c>
      <c r="B54" s="186" t="s">
        <v>1186</v>
      </c>
      <c r="C54" s="186" t="s">
        <v>1185</v>
      </c>
      <c r="D54" s="186">
        <v>2640</v>
      </c>
      <c r="E54">
        <v>1392</v>
      </c>
    </row>
    <row r="55" spans="1:5">
      <c r="A55" s="6" t="s">
        <v>377</v>
      </c>
      <c r="B55" s="186">
        <v>485</v>
      </c>
      <c r="C55" s="186">
        <v>540</v>
      </c>
      <c r="D55" s="186">
        <v>390</v>
      </c>
      <c r="E55">
        <v>485</v>
      </c>
    </row>
    <row r="56" spans="1:5">
      <c r="A56" s="6" t="s">
        <v>369</v>
      </c>
      <c r="B56" s="186">
        <v>273</v>
      </c>
      <c r="C56" s="186">
        <v>255</v>
      </c>
      <c r="D56" s="186">
        <v>225</v>
      </c>
      <c r="E56">
        <v>273</v>
      </c>
    </row>
    <row r="57" spans="1:5">
      <c r="A57" s="6" t="s">
        <v>357</v>
      </c>
      <c r="B57" s="186">
        <v>236</v>
      </c>
      <c r="C57" s="186">
        <v>185</v>
      </c>
      <c r="D57" s="186">
        <v>130</v>
      </c>
      <c r="E57">
        <v>236</v>
      </c>
    </row>
    <row r="58" spans="1:5">
      <c r="A58" s="6" t="s">
        <v>397</v>
      </c>
      <c r="B58" s="186">
        <v>99</v>
      </c>
      <c r="C58" s="186">
        <v>120</v>
      </c>
      <c r="D58" s="186">
        <v>90</v>
      </c>
      <c r="E58">
        <v>99</v>
      </c>
    </row>
    <row r="59" spans="1:5">
      <c r="A59" s="6" t="s">
        <v>345</v>
      </c>
      <c r="B59" s="186">
        <v>73</v>
      </c>
      <c r="C59" s="186">
        <v>95</v>
      </c>
      <c r="D59" s="186">
        <v>85</v>
      </c>
      <c r="E59">
        <v>73</v>
      </c>
    </row>
    <row r="60" spans="1:5">
      <c r="A60" s="6" t="s">
        <v>405</v>
      </c>
      <c r="B60" s="186">
        <v>25</v>
      </c>
      <c r="C60" s="186">
        <v>20</v>
      </c>
      <c r="D60" s="186">
        <v>20</v>
      </c>
      <c r="E60">
        <v>25</v>
      </c>
    </row>
    <row r="61" spans="1:5">
      <c r="A61" s="6" t="s">
        <v>351</v>
      </c>
      <c r="B61" s="186" t="s">
        <v>1184</v>
      </c>
      <c r="C61" s="186">
        <v>0</v>
      </c>
      <c r="D61" s="186">
        <v>0</v>
      </c>
    </row>
    <row r="62" spans="1:5">
      <c r="A62" s="6" t="s">
        <v>383</v>
      </c>
      <c r="B62" s="186" t="s">
        <v>1184</v>
      </c>
      <c r="C62" s="186">
        <v>0</v>
      </c>
      <c r="D62" s="186">
        <v>0</v>
      </c>
    </row>
    <row r="63" spans="1:5">
      <c r="A63" s="6" t="s">
        <v>417</v>
      </c>
      <c r="B63" s="186" t="s">
        <v>1183</v>
      </c>
      <c r="C63" s="186" t="s">
        <v>1182</v>
      </c>
      <c r="D63" s="186">
        <v>3820</v>
      </c>
      <c r="E63">
        <v>5444</v>
      </c>
    </row>
    <row r="64" spans="1:5">
      <c r="A64" s="6" t="s">
        <v>339</v>
      </c>
      <c r="B64" s="186" t="s">
        <v>1181</v>
      </c>
      <c r="C64" s="186" t="s">
        <v>1180</v>
      </c>
      <c r="D64" s="186">
        <v>2360</v>
      </c>
      <c r="E64">
        <v>3861</v>
      </c>
    </row>
    <row r="65" spans="1:5">
      <c r="A65" s="6" t="s">
        <v>1152</v>
      </c>
      <c r="B65" s="186" t="s">
        <v>1178</v>
      </c>
      <c r="C65" s="186" t="s">
        <v>1179</v>
      </c>
      <c r="D65" s="186">
        <v>1210</v>
      </c>
      <c r="E65" t="s">
        <v>1178</v>
      </c>
    </row>
    <row r="66" spans="1:5">
      <c r="A66" s="6" t="s">
        <v>1038</v>
      </c>
      <c r="B66" s="186">
        <v>331</v>
      </c>
      <c r="C66" s="186">
        <v>270</v>
      </c>
      <c r="D66" s="186">
        <v>230</v>
      </c>
      <c r="E66">
        <v>331</v>
      </c>
    </row>
    <row r="67" spans="1:5">
      <c r="A67" s="6" t="s">
        <v>451</v>
      </c>
      <c r="B67" s="186">
        <v>78</v>
      </c>
      <c r="C67" s="186">
        <v>80</v>
      </c>
      <c r="D67" s="186">
        <v>68</v>
      </c>
      <c r="E67">
        <v>78</v>
      </c>
    </row>
    <row r="68" spans="1:5">
      <c r="A68" s="6" t="s">
        <v>308</v>
      </c>
      <c r="B68" s="186">
        <v>64</v>
      </c>
      <c r="C68" s="186">
        <v>63</v>
      </c>
      <c r="D68" s="186">
        <v>35</v>
      </c>
      <c r="E68">
        <v>64</v>
      </c>
    </row>
    <row r="69" spans="1:5">
      <c r="A69" s="6" t="s">
        <v>276</v>
      </c>
      <c r="B69" s="186">
        <v>48</v>
      </c>
      <c r="C69" s="186">
        <v>42</v>
      </c>
      <c r="D69" s="186">
        <v>35</v>
      </c>
      <c r="E69">
        <v>48</v>
      </c>
    </row>
    <row r="70" spans="1:5">
      <c r="A70" s="6" t="s">
        <v>246</v>
      </c>
      <c r="B70" s="186">
        <v>47</v>
      </c>
      <c r="C70" s="186">
        <v>45</v>
      </c>
      <c r="D70" s="186">
        <v>37</v>
      </c>
      <c r="E70">
        <v>47</v>
      </c>
    </row>
    <row r="71" spans="1:5">
      <c r="A71" s="6" t="s">
        <v>389</v>
      </c>
      <c r="B71" s="186">
        <v>142</v>
      </c>
      <c r="C71" s="186">
        <v>145</v>
      </c>
      <c r="D71" s="186">
        <v>120</v>
      </c>
      <c r="E71">
        <v>142</v>
      </c>
    </row>
    <row r="72" spans="1:5">
      <c r="A72" s="6" t="s">
        <v>411</v>
      </c>
      <c r="B72" s="186">
        <v>59</v>
      </c>
      <c r="C72" s="186">
        <v>65</v>
      </c>
      <c r="D72" s="186">
        <v>60</v>
      </c>
      <c r="E72">
        <v>59</v>
      </c>
    </row>
    <row r="73" spans="1:5">
      <c r="A73" s="6" t="s">
        <v>428</v>
      </c>
      <c r="B73" s="186">
        <v>78</v>
      </c>
      <c r="C73" s="186">
        <v>65</v>
      </c>
      <c r="D73" s="186">
        <v>75</v>
      </c>
      <c r="E73">
        <v>78</v>
      </c>
    </row>
    <row r="74" spans="1:5">
      <c r="A74" s="6" t="s">
        <v>415</v>
      </c>
      <c r="B74" s="186">
        <v>51</v>
      </c>
      <c r="C74" s="186">
        <v>55</v>
      </c>
      <c r="D74" s="186">
        <v>55</v>
      </c>
      <c r="E74">
        <v>51</v>
      </c>
    </row>
    <row r="75" spans="1:5">
      <c r="A75" s="6" t="s">
        <v>1172</v>
      </c>
      <c r="B75" s="186">
        <v>469</v>
      </c>
      <c r="C75" s="186">
        <v>455</v>
      </c>
      <c r="D75" s="186">
        <v>390</v>
      </c>
      <c r="E75">
        <v>469</v>
      </c>
    </row>
    <row r="77" spans="1:5">
      <c r="A77" s="6" t="s">
        <v>365</v>
      </c>
      <c r="B77">
        <v>38103</v>
      </c>
      <c r="C77">
        <v>34630</v>
      </c>
      <c r="D77">
        <v>26070</v>
      </c>
    </row>
    <row r="78" spans="1:5">
      <c r="A78" s="185" t="s">
        <v>1136</v>
      </c>
      <c r="B78" s="184">
        <v>548</v>
      </c>
      <c r="C78" s="184">
        <v>555</v>
      </c>
      <c r="D78" s="184">
        <v>500</v>
      </c>
    </row>
    <row r="79" spans="1:5">
      <c r="A79" s="6" t="s">
        <v>1177</v>
      </c>
      <c r="B79">
        <v>363</v>
      </c>
      <c r="C79">
        <v>355</v>
      </c>
      <c r="D79">
        <v>335</v>
      </c>
    </row>
    <row r="80" spans="1:5">
      <c r="A80" s="6" t="s">
        <v>337</v>
      </c>
      <c r="B80">
        <v>318</v>
      </c>
      <c r="C80">
        <v>320</v>
      </c>
      <c r="D80">
        <v>325</v>
      </c>
    </row>
    <row r="81" spans="1:4">
      <c r="A81" s="6" t="s">
        <v>375</v>
      </c>
      <c r="B81">
        <v>327</v>
      </c>
      <c r="C81">
        <v>275</v>
      </c>
      <c r="D81">
        <v>255</v>
      </c>
    </row>
    <row r="82" spans="1:4">
      <c r="A82" s="6" t="s">
        <v>361</v>
      </c>
      <c r="B82">
        <v>258</v>
      </c>
      <c r="C82">
        <v>240</v>
      </c>
      <c r="D82">
        <v>240</v>
      </c>
    </row>
    <row r="83" spans="1:4">
      <c r="A83" s="6" t="s">
        <v>409</v>
      </c>
      <c r="B83">
        <v>222</v>
      </c>
      <c r="C83">
        <v>210</v>
      </c>
      <c r="D83">
        <v>190</v>
      </c>
    </row>
    <row r="84" spans="1:4">
      <c r="A84" s="6" t="s">
        <v>355</v>
      </c>
      <c r="B84">
        <v>150</v>
      </c>
      <c r="C84">
        <v>130</v>
      </c>
      <c r="D84">
        <v>120</v>
      </c>
    </row>
    <row r="85" spans="1:4">
      <c r="A85" s="6" t="s">
        <v>341</v>
      </c>
      <c r="B85">
        <v>115</v>
      </c>
      <c r="C85">
        <v>110</v>
      </c>
      <c r="D85">
        <v>110</v>
      </c>
    </row>
    <row r="86" spans="1:4">
      <c r="A86" s="6" t="s">
        <v>407</v>
      </c>
      <c r="B86">
        <v>119</v>
      </c>
      <c r="C86">
        <v>110</v>
      </c>
      <c r="D86">
        <v>130</v>
      </c>
    </row>
    <row r="87" spans="1:4">
      <c r="A87" s="6" t="s">
        <v>373</v>
      </c>
      <c r="B87">
        <v>119</v>
      </c>
      <c r="C87">
        <v>90</v>
      </c>
      <c r="D87">
        <v>80</v>
      </c>
    </row>
    <row r="88" spans="1:4">
      <c r="A88" s="6" t="s">
        <v>359</v>
      </c>
      <c r="B88">
        <v>82</v>
      </c>
      <c r="C88">
        <v>80</v>
      </c>
      <c r="D88">
        <v>75</v>
      </c>
    </row>
    <row r="89" spans="1:4">
      <c r="A89" s="6" t="s">
        <v>393</v>
      </c>
      <c r="B89">
        <v>71</v>
      </c>
      <c r="C89">
        <v>70</v>
      </c>
      <c r="D89">
        <v>70</v>
      </c>
    </row>
    <row r="90" spans="1:4">
      <c r="A90" s="6" t="s">
        <v>367</v>
      </c>
      <c r="B90">
        <v>25</v>
      </c>
      <c r="C90">
        <v>30</v>
      </c>
      <c r="D90">
        <v>45</v>
      </c>
    </row>
    <row r="91" spans="1:4">
      <c r="A91" s="6" t="s">
        <v>381</v>
      </c>
      <c r="B91">
        <v>5</v>
      </c>
      <c r="C91">
        <v>0</v>
      </c>
      <c r="D91">
        <v>0</v>
      </c>
    </row>
    <row r="92" spans="1:4">
      <c r="A92" s="6" t="s">
        <v>353</v>
      </c>
      <c r="B92">
        <v>7292</v>
      </c>
      <c r="C92">
        <v>7820</v>
      </c>
      <c r="D92">
        <v>8180</v>
      </c>
    </row>
    <row r="93" spans="1:4">
      <c r="A93" s="6" t="s">
        <v>403</v>
      </c>
      <c r="B93">
        <v>3210</v>
      </c>
      <c r="C93">
        <v>3740</v>
      </c>
      <c r="D93">
        <v>5040</v>
      </c>
    </row>
    <row r="94" spans="1:4">
      <c r="A94" s="6" t="s">
        <v>379</v>
      </c>
      <c r="B94">
        <v>1392</v>
      </c>
      <c r="C94">
        <v>1930</v>
      </c>
      <c r="D94">
        <v>2640</v>
      </c>
    </row>
    <row r="95" spans="1:4">
      <c r="A95" s="6" t="s">
        <v>377</v>
      </c>
      <c r="B95">
        <v>485</v>
      </c>
      <c r="C95">
        <v>540</v>
      </c>
      <c r="D95">
        <v>390</v>
      </c>
    </row>
    <row r="96" spans="1:4">
      <c r="A96" s="6" t="s">
        <v>369</v>
      </c>
      <c r="B96">
        <v>273</v>
      </c>
      <c r="C96">
        <v>255</v>
      </c>
      <c r="D96">
        <v>225</v>
      </c>
    </row>
    <row r="97" spans="1:4">
      <c r="A97" s="6" t="s">
        <v>357</v>
      </c>
      <c r="B97">
        <v>236</v>
      </c>
      <c r="C97">
        <v>185</v>
      </c>
      <c r="D97">
        <v>130</v>
      </c>
    </row>
    <row r="98" spans="1:4">
      <c r="A98" s="6" t="s">
        <v>397</v>
      </c>
      <c r="B98">
        <v>99</v>
      </c>
      <c r="C98">
        <v>120</v>
      </c>
      <c r="D98">
        <v>90</v>
      </c>
    </row>
    <row r="99" spans="1:4">
      <c r="A99" s="6" t="s">
        <v>345</v>
      </c>
      <c r="B99">
        <v>73</v>
      </c>
      <c r="C99">
        <v>95</v>
      </c>
      <c r="D99">
        <v>85</v>
      </c>
    </row>
    <row r="100" spans="1:4">
      <c r="A100" s="6" t="s">
        <v>405</v>
      </c>
      <c r="B100">
        <v>25</v>
      </c>
      <c r="C100">
        <v>20</v>
      </c>
      <c r="D100">
        <v>20</v>
      </c>
    </row>
    <row r="101" spans="1:4">
      <c r="A101" s="6" t="s">
        <v>417</v>
      </c>
      <c r="B101">
        <v>5444</v>
      </c>
      <c r="C101">
        <v>3320</v>
      </c>
      <c r="D101">
        <v>3820</v>
      </c>
    </row>
    <row r="102" spans="1:4">
      <c r="A102" s="6" t="s">
        <v>339</v>
      </c>
      <c r="B102">
        <v>3861</v>
      </c>
      <c r="C102">
        <v>2130</v>
      </c>
      <c r="D102">
        <v>2360</v>
      </c>
    </row>
    <row r="103" spans="1:4">
      <c r="A103" s="6" t="s">
        <v>1152</v>
      </c>
      <c r="B103">
        <v>1626</v>
      </c>
      <c r="C103">
        <v>1290</v>
      </c>
      <c r="D103">
        <v>1210</v>
      </c>
    </row>
    <row r="104" spans="1:4">
      <c r="A104" s="6" t="s">
        <v>1038</v>
      </c>
      <c r="B104">
        <v>331</v>
      </c>
      <c r="C104">
        <v>270</v>
      </c>
      <c r="D104">
        <v>230</v>
      </c>
    </row>
    <row r="105" spans="1:4">
      <c r="A105" s="6" t="s">
        <v>451</v>
      </c>
      <c r="B105">
        <v>78</v>
      </c>
      <c r="C105">
        <v>80</v>
      </c>
      <c r="D105">
        <v>68</v>
      </c>
    </row>
    <row r="106" spans="1:4">
      <c r="A106" s="6" t="s">
        <v>308</v>
      </c>
      <c r="B106">
        <v>64</v>
      </c>
      <c r="C106">
        <v>63</v>
      </c>
      <c r="D106">
        <v>35</v>
      </c>
    </row>
    <row r="107" spans="1:4">
      <c r="A107" s="6" t="s">
        <v>276</v>
      </c>
      <c r="B107">
        <v>48</v>
      </c>
      <c r="C107">
        <v>42</v>
      </c>
      <c r="D107">
        <v>35</v>
      </c>
    </row>
    <row r="108" spans="1:4">
      <c r="A108" s="6" t="s">
        <v>246</v>
      </c>
      <c r="B108">
        <v>47</v>
      </c>
      <c r="C108">
        <v>45</v>
      </c>
      <c r="D108">
        <v>37</v>
      </c>
    </row>
    <row r="109" spans="1:4">
      <c r="A109" s="6" t="s">
        <v>389</v>
      </c>
      <c r="B109">
        <v>142</v>
      </c>
      <c r="C109">
        <v>145</v>
      </c>
      <c r="D109">
        <v>120</v>
      </c>
    </row>
    <row r="110" spans="1:4">
      <c r="A110" s="6" t="s">
        <v>411</v>
      </c>
      <c r="B110">
        <v>59</v>
      </c>
      <c r="C110">
        <v>65</v>
      </c>
      <c r="D110">
        <v>60</v>
      </c>
    </row>
    <row r="111" spans="1:4">
      <c r="A111" s="6" t="s">
        <v>428</v>
      </c>
      <c r="B111">
        <v>78</v>
      </c>
      <c r="C111">
        <v>65</v>
      </c>
      <c r="D111">
        <v>75</v>
      </c>
    </row>
    <row r="112" spans="1:4">
      <c r="A112" s="6" t="s">
        <v>415</v>
      </c>
      <c r="B112">
        <v>51</v>
      </c>
      <c r="C112">
        <v>55</v>
      </c>
      <c r="D112">
        <v>55</v>
      </c>
    </row>
    <row r="113" spans="1:6">
      <c r="A113" s="6" t="s">
        <v>1172</v>
      </c>
      <c r="B113">
        <v>469</v>
      </c>
      <c r="C113">
        <v>455</v>
      </c>
      <c r="D113">
        <v>390</v>
      </c>
    </row>
    <row r="114" spans="1:6">
      <c r="B114">
        <f>SUM(B77:B113)</f>
        <v>66208</v>
      </c>
      <c r="C114">
        <f t="shared" ref="C114:D114" si="1">SUM(C77:C113)</f>
        <v>59935</v>
      </c>
      <c r="D114">
        <f t="shared" si="1"/>
        <v>53840</v>
      </c>
    </row>
    <row r="115" spans="1:6">
      <c r="B115">
        <f>B113+B78</f>
        <v>1017</v>
      </c>
      <c r="C115">
        <f t="shared" ref="C115:D115" si="2">C113+C78</f>
        <v>1010</v>
      </c>
      <c r="D115">
        <f t="shared" si="2"/>
        <v>890</v>
      </c>
    </row>
    <row r="116" spans="1:6">
      <c r="C116">
        <v>2007</v>
      </c>
      <c r="D116">
        <v>2008</v>
      </c>
      <c r="E116">
        <v>2009</v>
      </c>
      <c r="F116">
        <v>2010</v>
      </c>
    </row>
    <row r="117" spans="1:6" ht="24">
      <c r="A117" s="182" t="s">
        <v>1176</v>
      </c>
      <c r="B117" s="183"/>
      <c r="C117" s="183">
        <f>AVERAGE(D117:F117)</f>
        <v>0.26666666666666666</v>
      </c>
      <c r="D117" s="183">
        <v>0.28000000000000003</v>
      </c>
      <c r="E117" s="183">
        <v>0.27</v>
      </c>
      <c r="F117" s="183">
        <v>0.25</v>
      </c>
    </row>
    <row r="118" spans="1:6">
      <c r="A118" s="182" t="s">
        <v>1175</v>
      </c>
      <c r="C118" s="183">
        <f t="shared" ref="C118:C122" si="3">AVERAGE(D118:F118)</f>
        <v>0.24666666666666667</v>
      </c>
      <c r="D118" s="183">
        <v>0.26</v>
      </c>
      <c r="E118" s="183">
        <v>0.25</v>
      </c>
      <c r="F118" s="183">
        <v>0.23</v>
      </c>
    </row>
    <row r="119" spans="1:6">
      <c r="A119" s="182" t="s">
        <v>1174</v>
      </c>
      <c r="C119" s="183">
        <f t="shared" si="3"/>
        <v>0.18000000000000002</v>
      </c>
      <c r="D119" s="183">
        <v>0.18</v>
      </c>
      <c r="E119" s="183">
        <v>0.18</v>
      </c>
      <c r="F119" s="183">
        <v>0.18</v>
      </c>
    </row>
    <row r="120" spans="1:6">
      <c r="A120" s="182" t="s">
        <v>86</v>
      </c>
      <c r="C120" s="183">
        <f t="shared" si="3"/>
        <v>9.6666666666666679E-2</v>
      </c>
      <c r="D120" s="183">
        <v>0.11</v>
      </c>
      <c r="E120" s="183">
        <v>0.08</v>
      </c>
      <c r="F120" s="183">
        <v>0.1</v>
      </c>
    </row>
    <row r="121" spans="1:6">
      <c r="A121" s="182" t="s">
        <v>1173</v>
      </c>
      <c r="C121" s="183">
        <f t="shared" si="3"/>
        <v>7.6666666666666675E-2</v>
      </c>
      <c r="D121" s="183">
        <v>0.05</v>
      </c>
      <c r="E121" s="183">
        <v>0.08</v>
      </c>
      <c r="F121" s="183">
        <v>0.1</v>
      </c>
    </row>
    <row r="122" spans="1:6">
      <c r="A122" s="182" t="s">
        <v>1172</v>
      </c>
      <c r="C122" s="183">
        <f t="shared" si="3"/>
        <v>0.13333333333333333</v>
      </c>
      <c r="D122" s="183">
        <v>0.12</v>
      </c>
      <c r="E122" s="183">
        <v>0.14000000000000001</v>
      </c>
      <c r="F122" s="183">
        <v>0.14000000000000001</v>
      </c>
    </row>
    <row r="123" spans="1:6">
      <c r="A123" s="182"/>
      <c r="C123" s="183"/>
      <c r="D123" s="183"/>
      <c r="E123" s="183"/>
      <c r="F123" s="183"/>
    </row>
    <row r="124" spans="1:6">
      <c r="A124" s="182" t="s">
        <v>1158</v>
      </c>
      <c r="C124" s="183">
        <f>C117</f>
        <v>0.26666666666666666</v>
      </c>
      <c r="D124" s="183">
        <f t="shared" ref="D124:F124" si="4">D117</f>
        <v>0.28000000000000003</v>
      </c>
      <c r="E124" s="183">
        <f t="shared" si="4"/>
        <v>0.27</v>
      </c>
      <c r="F124" s="183">
        <f t="shared" si="4"/>
        <v>0.25</v>
      </c>
    </row>
    <row r="125" spans="1:6">
      <c r="A125" s="182" t="s">
        <v>1169</v>
      </c>
      <c r="C125" s="183">
        <f>SUM(C118:C121)</f>
        <v>0.60000000000000009</v>
      </c>
      <c r="D125" s="183">
        <f t="shared" ref="D125:F125" si="5">SUM(D118:D121)</f>
        <v>0.60000000000000009</v>
      </c>
      <c r="E125" s="183">
        <f t="shared" si="5"/>
        <v>0.59</v>
      </c>
      <c r="F125" s="183">
        <f t="shared" si="5"/>
        <v>0.61</v>
      </c>
    </row>
    <row r="126" spans="1:6">
      <c r="A126" s="182" t="s">
        <v>1171</v>
      </c>
      <c r="C126" s="183">
        <f>C122</f>
        <v>0.13333333333333333</v>
      </c>
      <c r="D126" s="183">
        <f t="shared" ref="D126:F126" si="6">D122</f>
        <v>0.12</v>
      </c>
      <c r="E126" s="183">
        <f t="shared" si="6"/>
        <v>0.14000000000000001</v>
      </c>
      <c r="F126" s="183">
        <f t="shared" si="6"/>
        <v>0.14000000000000001</v>
      </c>
    </row>
    <row r="127" spans="1:6">
      <c r="A127" s="182"/>
      <c r="C127" s="183"/>
      <c r="D127" s="183"/>
      <c r="E127" s="183"/>
      <c r="F127" s="183"/>
    </row>
    <row r="129" spans="1:6" ht="24">
      <c r="A129" s="182" t="s">
        <v>1170</v>
      </c>
      <c r="B129">
        <v>100</v>
      </c>
    </row>
    <row r="130" spans="1:6">
      <c r="A130" t="s">
        <v>1156</v>
      </c>
      <c r="B130" s="161">
        <v>0.42</v>
      </c>
      <c r="C130" s="161">
        <v>0.52</v>
      </c>
      <c r="D130" s="161">
        <v>0.52</v>
      </c>
      <c r="E130" s="161">
        <v>0.52</v>
      </c>
    </row>
    <row r="131" spans="1:6">
      <c r="A131" t="s">
        <v>1157</v>
      </c>
      <c r="B131" s="161">
        <v>0.25</v>
      </c>
      <c r="C131" s="161">
        <v>0.25</v>
      </c>
      <c r="D131" s="161">
        <v>0.22</v>
      </c>
      <c r="E131" s="161">
        <v>0.24</v>
      </c>
    </row>
    <row r="132" spans="1:6">
      <c r="A132" t="s">
        <v>112</v>
      </c>
      <c r="B132" s="161">
        <v>0.26</v>
      </c>
      <c r="C132" s="161">
        <v>0.18</v>
      </c>
      <c r="D132" s="161">
        <v>0.17</v>
      </c>
      <c r="E132" s="161">
        <v>0.19</v>
      </c>
    </row>
    <row r="133" spans="1:6">
      <c r="A133" t="s">
        <v>1063</v>
      </c>
      <c r="B133" s="161">
        <v>7.0000000000000007E-2</v>
      </c>
      <c r="C133" s="161">
        <v>0.05</v>
      </c>
      <c r="D133" s="161">
        <v>0.09</v>
      </c>
      <c r="E133" s="161">
        <v>0.05</v>
      </c>
    </row>
    <row r="134" spans="1:6">
      <c r="A134" t="s">
        <v>1158</v>
      </c>
      <c r="B134" s="130">
        <f>B132</f>
        <v>0.26</v>
      </c>
      <c r="C134" s="130">
        <f t="shared" ref="C134:E134" si="7">C132</f>
        <v>0.18</v>
      </c>
      <c r="D134" s="130">
        <f t="shared" si="7"/>
        <v>0.17</v>
      </c>
      <c r="E134" s="130">
        <f t="shared" si="7"/>
        <v>0.19</v>
      </c>
    </row>
    <row r="135" spans="1:6">
      <c r="A135" t="s">
        <v>1169</v>
      </c>
      <c r="B135" s="130">
        <f>SUM(B130:B131)</f>
        <v>0.66999999999999993</v>
      </c>
      <c r="C135" s="130">
        <f t="shared" ref="C135:E135" si="8">SUM(C130:C131)</f>
        <v>0.77</v>
      </c>
      <c r="D135" s="130">
        <f t="shared" si="8"/>
        <v>0.74</v>
      </c>
      <c r="E135" s="130">
        <f t="shared" si="8"/>
        <v>0.76</v>
      </c>
    </row>
    <row r="136" spans="1:6">
      <c r="A136" t="s">
        <v>1160</v>
      </c>
      <c r="B136" s="130">
        <f>B133</f>
        <v>7.0000000000000007E-2</v>
      </c>
      <c r="C136" s="130">
        <f t="shared" ref="C136:E136" si="9">C133</f>
        <v>0.05</v>
      </c>
      <c r="D136" s="130">
        <f t="shared" si="9"/>
        <v>0.09</v>
      </c>
      <c r="E136" s="130">
        <f t="shared" si="9"/>
        <v>0.05</v>
      </c>
      <c r="F136" s="130"/>
    </row>
  </sheetData>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dimension ref="A1:G190"/>
  <sheetViews>
    <sheetView topLeftCell="A160" workbookViewId="0">
      <selection activeCell="B175" sqref="B175"/>
    </sheetView>
  </sheetViews>
  <sheetFormatPr defaultRowHeight="15"/>
  <cols>
    <col min="1" max="1" width="34.28515625" bestFit="1" customWidth="1"/>
  </cols>
  <sheetData>
    <row r="1" spans="1:4">
      <c r="B1">
        <v>2007</v>
      </c>
      <c r="C1">
        <v>2008</v>
      </c>
      <c r="D1">
        <v>2009</v>
      </c>
    </row>
    <row r="2" spans="1:4">
      <c r="A2" t="s">
        <v>365</v>
      </c>
      <c r="B2">
        <v>1.55</v>
      </c>
      <c r="C2">
        <v>1.9</v>
      </c>
      <c r="D2">
        <v>1.3</v>
      </c>
    </row>
    <row r="3" spans="1:4">
      <c r="A3" t="s">
        <v>996</v>
      </c>
      <c r="B3">
        <v>0.85</v>
      </c>
      <c r="C3">
        <v>0.45</v>
      </c>
      <c r="D3">
        <v>0.5</v>
      </c>
    </row>
    <row r="4" spans="1:4">
      <c r="A4" t="s">
        <v>1193</v>
      </c>
      <c r="B4">
        <v>0.4</v>
      </c>
      <c r="C4">
        <v>0.65</v>
      </c>
      <c r="D4">
        <v>0.35</v>
      </c>
    </row>
    <row r="5" spans="1:4">
      <c r="A5" t="s">
        <v>1177</v>
      </c>
      <c r="B5">
        <v>0.3</v>
      </c>
      <c r="C5">
        <v>0.35</v>
      </c>
      <c r="D5">
        <v>0.35</v>
      </c>
    </row>
    <row r="6" spans="1:4">
      <c r="A6" t="s">
        <v>375</v>
      </c>
      <c r="B6">
        <v>0.35</v>
      </c>
      <c r="C6">
        <v>0.45</v>
      </c>
      <c r="D6">
        <v>0.65</v>
      </c>
    </row>
    <row r="7" spans="1:4">
      <c r="A7" t="s">
        <v>403</v>
      </c>
      <c r="B7">
        <v>0.45</v>
      </c>
      <c r="C7">
        <v>0.45</v>
      </c>
      <c r="D7" t="s">
        <v>1192</v>
      </c>
    </row>
    <row r="8" spans="1:4">
      <c r="A8" t="s">
        <v>337</v>
      </c>
      <c r="B8">
        <v>0.35</v>
      </c>
      <c r="C8">
        <v>0.3</v>
      </c>
      <c r="D8">
        <v>0.35</v>
      </c>
    </row>
    <row r="9" spans="1:4">
      <c r="A9" t="s">
        <v>349</v>
      </c>
      <c r="B9">
        <v>0.25</v>
      </c>
      <c r="C9">
        <v>0.3</v>
      </c>
      <c r="D9">
        <v>0.3</v>
      </c>
    </row>
    <row r="10" spans="1:4">
      <c r="A10" t="s">
        <v>361</v>
      </c>
      <c r="B10">
        <v>0.45</v>
      </c>
      <c r="C10">
        <v>0.35</v>
      </c>
      <c r="D10" t="s">
        <v>1192</v>
      </c>
    </row>
    <row r="11" spans="1:4">
      <c r="A11" t="s">
        <v>369</v>
      </c>
      <c r="B11">
        <v>0.15</v>
      </c>
      <c r="C11">
        <v>0.2</v>
      </c>
      <c r="D11" t="s">
        <v>1192</v>
      </c>
    </row>
    <row r="12" spans="1:4">
      <c r="A12" t="s">
        <v>417</v>
      </c>
      <c r="B12">
        <v>0.25</v>
      </c>
      <c r="C12">
        <v>0.15</v>
      </c>
      <c r="D12" t="s">
        <v>1192</v>
      </c>
    </row>
    <row r="13" spans="1:4">
      <c r="A13" t="s">
        <v>339</v>
      </c>
      <c r="B13" t="s">
        <v>1192</v>
      </c>
      <c r="C13">
        <v>0.15</v>
      </c>
      <c r="D13" t="s">
        <v>1192</v>
      </c>
    </row>
    <row r="14" spans="1:4">
      <c r="A14" t="s">
        <v>379</v>
      </c>
      <c r="B14">
        <v>0.15</v>
      </c>
      <c r="C14">
        <v>0.3</v>
      </c>
      <c r="D14" t="s">
        <v>1192</v>
      </c>
    </row>
    <row r="15" spans="1:4">
      <c r="A15" t="s">
        <v>409</v>
      </c>
      <c r="B15">
        <v>0.15</v>
      </c>
      <c r="C15">
        <v>0.1</v>
      </c>
      <c r="D15" t="s">
        <v>1192</v>
      </c>
    </row>
    <row r="16" spans="1:4">
      <c r="A16" t="s">
        <v>163</v>
      </c>
      <c r="B16">
        <v>0.15</v>
      </c>
      <c r="C16">
        <v>0.25</v>
      </c>
      <c r="D16">
        <v>0.25</v>
      </c>
    </row>
    <row r="17" spans="1:6">
      <c r="A17" t="s">
        <v>230</v>
      </c>
      <c r="B17" t="s">
        <v>1192</v>
      </c>
      <c r="C17" t="s">
        <v>1192</v>
      </c>
      <c r="D17" t="s">
        <v>1192</v>
      </c>
    </row>
    <row r="18" spans="1:6">
      <c r="A18" t="s">
        <v>341</v>
      </c>
      <c r="B18">
        <v>0.3</v>
      </c>
      <c r="C18">
        <v>0.15</v>
      </c>
      <c r="D18">
        <v>0.35</v>
      </c>
    </row>
    <row r="19" spans="1:6">
      <c r="A19" t="s">
        <v>367</v>
      </c>
      <c r="B19">
        <v>0.15</v>
      </c>
      <c r="C19">
        <v>0.3</v>
      </c>
      <c r="D19" t="s">
        <v>1192</v>
      </c>
    </row>
    <row r="20" spans="1:6">
      <c r="A20" t="s">
        <v>407</v>
      </c>
      <c r="B20">
        <v>0.2</v>
      </c>
      <c r="C20">
        <v>0.3</v>
      </c>
      <c r="D20">
        <v>0.25</v>
      </c>
    </row>
    <row r="21" spans="1:6">
      <c r="A21" t="s">
        <v>1038</v>
      </c>
      <c r="B21" t="s">
        <v>1192</v>
      </c>
      <c r="C21" t="s">
        <v>1192</v>
      </c>
      <c r="D21" t="s">
        <v>1192</v>
      </c>
    </row>
    <row r="22" spans="1:6">
      <c r="A22" t="s">
        <v>415</v>
      </c>
      <c r="B22">
        <v>0.1</v>
      </c>
      <c r="C22">
        <v>0.15</v>
      </c>
      <c r="D22" t="s">
        <v>1192</v>
      </c>
    </row>
    <row r="23" spans="1:6">
      <c r="A23" t="s">
        <v>373</v>
      </c>
      <c r="B23">
        <v>0.15</v>
      </c>
      <c r="C23">
        <v>0.25</v>
      </c>
      <c r="D23" t="s">
        <v>1192</v>
      </c>
    </row>
    <row r="24" spans="1:6">
      <c r="A24" t="s">
        <v>345</v>
      </c>
      <c r="B24">
        <v>0.15</v>
      </c>
      <c r="C24">
        <v>0.1</v>
      </c>
      <c r="D24" t="s">
        <v>1192</v>
      </c>
    </row>
    <row r="25" spans="1:6">
      <c r="A25" t="s">
        <v>1152</v>
      </c>
      <c r="B25" t="s">
        <v>1192</v>
      </c>
      <c r="C25">
        <v>0.2</v>
      </c>
      <c r="D25" t="s">
        <v>1192</v>
      </c>
    </row>
    <row r="26" spans="1:6">
      <c r="A26" t="s">
        <v>355</v>
      </c>
      <c r="B26">
        <v>0.25</v>
      </c>
      <c r="C26">
        <v>0.1</v>
      </c>
      <c r="D26" t="s">
        <v>1192</v>
      </c>
    </row>
    <row r="27" spans="1:6">
      <c r="A27" t="s">
        <v>389</v>
      </c>
      <c r="B27">
        <v>0.15</v>
      </c>
      <c r="C27">
        <v>0.1</v>
      </c>
      <c r="D27" t="s">
        <v>1192</v>
      </c>
    </row>
    <row r="28" spans="1:6">
      <c r="A28" t="s">
        <v>1191</v>
      </c>
      <c r="B28">
        <v>6.9</v>
      </c>
      <c r="C28">
        <v>7.6</v>
      </c>
      <c r="D28">
        <v>6.3</v>
      </c>
    </row>
    <row r="29" spans="1:6">
      <c r="D29">
        <f>SUM(D2:D20)</f>
        <v>4.6499999999999995</v>
      </c>
    </row>
    <row r="31" spans="1:6">
      <c r="B31">
        <v>2007</v>
      </c>
      <c r="C31">
        <v>2008</v>
      </c>
      <c r="D31">
        <v>2009</v>
      </c>
      <c r="E31">
        <v>2010</v>
      </c>
      <c r="F31">
        <v>2011</v>
      </c>
    </row>
    <row r="32" spans="1:6">
      <c r="A32" t="s">
        <v>1158</v>
      </c>
      <c r="B32" s="161">
        <v>0.26</v>
      </c>
      <c r="C32" s="161">
        <v>0.18</v>
      </c>
      <c r="D32" s="161">
        <v>0.17</v>
      </c>
    </row>
    <row r="33" spans="1:5">
      <c r="A33" t="s">
        <v>1169</v>
      </c>
      <c r="B33" s="161">
        <f>42%+25%</f>
        <v>0.66999999999999993</v>
      </c>
      <c r="C33" s="161">
        <f>52%+25%</f>
        <v>0.77</v>
      </c>
      <c r="D33" s="161">
        <f>55%+22%</f>
        <v>0.77</v>
      </c>
    </row>
    <row r="34" spans="1:5">
      <c r="A34" t="s">
        <v>1160</v>
      </c>
      <c r="B34" s="161">
        <f>1-SUM(B32:B33)</f>
        <v>7.0000000000000062E-2</v>
      </c>
      <c r="C34" s="161">
        <f t="shared" ref="C34:D34" si="0">1-SUM(C32:C33)</f>
        <v>5.0000000000000044E-2</v>
      </c>
      <c r="D34" s="161">
        <f t="shared" si="0"/>
        <v>5.9999999999999942E-2</v>
      </c>
    </row>
    <row r="37" spans="1:5">
      <c r="A37" s="6" t="s">
        <v>365</v>
      </c>
      <c r="B37" s="186">
        <v>38103</v>
      </c>
      <c r="C37" s="186">
        <v>34630</v>
      </c>
      <c r="D37" s="186">
        <v>26070</v>
      </c>
      <c r="E37">
        <v>38103</v>
      </c>
    </row>
    <row r="38" spans="1:5">
      <c r="A38" s="6" t="s">
        <v>1136</v>
      </c>
      <c r="B38" s="186">
        <v>548</v>
      </c>
      <c r="C38" s="186">
        <v>555</v>
      </c>
      <c r="D38" s="186">
        <v>500</v>
      </c>
      <c r="E38">
        <v>548</v>
      </c>
    </row>
    <row r="39" spans="1:5">
      <c r="A39" s="6" t="s">
        <v>1177</v>
      </c>
      <c r="B39" s="186">
        <v>363</v>
      </c>
      <c r="C39" s="186">
        <v>355</v>
      </c>
      <c r="D39" s="186">
        <v>335</v>
      </c>
      <c r="E39">
        <v>363</v>
      </c>
    </row>
    <row r="40" spans="1:5">
      <c r="A40" s="6" t="s">
        <v>337</v>
      </c>
      <c r="B40" s="186">
        <v>318</v>
      </c>
      <c r="C40" s="186">
        <v>320</v>
      </c>
      <c r="D40" s="186">
        <v>325</v>
      </c>
      <c r="E40">
        <v>318</v>
      </c>
    </row>
    <row r="41" spans="1:5">
      <c r="A41" s="6" t="s">
        <v>375</v>
      </c>
      <c r="B41" s="186">
        <v>327</v>
      </c>
      <c r="C41" s="186">
        <v>275</v>
      </c>
      <c r="D41" s="186">
        <v>255</v>
      </c>
      <c r="E41">
        <v>327</v>
      </c>
    </row>
    <row r="42" spans="1:5">
      <c r="A42" s="6" t="s">
        <v>361</v>
      </c>
      <c r="B42" s="186">
        <v>258</v>
      </c>
      <c r="C42" s="186">
        <v>240</v>
      </c>
      <c r="D42" s="186">
        <v>240</v>
      </c>
      <c r="E42">
        <v>258</v>
      </c>
    </row>
    <row r="43" spans="1:5">
      <c r="A43" s="6" t="s">
        <v>409</v>
      </c>
      <c r="B43" s="186">
        <v>222</v>
      </c>
      <c r="C43" s="186">
        <v>210</v>
      </c>
      <c r="D43" s="186">
        <v>190</v>
      </c>
      <c r="E43">
        <v>222</v>
      </c>
    </row>
    <row r="44" spans="1:5">
      <c r="A44" s="6" t="s">
        <v>355</v>
      </c>
      <c r="B44" s="186">
        <v>150</v>
      </c>
      <c r="C44" s="186">
        <v>130</v>
      </c>
      <c r="D44" s="186">
        <v>120</v>
      </c>
      <c r="E44">
        <v>150</v>
      </c>
    </row>
    <row r="45" spans="1:5">
      <c r="A45" s="6" t="s">
        <v>341</v>
      </c>
      <c r="B45" s="186">
        <v>115</v>
      </c>
      <c r="C45" s="186">
        <v>110</v>
      </c>
      <c r="D45" s="186">
        <v>110</v>
      </c>
      <c r="E45">
        <v>115</v>
      </c>
    </row>
    <row r="46" spans="1:5">
      <c r="A46" s="6" t="s">
        <v>407</v>
      </c>
      <c r="B46" s="186">
        <v>119</v>
      </c>
      <c r="C46" s="186">
        <v>110</v>
      </c>
      <c r="D46" s="186">
        <v>130</v>
      </c>
      <c r="E46">
        <v>119</v>
      </c>
    </row>
    <row r="47" spans="1:5">
      <c r="A47" s="6" t="s">
        <v>373</v>
      </c>
      <c r="B47" s="186">
        <v>119</v>
      </c>
      <c r="C47" s="186">
        <v>90</v>
      </c>
      <c r="D47" s="186">
        <v>80</v>
      </c>
      <c r="E47">
        <v>119</v>
      </c>
    </row>
    <row r="48" spans="1:5">
      <c r="A48" s="6" t="s">
        <v>359</v>
      </c>
      <c r="B48" s="186">
        <v>82</v>
      </c>
      <c r="C48" s="186">
        <v>80</v>
      </c>
      <c r="D48" s="186">
        <v>75</v>
      </c>
      <c r="E48">
        <v>82</v>
      </c>
    </row>
    <row r="49" spans="1:5">
      <c r="A49" s="6" t="s">
        <v>393</v>
      </c>
      <c r="B49" s="186">
        <v>71</v>
      </c>
      <c r="C49" s="186">
        <v>70</v>
      </c>
      <c r="D49" s="186">
        <v>70</v>
      </c>
      <c r="E49">
        <v>71</v>
      </c>
    </row>
    <row r="50" spans="1:5">
      <c r="A50" s="6" t="s">
        <v>367</v>
      </c>
      <c r="B50" s="186">
        <v>25</v>
      </c>
      <c r="C50" s="186">
        <v>30</v>
      </c>
      <c r="D50" s="186">
        <v>45</v>
      </c>
      <c r="E50">
        <v>25</v>
      </c>
    </row>
    <row r="51" spans="1:5">
      <c r="A51" s="6" t="s">
        <v>381</v>
      </c>
      <c r="B51" s="186">
        <v>5</v>
      </c>
      <c r="C51" s="186">
        <v>0</v>
      </c>
      <c r="D51" s="186">
        <v>0</v>
      </c>
      <c r="E51">
        <v>5</v>
      </c>
    </row>
    <row r="52" spans="1:5">
      <c r="A52" s="6" t="s">
        <v>353</v>
      </c>
      <c r="B52" s="186" t="s">
        <v>1190</v>
      </c>
      <c r="C52" s="186" t="s">
        <v>1189</v>
      </c>
      <c r="D52" s="186">
        <v>8180</v>
      </c>
      <c r="E52">
        <v>7292</v>
      </c>
    </row>
    <row r="53" spans="1:5">
      <c r="A53" s="6" t="s">
        <v>403</v>
      </c>
      <c r="B53" s="186" t="s">
        <v>1188</v>
      </c>
      <c r="C53" s="186" t="s">
        <v>1187</v>
      </c>
      <c r="D53" s="186">
        <v>5040</v>
      </c>
      <c r="E53">
        <v>3210</v>
      </c>
    </row>
    <row r="54" spans="1:5">
      <c r="A54" s="6" t="s">
        <v>379</v>
      </c>
      <c r="B54" s="186" t="s">
        <v>1186</v>
      </c>
      <c r="C54" s="186" t="s">
        <v>1185</v>
      </c>
      <c r="D54" s="186">
        <v>2640</v>
      </c>
      <c r="E54">
        <v>1392</v>
      </c>
    </row>
    <row r="55" spans="1:5">
      <c r="A55" s="6" t="s">
        <v>377</v>
      </c>
      <c r="B55" s="186">
        <v>485</v>
      </c>
      <c r="C55" s="186">
        <v>540</v>
      </c>
      <c r="D55" s="186">
        <v>390</v>
      </c>
      <c r="E55">
        <v>485</v>
      </c>
    </row>
    <row r="56" spans="1:5">
      <c r="A56" s="6" t="s">
        <v>369</v>
      </c>
      <c r="B56" s="186">
        <v>273</v>
      </c>
      <c r="C56" s="186">
        <v>255</v>
      </c>
      <c r="D56" s="186">
        <v>225</v>
      </c>
      <c r="E56">
        <v>273</v>
      </c>
    </row>
    <row r="57" spans="1:5">
      <c r="A57" s="6" t="s">
        <v>357</v>
      </c>
      <c r="B57" s="186">
        <v>236</v>
      </c>
      <c r="C57" s="186">
        <v>185</v>
      </c>
      <c r="D57" s="186">
        <v>130</v>
      </c>
      <c r="E57">
        <v>236</v>
      </c>
    </row>
    <row r="58" spans="1:5">
      <c r="A58" s="6" t="s">
        <v>397</v>
      </c>
      <c r="B58" s="186">
        <v>99</v>
      </c>
      <c r="C58" s="186">
        <v>120</v>
      </c>
      <c r="D58" s="186">
        <v>90</v>
      </c>
      <c r="E58">
        <v>99</v>
      </c>
    </row>
    <row r="59" spans="1:5">
      <c r="A59" s="6" t="s">
        <v>345</v>
      </c>
      <c r="B59" s="186">
        <v>73</v>
      </c>
      <c r="C59" s="186">
        <v>95</v>
      </c>
      <c r="D59" s="186">
        <v>85</v>
      </c>
      <c r="E59">
        <v>73</v>
      </c>
    </row>
    <row r="60" spans="1:5">
      <c r="A60" s="6" t="s">
        <v>405</v>
      </c>
      <c r="B60" s="186">
        <v>25</v>
      </c>
      <c r="C60" s="186">
        <v>20</v>
      </c>
      <c r="D60" s="186">
        <v>20</v>
      </c>
      <c r="E60">
        <v>25</v>
      </c>
    </row>
    <row r="61" spans="1:5">
      <c r="A61" s="6" t="s">
        <v>351</v>
      </c>
      <c r="B61" s="186" t="s">
        <v>1184</v>
      </c>
      <c r="C61" s="186">
        <v>0</v>
      </c>
      <c r="D61" s="186">
        <v>0</v>
      </c>
    </row>
    <row r="62" spans="1:5">
      <c r="A62" s="6" t="s">
        <v>383</v>
      </c>
      <c r="B62" s="186" t="s">
        <v>1184</v>
      </c>
      <c r="C62" s="186">
        <v>0</v>
      </c>
      <c r="D62" s="186">
        <v>0</v>
      </c>
    </row>
    <row r="63" spans="1:5">
      <c r="A63" s="6" t="s">
        <v>417</v>
      </c>
      <c r="B63" s="186" t="s">
        <v>1183</v>
      </c>
      <c r="C63" s="186" t="s">
        <v>1182</v>
      </c>
      <c r="D63" s="186">
        <v>3820</v>
      </c>
      <c r="E63">
        <v>5444</v>
      </c>
    </row>
    <row r="64" spans="1:5">
      <c r="A64" s="6" t="s">
        <v>339</v>
      </c>
      <c r="B64" s="186" t="s">
        <v>1181</v>
      </c>
      <c r="C64" s="186" t="s">
        <v>1180</v>
      </c>
      <c r="D64" s="186">
        <v>2360</v>
      </c>
      <c r="E64">
        <v>3861</v>
      </c>
    </row>
    <row r="65" spans="1:5">
      <c r="A65" s="6" t="s">
        <v>1152</v>
      </c>
      <c r="B65" s="186" t="s">
        <v>1178</v>
      </c>
      <c r="C65" s="186" t="s">
        <v>1179</v>
      </c>
      <c r="D65" s="186">
        <v>1210</v>
      </c>
      <c r="E65" t="s">
        <v>1178</v>
      </c>
    </row>
    <row r="66" spans="1:5">
      <c r="A66" s="6" t="s">
        <v>1038</v>
      </c>
      <c r="B66" s="186">
        <v>331</v>
      </c>
      <c r="C66" s="186">
        <v>270</v>
      </c>
      <c r="D66" s="186">
        <v>230</v>
      </c>
      <c r="E66">
        <v>331</v>
      </c>
    </row>
    <row r="67" spans="1:5">
      <c r="A67" s="6" t="s">
        <v>451</v>
      </c>
      <c r="B67" s="186">
        <v>78</v>
      </c>
      <c r="C67" s="186">
        <v>80</v>
      </c>
      <c r="D67" s="186">
        <v>68</v>
      </c>
      <c r="E67">
        <v>78</v>
      </c>
    </row>
    <row r="68" spans="1:5">
      <c r="A68" s="6" t="s">
        <v>308</v>
      </c>
      <c r="B68" s="186">
        <v>64</v>
      </c>
      <c r="C68" s="186">
        <v>63</v>
      </c>
      <c r="D68" s="186">
        <v>35</v>
      </c>
      <c r="E68">
        <v>64</v>
      </c>
    </row>
    <row r="69" spans="1:5">
      <c r="A69" s="6" t="s">
        <v>276</v>
      </c>
      <c r="B69" s="186">
        <v>48</v>
      </c>
      <c r="C69" s="186">
        <v>42</v>
      </c>
      <c r="D69" s="186">
        <v>35</v>
      </c>
      <c r="E69">
        <v>48</v>
      </c>
    </row>
    <row r="70" spans="1:5">
      <c r="A70" s="6" t="s">
        <v>246</v>
      </c>
      <c r="B70" s="186">
        <v>47</v>
      </c>
      <c r="C70" s="186">
        <v>45</v>
      </c>
      <c r="D70" s="186">
        <v>37</v>
      </c>
      <c r="E70">
        <v>47</v>
      </c>
    </row>
    <row r="71" spans="1:5">
      <c r="A71" s="6" t="s">
        <v>389</v>
      </c>
      <c r="B71" s="186">
        <v>142</v>
      </c>
      <c r="C71" s="186">
        <v>145</v>
      </c>
      <c r="D71" s="186">
        <v>120</v>
      </c>
      <c r="E71">
        <v>142</v>
      </c>
    </row>
    <row r="72" spans="1:5">
      <c r="A72" s="6" t="s">
        <v>411</v>
      </c>
      <c r="B72" s="186">
        <v>59</v>
      </c>
      <c r="C72" s="186">
        <v>65</v>
      </c>
      <c r="D72" s="186">
        <v>60</v>
      </c>
      <c r="E72">
        <v>59</v>
      </c>
    </row>
    <row r="73" spans="1:5">
      <c r="A73" s="6" t="s">
        <v>428</v>
      </c>
      <c r="B73" s="186">
        <v>78</v>
      </c>
      <c r="C73" s="186">
        <v>65</v>
      </c>
      <c r="D73" s="186">
        <v>75</v>
      </c>
      <c r="E73">
        <v>78</v>
      </c>
    </row>
    <row r="74" spans="1:5">
      <c r="A74" s="6" t="s">
        <v>415</v>
      </c>
      <c r="B74" s="186">
        <v>51</v>
      </c>
      <c r="C74" s="186">
        <v>55</v>
      </c>
      <c r="D74" s="186">
        <v>55</v>
      </c>
      <c r="E74">
        <v>51</v>
      </c>
    </row>
    <row r="75" spans="1:5">
      <c r="A75" s="6" t="s">
        <v>1172</v>
      </c>
      <c r="B75" s="186">
        <v>469</v>
      </c>
      <c r="C75" s="186">
        <v>455</v>
      </c>
      <c r="D75" s="186">
        <v>390</v>
      </c>
      <c r="E75">
        <v>469</v>
      </c>
    </row>
    <row r="77" spans="1:5">
      <c r="A77" s="6" t="s">
        <v>365</v>
      </c>
      <c r="B77">
        <v>38103</v>
      </c>
      <c r="C77">
        <v>34630</v>
      </c>
      <c r="D77">
        <v>26070</v>
      </c>
    </row>
    <row r="78" spans="1:5">
      <c r="A78" s="185" t="s">
        <v>1136</v>
      </c>
      <c r="B78" s="184">
        <v>548</v>
      </c>
      <c r="C78" s="184">
        <v>555</v>
      </c>
      <c r="D78" s="184">
        <v>500</v>
      </c>
    </row>
    <row r="79" spans="1:5">
      <c r="A79" s="6" t="s">
        <v>1177</v>
      </c>
      <c r="B79">
        <v>363</v>
      </c>
      <c r="C79">
        <v>355</v>
      </c>
      <c r="D79">
        <v>335</v>
      </c>
    </row>
    <row r="80" spans="1:5">
      <c r="A80" s="6" t="s">
        <v>337</v>
      </c>
      <c r="B80">
        <v>318</v>
      </c>
      <c r="C80">
        <v>320</v>
      </c>
      <c r="D80">
        <v>325</v>
      </c>
    </row>
    <row r="81" spans="1:4">
      <c r="A81" s="6" t="s">
        <v>375</v>
      </c>
      <c r="B81">
        <v>327</v>
      </c>
      <c r="C81">
        <v>275</v>
      </c>
      <c r="D81">
        <v>255</v>
      </c>
    </row>
    <row r="82" spans="1:4">
      <c r="A82" s="6" t="s">
        <v>361</v>
      </c>
      <c r="B82">
        <v>258</v>
      </c>
      <c r="C82">
        <v>240</v>
      </c>
      <c r="D82">
        <v>240</v>
      </c>
    </row>
    <row r="83" spans="1:4">
      <c r="A83" s="6" t="s">
        <v>409</v>
      </c>
      <c r="B83">
        <v>222</v>
      </c>
      <c r="C83">
        <v>210</v>
      </c>
      <c r="D83">
        <v>190</v>
      </c>
    </row>
    <row r="84" spans="1:4">
      <c r="A84" s="6" t="s">
        <v>355</v>
      </c>
      <c r="B84">
        <v>150</v>
      </c>
      <c r="C84">
        <v>130</v>
      </c>
      <c r="D84">
        <v>120</v>
      </c>
    </row>
    <row r="85" spans="1:4">
      <c r="A85" s="6" t="s">
        <v>341</v>
      </c>
      <c r="B85">
        <v>115</v>
      </c>
      <c r="C85">
        <v>110</v>
      </c>
      <c r="D85">
        <v>110</v>
      </c>
    </row>
    <row r="86" spans="1:4">
      <c r="A86" s="6" t="s">
        <v>407</v>
      </c>
      <c r="B86">
        <v>119</v>
      </c>
      <c r="C86">
        <v>110</v>
      </c>
      <c r="D86">
        <v>130</v>
      </c>
    </row>
    <row r="87" spans="1:4">
      <c r="A87" s="6" t="s">
        <v>373</v>
      </c>
      <c r="B87">
        <v>119</v>
      </c>
      <c r="C87">
        <v>90</v>
      </c>
      <c r="D87">
        <v>80</v>
      </c>
    </row>
    <row r="88" spans="1:4">
      <c r="A88" s="6" t="s">
        <v>359</v>
      </c>
      <c r="B88">
        <v>82</v>
      </c>
      <c r="C88">
        <v>80</v>
      </c>
      <c r="D88">
        <v>75</v>
      </c>
    </row>
    <row r="89" spans="1:4">
      <c r="A89" s="6" t="s">
        <v>393</v>
      </c>
      <c r="B89">
        <v>71</v>
      </c>
      <c r="C89">
        <v>70</v>
      </c>
      <c r="D89">
        <v>70</v>
      </c>
    </row>
    <row r="90" spans="1:4">
      <c r="A90" s="6" t="s">
        <v>367</v>
      </c>
      <c r="B90">
        <v>25</v>
      </c>
      <c r="C90">
        <v>30</v>
      </c>
      <c r="D90">
        <v>45</v>
      </c>
    </row>
    <row r="91" spans="1:4">
      <c r="A91" s="6" t="s">
        <v>381</v>
      </c>
      <c r="B91">
        <v>5</v>
      </c>
      <c r="C91">
        <v>0</v>
      </c>
      <c r="D91">
        <v>0</v>
      </c>
    </row>
    <row r="92" spans="1:4">
      <c r="A92" s="6" t="s">
        <v>353</v>
      </c>
      <c r="B92">
        <v>7292</v>
      </c>
      <c r="C92">
        <v>7820</v>
      </c>
      <c r="D92">
        <v>8180</v>
      </c>
    </row>
    <row r="93" spans="1:4">
      <c r="A93" s="6" t="s">
        <v>403</v>
      </c>
      <c r="B93">
        <v>3210</v>
      </c>
      <c r="C93">
        <v>3740</v>
      </c>
      <c r="D93">
        <v>5040</v>
      </c>
    </row>
    <row r="94" spans="1:4">
      <c r="A94" s="6" t="s">
        <v>379</v>
      </c>
      <c r="B94">
        <v>1392</v>
      </c>
      <c r="C94">
        <v>1930</v>
      </c>
      <c r="D94">
        <v>2640</v>
      </c>
    </row>
    <row r="95" spans="1:4">
      <c r="A95" s="6" t="s">
        <v>377</v>
      </c>
      <c r="B95">
        <v>485</v>
      </c>
      <c r="C95">
        <v>540</v>
      </c>
      <c r="D95">
        <v>390</v>
      </c>
    </row>
    <row r="96" spans="1:4">
      <c r="A96" s="6" t="s">
        <v>369</v>
      </c>
      <c r="B96">
        <v>273</v>
      </c>
      <c r="C96">
        <v>255</v>
      </c>
      <c r="D96">
        <v>225</v>
      </c>
    </row>
    <row r="97" spans="1:4">
      <c r="A97" s="6" t="s">
        <v>357</v>
      </c>
      <c r="B97">
        <v>236</v>
      </c>
      <c r="C97">
        <v>185</v>
      </c>
      <c r="D97">
        <v>130</v>
      </c>
    </row>
    <row r="98" spans="1:4">
      <c r="A98" s="6" t="s">
        <v>397</v>
      </c>
      <c r="B98">
        <v>99</v>
      </c>
      <c r="C98">
        <v>120</v>
      </c>
      <c r="D98">
        <v>90</v>
      </c>
    </row>
    <row r="99" spans="1:4">
      <c r="A99" s="6" t="s">
        <v>345</v>
      </c>
      <c r="B99">
        <v>73</v>
      </c>
      <c r="C99">
        <v>95</v>
      </c>
      <c r="D99">
        <v>85</v>
      </c>
    </row>
    <row r="100" spans="1:4">
      <c r="A100" s="6" t="s">
        <v>405</v>
      </c>
      <c r="B100">
        <v>25</v>
      </c>
      <c r="C100">
        <v>20</v>
      </c>
      <c r="D100">
        <v>20</v>
      </c>
    </row>
    <row r="101" spans="1:4">
      <c r="A101" s="6" t="s">
        <v>417</v>
      </c>
      <c r="B101">
        <v>5444</v>
      </c>
      <c r="C101">
        <v>3320</v>
      </c>
      <c r="D101">
        <v>3820</v>
      </c>
    </row>
    <row r="102" spans="1:4">
      <c r="A102" s="6" t="s">
        <v>339</v>
      </c>
      <c r="B102">
        <v>3861</v>
      </c>
      <c r="C102">
        <v>2130</v>
      </c>
      <c r="D102">
        <v>2360</v>
      </c>
    </row>
    <row r="103" spans="1:4">
      <c r="A103" s="6" t="s">
        <v>1152</v>
      </c>
      <c r="B103">
        <v>1626</v>
      </c>
      <c r="C103">
        <v>1290</v>
      </c>
      <c r="D103">
        <v>1210</v>
      </c>
    </row>
    <row r="104" spans="1:4">
      <c r="A104" s="6" t="s">
        <v>1038</v>
      </c>
      <c r="B104">
        <v>331</v>
      </c>
      <c r="C104">
        <v>270</v>
      </c>
      <c r="D104">
        <v>230</v>
      </c>
    </row>
    <row r="105" spans="1:4">
      <c r="A105" s="6" t="s">
        <v>451</v>
      </c>
      <c r="B105">
        <v>78</v>
      </c>
      <c r="C105">
        <v>80</v>
      </c>
      <c r="D105">
        <v>68</v>
      </c>
    </row>
    <row r="106" spans="1:4">
      <c r="A106" s="6" t="s">
        <v>308</v>
      </c>
      <c r="B106">
        <v>64</v>
      </c>
      <c r="C106">
        <v>63</v>
      </c>
      <c r="D106">
        <v>35</v>
      </c>
    </row>
    <row r="107" spans="1:4">
      <c r="A107" s="6" t="s">
        <v>276</v>
      </c>
      <c r="B107">
        <v>48</v>
      </c>
      <c r="C107">
        <v>42</v>
      </c>
      <c r="D107">
        <v>35</v>
      </c>
    </row>
    <row r="108" spans="1:4">
      <c r="A108" s="6" t="s">
        <v>246</v>
      </c>
      <c r="B108">
        <v>47</v>
      </c>
      <c r="C108">
        <v>45</v>
      </c>
      <c r="D108">
        <v>37</v>
      </c>
    </row>
    <row r="109" spans="1:4">
      <c r="A109" s="6" t="s">
        <v>389</v>
      </c>
      <c r="B109">
        <v>142</v>
      </c>
      <c r="C109">
        <v>145</v>
      </c>
      <c r="D109">
        <v>120</v>
      </c>
    </row>
    <row r="110" spans="1:4">
      <c r="A110" s="6" t="s">
        <v>411</v>
      </c>
      <c r="B110">
        <v>59</v>
      </c>
      <c r="C110">
        <v>65</v>
      </c>
      <c r="D110">
        <v>60</v>
      </c>
    </row>
    <row r="111" spans="1:4">
      <c r="A111" s="6" t="s">
        <v>428</v>
      </c>
      <c r="B111">
        <v>78</v>
      </c>
      <c r="C111">
        <v>65</v>
      </c>
      <c r="D111">
        <v>75</v>
      </c>
    </row>
    <row r="112" spans="1:4">
      <c r="A112" s="6" t="s">
        <v>415</v>
      </c>
      <c r="B112">
        <v>51</v>
      </c>
      <c r="C112">
        <v>55</v>
      </c>
      <c r="D112">
        <v>55</v>
      </c>
    </row>
    <row r="113" spans="1:7">
      <c r="A113" s="6" t="s">
        <v>1172</v>
      </c>
      <c r="B113">
        <v>469</v>
      </c>
      <c r="C113">
        <v>455</v>
      </c>
      <c r="D113">
        <v>390</v>
      </c>
    </row>
    <row r="114" spans="1:7">
      <c r="B114">
        <f>SUM(B77:B113)</f>
        <v>66208</v>
      </c>
      <c r="C114">
        <f>SUM(C77:C113)</f>
        <v>59935</v>
      </c>
      <c r="D114">
        <f>SUM(D77:D113)</f>
        <v>53840</v>
      </c>
    </row>
    <row r="115" spans="1:7">
      <c r="B115">
        <f>B113+B78</f>
        <v>1017</v>
      </c>
      <c r="C115">
        <f>C113+C78</f>
        <v>1010</v>
      </c>
      <c r="D115">
        <f>D113+D78</f>
        <v>890</v>
      </c>
    </row>
    <row r="116" spans="1:7">
      <c r="C116">
        <v>2007</v>
      </c>
      <c r="D116">
        <v>2008</v>
      </c>
      <c r="E116">
        <v>2009</v>
      </c>
      <c r="F116">
        <v>2010</v>
      </c>
      <c r="G116">
        <v>2011</v>
      </c>
    </row>
    <row r="117" spans="1:7">
      <c r="A117" s="182" t="s">
        <v>1176</v>
      </c>
      <c r="B117" s="183"/>
      <c r="C117" s="183">
        <f t="shared" ref="C117:C122" si="1">AVERAGE(D117:F117)</f>
        <v>0.26666666666666666</v>
      </c>
      <c r="D117" s="183">
        <v>0.28000000000000003</v>
      </c>
      <c r="E117" s="183">
        <v>0.27</v>
      </c>
      <c r="F117" s="183">
        <v>0.25</v>
      </c>
      <c r="G117" s="183">
        <v>0.26</v>
      </c>
    </row>
    <row r="118" spans="1:7">
      <c r="A118" s="182" t="s">
        <v>1175</v>
      </c>
      <c r="C118" s="183">
        <f t="shared" si="1"/>
        <v>0.24666666666666667</v>
      </c>
      <c r="D118" s="183">
        <v>0.26</v>
      </c>
      <c r="E118" s="183">
        <v>0.25</v>
      </c>
      <c r="F118" s="183">
        <v>0.23</v>
      </c>
      <c r="G118" s="183">
        <v>0.23</v>
      </c>
    </row>
    <row r="119" spans="1:7">
      <c r="A119" s="182" t="s">
        <v>1174</v>
      </c>
      <c r="C119" s="183">
        <f t="shared" si="1"/>
        <v>0.18000000000000002</v>
      </c>
      <c r="D119" s="183">
        <v>0.18</v>
      </c>
      <c r="E119" s="183">
        <v>0.18</v>
      </c>
      <c r="F119" s="183">
        <v>0.18</v>
      </c>
      <c r="G119" s="183">
        <v>0.19</v>
      </c>
    </row>
    <row r="120" spans="1:7">
      <c r="A120" s="182" t="s">
        <v>86</v>
      </c>
      <c r="C120" s="183">
        <f t="shared" si="1"/>
        <v>9.6666666666666679E-2</v>
      </c>
      <c r="D120" s="183">
        <v>0.11</v>
      </c>
      <c r="E120" s="183">
        <v>0.08</v>
      </c>
      <c r="F120" s="183">
        <v>0.1</v>
      </c>
      <c r="G120" s="183">
        <v>0.11</v>
      </c>
    </row>
    <row r="121" spans="1:7">
      <c r="A121" s="182" t="s">
        <v>1173</v>
      </c>
      <c r="C121" s="183">
        <f t="shared" si="1"/>
        <v>7.6666666666666675E-2</v>
      </c>
      <c r="D121" s="183">
        <v>0.05</v>
      </c>
      <c r="E121" s="183">
        <v>0.08</v>
      </c>
      <c r="F121" s="183">
        <v>0.1</v>
      </c>
      <c r="G121" s="183">
        <v>7.0000000000000007E-2</v>
      </c>
    </row>
    <row r="122" spans="1:7">
      <c r="A122" s="182" t="s">
        <v>1172</v>
      </c>
      <c r="C122" s="183">
        <f t="shared" si="1"/>
        <v>0.13333333333333333</v>
      </c>
      <c r="D122" s="183">
        <v>0.12</v>
      </c>
      <c r="E122" s="183">
        <v>0.14000000000000001</v>
      </c>
      <c r="F122" s="183">
        <v>0.14000000000000001</v>
      </c>
      <c r="G122" s="183">
        <v>0.14000000000000001</v>
      </c>
    </row>
    <row r="123" spans="1:7">
      <c r="A123" s="182"/>
      <c r="C123" s="183"/>
      <c r="D123" s="183"/>
      <c r="E123" s="183"/>
      <c r="F123" s="183"/>
    </row>
    <row r="124" spans="1:7">
      <c r="A124" s="182" t="s">
        <v>1158</v>
      </c>
      <c r="C124" s="183">
        <f>C117</f>
        <v>0.26666666666666666</v>
      </c>
      <c r="D124" s="183">
        <f>D117</f>
        <v>0.28000000000000003</v>
      </c>
      <c r="E124" s="183">
        <f>E117</f>
        <v>0.27</v>
      </c>
      <c r="F124" s="183">
        <f>F117</f>
        <v>0.25</v>
      </c>
      <c r="G124" s="183">
        <v>0.254</v>
      </c>
    </row>
    <row r="125" spans="1:7">
      <c r="A125" s="182" t="s">
        <v>1169</v>
      </c>
      <c r="C125" s="183">
        <f>SUM(C118:C121)</f>
        <v>0.60000000000000009</v>
      </c>
      <c r="D125" s="183">
        <f>SUM(D118:D121)</f>
        <v>0.60000000000000009</v>
      </c>
      <c r="E125" s="183">
        <f>SUM(E118:E121)</f>
        <v>0.59</v>
      </c>
      <c r="F125" s="183">
        <f>SUM(F118:F121)</f>
        <v>0.61</v>
      </c>
      <c r="G125" s="183">
        <v>0.61799999999999999</v>
      </c>
    </row>
    <row r="126" spans="1:7">
      <c r="A126" s="182" t="s">
        <v>1171</v>
      </c>
      <c r="C126" s="183">
        <f>C122</f>
        <v>0.13333333333333333</v>
      </c>
      <c r="D126" s="183">
        <f>D122</f>
        <v>0.12</v>
      </c>
      <c r="E126" s="183">
        <f>E122</f>
        <v>0.14000000000000001</v>
      </c>
      <c r="F126" s="183">
        <f>F122</f>
        <v>0.14000000000000001</v>
      </c>
      <c r="G126" s="183">
        <f>1-SUM(G124:G125)</f>
        <v>0.128</v>
      </c>
    </row>
    <row r="127" spans="1:7">
      <c r="A127" s="182"/>
      <c r="C127" s="183"/>
      <c r="D127" s="183"/>
      <c r="E127" s="183"/>
      <c r="F127" s="183"/>
    </row>
    <row r="129" spans="1:7">
      <c r="A129" s="182" t="s">
        <v>1170</v>
      </c>
      <c r="B129">
        <v>100</v>
      </c>
    </row>
    <row r="130" spans="1:7">
      <c r="A130" t="s">
        <v>1156</v>
      </c>
      <c r="B130" s="161">
        <v>0.42</v>
      </c>
      <c r="C130" s="161">
        <v>0.52</v>
      </c>
      <c r="D130" s="161">
        <v>0.52</v>
      </c>
      <c r="E130" s="161">
        <v>0.52</v>
      </c>
    </row>
    <row r="131" spans="1:7">
      <c r="A131" t="s">
        <v>1157</v>
      </c>
      <c r="B131" s="161">
        <v>0.25</v>
      </c>
      <c r="C131" s="161">
        <v>0.25</v>
      </c>
      <c r="D131" s="161">
        <v>0.22</v>
      </c>
      <c r="E131" s="161">
        <v>0.24</v>
      </c>
    </row>
    <row r="132" spans="1:7">
      <c r="A132" t="s">
        <v>112</v>
      </c>
      <c r="B132" s="161">
        <v>0.26</v>
      </c>
      <c r="C132" s="161">
        <v>0.18</v>
      </c>
      <c r="D132" s="161">
        <v>0.17</v>
      </c>
      <c r="E132" s="161">
        <v>0.19</v>
      </c>
    </row>
    <row r="133" spans="1:7">
      <c r="A133" t="s">
        <v>1063</v>
      </c>
      <c r="B133" s="161">
        <v>7.0000000000000007E-2</v>
      </c>
      <c r="C133" s="161">
        <v>0.05</v>
      </c>
      <c r="D133" s="161">
        <v>0.09</v>
      </c>
      <c r="E133" s="161">
        <v>0.05</v>
      </c>
    </row>
    <row r="134" spans="1:7">
      <c r="A134" t="s">
        <v>1158</v>
      </c>
      <c r="B134" s="130">
        <f>B132</f>
        <v>0.26</v>
      </c>
      <c r="C134" s="130">
        <f>C132</f>
        <v>0.18</v>
      </c>
      <c r="D134" s="130">
        <f>D132</f>
        <v>0.17</v>
      </c>
      <c r="E134" s="130">
        <f>E132</f>
        <v>0.19</v>
      </c>
    </row>
    <row r="135" spans="1:7">
      <c r="A135" t="s">
        <v>1169</v>
      </c>
      <c r="B135" s="130">
        <f>SUM(B130:B131)</f>
        <v>0.66999999999999993</v>
      </c>
      <c r="C135" s="130">
        <f>SUM(C130:C131)</f>
        <v>0.77</v>
      </c>
      <c r="D135" s="130">
        <f>SUM(D130:D131)</f>
        <v>0.74</v>
      </c>
      <c r="E135" s="130">
        <f>SUM(E130:E131)</f>
        <v>0.76</v>
      </c>
    </row>
    <row r="136" spans="1:7">
      <c r="A136" t="s">
        <v>1160</v>
      </c>
      <c r="B136" s="130">
        <f>B133</f>
        <v>7.0000000000000007E-2</v>
      </c>
      <c r="C136" s="130">
        <f>C133</f>
        <v>0.05</v>
      </c>
      <c r="D136" s="130">
        <f>D133</f>
        <v>0.09</v>
      </c>
      <c r="E136" s="130">
        <f>1-SUM(E134:E135)</f>
        <v>5.0000000000000044E-2</v>
      </c>
      <c r="F136" s="130"/>
      <c r="G136">
        <v>1000</v>
      </c>
    </row>
    <row r="138" spans="1:7">
      <c r="A138" t="s">
        <v>365</v>
      </c>
      <c r="B138">
        <v>1550</v>
      </c>
      <c r="C138">
        <v>1900</v>
      </c>
      <c r="D138">
        <v>1300</v>
      </c>
      <c r="E138">
        <v>1250</v>
      </c>
    </row>
    <row r="139" spans="1:7">
      <c r="A139" t="s">
        <v>1136</v>
      </c>
      <c r="B139">
        <v>850</v>
      </c>
      <c r="C139">
        <v>450</v>
      </c>
      <c r="D139">
        <v>500</v>
      </c>
      <c r="E139">
        <v>600</v>
      </c>
    </row>
    <row r="140" spans="1:7">
      <c r="A140" t="s">
        <v>353</v>
      </c>
      <c r="B140">
        <v>400</v>
      </c>
      <c r="C140">
        <v>650</v>
      </c>
      <c r="D140">
        <v>350</v>
      </c>
      <c r="E140">
        <v>400</v>
      </c>
    </row>
    <row r="141" spans="1:7">
      <c r="A141" t="s">
        <v>387</v>
      </c>
      <c r="B141">
        <v>300</v>
      </c>
      <c r="C141">
        <v>350</v>
      </c>
      <c r="D141">
        <v>350</v>
      </c>
      <c r="E141">
        <v>150</v>
      </c>
    </row>
    <row r="142" spans="1:7">
      <c r="A142" t="s">
        <v>375</v>
      </c>
      <c r="B142">
        <v>350</v>
      </c>
      <c r="C142">
        <v>450</v>
      </c>
      <c r="D142">
        <v>650</v>
      </c>
      <c r="E142">
        <v>550</v>
      </c>
    </row>
    <row r="143" spans="1:7">
      <c r="A143" t="s">
        <v>403</v>
      </c>
      <c r="B143">
        <v>450</v>
      </c>
      <c r="C143">
        <v>450</v>
      </c>
      <c r="D143">
        <v>200</v>
      </c>
      <c r="E143">
        <v>200</v>
      </c>
    </row>
    <row r="144" spans="1:7">
      <c r="A144" t="s">
        <v>337</v>
      </c>
      <c r="B144">
        <v>350</v>
      </c>
      <c r="C144">
        <v>300</v>
      </c>
      <c r="D144">
        <v>350</v>
      </c>
      <c r="E144">
        <v>200</v>
      </c>
    </row>
    <row r="145" spans="1:5">
      <c r="A145" t="s">
        <v>349</v>
      </c>
      <c r="B145">
        <v>250</v>
      </c>
      <c r="C145">
        <v>300</v>
      </c>
      <c r="D145">
        <v>300</v>
      </c>
      <c r="E145">
        <v>300</v>
      </c>
    </row>
    <row r="146" spans="1:5">
      <c r="A146" t="s">
        <v>361</v>
      </c>
      <c r="B146">
        <v>450</v>
      </c>
      <c r="C146">
        <v>350</v>
      </c>
      <c r="D146">
        <v>200</v>
      </c>
      <c r="E146">
        <v>450</v>
      </c>
    </row>
    <row r="147" spans="1:5">
      <c r="A147" t="s">
        <v>369</v>
      </c>
      <c r="B147">
        <v>150</v>
      </c>
      <c r="C147">
        <v>200</v>
      </c>
      <c r="D147">
        <v>100</v>
      </c>
      <c r="E147">
        <v>100</v>
      </c>
    </row>
    <row r="148" spans="1:5">
      <c r="A148" t="s">
        <v>417</v>
      </c>
      <c r="B148">
        <v>250</v>
      </c>
      <c r="C148">
        <v>150</v>
      </c>
      <c r="D148">
        <v>100</v>
      </c>
      <c r="E148">
        <v>150</v>
      </c>
    </row>
    <row r="149" spans="1:5">
      <c r="A149" t="s">
        <v>339</v>
      </c>
      <c r="B149" t="s">
        <v>1073</v>
      </c>
      <c r="C149">
        <v>150</v>
      </c>
      <c r="D149" t="s">
        <v>1073</v>
      </c>
      <c r="E149" t="s">
        <v>1073</v>
      </c>
    </row>
    <row r="150" spans="1:5">
      <c r="A150" t="s">
        <v>379</v>
      </c>
      <c r="B150">
        <v>150</v>
      </c>
      <c r="C150">
        <v>300</v>
      </c>
      <c r="D150">
        <v>100</v>
      </c>
      <c r="E150">
        <v>350</v>
      </c>
    </row>
    <row r="151" spans="1:5">
      <c r="A151" t="s">
        <v>409</v>
      </c>
      <c r="B151">
        <v>150</v>
      </c>
      <c r="C151">
        <v>100</v>
      </c>
      <c r="D151">
        <v>200</v>
      </c>
      <c r="E151">
        <v>150</v>
      </c>
    </row>
    <row r="152" spans="1:5">
      <c r="A152" t="s">
        <v>163</v>
      </c>
      <c r="B152">
        <v>150</v>
      </c>
      <c r="C152">
        <v>250</v>
      </c>
      <c r="D152">
        <v>250</v>
      </c>
      <c r="E152">
        <v>300</v>
      </c>
    </row>
    <row r="153" spans="1:5">
      <c r="A153" t="s">
        <v>230</v>
      </c>
      <c r="B153" t="s">
        <v>1073</v>
      </c>
      <c r="C153" t="s">
        <v>1073</v>
      </c>
      <c r="D153">
        <v>100</v>
      </c>
      <c r="E153">
        <v>150</v>
      </c>
    </row>
    <row r="154" spans="1:5">
      <c r="A154" t="s">
        <v>341</v>
      </c>
      <c r="B154">
        <v>300</v>
      </c>
      <c r="C154">
        <v>150</v>
      </c>
      <c r="D154">
        <v>350</v>
      </c>
      <c r="E154">
        <v>100</v>
      </c>
    </row>
    <row r="155" spans="1:5">
      <c r="A155" t="s">
        <v>367</v>
      </c>
      <c r="B155">
        <v>150</v>
      </c>
      <c r="C155">
        <v>300</v>
      </c>
      <c r="D155">
        <v>150</v>
      </c>
      <c r="E155">
        <v>300</v>
      </c>
    </row>
    <row r="156" spans="1:5">
      <c r="A156" t="s">
        <v>407</v>
      </c>
      <c r="B156">
        <v>300</v>
      </c>
      <c r="C156">
        <v>300</v>
      </c>
      <c r="D156">
        <v>250</v>
      </c>
      <c r="E156">
        <v>400</v>
      </c>
    </row>
    <row r="157" spans="1:5">
      <c r="A157" s="6" t="s">
        <v>455</v>
      </c>
      <c r="B157" t="s">
        <v>1073</v>
      </c>
      <c r="C157" t="s">
        <v>1073</v>
      </c>
      <c r="D157" t="s">
        <v>1073</v>
      </c>
      <c r="E157" t="s">
        <v>1073</v>
      </c>
    </row>
    <row r="158" spans="1:5">
      <c r="A158" t="s">
        <v>415</v>
      </c>
      <c r="B158">
        <v>100</v>
      </c>
      <c r="C158">
        <v>150</v>
      </c>
      <c r="D158">
        <v>150</v>
      </c>
      <c r="E158">
        <v>250</v>
      </c>
    </row>
    <row r="159" spans="1:5">
      <c r="A159" t="s">
        <v>373</v>
      </c>
      <c r="B159">
        <v>150</v>
      </c>
      <c r="C159">
        <v>250</v>
      </c>
      <c r="D159">
        <v>200</v>
      </c>
      <c r="E159">
        <v>100</v>
      </c>
    </row>
    <row r="160" spans="1:5">
      <c r="A160" t="s">
        <v>345</v>
      </c>
      <c r="B160">
        <v>150</v>
      </c>
      <c r="C160">
        <v>100</v>
      </c>
      <c r="D160" t="s">
        <v>1073</v>
      </c>
      <c r="E160">
        <v>150</v>
      </c>
    </row>
    <row r="161" spans="1:6">
      <c r="A161" t="s">
        <v>1152</v>
      </c>
      <c r="B161" t="s">
        <v>1073</v>
      </c>
      <c r="C161">
        <v>200</v>
      </c>
      <c r="D161" t="s">
        <v>1073</v>
      </c>
      <c r="E161">
        <v>100</v>
      </c>
    </row>
    <row r="162" spans="1:6">
      <c r="A162" t="s">
        <v>355</v>
      </c>
      <c r="B162">
        <v>250</v>
      </c>
      <c r="C162">
        <v>100</v>
      </c>
      <c r="D162">
        <v>100</v>
      </c>
      <c r="E162">
        <v>100</v>
      </c>
    </row>
    <row r="163" spans="1:6">
      <c r="A163" t="s">
        <v>389</v>
      </c>
      <c r="B163">
        <v>150</v>
      </c>
      <c r="C163">
        <v>100</v>
      </c>
      <c r="D163" t="s">
        <v>1073</v>
      </c>
      <c r="E163">
        <v>100</v>
      </c>
    </row>
    <row r="164" spans="1:6">
      <c r="A164" t="s">
        <v>411</v>
      </c>
      <c r="B164" t="s">
        <v>1073</v>
      </c>
      <c r="C164" t="s">
        <v>1073</v>
      </c>
      <c r="D164" t="s">
        <v>1073</v>
      </c>
      <c r="E164">
        <v>150</v>
      </c>
    </row>
    <row r="165" spans="1:6">
      <c r="A165" t="s">
        <v>1195</v>
      </c>
      <c r="B165">
        <v>6900</v>
      </c>
      <c r="C165">
        <v>7600</v>
      </c>
      <c r="D165">
        <v>6300</v>
      </c>
      <c r="E165">
        <v>7100</v>
      </c>
    </row>
    <row r="167" spans="1:6">
      <c r="B167">
        <v>6900</v>
      </c>
      <c r="C167">
        <v>7600</v>
      </c>
      <c r="D167">
        <v>6300</v>
      </c>
      <c r="E167">
        <v>7100</v>
      </c>
      <c r="F167">
        <v>7393.5</v>
      </c>
    </row>
    <row r="168" spans="1:6">
      <c r="A168" s="6" t="s">
        <v>65</v>
      </c>
      <c r="B168">
        <v>150</v>
      </c>
      <c r="C168">
        <v>250</v>
      </c>
      <c r="D168">
        <v>350</v>
      </c>
      <c r="E168">
        <v>450</v>
      </c>
      <c r="F168">
        <v>440.59526299369242</v>
      </c>
    </row>
    <row r="169" spans="1:6">
      <c r="A169" s="6" t="s">
        <v>67</v>
      </c>
      <c r="B169">
        <v>0</v>
      </c>
      <c r="C169">
        <v>0</v>
      </c>
      <c r="D169">
        <v>0</v>
      </c>
      <c r="E169">
        <v>0</v>
      </c>
      <c r="F169">
        <v>0</v>
      </c>
    </row>
    <row r="170" spans="1:6">
      <c r="A170" t="s">
        <v>1197</v>
      </c>
      <c r="B170">
        <v>6350</v>
      </c>
      <c r="C170">
        <v>7100</v>
      </c>
      <c r="D170">
        <v>5400</v>
      </c>
      <c r="E170">
        <v>5900</v>
      </c>
      <c r="F170">
        <v>6221.4999999999991</v>
      </c>
    </row>
    <row r="171" spans="1:6">
      <c r="A171" t="s">
        <v>70</v>
      </c>
      <c r="B171">
        <v>0</v>
      </c>
      <c r="C171">
        <v>0</v>
      </c>
      <c r="D171">
        <v>0</v>
      </c>
      <c r="E171">
        <v>0</v>
      </c>
      <c r="F171">
        <v>0</v>
      </c>
    </row>
    <row r="172" spans="1:6">
      <c r="A172" s="6" t="s">
        <v>72</v>
      </c>
      <c r="B172">
        <v>0</v>
      </c>
      <c r="C172">
        <v>0</v>
      </c>
      <c r="D172">
        <v>0</v>
      </c>
      <c r="E172">
        <v>0</v>
      </c>
      <c r="F172">
        <v>0</v>
      </c>
    </row>
    <row r="173" spans="1:6">
      <c r="A173" s="6" t="s">
        <v>74</v>
      </c>
      <c r="B173">
        <v>0</v>
      </c>
      <c r="C173">
        <v>0</v>
      </c>
      <c r="D173">
        <v>0</v>
      </c>
      <c r="E173">
        <v>0</v>
      </c>
      <c r="F173">
        <v>0</v>
      </c>
    </row>
    <row r="174" spans="1:6">
      <c r="B174">
        <v>400</v>
      </c>
      <c r="C174">
        <v>250</v>
      </c>
      <c r="D174">
        <v>550</v>
      </c>
      <c r="E174">
        <v>750</v>
      </c>
      <c r="F174">
        <v>731.4047370063081</v>
      </c>
    </row>
    <row r="175" spans="1:6">
      <c r="A175" s="6" t="s">
        <v>67</v>
      </c>
      <c r="B175">
        <f>12%*B174</f>
        <v>48</v>
      </c>
      <c r="C175">
        <f>12.1%*C174</f>
        <v>30.25</v>
      </c>
      <c r="D175">
        <f>12.1%*D174</f>
        <v>66.55</v>
      </c>
      <c r="E175">
        <f>11%*E174</f>
        <v>82.5</v>
      </c>
      <c r="F175">
        <f>12.3%*F174</f>
        <v>89.96278265177591</v>
      </c>
    </row>
    <row r="176" spans="1:6">
      <c r="A176" t="s">
        <v>70</v>
      </c>
      <c r="B176">
        <f>9%*B174</f>
        <v>36</v>
      </c>
      <c r="C176">
        <f>9.2%*C174</f>
        <v>23</v>
      </c>
      <c r="D176">
        <f>9.5%*D174</f>
        <v>52.25</v>
      </c>
      <c r="E176">
        <f>9.4%*E174</f>
        <v>70.5</v>
      </c>
      <c r="F176">
        <f>9.6%*F174</f>
        <v>70.214854752605575</v>
      </c>
    </row>
    <row r="177" spans="1:6">
      <c r="A177" s="6" t="s">
        <v>72</v>
      </c>
      <c r="B177">
        <f>25%*B174</f>
        <v>100</v>
      </c>
      <c r="C177">
        <f>25.6%*C174</f>
        <v>64</v>
      </c>
      <c r="D177">
        <f>26%*D174</f>
        <v>143</v>
      </c>
      <c r="E177">
        <f>27.8%*E174</f>
        <v>208.50000000000003</v>
      </c>
      <c r="F177">
        <f>28%*F174</f>
        <v>204.79332636176628</v>
      </c>
    </row>
    <row r="178" spans="1:6">
      <c r="A178" s="6" t="s">
        <v>74</v>
      </c>
      <c r="B178">
        <f>B174-SUM(B175:B177)</f>
        <v>216</v>
      </c>
      <c r="C178">
        <f t="shared" ref="C178:F178" si="2">C174-SUM(C175:C177)</f>
        <v>132.75</v>
      </c>
      <c r="D178">
        <f t="shared" si="2"/>
        <v>288.2</v>
      </c>
      <c r="E178">
        <f t="shared" si="2"/>
        <v>388.5</v>
      </c>
      <c r="F178">
        <f t="shared" si="2"/>
        <v>366.43377324016035</v>
      </c>
    </row>
    <row r="180" spans="1:6">
      <c r="A180" s="55" t="s">
        <v>451</v>
      </c>
      <c r="B180">
        <v>306.63799999999998</v>
      </c>
      <c r="C180">
        <v>319.89499999999998</v>
      </c>
      <c r="D180">
        <v>313.26649999999995</v>
      </c>
      <c r="E180">
        <v>316.58074999999997</v>
      </c>
    </row>
    <row r="181" spans="1:6">
      <c r="A181" s="55" t="s">
        <v>453</v>
      </c>
      <c r="B181">
        <v>151.96899999999999</v>
      </c>
      <c r="C181">
        <v>158.167</v>
      </c>
      <c r="D181">
        <v>140.81100000000001</v>
      </c>
      <c r="E181">
        <v>147.30935333333332</v>
      </c>
    </row>
    <row r="182" spans="1:6">
      <c r="A182" s="55" t="s">
        <v>455</v>
      </c>
      <c r="B182">
        <v>1524.1510000000001</v>
      </c>
      <c r="C182">
        <v>1782.299</v>
      </c>
      <c r="D182">
        <v>1686.825</v>
      </c>
      <c r="E182">
        <v>1697.7135000000001</v>
      </c>
    </row>
    <row r="183" spans="1:6">
      <c r="B183">
        <f>SUM(B180:B182)</f>
        <v>1982.758</v>
      </c>
      <c r="C183">
        <f t="shared" ref="C183:E183" si="3">SUM(C180:C182)</f>
        <v>2260.3609999999999</v>
      </c>
      <c r="D183">
        <f t="shared" si="3"/>
        <v>2140.9025000000001</v>
      </c>
      <c r="E183">
        <f t="shared" si="3"/>
        <v>2161.6036033333335</v>
      </c>
    </row>
    <row r="184" spans="1:6">
      <c r="A184" s="55" t="s">
        <v>451</v>
      </c>
      <c r="B184" s="130">
        <f>B180/B$183</f>
        <v>0.15465225710853264</v>
      </c>
      <c r="C184" s="130">
        <f t="shared" ref="C184:E184" si="4">C180/C$183</f>
        <v>0.14152385393306643</v>
      </c>
      <c r="D184" s="130">
        <f t="shared" si="4"/>
        <v>0.14632450566992189</v>
      </c>
      <c r="E184" s="130">
        <f t="shared" si="4"/>
        <v>0.14645643147143714</v>
      </c>
    </row>
    <row r="185" spans="1:6">
      <c r="A185" s="55" t="s">
        <v>453</v>
      </c>
      <c r="B185" s="130">
        <f t="shared" ref="B185:E186" si="5">B181/B$183</f>
        <v>7.6645258775907096E-2</v>
      </c>
      <c r="C185" s="130">
        <f t="shared" si="5"/>
        <v>6.9974220931966188E-2</v>
      </c>
      <c r="D185" s="130">
        <f t="shared" si="5"/>
        <v>6.5771794838858838E-2</v>
      </c>
      <c r="E185" s="130">
        <f t="shared" si="5"/>
        <v>6.8148180871910422E-2</v>
      </c>
    </row>
    <row r="186" spans="1:6">
      <c r="A186" s="55" t="s">
        <v>455</v>
      </c>
      <c r="B186" s="130">
        <f t="shared" si="5"/>
        <v>0.7687024841155603</v>
      </c>
      <c r="C186" s="130">
        <f t="shared" si="5"/>
        <v>0.78850192513496742</v>
      </c>
      <c r="D186" s="130">
        <f t="shared" si="5"/>
        <v>0.78790369949121919</v>
      </c>
      <c r="E186" s="130">
        <f t="shared" si="5"/>
        <v>0.7853953876566524</v>
      </c>
    </row>
    <row r="188" spans="1:6">
      <c r="A188" s="55" t="s">
        <v>451</v>
      </c>
      <c r="B188">
        <f>B$177*B184</f>
        <v>15.465225710853264</v>
      </c>
      <c r="C188">
        <f t="shared" ref="C188:E188" si="6">C$177*C184</f>
        <v>9.0575266517162518</v>
      </c>
      <c r="D188">
        <f t="shared" si="6"/>
        <v>20.924404310798831</v>
      </c>
      <c r="E188">
        <f t="shared" si="6"/>
        <v>30.536165961794648</v>
      </c>
    </row>
    <row r="189" spans="1:6">
      <c r="A189" s="55" t="s">
        <v>453</v>
      </c>
      <c r="B189">
        <f t="shared" ref="B189:E190" si="7">B$177*B185</f>
        <v>7.6645258775907097</v>
      </c>
      <c r="C189">
        <f t="shared" si="7"/>
        <v>4.4783501396458361</v>
      </c>
      <c r="D189">
        <f t="shared" si="7"/>
        <v>9.4053666619568137</v>
      </c>
      <c r="E189">
        <f t="shared" si="7"/>
        <v>14.208895711793325</v>
      </c>
    </row>
    <row r="190" spans="1:6">
      <c r="A190" s="55" t="s">
        <v>455</v>
      </c>
      <c r="B190">
        <f t="shared" si="7"/>
        <v>76.870248411556034</v>
      </c>
      <c r="C190">
        <f t="shared" si="7"/>
        <v>50.464123208637915</v>
      </c>
      <c r="D190">
        <f t="shared" si="7"/>
        <v>112.67022902724435</v>
      </c>
      <c r="E190">
        <f t="shared" si="7"/>
        <v>163.75493832641206</v>
      </c>
    </row>
  </sheetData>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dimension ref="A1:E15"/>
  <sheetViews>
    <sheetView workbookViewId="0"/>
  </sheetViews>
  <sheetFormatPr defaultRowHeight="14.25"/>
  <cols>
    <col min="1" max="16384" width="9.140625" style="235"/>
  </cols>
  <sheetData>
    <row r="1" spans="1:5">
      <c r="A1" s="236" t="s">
        <v>1249</v>
      </c>
    </row>
    <row r="3" spans="1:5">
      <c r="A3" s="236" t="s">
        <v>1125</v>
      </c>
      <c r="B3" s="239">
        <v>40956.369652777779</v>
      </c>
    </row>
    <row r="4" spans="1:5">
      <c r="A4" s="236" t="s">
        <v>1124</v>
      </c>
      <c r="B4" s="239">
        <v>40968.442446261572</v>
      </c>
    </row>
    <row r="5" spans="1:5">
      <c r="A5" s="236" t="s">
        <v>1123</v>
      </c>
      <c r="B5" s="236" t="s">
        <v>1122</v>
      </c>
    </row>
    <row r="7" spans="1:5">
      <c r="A7" s="236" t="s">
        <v>1119</v>
      </c>
      <c r="B7" s="236" t="s">
        <v>1248</v>
      </c>
    </row>
    <row r="9" spans="1:5">
      <c r="A9" s="238" t="s">
        <v>1116</v>
      </c>
      <c r="B9" s="238" t="s">
        <v>1115</v>
      </c>
      <c r="C9" s="238" t="s">
        <v>1114</v>
      </c>
      <c r="D9" s="238" t="s">
        <v>1113</v>
      </c>
      <c r="E9" s="238" t="s">
        <v>1112</v>
      </c>
    </row>
    <row r="10" spans="1:5">
      <c r="A10" s="238" t="s">
        <v>391</v>
      </c>
      <c r="B10" s="237">
        <v>2.8</v>
      </c>
      <c r="C10" s="237">
        <v>2.8</v>
      </c>
      <c r="D10" s="237">
        <v>2.8</v>
      </c>
      <c r="E10" s="237">
        <v>2.8</v>
      </c>
    </row>
    <row r="12" spans="1:5">
      <c r="A12" s="236" t="s">
        <v>1089</v>
      </c>
    </row>
    <row r="13" spans="1:5">
      <c r="A13" s="236" t="s">
        <v>1088</v>
      </c>
      <c r="B13" s="236" t="s">
        <v>1087</v>
      </c>
    </row>
    <row r="14" spans="1:5">
      <c r="A14" s="236" t="s">
        <v>1086</v>
      </c>
      <c r="B14" s="236" t="s">
        <v>1085</v>
      </c>
    </row>
    <row r="15" spans="1:5">
      <c r="A15" s="236" t="s">
        <v>1084</v>
      </c>
      <c r="B15" s="236" t="s">
        <v>1083</v>
      </c>
    </row>
  </sheetData>
  <pageMargins left="0.75" right="0.75" top="1" bottom="1" header="0.5" footer="0.5"/>
  <pageSetup paperSize="9" scale="0" firstPageNumber="0" fitToWidth="0" fitToHeight="0" pageOrder="overThenDown"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Home</vt:lpstr>
      <vt:lpstr>Document History </vt:lpstr>
      <vt:lpstr>Checklist</vt:lpstr>
      <vt:lpstr>Final Data-US$</vt:lpstr>
      <vt:lpstr>Forecasting</vt:lpstr>
      <vt:lpstr>Secondary cum Calculation</vt:lpstr>
      <vt:lpstr>TDF-Growth Rate</vt:lpstr>
      <vt:lpstr>TDF-Sum Checks</vt:lpstr>
      <vt:lpstr>Income Groups</vt:lpstr>
      <vt:lpstr>africa</vt:lpstr>
      <vt:lpstr>asia</vt:lpstr>
      <vt:lpstr>WTTC Export</vt:lpstr>
      <vt:lpstr>Mean Household comparison</vt:lpstr>
      <vt:lpstr>Domestic</vt:lpstr>
      <vt:lpstr>Seasonality&amp; Avg.stay</vt:lpstr>
      <vt:lpstr>Tourism Demand &amp; Flows</vt:lpstr>
      <vt:lpstr>Data (2)</vt:lpstr>
      <vt:lpstr>Inbound by region</vt:lpstr>
      <vt:lpstr>Sheet3</vt:lpstr>
      <vt:lpstr>Sheet1 (2)</vt:lpstr>
      <vt:lpstr>Sheet1</vt:lpstr>
      <vt:lpstr>Data (4)</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creator>
  <cp:lastModifiedBy>mshajie</cp:lastModifiedBy>
  <dcterms:created xsi:type="dcterms:W3CDTF">2012-01-16T11:18:37Z</dcterms:created>
  <dcterms:modified xsi:type="dcterms:W3CDTF">2013-10-04T10:42:59Z</dcterms:modified>
</cp:coreProperties>
</file>